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16" yWindow="65416" windowWidth="29040" windowHeight="15840" activeTab="0"/>
  </bookViews>
  <sheets>
    <sheet name="Krycí list rozpočtu" sheetId="4" r:id="rId1"/>
    <sheet name="Stavební rozpočet - součet" sheetId="2" r:id="rId2"/>
    <sheet name="Stavební rozpočet" sheetId="1" r:id="rId3"/>
    <sheet name="Výkaz výměr" sheetId="3" r:id="rId4"/>
  </sheets>
  <definedNames>
    <definedName name="_xlnm.Print_Area" localSheetId="0">'Krycí list rozpočtu'!$A$1:$I$38</definedName>
    <definedName name="_xlnm.Print_Area" localSheetId="2">'Stavební rozpočet'!$A$1:$M$1089</definedName>
    <definedName name="_xlnm.Print_Area" localSheetId="1">'Stavební rozpočet - součet'!$A$1:$G$72</definedName>
    <definedName name="_xlnm.Print_Area" localSheetId="3">'Výkaz výměr'!$A$1:$H$1519</definedName>
  </definedNames>
  <calcPr calcId="181029"/>
  <extLst/>
</workbook>
</file>

<file path=xl/sharedStrings.xml><?xml version="1.0" encoding="utf-8"?>
<sst xmlns="http://schemas.openxmlformats.org/spreadsheetml/2006/main" count="16932" uniqueCount="3303">
  <si>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</si>
  <si>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</si>
  <si>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</si>
  <si>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</si>
  <si>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</si>
  <si>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</si>
  <si>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</si>
  <si>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</si>
  <si>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</si>
  <si>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</si>
  <si>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</si>
  <si>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</si>
  <si>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</si>
  <si>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</si>
  <si>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</si>
  <si>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</si>
  <si>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</si>
  <si>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</si>
  <si>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</si>
  <si>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</si>
  <si>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</si>
  <si>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</si>
  <si>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</si>
  <si>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</si>
  <si>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</si>
  <si>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</si>
  <si>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</si>
  <si>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</si>
  <si>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</si>
  <si>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</si>
  <si>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</si>
  <si>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</si>
  <si>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</si>
  <si>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</si>
  <si>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</si>
  <si>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</si>
  <si>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</si>
  <si>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</si>
  <si>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</si>
  <si>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</si>
  <si>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</si>
  <si>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</si>
  <si>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</si>
  <si>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</si>
  <si>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</si>
  <si>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</si>
  <si>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</si>
  <si>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</si>
  <si>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</si>
  <si>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</si>
  <si>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</si>
  <si>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</si>
  <si>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</si>
  <si>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</si>
  <si>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</si>
  <si>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</si>
  <si>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</si>
  <si>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</si>
  <si>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</si>
  <si>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</si>
  <si>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</si>
  <si>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</si>
  <si>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</si>
  <si>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</si>
  <si>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</si>
  <si>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</si>
  <si>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</si>
  <si>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</si>
  <si>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</si>
  <si>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</si>
  <si>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</si>
  <si>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</si>
  <si>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</si>
  <si>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</si>
  <si>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</si>
  <si>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</si>
  <si>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</si>
  <si>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</si>
  <si>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</si>
  <si>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</si>
  <si>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</si>
  <si>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</si>
  <si>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</si>
  <si>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</si>
  <si>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</si>
  <si>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</si>
  <si>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</si>
  <si>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</si>
  <si>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</si>
  <si>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</si>
  <si>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</si>
  <si>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</si>
  <si>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</si>
  <si>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</si>
  <si>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</si>
  <si>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</si>
  <si>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</si>
  <si>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</si>
  <si>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</si>
  <si>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</si>
  <si>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</si>
  <si>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</si>
  <si>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</si>
  <si>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</si>
  <si>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</si>
  <si>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</si>
  <si>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</si>
  <si>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</si>
  <si>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</si>
  <si>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</si>
  <si>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</si>
  <si>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</si>
  <si>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</si>
  <si>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</si>
  <si>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</si>
  <si>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</si>
  <si>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</si>
  <si>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</si>
  <si>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</si>
  <si>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</si>
  <si>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</si>
  <si>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</si>
  <si>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</si>
  <si>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</si>
  <si>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</si>
  <si>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</si>
  <si>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</si>
  <si>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</si>
  <si>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</si>
  <si>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</si>
  <si>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</si>
  <si>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</si>
  <si>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</si>
  <si>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</si>
  <si>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</si>
  <si>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</si>
  <si>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</si>
  <si>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</si>
  <si>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</si>
  <si>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</si>
  <si>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</si>
  <si>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</si>
  <si>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</si>
  <si>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</si>
  <si>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</si>
  <si>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</si>
  <si>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</si>
  <si>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</si>
  <si>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</si>
  <si>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</si>
  <si>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</si>
  <si>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</si>
  <si>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</si>
  <si>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</si>
  <si>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</si>
  <si>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</si>
  <si>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</si>
  <si>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</si>
  <si>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</si>
  <si>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</si>
  <si>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</si>
  <si>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</si>
  <si>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</si>
  <si>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</si>
  <si>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</si>
  <si>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</si>
  <si>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</si>
  <si>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</si>
  <si>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</si>
  <si>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</si>
  <si>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</si>
  <si>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</si>
  <si>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</si>
  <si>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</si>
  <si>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</si>
  <si>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</si>
  <si>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</si>
  <si>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</si>
  <si>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</si>
  <si>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</si>
  <si>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</si>
  <si>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</si>
  <si>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</si>
  <si>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</si>
  <si>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</si>
  <si>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</si>
  <si>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</si>
  <si>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</si>
  <si>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</si>
  <si>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</si>
  <si>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</si>
  <si>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</si>
  <si>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</si>
  <si>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</si>
  <si>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</si>
  <si>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</si>
  <si>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</si>
  <si>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</si>
  <si>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</si>
  <si>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</si>
  <si>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</si>
  <si>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</si>
  <si>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</si>
  <si>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</si>
  <si>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</si>
  <si>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</si>
  <si>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</si>
  <si>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</si>
  <si>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</si>
  <si>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</si>
  <si>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</si>
  <si>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</si>
  <si>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</si>
  <si>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</si>
  <si>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</si>
  <si>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</si>
  <si>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</si>
  <si>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</si>
  <si>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</si>
  <si>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</si>
  <si>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</si>
  <si>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</si>
  <si>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</si>
  <si>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</si>
  <si>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</si>
  <si>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</si>
  <si>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</si>
  <si>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</si>
  <si>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</si>
  <si>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</si>
  <si>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</si>
  <si>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</si>
  <si>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</si>
  <si>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</si>
  <si>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</si>
  <si>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</si>
  <si>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</si>
  <si>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</si>
  <si>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</si>
  <si>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</si>
  <si>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</si>
  <si>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</si>
  <si>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</si>
  <si>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</si>
  <si>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</si>
  <si>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</si>
  <si>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</si>
  <si>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</si>
  <si>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</si>
  <si>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</si>
  <si>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</si>
  <si>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</si>
  <si>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</si>
  <si>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</si>
  <si>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</si>
  <si>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</si>
  <si>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</si>
  <si>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</si>
  <si>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</si>
  <si>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</si>
  <si>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</si>
  <si>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</si>
  <si>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</si>
  <si>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</si>
  <si>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</si>
  <si>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</si>
  <si>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</si>
  <si>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</si>
  <si>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</si>
  <si>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</si>
  <si>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</si>
  <si>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</si>
  <si>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</si>
  <si>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</si>
  <si>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</si>
  <si>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</si>
  <si>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</si>
  <si>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</si>
  <si>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</si>
  <si>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</si>
  <si>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</si>
  <si>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</si>
  <si>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</si>
  <si>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</si>
  <si>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</si>
  <si>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</si>
  <si>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</si>
  <si>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</si>
  <si>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</si>
  <si>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</si>
  <si>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</si>
  <si>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</si>
  <si>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</si>
  <si>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</si>
  <si>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</si>
  <si>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</si>
  <si>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</si>
  <si>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</si>
  <si>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</si>
  <si>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</si>
  <si>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</si>
  <si>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</si>
  <si>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</si>
  <si>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</si>
  <si>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</si>
  <si>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</si>
  <si>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</si>
  <si>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</si>
  <si>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</si>
  <si>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</si>
  <si>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</si>
  <si>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</si>
  <si>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</si>
  <si>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</si>
  <si>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</si>
  <si>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</si>
  <si>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</si>
  <si>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</si>
  <si>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</si>
  <si>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</si>
  <si>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</si>
  <si>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</si>
  <si>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</si>
  <si>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</si>
  <si>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</si>
  <si>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</si>
  <si>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</si>
  <si>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</si>
  <si>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</si>
  <si>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</si>
  <si>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</si>
  <si>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</si>
  <si>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</si>
  <si>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</si>
  <si>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</si>
  <si>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</si>
  <si>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</si>
  <si>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</si>
  <si>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</si>
  <si>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</si>
  <si>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</si>
  <si>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</si>
  <si>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</si>
  <si>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</si>
  <si>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</si>
  <si>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</si>
  <si>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</si>
  <si>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</si>
  <si>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</si>
  <si>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</si>
  <si>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</si>
  <si>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</si>
  <si>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</si>
  <si>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</si>
  <si>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</si>
  <si>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</si>
  <si>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</si>
  <si>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</si>
  <si>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</si>
  <si>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</si>
  <si>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</si>
  <si>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</si>
  <si>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</si>
  <si>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</si>
  <si>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</si>
  <si>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</si>
  <si>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</si>
  <si>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</si>
  <si>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</si>
  <si>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</si>
  <si>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</si>
  <si>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</si>
  <si>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</si>
  <si>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</si>
  <si>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</si>
  <si>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</si>
  <si>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</si>
  <si>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</si>
  <si>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</si>
  <si>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</si>
  <si>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</si>
  <si>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</si>
  <si>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</si>
  <si>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</si>
  <si>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</si>
  <si>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</si>
  <si>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</si>
  <si>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</si>
  <si>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</si>
  <si>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</si>
  <si>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</si>
  <si>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</si>
  <si>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</si>
  <si>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</si>
  <si>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</si>
  <si>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</si>
  <si>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</si>
  <si>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</si>
  <si>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</si>
  <si>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</si>
  <si>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</si>
  <si>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</si>
  <si>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</si>
  <si>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</si>
  <si>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</si>
  <si>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</si>
  <si>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</si>
  <si>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</si>
  <si>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</si>
  <si>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</si>
  <si>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</si>
  <si>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</si>
  <si>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</si>
  <si>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</si>
  <si>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</si>
  <si>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</si>
  <si>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</si>
  <si>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</si>
  <si>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</si>
  <si>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</si>
  <si>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</si>
  <si>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</si>
  <si>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</si>
  <si>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</si>
  <si>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</si>
  <si>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</si>
  <si>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</si>
  <si>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</si>
  <si>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</si>
  <si>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</si>
  <si>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</si>
  <si>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</si>
  <si>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</si>
  <si>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</si>
  <si>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</si>
  <si>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</si>
  <si>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</si>
  <si>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</si>
  <si>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</si>
  <si>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</si>
  <si>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</si>
  <si>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</si>
  <si>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</si>
  <si>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</si>
  <si>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</si>
  <si>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</si>
  <si>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</si>
  <si>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</si>
  <si>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</si>
  <si>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</si>
  <si>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</si>
  <si>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</si>
  <si>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</si>
  <si>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</si>
  <si>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</si>
  <si>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</si>
  <si>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</si>
  <si>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</si>
  <si>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</si>
  <si>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</si>
  <si>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</si>
  <si>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</si>
  <si>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</si>
  <si>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</si>
  <si>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</si>
  <si>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</si>
  <si>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</si>
  <si>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</si>
  <si>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</si>
  <si>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</si>
  <si>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</si>
  <si>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</si>
  <si>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</si>
  <si>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</si>
  <si>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</si>
  <si>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</si>
  <si>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</si>
  <si>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</si>
  <si>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</si>
  <si>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</si>
  <si>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</si>
  <si>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</si>
  <si>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</si>
  <si>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</si>
  <si>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</si>
  <si>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</si>
  <si>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</si>
  <si>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</si>
  <si>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</si>
  <si>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</si>
  <si>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</si>
  <si>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</si>
  <si>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</si>
  <si>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</si>
  <si>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</si>
  <si>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</si>
  <si>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</si>
  <si>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</si>
  <si>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</si>
  <si>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</si>
  <si>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</si>
  <si>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</si>
  <si>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</si>
  <si>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</si>
  <si>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</si>
  <si>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</si>
  <si>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</si>
  <si>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</si>
  <si>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</si>
  <si>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</si>
  <si>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</si>
  <si>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</si>
  <si>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</si>
  <si>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</si>
  <si>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</si>
  <si>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</si>
  <si>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</si>
  <si>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</si>
  <si>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</si>
  <si>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</si>
  <si>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</si>
  <si>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</si>
  <si>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</si>
  <si>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</si>
  <si>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</si>
  <si>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</si>
  <si>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</si>
  <si>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</si>
  <si>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</si>
  <si>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</si>
  <si>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</si>
  <si>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</si>
  <si>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</si>
  <si>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</si>
  <si>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</si>
  <si>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</si>
  <si>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</si>
  <si>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</si>
  <si>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</si>
  <si>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</si>
  <si>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</si>
  <si>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</si>
  <si>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</si>
  <si>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</si>
  <si>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</si>
  <si>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</si>
  <si>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</si>
  <si>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</si>
  <si>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</si>
  <si>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</si>
  <si>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</si>
  <si>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</si>
  <si>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</si>
  <si>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</si>
  <si>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</si>
  <si>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</si>
  <si>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</si>
  <si>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</si>
  <si>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</si>
  <si>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</si>
  <si>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</si>
  <si>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</si>
  <si>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</si>
  <si>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</si>
  <si>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</si>
  <si>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</si>
  <si>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</si>
  <si>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</si>
  <si>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</si>
  <si>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</si>
  <si>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</si>
  <si>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</si>
  <si>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</si>
  <si>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</si>
  <si>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</si>
  <si>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</si>
  <si>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</si>
  <si>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</si>
  <si>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</si>
  <si>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</si>
  <si>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</si>
  <si>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</si>
  <si>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</si>
  <si>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</si>
  <si>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</si>
  <si>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</si>
  <si>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</si>
  <si>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</si>
  <si>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</si>
  <si>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</si>
  <si>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</si>
  <si>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</si>
  <si>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</si>
  <si>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</si>
  <si>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</si>
  <si>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</si>
  <si>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</si>
  <si>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</si>
  <si>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</si>
  <si>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</si>
  <si>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</si>
  <si>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</si>
  <si>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</si>
  <si>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</si>
  <si>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</si>
  <si>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</si>
  <si>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</si>
  <si>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</si>
  <si>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</si>
  <si>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</si>
  <si>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</si>
  <si>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</si>
  <si>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</si>
  <si>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</si>
  <si>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</si>
  <si>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</si>
  <si>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</si>
  <si>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</si>
  <si>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</si>
  <si>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</si>
  <si>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</si>
  <si>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</si>
  <si>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</si>
  <si>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</si>
  <si>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</si>
  <si>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</si>
  <si>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</si>
  <si>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</si>
  <si>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</si>
  <si>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</si>
  <si>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</si>
  <si>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</si>
  <si>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</si>
  <si>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</si>
  <si>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</si>
  <si>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</si>
  <si>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</si>
  <si>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</si>
  <si>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</si>
  <si>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</si>
  <si>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</si>
  <si>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</si>
  <si>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</si>
  <si>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</si>
  <si>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</si>
  <si>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</si>
  <si>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</si>
  <si>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</si>
  <si>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</si>
  <si>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</si>
  <si>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</si>
  <si>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</si>
  <si>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</si>
  <si>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</si>
  <si>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</si>
  <si>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</si>
  <si>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</si>
  <si>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</si>
  <si>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</si>
  <si>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</si>
  <si>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</si>
  <si>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</si>
  <si>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</si>
  <si>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</si>
  <si>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</si>
  <si>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</si>
  <si>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</si>
  <si>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</si>
  <si>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</si>
  <si>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</si>
  <si>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</si>
  <si>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</si>
  <si>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</si>
  <si>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</si>
  <si>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</si>
  <si>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</si>
  <si>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</si>
  <si>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</si>
  <si>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</si>
  <si>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</si>
  <si>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</si>
  <si>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</si>
  <si>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</si>
  <si>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</si>
  <si>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</si>
  <si>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</si>
  <si>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</si>
  <si>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</si>
  <si>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</si>
  <si>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</si>
  <si>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</si>
  <si>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</si>
  <si>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</si>
  <si>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</si>
  <si>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</si>
  <si>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</si>
  <si>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</si>
  <si>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</si>
  <si>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</si>
  <si>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</si>
  <si>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</si>
  <si>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</si>
  <si>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</si>
  <si>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</si>
  <si>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</si>
  <si>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</si>
  <si>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</si>
  <si>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</si>
  <si>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</si>
  <si>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</si>
  <si>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</si>
  <si>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</si>
  <si>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</si>
  <si>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</si>
  <si>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</si>
  <si>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</si>
  <si>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</si>
  <si>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</si>
  <si>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</si>
  <si>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</si>
  <si>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</si>
  <si>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</si>
  <si>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</si>
  <si>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</si>
  <si>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</si>
  <si>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</si>
  <si>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</si>
  <si>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</si>
  <si>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</si>
  <si>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</si>
  <si>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</si>
  <si>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</si>
  <si>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</si>
  <si>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</si>
  <si>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</si>
  <si>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</si>
  <si>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</si>
  <si>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</si>
  <si>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</si>
  <si>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</si>
  <si>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</si>
  <si>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</si>
  <si>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</si>
  <si>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</si>
  <si>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</si>
  <si>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</si>
  <si>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</si>
  <si>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</si>
  <si>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</si>
  <si>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</si>
  <si>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</si>
  <si>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</si>
  <si>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</si>
  <si>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</si>
  <si>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</si>
  <si>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</si>
  <si>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</si>
  <si>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</si>
  <si>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</si>
  <si>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</si>
  <si>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</si>
  <si>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</si>
  <si>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</si>
  <si>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</si>
  <si>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</si>
  <si>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</si>
  <si>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</si>
  <si>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</si>
  <si>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</si>
  <si>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</si>
  <si>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</si>
  <si>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</si>
  <si>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</si>
  <si>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</si>
  <si>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</si>
  <si>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</si>
  <si>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</si>
  <si>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</si>
  <si>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</si>
  <si>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</si>
  <si>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</si>
  <si>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</si>
  <si>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</si>
  <si>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</si>
  <si>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</si>
  <si>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</si>
  <si>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</si>
  <si>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</si>
  <si>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</si>
  <si>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</si>
  <si>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</si>
  <si>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</si>
  <si>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</si>
  <si>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</si>
  <si>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</si>
  <si>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</si>
  <si>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</si>
  <si>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</si>
  <si>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</si>
  <si>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</si>
  <si>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</si>
  <si>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</si>
  <si>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</si>
  <si>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</si>
  <si>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</si>
  <si>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</si>
  <si>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</si>
  <si>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</si>
  <si>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</si>
  <si>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</si>
  <si>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</si>
  <si>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</si>
  <si>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</si>
  <si>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</si>
  <si>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</si>
  <si>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</si>
  <si>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</si>
  <si>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</si>
  <si>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</si>
  <si>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</si>
  <si>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</si>
  <si>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</si>
  <si>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</si>
  <si>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</si>
  <si>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</si>
  <si>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</si>
  <si>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</si>
  <si>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</si>
  <si>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</si>
  <si>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</si>
  <si>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</si>
  <si>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</si>
  <si>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</si>
  <si>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</si>
  <si>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</si>
  <si>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</si>
  <si>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</si>
  <si>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</si>
  <si>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</si>
  <si>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</si>
  <si>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</si>
  <si>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</si>
  <si>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</si>
  <si>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</si>
  <si>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</si>
  <si>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</si>
  <si>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</si>
  <si>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</si>
  <si>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</si>
  <si>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</si>
  <si>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</si>
  <si>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</si>
  <si>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</si>
  <si>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</si>
  <si>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</si>
  <si>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</si>
  <si>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</si>
  <si>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</si>
  <si>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</si>
  <si>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</si>
  <si>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</si>
  <si>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</si>
  <si>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</si>
  <si>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</si>
  <si>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</si>
  <si>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</si>
  <si>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</si>
  <si>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</si>
  <si>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</si>
  <si>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</si>
  <si>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</si>
  <si>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</si>
  <si>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</si>
  <si>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</si>
  <si>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</si>
  <si>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</si>
  <si>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</si>
  <si>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</si>
  <si>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</si>
  <si>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</si>
  <si>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</si>
  <si>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</si>
  <si>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</si>
  <si>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</si>
  <si>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</si>
  <si>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</si>
  <si>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</si>
  <si>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</si>
  <si>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</si>
  <si>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</si>
  <si>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</si>
  <si>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</si>
  <si>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</si>
  <si>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</si>
  <si>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</si>
  <si>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</si>
  <si>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</si>
  <si>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</si>
  <si>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</si>
  <si>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</si>
  <si>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</si>
  <si>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</si>
  <si>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</si>
  <si>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</si>
  <si>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</si>
  <si>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</si>
  <si>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</si>
  <si>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</si>
  <si>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</si>
  <si>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</si>
  <si>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</si>
  <si>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</si>
  <si>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</si>
  <si>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</si>
  <si>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</si>
  <si>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</si>
  <si>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</si>
  <si>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</si>
  <si>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</si>
  <si>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</si>
  <si>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</si>
  <si>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</si>
  <si>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</si>
  <si>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</si>
  <si>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</si>
  <si>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</si>
  <si>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</si>
  <si>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</si>
  <si>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</si>
  <si>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</si>
  <si>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</si>
  <si>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</si>
  <si>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</si>
  <si>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</si>
  <si>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</si>
  <si>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</si>
  <si>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</si>
  <si>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</si>
  <si>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</si>
  <si>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</si>
  <si>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</si>
  <si>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</si>
  <si>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</si>
  <si>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</si>
  <si>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</si>
  <si>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</si>
  <si>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</si>
  <si>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</si>
  <si>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</si>
  <si>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</si>
  <si>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</si>
  <si>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</si>
  <si>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</si>
  <si>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</si>
  <si>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</si>
  <si>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</si>
  <si>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</si>
  <si>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</si>
  <si>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</si>
  <si>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</si>
  <si>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</si>
  <si>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</si>
  <si>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</si>
  <si>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</si>
  <si>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</si>
  <si>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</si>
  <si>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</si>
  <si>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</si>
  <si>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</si>
  <si>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</si>
  <si>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</si>
  <si>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</si>
  <si>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</si>
  <si>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</si>
  <si>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</si>
  <si>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</si>
  <si>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</si>
  <si>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</si>
  <si>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</si>
  <si>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</si>
  <si>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</si>
  <si>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</si>
  <si>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</si>
  <si>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</si>
  <si>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</si>
  <si>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</si>
  <si>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</si>
  <si>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</si>
  <si>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</si>
  <si>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</si>
  <si>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</si>
  <si>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</si>
  <si>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</si>
  <si>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</si>
  <si>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</si>
  <si>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</si>
  <si>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</si>
  <si>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</si>
  <si>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</si>
  <si>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</si>
  <si>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</si>
  <si>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</si>
  <si>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</si>
  <si>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</si>
  <si>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</si>
  <si>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</si>
  <si>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</si>
  <si>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</si>
  <si>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</si>
  <si>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</si>
  <si>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Poznámka:</t>
  </si>
  <si>
    <t>Kód</t>
  </si>
  <si>
    <t>121100001RA0</t>
  </si>
  <si>
    <t>122100010RA0</t>
  </si>
  <si>
    <t>130900020RAC</t>
  </si>
  <si>
    <t>Varianta:</t>
  </si>
  <si>
    <t>132200010RA0</t>
  </si>
  <si>
    <t>132200012RA0</t>
  </si>
  <si>
    <t>139600011RAA</t>
  </si>
  <si>
    <t>162701105R00</t>
  </si>
  <si>
    <t>166101101R00</t>
  </si>
  <si>
    <t>167101102R00</t>
  </si>
  <si>
    <t>174100010RAA</t>
  </si>
  <si>
    <t>199000005R00</t>
  </si>
  <si>
    <t>271570010RAE</t>
  </si>
  <si>
    <t>271570010RAF</t>
  </si>
  <si>
    <t>273323411RV1</t>
  </si>
  <si>
    <t>273351215R00</t>
  </si>
  <si>
    <t>273351216R00</t>
  </si>
  <si>
    <t>273361921RT9</t>
  </si>
  <si>
    <t>274272120RT4</t>
  </si>
  <si>
    <t>274272150RT4</t>
  </si>
  <si>
    <t>274313711R00</t>
  </si>
  <si>
    <t>274334110RA1</t>
  </si>
  <si>
    <t>274354032R00</t>
  </si>
  <si>
    <t>274354042R00</t>
  </si>
  <si>
    <t>274354043R00</t>
  </si>
  <si>
    <t>274361821R00</t>
  </si>
  <si>
    <t>311271665R00</t>
  </si>
  <si>
    <t>317144213R00</t>
  </si>
  <si>
    <t>317144214R00</t>
  </si>
  <si>
    <t>317144215R00</t>
  </si>
  <si>
    <t>317144232R00</t>
  </si>
  <si>
    <t>317144233R00</t>
  </si>
  <si>
    <t>317144234R00</t>
  </si>
  <si>
    <t>317144242R00</t>
  </si>
  <si>
    <t>317144243R00</t>
  </si>
  <si>
    <t>317144244R00</t>
  </si>
  <si>
    <t>342254611R00</t>
  </si>
  <si>
    <t>342254811R00</t>
  </si>
  <si>
    <t>342271327R00</t>
  </si>
  <si>
    <t>342271331R00</t>
  </si>
  <si>
    <t>342668111R00</t>
  </si>
  <si>
    <t>342948111R00</t>
  </si>
  <si>
    <t>346255225RS3</t>
  </si>
  <si>
    <t>346971142R00</t>
  </si>
  <si>
    <t>411321414R00</t>
  </si>
  <si>
    <t>411351101R00</t>
  </si>
  <si>
    <t>411351102R00</t>
  </si>
  <si>
    <t>411354173R00</t>
  </si>
  <si>
    <t>411354174R00</t>
  </si>
  <si>
    <t>411361821R00</t>
  </si>
  <si>
    <t>411364012RT2</t>
  </si>
  <si>
    <t>411389111RT1</t>
  </si>
  <si>
    <t>411389119RT1</t>
  </si>
  <si>
    <t>416021122R00</t>
  </si>
  <si>
    <t>416061121RU1</t>
  </si>
  <si>
    <t>416061635RU1</t>
  </si>
  <si>
    <t>416951110RT1</t>
  </si>
  <si>
    <t>417121163RS3</t>
  </si>
  <si>
    <t>417321414R00</t>
  </si>
  <si>
    <t>417351111R00</t>
  </si>
  <si>
    <t>417351113R00</t>
  </si>
  <si>
    <t>417361821R00</t>
  </si>
  <si>
    <t>430000000RAA</t>
  </si>
  <si>
    <t>430320040RAC</t>
  </si>
  <si>
    <t>596100020RA1</t>
  </si>
  <si>
    <t>596100030RAG</t>
  </si>
  <si>
    <t>601021148RT2</t>
  </si>
  <si>
    <t>601021142R00</t>
  </si>
  <si>
    <t>602011131RT3</t>
  </si>
  <si>
    <t>602011141RT1</t>
  </si>
  <si>
    <t>602481211RT2</t>
  </si>
  <si>
    <t>610411113R00</t>
  </si>
  <si>
    <t>610411114R00</t>
  </si>
  <si>
    <t>610412115R00</t>
  </si>
  <si>
    <t>610991004R00</t>
  </si>
  <si>
    <t>610991111R00</t>
  </si>
  <si>
    <t>611481211RT2</t>
  </si>
  <si>
    <t>612409991RT2</t>
  </si>
  <si>
    <t>612421615R00</t>
  </si>
  <si>
    <t>612425931RT2</t>
  </si>
  <si>
    <t>612451090RT1</t>
  </si>
  <si>
    <t>612473186R00</t>
  </si>
  <si>
    <t>620991121R00</t>
  </si>
  <si>
    <t>622300181RT2</t>
  </si>
  <si>
    <t>622311014R00</t>
  </si>
  <si>
    <t>622311134RT3</t>
  </si>
  <si>
    <t>622311135RT3</t>
  </si>
  <si>
    <t>622311137RT3</t>
  </si>
  <si>
    <t>622311150RT3</t>
  </si>
  <si>
    <t>622311524RU1</t>
  </si>
  <si>
    <t>622391521R00</t>
  </si>
  <si>
    <t>622421491R00</t>
  </si>
  <si>
    <t>622421492R00</t>
  </si>
  <si>
    <t>622421494RT1</t>
  </si>
  <si>
    <t>632411147RV1</t>
  </si>
  <si>
    <t>632411149RV1</t>
  </si>
  <si>
    <t>632411150RV1</t>
  </si>
  <si>
    <t>632411153RV1</t>
  </si>
  <si>
    <t>632411154RV1</t>
  </si>
  <si>
    <t>641960000R00</t>
  </si>
  <si>
    <t>642942111RT3</t>
  </si>
  <si>
    <t>642942111RT4</t>
  </si>
  <si>
    <t>642942111RT5</t>
  </si>
  <si>
    <t>642942111RU3</t>
  </si>
  <si>
    <t>642942111RU4</t>
  </si>
  <si>
    <t>642942111RU5</t>
  </si>
  <si>
    <t>642945111R00</t>
  </si>
  <si>
    <t>648991113RU2</t>
  </si>
  <si>
    <t>916561111RT4</t>
  </si>
  <si>
    <t>918101111R00</t>
  </si>
  <si>
    <t>941941031R00</t>
  </si>
  <si>
    <t>941941191R00</t>
  </si>
  <si>
    <t>941941831R00</t>
  </si>
  <si>
    <t>941955002R00</t>
  </si>
  <si>
    <t>941955102R00</t>
  </si>
  <si>
    <t>944944011R00</t>
  </si>
  <si>
    <t>944944031R00</t>
  </si>
  <si>
    <t>944944081R00</t>
  </si>
  <si>
    <t>952901110R00</t>
  </si>
  <si>
    <t>952901111R00</t>
  </si>
  <si>
    <t>953947113R00</t>
  </si>
  <si>
    <t>44984124.A</t>
  </si>
  <si>
    <t>953947199RT1</t>
  </si>
  <si>
    <t>953952111RT1</t>
  </si>
  <si>
    <t>953952121RT1</t>
  </si>
  <si>
    <t>954111106R00</t>
  </si>
  <si>
    <t>954111206R00</t>
  </si>
  <si>
    <t>954313102R00</t>
  </si>
  <si>
    <t>954313119RT1</t>
  </si>
  <si>
    <t>959950104RA1</t>
  </si>
  <si>
    <t>H01</t>
  </si>
  <si>
    <t>998011002R00</t>
  </si>
  <si>
    <t>711111001RZ1</t>
  </si>
  <si>
    <t>711141559RY1</t>
  </si>
  <si>
    <t>711482020RZ1</t>
  </si>
  <si>
    <t>711491172RZ2</t>
  </si>
  <si>
    <t>711491272RZ2</t>
  </si>
  <si>
    <t>711747388RT1</t>
  </si>
  <si>
    <t>711791183R00</t>
  </si>
  <si>
    <t>711792183R00</t>
  </si>
  <si>
    <t>998711102R00</t>
  </si>
  <si>
    <t>712311101RZ2</t>
  </si>
  <si>
    <t>712371809RT1</t>
  </si>
  <si>
    <t>712372111RV3</t>
  </si>
  <si>
    <t>712378003R00</t>
  </si>
  <si>
    <t>712811101RZ2</t>
  </si>
  <si>
    <t>712841559RZ3</t>
  </si>
  <si>
    <t>712871801RZ4</t>
  </si>
  <si>
    <t>712964703R00</t>
  </si>
  <si>
    <t>998712102R00</t>
  </si>
  <si>
    <t>713121111R00</t>
  </si>
  <si>
    <t>28375850</t>
  </si>
  <si>
    <t>28375853</t>
  </si>
  <si>
    <t>713121111RT1</t>
  </si>
  <si>
    <t>713121118RU1</t>
  </si>
  <si>
    <t>713121121R00</t>
  </si>
  <si>
    <t>28375854</t>
  </si>
  <si>
    <t>713121141R00</t>
  </si>
  <si>
    <t>28376067</t>
  </si>
  <si>
    <t>713131131RT1</t>
  </si>
  <si>
    <t>28376417.R</t>
  </si>
  <si>
    <t>713131139R01</t>
  </si>
  <si>
    <t>28375862</t>
  </si>
  <si>
    <t>713141121RT1</t>
  </si>
  <si>
    <t>28375859</t>
  </si>
  <si>
    <t>713141327R00</t>
  </si>
  <si>
    <t>28375857</t>
  </si>
  <si>
    <t>28375861</t>
  </si>
  <si>
    <t>713141221RS7</t>
  </si>
  <si>
    <t>713191100RT9</t>
  </si>
  <si>
    <t>713191131R00</t>
  </si>
  <si>
    <t>998713102R00</t>
  </si>
  <si>
    <t>72111</t>
  </si>
  <si>
    <t>72112</t>
  </si>
  <si>
    <t>72113</t>
  </si>
  <si>
    <t>72121</t>
  </si>
  <si>
    <t>72122</t>
  </si>
  <si>
    <t>72123</t>
  </si>
  <si>
    <t>72124</t>
  </si>
  <si>
    <t>72125</t>
  </si>
  <si>
    <t>72126</t>
  </si>
  <si>
    <t>72131</t>
  </si>
  <si>
    <t>72132</t>
  </si>
  <si>
    <t>72133</t>
  </si>
  <si>
    <t>72134</t>
  </si>
  <si>
    <t>72135</t>
  </si>
  <si>
    <t>72136</t>
  </si>
  <si>
    <t>72141</t>
  </si>
  <si>
    <t>72142</t>
  </si>
  <si>
    <t>72143</t>
  </si>
  <si>
    <t>72144</t>
  </si>
  <si>
    <t>72145</t>
  </si>
  <si>
    <t>72146</t>
  </si>
  <si>
    <t>72147</t>
  </si>
  <si>
    <t>72148</t>
  </si>
  <si>
    <t>72149</t>
  </si>
  <si>
    <t>721410</t>
  </si>
  <si>
    <t>721411</t>
  </si>
  <si>
    <t>721412</t>
  </si>
  <si>
    <t>721413</t>
  </si>
  <si>
    <t>721414</t>
  </si>
  <si>
    <t>721415</t>
  </si>
  <si>
    <t>721416</t>
  </si>
  <si>
    <t>721417</t>
  </si>
  <si>
    <t>721418</t>
  </si>
  <si>
    <t>721419</t>
  </si>
  <si>
    <t>721420</t>
  </si>
  <si>
    <t>721421</t>
  </si>
  <si>
    <t>721422</t>
  </si>
  <si>
    <t>721423</t>
  </si>
  <si>
    <t>72151</t>
  </si>
  <si>
    <t>72152</t>
  </si>
  <si>
    <t>72161</t>
  </si>
  <si>
    <t>72162</t>
  </si>
  <si>
    <t>72163</t>
  </si>
  <si>
    <t>72164</t>
  </si>
  <si>
    <t>72165</t>
  </si>
  <si>
    <t>72166</t>
  </si>
  <si>
    <t>72171</t>
  </si>
  <si>
    <t>72172</t>
  </si>
  <si>
    <t>72173</t>
  </si>
  <si>
    <t>72174</t>
  </si>
  <si>
    <t>72175</t>
  </si>
  <si>
    <t>72176</t>
  </si>
  <si>
    <t>72177</t>
  </si>
  <si>
    <t>72211</t>
  </si>
  <si>
    <t>72212</t>
  </si>
  <si>
    <t>72213</t>
  </si>
  <si>
    <t>72214</t>
  </si>
  <si>
    <t>72221</t>
  </si>
  <si>
    <t>72222</t>
  </si>
  <si>
    <t>72223</t>
  </si>
  <si>
    <t>72231</t>
  </si>
  <si>
    <t>72232</t>
  </si>
  <si>
    <t>72233</t>
  </si>
  <si>
    <t>72234</t>
  </si>
  <si>
    <t>72235</t>
  </si>
  <si>
    <t>72236</t>
  </si>
  <si>
    <t>72237</t>
  </si>
  <si>
    <t>72241</t>
  </si>
  <si>
    <t>72242</t>
  </si>
  <si>
    <t>72243</t>
  </si>
  <si>
    <t>72244</t>
  </si>
  <si>
    <t>72245</t>
  </si>
  <si>
    <t>72246</t>
  </si>
  <si>
    <t>72247</t>
  </si>
  <si>
    <t>72248</t>
  </si>
  <si>
    <t>72249</t>
  </si>
  <si>
    <t>722410</t>
  </si>
  <si>
    <t>722411</t>
  </si>
  <si>
    <t>722412</t>
  </si>
  <si>
    <t>722413</t>
  </si>
  <si>
    <t>722414</t>
  </si>
  <si>
    <t>722415</t>
  </si>
  <si>
    <t>722416</t>
  </si>
  <si>
    <t>72251</t>
  </si>
  <si>
    <t>72252</t>
  </si>
  <si>
    <t>72253</t>
  </si>
  <si>
    <t>72254</t>
  </si>
  <si>
    <t>72255</t>
  </si>
  <si>
    <t>72256</t>
  </si>
  <si>
    <t>72257</t>
  </si>
  <si>
    <t>72258</t>
  </si>
  <si>
    <t>72259</t>
  </si>
  <si>
    <t>722510</t>
  </si>
  <si>
    <t>722511</t>
  </si>
  <si>
    <t>722512</t>
  </si>
  <si>
    <t>722513</t>
  </si>
  <si>
    <t>722514</t>
  </si>
  <si>
    <t>722515</t>
  </si>
  <si>
    <t>722516</t>
  </si>
  <si>
    <t>722517</t>
  </si>
  <si>
    <t>722518</t>
  </si>
  <si>
    <t>722519</t>
  </si>
  <si>
    <t>722520</t>
  </si>
  <si>
    <t>722521</t>
  </si>
  <si>
    <t>722522</t>
  </si>
  <si>
    <t>722523</t>
  </si>
  <si>
    <t>72271</t>
  </si>
  <si>
    <t>72272</t>
  </si>
  <si>
    <t>72281</t>
  </si>
  <si>
    <t>72282</t>
  </si>
  <si>
    <t>72283</t>
  </si>
  <si>
    <t>72284</t>
  </si>
  <si>
    <t>72285</t>
  </si>
  <si>
    <t>72286</t>
  </si>
  <si>
    <t>72287</t>
  </si>
  <si>
    <t>72288</t>
  </si>
  <si>
    <t>72289</t>
  </si>
  <si>
    <t>72311</t>
  </si>
  <si>
    <t>72312</t>
  </si>
  <si>
    <t>72321</t>
  </si>
  <si>
    <t>72322</t>
  </si>
  <si>
    <t>72331</t>
  </si>
  <si>
    <t>72332</t>
  </si>
  <si>
    <t>72333</t>
  </si>
  <si>
    <t>72341</t>
  </si>
  <si>
    <t>72342</t>
  </si>
  <si>
    <t>72343</t>
  </si>
  <si>
    <t>72351</t>
  </si>
  <si>
    <t>72352</t>
  </si>
  <si>
    <t>72353</t>
  </si>
  <si>
    <t>72354</t>
  </si>
  <si>
    <t>72355</t>
  </si>
  <si>
    <t>72356</t>
  </si>
  <si>
    <t>72357</t>
  </si>
  <si>
    <t>72358</t>
  </si>
  <si>
    <t>72359</t>
  </si>
  <si>
    <t>723510</t>
  </si>
  <si>
    <t>728101</t>
  </si>
  <si>
    <t>728101a</t>
  </si>
  <si>
    <t>728101b</t>
  </si>
  <si>
    <t>728101c</t>
  </si>
  <si>
    <t>728101d</t>
  </si>
  <si>
    <t>728102e</t>
  </si>
  <si>
    <t>728102</t>
  </si>
  <si>
    <t>728102a</t>
  </si>
  <si>
    <t>728102b</t>
  </si>
  <si>
    <t>728102c</t>
  </si>
  <si>
    <t>728102d</t>
  </si>
  <si>
    <t>728103</t>
  </si>
  <si>
    <t>728104</t>
  </si>
  <si>
    <t>728105</t>
  </si>
  <si>
    <t>728106</t>
  </si>
  <si>
    <t>728107</t>
  </si>
  <si>
    <t>728108</t>
  </si>
  <si>
    <t>728109</t>
  </si>
  <si>
    <t>728110</t>
  </si>
  <si>
    <t>728111</t>
  </si>
  <si>
    <t>728112</t>
  </si>
  <si>
    <t>728113</t>
  </si>
  <si>
    <t>728114</t>
  </si>
  <si>
    <t>728115</t>
  </si>
  <si>
    <t>728116</t>
  </si>
  <si>
    <t>728117</t>
  </si>
  <si>
    <t>728118</t>
  </si>
  <si>
    <t>728119</t>
  </si>
  <si>
    <t>728120</t>
  </si>
  <si>
    <t>728121</t>
  </si>
  <si>
    <t>728122</t>
  </si>
  <si>
    <t>728123</t>
  </si>
  <si>
    <t>728201</t>
  </si>
  <si>
    <t>728201a</t>
  </si>
  <si>
    <t>728202</t>
  </si>
  <si>
    <t>728203</t>
  </si>
  <si>
    <t>728204</t>
  </si>
  <si>
    <t>728205</t>
  </si>
  <si>
    <t>728206</t>
  </si>
  <si>
    <t>728207</t>
  </si>
  <si>
    <t>728301</t>
  </si>
  <si>
    <t>728302</t>
  </si>
  <si>
    <t>728303</t>
  </si>
  <si>
    <t>728304</t>
  </si>
  <si>
    <t>728305</t>
  </si>
  <si>
    <t>728306</t>
  </si>
  <si>
    <t>728307</t>
  </si>
  <si>
    <t>728308</t>
  </si>
  <si>
    <t>728309</t>
  </si>
  <si>
    <t>728310</t>
  </si>
  <si>
    <t>728311</t>
  </si>
  <si>
    <t>728312</t>
  </si>
  <si>
    <t>728313</t>
  </si>
  <si>
    <t>728314</t>
  </si>
  <si>
    <t>728315</t>
  </si>
  <si>
    <t>73111</t>
  </si>
  <si>
    <t>73112</t>
  </si>
  <si>
    <t>73113</t>
  </si>
  <si>
    <t>73121</t>
  </si>
  <si>
    <t>73122</t>
  </si>
  <si>
    <t>73123</t>
  </si>
  <si>
    <t>73124</t>
  </si>
  <si>
    <t>73125</t>
  </si>
  <si>
    <t>73131</t>
  </si>
  <si>
    <t>73132</t>
  </si>
  <si>
    <t>73133</t>
  </si>
  <si>
    <t>73134</t>
  </si>
  <si>
    <t>73135</t>
  </si>
  <si>
    <t>73136</t>
  </si>
  <si>
    <t>73137</t>
  </si>
  <si>
    <t>73138</t>
  </si>
  <si>
    <t>73139</t>
  </si>
  <si>
    <t>731310</t>
  </si>
  <si>
    <t>731311</t>
  </si>
  <si>
    <t>731312</t>
  </si>
  <si>
    <t>731313</t>
  </si>
  <si>
    <t>731314</t>
  </si>
  <si>
    <t>731315</t>
  </si>
  <si>
    <t>731316</t>
  </si>
  <si>
    <t>731317</t>
  </si>
  <si>
    <t>731318</t>
  </si>
  <si>
    <t>731319</t>
  </si>
  <si>
    <t>73141</t>
  </si>
  <si>
    <t>73142</t>
  </si>
  <si>
    <t>73143</t>
  </si>
  <si>
    <t>73144</t>
  </si>
  <si>
    <t>73145</t>
  </si>
  <si>
    <t>73146</t>
  </si>
  <si>
    <t>73147</t>
  </si>
  <si>
    <t>73148</t>
  </si>
  <si>
    <t>73149</t>
  </si>
  <si>
    <t>731410</t>
  </si>
  <si>
    <t>731411</t>
  </si>
  <si>
    <t>731412</t>
  </si>
  <si>
    <t>731413</t>
  </si>
  <si>
    <t>73151</t>
  </si>
  <si>
    <t>73152</t>
  </si>
  <si>
    <t>73161</t>
  </si>
  <si>
    <t>73162</t>
  </si>
  <si>
    <t>73163</t>
  </si>
  <si>
    <t>73164</t>
  </si>
  <si>
    <t>73165</t>
  </si>
  <si>
    <t>73166</t>
  </si>
  <si>
    <t>73167</t>
  </si>
  <si>
    <t>73168</t>
  </si>
  <si>
    <t>73169</t>
  </si>
  <si>
    <t>731610</t>
  </si>
  <si>
    <t>731611</t>
  </si>
  <si>
    <t>731612</t>
  </si>
  <si>
    <t>731613</t>
  </si>
  <si>
    <t>73171</t>
  </si>
  <si>
    <t>73172</t>
  </si>
  <si>
    <t>73173</t>
  </si>
  <si>
    <t>73174</t>
  </si>
  <si>
    <t>73175</t>
  </si>
  <si>
    <t>73176</t>
  </si>
  <si>
    <t>73177</t>
  </si>
  <si>
    <t>73178</t>
  </si>
  <si>
    <t>73179</t>
  </si>
  <si>
    <t>731710</t>
  </si>
  <si>
    <t>731711</t>
  </si>
  <si>
    <t>731712</t>
  </si>
  <si>
    <t>731713</t>
  </si>
  <si>
    <t>731714</t>
  </si>
  <si>
    <t>731715</t>
  </si>
  <si>
    <t>731716</t>
  </si>
  <si>
    <t>731717</t>
  </si>
  <si>
    <t>731718</t>
  </si>
  <si>
    <t>731719</t>
  </si>
  <si>
    <t>731720</t>
  </si>
  <si>
    <t>731721</t>
  </si>
  <si>
    <t>731722</t>
  </si>
  <si>
    <t>731723</t>
  </si>
  <si>
    <t>731724</t>
  </si>
  <si>
    <t>731725</t>
  </si>
  <si>
    <t>73181</t>
  </si>
  <si>
    <t>73182</t>
  </si>
  <si>
    <t>73183</t>
  </si>
  <si>
    <t>73191</t>
  </si>
  <si>
    <t>73192</t>
  </si>
  <si>
    <t>73193</t>
  </si>
  <si>
    <t>731101</t>
  </si>
  <si>
    <t>731102</t>
  </si>
  <si>
    <t>731103</t>
  </si>
  <si>
    <t>731104</t>
  </si>
  <si>
    <t>731105</t>
  </si>
  <si>
    <t>731106</t>
  </si>
  <si>
    <t>731107</t>
  </si>
  <si>
    <t>731108</t>
  </si>
  <si>
    <t>731109</t>
  </si>
  <si>
    <t>7311010</t>
  </si>
  <si>
    <t>762083110R00</t>
  </si>
  <si>
    <t>762085153R00</t>
  </si>
  <si>
    <t>762412101RT3</t>
  </si>
  <si>
    <t>762441112RT4</t>
  </si>
  <si>
    <t>762495000R00</t>
  </si>
  <si>
    <t>998762102R00</t>
  </si>
  <si>
    <t>764812610RT1</t>
  </si>
  <si>
    <t>764816120RT1</t>
  </si>
  <si>
    <t>764816127RT1</t>
  </si>
  <si>
    <t>764816131RT1</t>
  </si>
  <si>
    <t>764908133RT1</t>
  </si>
  <si>
    <t>998764102R00</t>
  </si>
  <si>
    <t>766124109RT1</t>
  </si>
  <si>
    <t>766124109RT2</t>
  </si>
  <si>
    <t>766414111RT1</t>
  </si>
  <si>
    <t>766601211RT3</t>
  </si>
  <si>
    <t>766601229RT3</t>
  </si>
  <si>
    <t>766629301R00</t>
  </si>
  <si>
    <t>6114301.2</t>
  </si>
  <si>
    <t>766629302R00</t>
  </si>
  <si>
    <t>6114301.1</t>
  </si>
  <si>
    <t>6114301.3</t>
  </si>
  <si>
    <t>6114301.5</t>
  </si>
  <si>
    <t>766629305R00</t>
  </si>
  <si>
    <t>61143270.1</t>
  </si>
  <si>
    <t>766629401RT1</t>
  </si>
  <si>
    <t>766661102RT1</t>
  </si>
  <si>
    <t>766661102RT2</t>
  </si>
  <si>
    <t>766661102RT3</t>
  </si>
  <si>
    <t>766661112RT1</t>
  </si>
  <si>
    <t>766661112RT2</t>
  </si>
  <si>
    <t>766661112RT3</t>
  </si>
  <si>
    <t>766664915R00</t>
  </si>
  <si>
    <t>766666112RT1</t>
  </si>
  <si>
    <t>766669221RT1</t>
  </si>
  <si>
    <t>766669231RT1</t>
  </si>
  <si>
    <t>766669241RT1</t>
  </si>
  <si>
    <t>766812116RT1</t>
  </si>
  <si>
    <t>766812117RT1</t>
  </si>
  <si>
    <t>998766102R00</t>
  </si>
  <si>
    <t>767162390RT1</t>
  </si>
  <si>
    <t>767221150RT1</t>
  </si>
  <si>
    <t>767221160RT1</t>
  </si>
  <si>
    <t>767221250RT1</t>
  </si>
  <si>
    <t>767221300RT1</t>
  </si>
  <si>
    <t>767372110RT1</t>
  </si>
  <si>
    <t>767591250RT1</t>
  </si>
  <si>
    <t>767591255RT1</t>
  </si>
  <si>
    <t>767646520RU1</t>
  </si>
  <si>
    <t>767646530RV1</t>
  </si>
  <si>
    <t>767649181RT1</t>
  </si>
  <si>
    <t>767649182RT1</t>
  </si>
  <si>
    <t>767649185RT1</t>
  </si>
  <si>
    <t>767833200RT1</t>
  </si>
  <si>
    <t>767840110RT1</t>
  </si>
  <si>
    <t>767891001RT1</t>
  </si>
  <si>
    <t>767842390RU1</t>
  </si>
  <si>
    <t>767881105RZ1</t>
  </si>
  <si>
    <t>767920230RT1</t>
  </si>
  <si>
    <t>767995201RU1</t>
  </si>
  <si>
    <t>767995201RU2</t>
  </si>
  <si>
    <t>767995201RU3</t>
  </si>
  <si>
    <t>767995201RU4</t>
  </si>
  <si>
    <t>767995201RU5</t>
  </si>
  <si>
    <t>767995310RT1</t>
  </si>
  <si>
    <t>767995320RT1</t>
  </si>
  <si>
    <t>767995330RT1</t>
  </si>
  <si>
    <t>998767102R00</t>
  </si>
  <si>
    <t>771101142RT1</t>
  </si>
  <si>
    <t>771101115R00</t>
  </si>
  <si>
    <t>771101210R00</t>
  </si>
  <si>
    <t>771212117R00</t>
  </si>
  <si>
    <t>771212121RT1</t>
  </si>
  <si>
    <t>597642050.A</t>
  </si>
  <si>
    <t>597642050.B</t>
  </si>
  <si>
    <t>771475014R00</t>
  </si>
  <si>
    <t>597642070.A</t>
  </si>
  <si>
    <t>771577113R00</t>
  </si>
  <si>
    <t>771578011RT4</t>
  </si>
  <si>
    <t>771579795R00</t>
  </si>
  <si>
    <t>771589791R00</t>
  </si>
  <si>
    <t>998771102R00</t>
  </si>
  <si>
    <t>776101101R00</t>
  </si>
  <si>
    <t>776101115R00</t>
  </si>
  <si>
    <t>776101121R00</t>
  </si>
  <si>
    <t>776421100RU1</t>
  </si>
  <si>
    <t>776521100R00</t>
  </si>
  <si>
    <t>28412308</t>
  </si>
  <si>
    <t>776971613R00</t>
  </si>
  <si>
    <t>776976101R00</t>
  </si>
  <si>
    <t>998776102R00</t>
  </si>
  <si>
    <t>781101142R00</t>
  </si>
  <si>
    <t>781101210R00</t>
  </si>
  <si>
    <t>781310121RT1</t>
  </si>
  <si>
    <t>781320121RT1</t>
  </si>
  <si>
    <t>781415016R00</t>
  </si>
  <si>
    <t>597813706.A</t>
  </si>
  <si>
    <t>59782313</t>
  </si>
  <si>
    <t>781419706R00</t>
  </si>
  <si>
    <t>781491001RT1</t>
  </si>
  <si>
    <t>59760147.A</t>
  </si>
  <si>
    <t>59760147.B</t>
  </si>
  <si>
    <t>998781102R00</t>
  </si>
  <si>
    <t>783225200R00</t>
  </si>
  <si>
    <t>783226120R00</t>
  </si>
  <si>
    <t>783726300R00</t>
  </si>
  <si>
    <t>783903811R00</t>
  </si>
  <si>
    <t>784011111R00</t>
  </si>
  <si>
    <t>784011121R00</t>
  </si>
  <si>
    <t>784011222RT2</t>
  </si>
  <si>
    <t>784111201R00</t>
  </si>
  <si>
    <t>784165612R00</t>
  </si>
  <si>
    <t>784411301R00</t>
  </si>
  <si>
    <t>M21</t>
  </si>
  <si>
    <t>971033141</t>
  </si>
  <si>
    <t>971033148</t>
  </si>
  <si>
    <t>973031324</t>
  </si>
  <si>
    <t>974082212</t>
  </si>
  <si>
    <t>974082214</t>
  </si>
  <si>
    <t>740991200</t>
  </si>
  <si>
    <t>742231100</t>
  </si>
  <si>
    <t>357118715R</t>
  </si>
  <si>
    <t>742231106</t>
  </si>
  <si>
    <t>742268485</t>
  </si>
  <si>
    <t>35711289R</t>
  </si>
  <si>
    <t>74281111R</t>
  </si>
  <si>
    <t>743112115</t>
  </si>
  <si>
    <t>345710510</t>
  </si>
  <si>
    <t>743112117</t>
  </si>
  <si>
    <t>345710940</t>
  </si>
  <si>
    <t>743112156</t>
  </si>
  <si>
    <t>345710018</t>
  </si>
  <si>
    <t>743411111</t>
  </si>
  <si>
    <t>345715110</t>
  </si>
  <si>
    <t>345715210</t>
  </si>
  <si>
    <t>345715240</t>
  </si>
  <si>
    <t>743411121</t>
  </si>
  <si>
    <t>10033023</t>
  </si>
  <si>
    <t>743611121</t>
  </si>
  <si>
    <t>354410730</t>
  </si>
  <si>
    <t>743622200</t>
  </si>
  <si>
    <t>354420290</t>
  </si>
  <si>
    <t>7436222841</t>
  </si>
  <si>
    <t>3544209684</t>
  </si>
  <si>
    <t>7436222012</t>
  </si>
  <si>
    <t>3544200088</t>
  </si>
  <si>
    <t>718111222</t>
  </si>
  <si>
    <t>341828522</t>
  </si>
  <si>
    <t>718111220</t>
  </si>
  <si>
    <t>341828520</t>
  </si>
  <si>
    <t>744211111</t>
  </si>
  <si>
    <t>341408256</t>
  </si>
  <si>
    <t>341408258</t>
  </si>
  <si>
    <t>341408260</t>
  </si>
  <si>
    <t>744211112</t>
  </si>
  <si>
    <t>341408270</t>
  </si>
  <si>
    <t>341408276</t>
  </si>
  <si>
    <t>744411220</t>
  </si>
  <si>
    <t>341110300</t>
  </si>
  <si>
    <t>341110050</t>
  </si>
  <si>
    <t>341110058</t>
  </si>
  <si>
    <t>744411230</t>
  </si>
  <si>
    <t>341110380</t>
  </si>
  <si>
    <t>341110382</t>
  </si>
  <si>
    <t>341110940</t>
  </si>
  <si>
    <t>341110360</t>
  </si>
  <si>
    <t>746211110</t>
  </si>
  <si>
    <t>21060624</t>
  </si>
  <si>
    <t>68500231</t>
  </si>
  <si>
    <t>68500240</t>
  </si>
  <si>
    <t>345723090</t>
  </si>
  <si>
    <t>746211140</t>
  </si>
  <si>
    <t>746591510</t>
  </si>
  <si>
    <t>10939562</t>
  </si>
  <si>
    <t>747111111</t>
  </si>
  <si>
    <t>345357691</t>
  </si>
  <si>
    <t>345357601</t>
  </si>
  <si>
    <t>747111115</t>
  </si>
  <si>
    <t>345357695</t>
  </si>
  <si>
    <t>747111126</t>
  </si>
  <si>
    <t>345355554</t>
  </si>
  <si>
    <t>345355550</t>
  </si>
  <si>
    <t>747111128</t>
  </si>
  <si>
    <t>345357130</t>
  </si>
  <si>
    <t>747161060</t>
  </si>
  <si>
    <t>345551240R</t>
  </si>
  <si>
    <t>345551240R1</t>
  </si>
  <si>
    <t>345551250R</t>
  </si>
  <si>
    <t>747161340</t>
  </si>
  <si>
    <t>10048852R</t>
  </si>
  <si>
    <t>7471621R</t>
  </si>
  <si>
    <t>748121142</t>
  </si>
  <si>
    <t>34814435R1</t>
  </si>
  <si>
    <t>34814435R2</t>
  </si>
  <si>
    <t>34814435R3</t>
  </si>
  <si>
    <t>34814435R4</t>
  </si>
  <si>
    <t>34814435R5</t>
  </si>
  <si>
    <t>34814435R6</t>
  </si>
  <si>
    <t>34814435R7</t>
  </si>
  <si>
    <t>34814435R8</t>
  </si>
  <si>
    <t>34814435R9</t>
  </si>
  <si>
    <t>34814435R10</t>
  </si>
  <si>
    <t>34814435R11</t>
  </si>
  <si>
    <t>34814435R12</t>
  </si>
  <si>
    <t>748121211</t>
  </si>
  <si>
    <t>348381000R</t>
  </si>
  <si>
    <t>74899220R</t>
  </si>
  <si>
    <t>748992300</t>
  </si>
  <si>
    <t>749115515</t>
  </si>
  <si>
    <t>340520000</t>
  </si>
  <si>
    <t>749322286</t>
  </si>
  <si>
    <t>340550876</t>
  </si>
  <si>
    <t>749300748</t>
  </si>
  <si>
    <t>340550123</t>
  </si>
  <si>
    <t>749115555</t>
  </si>
  <si>
    <t>340521555</t>
  </si>
  <si>
    <t>749008122</t>
  </si>
  <si>
    <t>340520874</t>
  </si>
  <si>
    <t>749008128</t>
  </si>
  <si>
    <t>340520870</t>
  </si>
  <si>
    <t>749008104</t>
  </si>
  <si>
    <t>340520890</t>
  </si>
  <si>
    <t>749008182</t>
  </si>
  <si>
    <t>340520891</t>
  </si>
  <si>
    <t>749008247</t>
  </si>
  <si>
    <t>340520884</t>
  </si>
  <si>
    <t>749008204</t>
  </si>
  <si>
    <t>340521970</t>
  </si>
  <si>
    <t>749008214</t>
  </si>
  <si>
    <t>340521979</t>
  </si>
  <si>
    <t>74991111R</t>
  </si>
  <si>
    <t>340550847R</t>
  </si>
  <si>
    <t>013254000</t>
  </si>
  <si>
    <t>013254000R</t>
  </si>
  <si>
    <t>071103000</t>
  </si>
  <si>
    <t>092103001</t>
  </si>
  <si>
    <t>092100008</t>
  </si>
  <si>
    <t>340520545R</t>
  </si>
  <si>
    <t>092203041</t>
  </si>
  <si>
    <t>M22</t>
  </si>
  <si>
    <t>345715528</t>
  </si>
  <si>
    <t>743119592</t>
  </si>
  <si>
    <t>747161099</t>
  </si>
  <si>
    <t>345551245R</t>
  </si>
  <si>
    <t>747161312</t>
  </si>
  <si>
    <t>10048412R</t>
  </si>
  <si>
    <t>747161042</t>
  </si>
  <si>
    <t>10048068R</t>
  </si>
  <si>
    <t>747161200</t>
  </si>
  <si>
    <t>10048011R</t>
  </si>
  <si>
    <t>747161880</t>
  </si>
  <si>
    <t>10048018R</t>
  </si>
  <si>
    <t>747161890</t>
  </si>
  <si>
    <t>10048186R</t>
  </si>
  <si>
    <t>747162281</t>
  </si>
  <si>
    <t>10048216R</t>
  </si>
  <si>
    <t>747162288</t>
  </si>
  <si>
    <t>10048219R</t>
  </si>
  <si>
    <t>7471622420</t>
  </si>
  <si>
    <t>10048208R</t>
  </si>
  <si>
    <t>7471622400</t>
  </si>
  <si>
    <t>10048249R</t>
  </si>
  <si>
    <t>7471622409</t>
  </si>
  <si>
    <t>10048758R</t>
  </si>
  <si>
    <t>7471622499</t>
  </si>
  <si>
    <t>10048154R</t>
  </si>
  <si>
    <t>7471622859</t>
  </si>
  <si>
    <t>10048712R</t>
  </si>
  <si>
    <t>7471622039</t>
  </si>
  <si>
    <t>10048188R</t>
  </si>
  <si>
    <t>7471622596</t>
  </si>
  <si>
    <t>10048005R</t>
  </si>
  <si>
    <t>092100061</t>
  </si>
  <si>
    <t>340520592R</t>
  </si>
  <si>
    <t>113106231R00</t>
  </si>
  <si>
    <t>113107405R00</t>
  </si>
  <si>
    <t>122100010RA9</t>
  </si>
  <si>
    <t>564831111RT2</t>
  </si>
  <si>
    <t>564851111RT4</t>
  </si>
  <si>
    <t>564851114R00</t>
  </si>
  <si>
    <t>564942111R00</t>
  </si>
  <si>
    <t>596215040R00</t>
  </si>
  <si>
    <t>59248031</t>
  </si>
  <si>
    <t>596215045RT1</t>
  </si>
  <si>
    <t>596921111RT1</t>
  </si>
  <si>
    <t>596921191RT1</t>
  </si>
  <si>
    <t>592483020</t>
  </si>
  <si>
    <t>596921193R00</t>
  </si>
  <si>
    <t>597101030RAA</t>
  </si>
  <si>
    <t>597103015RA0</t>
  </si>
  <si>
    <t>914001121R00</t>
  </si>
  <si>
    <t>404459503</t>
  </si>
  <si>
    <t>404459515</t>
  </si>
  <si>
    <t>914001125R00</t>
  </si>
  <si>
    <t>40445243</t>
  </si>
  <si>
    <t>40445160.A</t>
  </si>
  <si>
    <t>914993009RT1</t>
  </si>
  <si>
    <t>915711111RT1</t>
  </si>
  <si>
    <t>915711111RT2</t>
  </si>
  <si>
    <t>915721111RT1</t>
  </si>
  <si>
    <t>915791111R00</t>
  </si>
  <si>
    <t>915791112R00</t>
  </si>
  <si>
    <t>917762111R00</t>
  </si>
  <si>
    <t>59217472</t>
  </si>
  <si>
    <t>979054441R00</t>
  </si>
  <si>
    <t>H22</t>
  </si>
  <si>
    <t>998223011R00</t>
  </si>
  <si>
    <t>827411</t>
  </si>
  <si>
    <t>827412</t>
  </si>
  <si>
    <t>827421</t>
  </si>
  <si>
    <t>827422</t>
  </si>
  <si>
    <t>827423</t>
  </si>
  <si>
    <t>827424</t>
  </si>
  <si>
    <t>827425</t>
  </si>
  <si>
    <t>827426</t>
  </si>
  <si>
    <t>827427</t>
  </si>
  <si>
    <t>827428</t>
  </si>
  <si>
    <t>827429</t>
  </si>
  <si>
    <t>827431</t>
  </si>
  <si>
    <t>827441</t>
  </si>
  <si>
    <t>827451</t>
  </si>
  <si>
    <t>827452</t>
  </si>
  <si>
    <t>827453</t>
  </si>
  <si>
    <t>827454</t>
  </si>
  <si>
    <t>827455</t>
  </si>
  <si>
    <t>827456</t>
  </si>
  <si>
    <t>827457</t>
  </si>
  <si>
    <t>827458</t>
  </si>
  <si>
    <t>827459</t>
  </si>
  <si>
    <t>827461</t>
  </si>
  <si>
    <t>827462</t>
  </si>
  <si>
    <t>827463</t>
  </si>
  <si>
    <t>827471</t>
  </si>
  <si>
    <t>827472</t>
  </si>
  <si>
    <t>827473</t>
  </si>
  <si>
    <t>827474</t>
  </si>
  <si>
    <t>827475</t>
  </si>
  <si>
    <t>827476</t>
  </si>
  <si>
    <t>827477</t>
  </si>
  <si>
    <t>827478</t>
  </si>
  <si>
    <t>827511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</si>
  <si>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</si>
  <si>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</si>
  <si>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</si>
  <si>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</si>
  <si>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</si>
  <si>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</si>
  <si>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</si>
  <si>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</si>
  <si>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</si>
  <si>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827541</t>
  </si>
  <si>
    <t>827551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</si>
  <si>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</si>
  <si>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</si>
  <si>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</si>
  <si>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</si>
  <si>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</si>
  <si>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</si>
  <si>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</si>
  <si>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</si>
  <si>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</si>
  <si>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827611</t>
  </si>
  <si>
    <t>827612</t>
  </si>
  <si>
    <t>827613</t>
  </si>
  <si>
    <t>827614</t>
  </si>
  <si>
    <t>827615</t>
  </si>
  <si>
    <t>827616</t>
  </si>
  <si>
    <t>827617</t>
  </si>
  <si>
    <t>827621</t>
  </si>
  <si>
    <t>827631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</si>
  <si>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</si>
  <si>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</si>
  <si>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</si>
  <si>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</si>
  <si>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</si>
  <si>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</si>
  <si>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</si>
  <si>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</si>
  <si>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</si>
  <si>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8276410</t>
  </si>
  <si>
    <t>8276411</t>
  </si>
  <si>
    <t>8276412</t>
  </si>
  <si>
    <t>8276413</t>
  </si>
  <si>
    <t>8276414</t>
  </si>
  <si>
    <t>8276415</t>
  </si>
  <si>
    <t>8276416</t>
  </si>
  <si>
    <t>8276417</t>
  </si>
  <si>
    <t>8276418</t>
  </si>
  <si>
    <t>827651</t>
  </si>
  <si>
    <t>827652</t>
  </si>
  <si>
    <t>827653</t>
  </si>
  <si>
    <t>827654</t>
  </si>
  <si>
    <t>827661</t>
  </si>
  <si>
    <t>827662</t>
  </si>
  <si>
    <t>827663</t>
  </si>
  <si>
    <t>827664</t>
  </si>
  <si>
    <t>827665</t>
  </si>
  <si>
    <t>827666</t>
  </si>
  <si>
    <t>827667</t>
  </si>
  <si>
    <t>827668</t>
  </si>
  <si>
    <t>827669</t>
  </si>
  <si>
    <t>35711200R</t>
  </si>
  <si>
    <t>340520540R</t>
  </si>
  <si>
    <t>092203040</t>
  </si>
  <si>
    <t>827811</t>
  </si>
  <si>
    <t>827812</t>
  </si>
  <si>
    <t>827813</t>
  </si>
  <si>
    <t>827814</t>
  </si>
  <si>
    <t>827815</t>
  </si>
  <si>
    <t>827816</t>
  </si>
  <si>
    <t>827817</t>
  </si>
  <si>
    <t>827818</t>
  </si>
  <si>
    <t>827819</t>
  </si>
  <si>
    <t>8278110</t>
  </si>
  <si>
    <t>8278111</t>
  </si>
  <si>
    <t>827821</t>
  </si>
  <si>
    <t>827822</t>
  </si>
  <si>
    <t>827823</t>
  </si>
  <si>
    <t>827824</t>
  </si>
  <si>
    <t>827831</t>
  </si>
  <si>
    <t>827832</t>
  </si>
  <si>
    <t>827833</t>
  </si>
  <si>
    <t>827834</t>
  </si>
  <si>
    <t>827835</t>
  </si>
  <si>
    <t>827836</t>
  </si>
  <si>
    <t>827837</t>
  </si>
  <si>
    <t>827838</t>
  </si>
  <si>
    <t>827839</t>
  </si>
  <si>
    <t>8278310</t>
  </si>
  <si>
    <t>8278311</t>
  </si>
  <si>
    <t>8278312</t>
  </si>
  <si>
    <t>8278313</t>
  </si>
  <si>
    <t>8278314</t>
  </si>
  <si>
    <t>8278315</t>
  </si>
  <si>
    <t>8278316</t>
  </si>
  <si>
    <t>827841</t>
  </si>
  <si>
    <t>827842</t>
  </si>
  <si>
    <t>827851</t>
  </si>
  <si>
    <t>827852</t>
  </si>
  <si>
    <t>827853</t>
  </si>
  <si>
    <t>827854</t>
  </si>
  <si>
    <t>827855</t>
  </si>
  <si>
    <t>827856</t>
  </si>
  <si>
    <t>827857</t>
  </si>
  <si>
    <t>827858</t>
  </si>
  <si>
    <t>005121010R</t>
  </si>
  <si>
    <t>005231010R</t>
  </si>
  <si>
    <t>005122010R</t>
  </si>
  <si>
    <t>005111021R</t>
  </si>
  <si>
    <t>005111031R</t>
  </si>
  <si>
    <t>005112041R</t>
  </si>
  <si>
    <t>005124010R</t>
  </si>
  <si>
    <t>005241010R</t>
  </si>
  <si>
    <t>005241070R</t>
  </si>
  <si>
    <t>005251010R</t>
  </si>
  <si>
    <t>005261010R</t>
  </si>
  <si>
    <t>005261040R</t>
  </si>
  <si>
    <t>Azylový dům města Česká Lípa</t>
  </si>
  <si>
    <t>st.p.č. 3006, 3007, k.ú.Česká Lípa, ul.Dubická č.p.931, Česká Lípa</t>
  </si>
  <si>
    <t>801 21 1 1</t>
  </si>
  <si>
    <t>Zkrácený popis / Varianta</t>
  </si>
  <si>
    <t>Rozměry</t>
  </si>
  <si>
    <t>Přístavba nového objektu</t>
  </si>
  <si>
    <t>Odkopávky a prokopávky</t>
  </si>
  <si>
    <t>Sejmutí ornice, naložení, odvoz a uložení, na mezideponii na staveništi</t>
  </si>
  <si>
    <t>Odkopávky nezapažené v hornině 1-4</t>
  </si>
  <si>
    <t>Hloubené vykopávky</t>
  </si>
  <si>
    <t>Bourání konstrukcí kamenných ve výkopu, odvoz do 10 km, uložení na skládku</t>
  </si>
  <si>
    <t>výměra dle TZ, odst.d.2), str.4</t>
  </si>
  <si>
    <t>Hloubení nezapaž. rýh šířky do 60 cm v hornině 1-4</t>
  </si>
  <si>
    <t>Hloubení nezapaž.rýh šířky do 200 cm v hornině 1-4</t>
  </si>
  <si>
    <t>Ruční výkop v hornině 1-2, hloubka do 1 m, odvoz kolečkem do 20 m</t>
  </si>
  <si>
    <t>Přemístění výkopku</t>
  </si>
  <si>
    <t>Vodorovné přemístění výkopku z hor.1-4 do 10000 m</t>
  </si>
  <si>
    <t>Přehození výkopku z hor.1-4</t>
  </si>
  <si>
    <t>Nakládání výkopku z hor.1-4 v množství nad 100 m3</t>
  </si>
  <si>
    <t>Konstrukce ze zemin</t>
  </si>
  <si>
    <t>Zásyp jam, rýh a šachet sypaninou, dovoz sypaniny ze vzdálenosti 50 m</t>
  </si>
  <si>
    <t>Hloubení pro podzemní stěny, ražení a hloubení důlní</t>
  </si>
  <si>
    <t>Poplatek za skládku výkopku 1- 4</t>
  </si>
  <si>
    <t>Základy</t>
  </si>
  <si>
    <t>Polštář hutněný pod základy-pasy, ze štěrkopísku tloušťky 30 cm</t>
  </si>
  <si>
    <t>hutnění po vrstvách tl.10cm -viz TZ 01, odst.d.2</t>
  </si>
  <si>
    <t>Polštář hutněný pod základy-deska, ze štěrkopísku tloušťky 40 cm</t>
  </si>
  <si>
    <t>Železobeton základových desek C 25/30 XC3 XF1 XA2</t>
  </si>
  <si>
    <t>Bednění stěn základových desek - zřízení</t>
  </si>
  <si>
    <t>Bednění stěn základových desek - odstranění</t>
  </si>
  <si>
    <t>Výztuž základových desek ze svařovaných sítí průměr drátu  8,0, oka 150/150 mm KY80</t>
  </si>
  <si>
    <t>Zdivo základové z bednicích tvárnic, tl. 20 cm, výplň tvárnic betonem C 20/25 XC3 XF1 XA2</t>
  </si>
  <si>
    <t>Zdivo základové z bednicích tvárnic, tl. 40 cm, výplň tvárnic betonem C 20/25 XC3 XF1 XA2</t>
  </si>
  <si>
    <t>Beton základových pasů prostý C 25/30 XC3 XF1 XA2</t>
  </si>
  <si>
    <t>Osazení + dodávka-ocel.chránička DN 125 + vrtání zákl.pasem a deskou</t>
  </si>
  <si>
    <t>Bednění prostupu základem do 0,05 m2, dl.0,5 m (200/250/400)mm</t>
  </si>
  <si>
    <t>Bednění prostupu základem do 0,10 m2, dl.0,5 m (250/250/400)mm</t>
  </si>
  <si>
    <t>Bednění prostupu základem do 0,10 m2, dl.1,0 m (250/250/600)mm</t>
  </si>
  <si>
    <t>Bednění prostupu základem do 0,10 m2, dl.1,0 m (250/250/700)mm</t>
  </si>
  <si>
    <t>Bednění prostupu základem do 0,10 m2, dl.1,0 m (250/250/800)mm</t>
  </si>
  <si>
    <t>Výztuž základ. pasů z betonářské oceli 10505 (R)</t>
  </si>
  <si>
    <t>spotřeba 150 kg/m3 - viz TZ 01, odst.d.2</t>
  </si>
  <si>
    <t>Zdi podpěrné a volné</t>
  </si>
  <si>
    <t>Zdivo z vápenopísk.kvádrů na tenkovrstvou maltu TOH=1,8, tl.300mm</t>
  </si>
  <si>
    <t>Zdivo z vápenopísk.kvádrů na tenkovrstvou maltu TOH=1,8, tl.300mm -atika</t>
  </si>
  <si>
    <t>Překlad vápenopískový 115 x 71 - 1250/800,900 mm ozn.P4</t>
  </si>
  <si>
    <t>Překlad vápenopískový 115 x 71 - 1250/800,900 mm ozn.P6</t>
  </si>
  <si>
    <t>Překlad vápenopískový 115 x 71 - 1500/1000 mm ozn.P5</t>
  </si>
  <si>
    <t>Překlad vápenopískový 115 x 71 - 1500/1000 mm ozn.P7</t>
  </si>
  <si>
    <t>Překlad vápenopískový 115 x 71 - 1750/1325 mm ozn.P8</t>
  </si>
  <si>
    <t>Překlad vápenopískový 115 x 240 - 1000/650 mm ozn.P3</t>
  </si>
  <si>
    <t>Překlad vápenopískový 115 x 240 - 1250/800 mm ozn.P2</t>
  </si>
  <si>
    <t>Překlad vápenopískový 115 x 240 - 1500/1000 mm ozn.P1</t>
  </si>
  <si>
    <t>Překlad vápenopískový 175 x 240 - 1000/650 mm ozn.P3</t>
  </si>
  <si>
    <t>Překlad vápenopískový 175 x 240 - 1250/800 mm ozn.P2</t>
  </si>
  <si>
    <t>Překlad vápenopískový 175 x 240 - 1500/1000 mm ozn.P1</t>
  </si>
  <si>
    <t>Stěny a příčky</t>
  </si>
  <si>
    <t>Přizdívky instalační z plynosilikátu tl. 100 mm</t>
  </si>
  <si>
    <t>Přizdívky instalační z plynosilikátu tl. 150 mm</t>
  </si>
  <si>
    <t>Příčky z tvárnic vápenopískových na tenkovrstvou maltu, TOH=1,8  tl.150mm</t>
  </si>
  <si>
    <t>Příčky z tvárnic vápenopískových, na tenkovrstvou maltu, TOH=1,8  tl.115 mm</t>
  </si>
  <si>
    <t>Těsnění styku příčky se stáv. konstrukcí PU pěnou</t>
  </si>
  <si>
    <t>Ukotvení příček k cihel.konstr. kotvami na hmožd.</t>
  </si>
  <si>
    <t>Obklad překladů,věnců z desek polystyren.tl.40 mm</t>
  </si>
  <si>
    <t>Izolace pod příčky typová š. do 200 mm</t>
  </si>
  <si>
    <t>Stropy a stropní konstrukce (pro pozemní stavby)</t>
  </si>
  <si>
    <t>Stropy deskové ze železobetonu C 25/30</t>
  </si>
  <si>
    <t>Bednění stropů deskových, bednění vlastní -zřízení</t>
  </si>
  <si>
    <t>Bednění stropů deskových, vlastní - odstranění</t>
  </si>
  <si>
    <t>Podpěrná konstr. stropů do 12 kPa - zřízení</t>
  </si>
  <si>
    <t>Podpěrná konstr. stropů do 12 kPa - odstranění</t>
  </si>
  <si>
    <t>Výztuž stropů z betonářské oceli 10505(R)</t>
  </si>
  <si>
    <t>Nosný prvek pro přerušení tepelných mostů (dle popisu v PD), výška 160-250 mm, s požární odolností R120</t>
  </si>
  <si>
    <t>Prostupy ve stropech z panelů do 0,25m2 -kompletní provedení</t>
  </si>
  <si>
    <t>Prostupy ve stropech betonových -kompletní provedení</t>
  </si>
  <si>
    <t>Podhledy SDK, kovová.kce CD. 1x deska RF 12,5 mm vč.přetmelení a přebroušení</t>
  </si>
  <si>
    <t>Rastrový kazet.podhled 600x600mm, omyvatelný, rošt do vlhkého prostředí -provedení dle popisu v PD</t>
  </si>
  <si>
    <t>Kazetový podhled akustický -provedení dle popisu v PD</t>
  </si>
  <si>
    <t>Příplatek za vložení vrstvy tepelné izolace</t>
  </si>
  <si>
    <t>Věnec z věncovek, TOH=1,8, výplň betonem C 20/25</t>
  </si>
  <si>
    <t>Ztužující pásy a věnce z betonu železového C 25/30</t>
  </si>
  <si>
    <t>Bednění ztužujících věnců, obě strany - zřízení</t>
  </si>
  <si>
    <t>Bednění ztužujících věnců, obě strany - odstranění</t>
  </si>
  <si>
    <t>Výztuž ztužujících pásů a věnců z oceli 10505(R)</t>
  </si>
  <si>
    <t>Schodiště</t>
  </si>
  <si>
    <t>Stupeň betonový 30 x 15 cm, včetně bednění, na přímém schodišti</t>
  </si>
  <si>
    <t>Schodišťová konstrukce ŽB beton C 25/30, bednění, výztuž 150 kg/m3</t>
  </si>
  <si>
    <t>Kryty pozemních komunikací, letišť a ploch dlážděných (předlažby)</t>
  </si>
  <si>
    <t>Chodník z dlažby betonové-okapový chodník -skladba L, body 1-5</t>
  </si>
  <si>
    <t>betonová dlaždice obyčejná, deskového tvaru, z prostého betonu, s režným povrchem 30 x 30 x 3,5 cm + podkladní beton C 16/20 tl.50 mm + štěrkodrť 16-32mm (hutněno) + geotextilie + zhutněná pláň, event.hut.násyp zeminou</t>
  </si>
  <si>
    <t>Chodník z dlažby betonové-venkovní rampa -skladba K, body 1-7</t>
  </si>
  <si>
    <t>betonová dlaždice obyčejná, deskového tvaru, z prostého betonu, s režným povrchem 50 x 50 x 5 cm + cementové lože tl.10 mm + stěrková hydroizolace na bázi cementu + beton.deska C 16/20 tl.120 mm s KARI sítí 5/100x5/100 + štěrkodrť fr.0-63 hutn. tl.150 mm + geotextilie 500g/m2 + úprava podkladu vápněním + zhutněná pláň event.hut.násyp zeminou</t>
  </si>
  <si>
    <t>Omítky ze suchých směsí</t>
  </si>
  <si>
    <t>Stěrková omítka podhledů-schodiště -skladba J, bod 4</t>
  </si>
  <si>
    <t>Štuková omítka podhledů -schodiště -skladba J, bod 5</t>
  </si>
  <si>
    <t>Úprava povrchů vnitřní</t>
  </si>
  <si>
    <t>Omítka jednovrstvá vnitřní stěrková, tl.vrstvy 5 mm -skladba A1, bod 8 + skladba A2, bod 8 + skladba A3, bod 8</t>
  </si>
  <si>
    <t>Štuk na stěnách vnitřní, tl.vrstvy 1-2 mm -skladba A1, bod 9 + skladba A2, bod 9 + skladba A3, bod 9</t>
  </si>
  <si>
    <t>Montáž výztužné sítě(perlinky)do stěrky-vnit.stěny vč.výzt.sítě a tmelu -ostění,stěny -skladba A1, bod 8 + skladba A2, bod 8 + skladba A3, bod 8</t>
  </si>
  <si>
    <t>Protiprašný penetrační a uzavírací nátěr -stěny -skladba A1, bod 7 + skladba A3, bod 7</t>
  </si>
  <si>
    <t>Podkladní polymercementový spojovací můstek -stěny -skladba A2, bod 7</t>
  </si>
  <si>
    <t>Protiprašný penetrační a uzavírací nátěr  stropy</t>
  </si>
  <si>
    <t>Začišťovací okenní lišta pro vnitř.omítku tl. 15mm</t>
  </si>
  <si>
    <t>Zakrývání výplní vnitřních otvorů</t>
  </si>
  <si>
    <t>Montáž výztužné sítě (perlinky) do stěrky-schodiště, včetně výztužné sítě a stěrkového tmelu -skladba J, bod 4</t>
  </si>
  <si>
    <t>Začištění omítek kolem oken,dveří apod.s použitím suché maltové směsi</t>
  </si>
  <si>
    <t>Omítka stěrková s adhezním můstkem pod obklady</t>
  </si>
  <si>
    <t>Omítka stěrková vnitřního ostění - štuková</t>
  </si>
  <si>
    <t>Zednické zapravení parapetu -viz detail Det4</t>
  </si>
  <si>
    <t>Příplatek za zabudované rohovníky, stěny</t>
  </si>
  <si>
    <t>Úprava povrchů vnější</t>
  </si>
  <si>
    <t>Zakrývání výplní vnějších otvorů z lešení</t>
  </si>
  <si>
    <t>Montáž chráničky kabelu do zateplení z polystyrenu vč. chráničky DN 40 mm</t>
  </si>
  <si>
    <t>Soklová lišta hliník KZS tl. 140 mm</t>
  </si>
  <si>
    <t>Zateplovací systém, fasáda, EPS F tl.140 mm s omítkou silikonovou -skladba A2, body 1, 2, 3, 4, 5</t>
  </si>
  <si>
    <t>vyrovnávací a lepící hmota do 10 mm + EPS tl.140 mm + lepící stěrka vyztužená vlákny se sklotextilní síťovinou 160g/m2 + základní nátěr + tenkovrstvá silikon.omítka, celoplošně probarvená, zrnitost 1,5 mm</t>
  </si>
  <si>
    <t>Zateplovací systém, fasáda, EPS F tl.160 mm s omítkou silikonovou -skladba A1, body 1, 2, 3, 4, 5</t>
  </si>
  <si>
    <t>vyrovnávací a lepící hmota do 10 mm + EPS tl.160 mm + lepící stěrka vyztužená vlákny se sklotextilní síťovinou 160g/m2 + základní nátěr + tenkovrstvá silikon.omítka, celoplošně probarvená, zrnitost 1,5 mm</t>
  </si>
  <si>
    <t>Zateplovací systém, fasáda, EPS F tl.200 mm s omítkou silikonovou -skladba A3, body 1, 2, 3, 4, 5</t>
  </si>
  <si>
    <t>vyrovnávací a lepící hmota do 10 mm + EPS tl.200 mm + lepící stěrka vyztužená vlákny se sklotextilní síťovinou 160g/m2 + základní nátěr + tenkovrstvá silikon.omítka, celoplošně probarvená, zrnitost 1,5 mm</t>
  </si>
  <si>
    <t>Povrchová úprava ostění KZS s EPS F s omítkou silikonovou</t>
  </si>
  <si>
    <t>Zateplovací systém, sokl, XPS tl. 140 mm s mozaikovou omítkou - skladba B, body 1, 2, 3 ,4, 5, 6, 7, 8</t>
  </si>
  <si>
    <t>vyrovnávací vápenocement.omítka tl.10 mm + dvojitá hydroizol.stěrka na bázi bitumenu + lepící stěrka na bázi bitumenu + tepel.izol.XPS tl.140 mm + lepící stěrka se zvýš.hydrofobizací se sklotext.síťovinou 160g/m2 + flexibilní 1-složkový minerální hydroizolační nátěr, určený pro soklové oblasti + základní nátěr pro mozaik.omítky + dekorativní soklová mozaik.omítka v zrnitosti 1,2 mm</t>
  </si>
  <si>
    <t>Příplatek ke KZS a fasádnímu systému za systémové doplňky a příslušenství</t>
  </si>
  <si>
    <t>Doplňky zatepl. systémů, rohová lišta s okapničkou</t>
  </si>
  <si>
    <t>Doplňky zatepl. systémů, okenní lišta s tkaninou</t>
  </si>
  <si>
    <t>Doplňky zatepl. systémů, podparapetní lišta s tkan., vč.XPS klínu</t>
  </si>
  <si>
    <t>Podlahy a podlahové konstrukce</t>
  </si>
  <si>
    <t>Litý samonivelační rychleschnoucí cementový potěr CT-C30-F5 tl.47mm -skladba H, bod 3</t>
  </si>
  <si>
    <t>Litý samonivelační rychleschnoucí cementový potěr CT-C30-F5 tl.49mm -skladba G, bod 3</t>
  </si>
  <si>
    <t>Litý samonivelační rychleschnoucí cementový potěr CT-C30-F5 tl.50mm -skladba I, bod 3</t>
  </si>
  <si>
    <t>Litý samonivelační rychleschnoucí cementový potěr CT-C30-F5 tl.52mm -skladba E, bod 3</t>
  </si>
  <si>
    <t>Litý samonivelační rychleschnoucí cementový potěr CT-C30-F5 tl.54mm -skladba F, bod 3</t>
  </si>
  <si>
    <t>Výplně otvorů</t>
  </si>
  <si>
    <t>Těsnění spár otvorových prvků PU pěnou</t>
  </si>
  <si>
    <t>Osazení zárubní dveřních ocelových, pl. do 2,5 m2, včetně dodávky zárubně  70 x 197 x 11 cm -ozn.D4</t>
  </si>
  <si>
    <t>Osazení zárubní dveřních ocelových, pl. do 2,5 m2, včetně dodávky zárubně  80 x 197 x 11 cm -ozn.D3</t>
  </si>
  <si>
    <t>Osazení zárubní dveřních ocelových, pl. do 2,5 m2, včetně dodávky zárubně  90 x 197 x 11 cm -ozn.D2</t>
  </si>
  <si>
    <t>Osazení zárubní dveřních ocelových, pl. do 2,5 m2, včetně dodávky zárubně  70 x 197 x 16 cm -ozn.D4</t>
  </si>
  <si>
    <t>Osazení zárubní dveřních ocelových, pl. do 2,5 m2, včetně dodávky zárubně  80 x 197 x 16 cm -ozn.D3</t>
  </si>
  <si>
    <t>Osazení zárubní dveřních ocelových, pl. do 2,5 m2, včetně dodávky zárubně  90 x 197 x 16 cm -ozn.D2</t>
  </si>
  <si>
    <t>Osazení zárubní ocel. požár.1křídl., pl. do 2,5 m2, včetně příplatku za dodávku požární zárubně oproti běžné zárubni -ozn.D2-D4</t>
  </si>
  <si>
    <t>Osazení parapet.desek plast. a lamin. š.nad 20cm, včetně dodávky laminát.desky š. 220 mm -ozn.T01</t>
  </si>
  <si>
    <t>Doplňující konstrukce a práce na pozemních komunikacích a zpevněných plochách</t>
  </si>
  <si>
    <t>Osazení záhon.obrubníků do lože z C 12/15 s opěrou, včetně obrubníku 20/5/100, ozn.Os13 -skladba L</t>
  </si>
  <si>
    <t>Lože pod obrubníky nebo obruby dlažeb z C 12/15, ozn.Os13 -skladba L</t>
  </si>
  <si>
    <t>Lešení a stavební výtahy</t>
  </si>
  <si>
    <t>Montáž lešení leh.řad.s podlahami,š.do 1 m, H 10 m</t>
  </si>
  <si>
    <t>Příplatek za každý měsíc použití lešení k pol.1031</t>
  </si>
  <si>
    <t>Demontáž lešení leh.řad.s podlahami,š.1 m, H 10 m</t>
  </si>
  <si>
    <t>Lešení lehké pomocné, výška podlahy do 1,9 m</t>
  </si>
  <si>
    <t>Lešení lehké pomocné,schodiště, H podlahy do 3,5 m</t>
  </si>
  <si>
    <t>Montáž ochranné sítě z umělých vláken</t>
  </si>
  <si>
    <t>Příplatek za každý měsíc použití sítí k pol. 4011</t>
  </si>
  <si>
    <t>Demontáž ochranné sítě z umělých vláken</t>
  </si>
  <si>
    <t>Různé dokončovací konstrukce a práce na pozemních stavbách</t>
  </si>
  <si>
    <t>Čištění mytím vnějších ploch oken a dveří</t>
  </si>
  <si>
    <t>Vyčištění budov o výšce podlaží do 4 m</t>
  </si>
  <si>
    <t>Osazení kovových předmětů do zdiva, do 15 kg / kus -hasící přístroje, ozn.OS2</t>
  </si>
  <si>
    <t>Přístroj hasicí práškový PHP s has.schopn.21 A   6 kg</t>
  </si>
  <si>
    <t>M+D Bezpečnostní a informační tabulky a bezp.prvky -dle PBŘ</t>
  </si>
  <si>
    <t>M+D Protipož.ucpávka dle PBŘ ozn.Os14</t>
  </si>
  <si>
    <t>Plán požární bezpečnosti a evakuace v souladu s platnými předpisy</t>
  </si>
  <si>
    <t>SDK obklad ocel.sloupů 4str., 1x RF tl.15 mm</t>
  </si>
  <si>
    <t>SDK obklad ocel.sloupů 3str., 1x RF tl.15 mm</t>
  </si>
  <si>
    <t>Opláštění z SDK,3.str.,do 200x200 mm,RF tl.12,5 mm -potrubí</t>
  </si>
  <si>
    <t>Opláštění z SDK horní části rámu proskl.fasády, ozn.Os16 -úplné provedení dle popisu v PD</t>
  </si>
  <si>
    <t>Stavební přípomoce pro profese</t>
  </si>
  <si>
    <t>Budovy občanské výstavby</t>
  </si>
  <si>
    <t>Přesun hmot pro budovy zděné výšky do 12 m</t>
  </si>
  <si>
    <t>Izolace proti vodě</t>
  </si>
  <si>
    <t>Izolace proti vlhk.a radonu vodor. nátěr ALP stud., 1x nátěr - vč.dodávky penetr.laku ALP -skladba E, bod 9 + skladba F, bod 9 + skladba I, bod 9</t>
  </si>
  <si>
    <t>Izolace proti vlhk. vodorovná pásy přitavením 1 vrstva - vč.dodávky SBS pás modif.s posypem -skladba E, bod 9 + skladba F, bod 9 + skladba I, bod 9</t>
  </si>
  <si>
    <t>Izolační systém protiradonový svisle, včetně dodávky nopové fólie a doplňků -skladba C, bod 2</t>
  </si>
  <si>
    <t>Izolace tlaková, ochranná textilie, vodorovná, včetně dodávky textilie 300g/m2 --skladba E, bod 7 + skladba F, bod 7 + skladba I, bod 7</t>
  </si>
  <si>
    <t>Izolace tlaková, ochranná textilie svislá, včetně dodávky textilie 500g/m2 -skladba C, bod 2</t>
  </si>
  <si>
    <t>Opracování prostupů,tmel, D do 500 mm</t>
  </si>
  <si>
    <t>Provedení detailů spár, vod. impregn. provazci</t>
  </si>
  <si>
    <t>Provedení detailů spár, svis. impregn. provazci</t>
  </si>
  <si>
    <t>Přesun hmot pro izolace proti vodě, výšky do 12 m</t>
  </si>
  <si>
    <t>Izolace střech (živičné krytiny)</t>
  </si>
  <si>
    <t>Povlaková krytina střech do 10°, za studena ALP, 2 x nátěr - včetně dodávky ALP -skladba D, bod 7</t>
  </si>
  <si>
    <t>M+D prostupy střešní krytinou -úplné provedení</t>
  </si>
  <si>
    <t>Krytina střech do 10° fólie, 4 kotvy/m2, na beton, tl. izolace do 300 mm, vč.dodávky folie mPVC tl. 1,5 mm -skladba D, bod 1</t>
  </si>
  <si>
    <t>Atiková okapnice RŠ 250 mm</t>
  </si>
  <si>
    <t>Samostatné vytažení izolace, za studena  ALP, 2x nátěr - včetně dodávky ALP</t>
  </si>
  <si>
    <t>Samostatné vytažení izolace, pásy přitavením, 1 vrstva - včetně dodávky SBS modif.pás</t>
  </si>
  <si>
    <t>Samostatné vytažení izolace, fólií PVC vč.kotvení, 1 vrstva-vč.dodávky folie mPVC 1,5 mm</t>
  </si>
  <si>
    <t>Zesílení koutů, rohů a hran fólií</t>
  </si>
  <si>
    <t>Přesun hmot pro povlakové krytiny, výšky do 12 m</t>
  </si>
  <si>
    <t>Izolace tepelné</t>
  </si>
  <si>
    <t>Izolace tepelná podlah na sucho, jednovrstvá-vyrovnávací vrstva z EPS-75% plochy -skladba E, bod 6 + skladba F, bod 6 + skladba I, bod 6</t>
  </si>
  <si>
    <t>Deska polystyrenová EPS tl. 15 mm</t>
  </si>
  <si>
    <t>Izolace tepelná podlah na sucho, jednovrstvá -skladba E, bod 5 + skladba F, bod 5 + skladba I, bod 5</t>
  </si>
  <si>
    <t>Deska polystyrenová EPS 150 S tl. 50 mm</t>
  </si>
  <si>
    <t>Systém.deska podlah.vytápění, přelepené spoje-montáž a dodávka -skladba G, bod 4 + skladba H, bod 4</t>
  </si>
  <si>
    <t>Montáž dilatačního pásku podél stěn, včetně dodávky pásku 15x100x1000 mm</t>
  </si>
  <si>
    <t>Izolace tepelná podlah na sucho, dvouvrstvá -skladba E, bod 5 + skladba F, bod 5 + skladba I, bod 5</t>
  </si>
  <si>
    <t>Deska polystyrenová EPS 150 S tl. 60 mm</t>
  </si>
  <si>
    <t>Izolace podlah zvuková na sucho, jednovrstvá -skladba G, bod 5 + skladba H, bod 5</t>
  </si>
  <si>
    <t>Deska izolační kročejová EPS T 4000 tl. 60 mm</t>
  </si>
  <si>
    <t>Izolace tepelná stěn lepením, vč.vyrovnávací a lepící vrstvy -skladba C, body 3, 4</t>
  </si>
  <si>
    <t>Deska tuhá tepelně izolační na bázi extrudované polystyrenové pěny se zhutnělým hladkým povrchem tl. 140 mm</t>
  </si>
  <si>
    <t>Izol.tepel.atik lepením -koruna atiky</t>
  </si>
  <si>
    <t>Deska polystyrenová EPS 150 S -spádové klíny tl. 240-260 mm</t>
  </si>
  <si>
    <t>Izolace tepelná střech -vnitř.strana atik 1vrstvá</t>
  </si>
  <si>
    <t>Deska polystyrenová EPS 150 S tl. 160 mm</t>
  </si>
  <si>
    <t>Izolace tepelná střech do tl.300 mm,2vrstvy,kotvy -skladba D, body 3, 4</t>
  </si>
  <si>
    <t>Deska polystyrenová EPS 150 S -spádové klíny tl. 40-160 mm</t>
  </si>
  <si>
    <t>Deska polystyrenová EPS 150 S tl. 200 mm</t>
  </si>
  <si>
    <t>Montáž parozábrany, ploché střechy, přelep. spojů, vč.dodávky asf.modif.pásu SBS s posypem, s Al vložkou -skladba D, bod 6</t>
  </si>
  <si>
    <t>Položení separační fólie, včetně dodávky PE fólie s přelep.spoji -skladba E, bod 4 + skladba F, bod 4 + skladba I, bod 4</t>
  </si>
  <si>
    <t>Položení separační a ochranné tkaniny vč.vytaž., vč.dodávky netk.textilie 300 g/m2 -skladba D, body 2, 5</t>
  </si>
  <si>
    <t>Přesun hmot pro izolace tepelné, výšky do 12 m</t>
  </si>
  <si>
    <t>ZTI-Vnitřní kanalizace</t>
  </si>
  <si>
    <t>D+M - Ležaté potrubí (PVC-KG systém) DN 110</t>
  </si>
  <si>
    <t>D+M - Ležaté potrubí (PVC-KG systém) DN 125</t>
  </si>
  <si>
    <t>D+M - Ležaté potrubí (PVC-KG systém) DN 160</t>
  </si>
  <si>
    <t>D+M - Odpadní a připojovací potrubí (HT systém) DN 32</t>
  </si>
  <si>
    <t>D+M - Odpadní a připojovací potrubí (HT systém) DN 50</t>
  </si>
  <si>
    <t>D+M - Odpadní a připojovací potrubí (HT systém) DN 75</t>
  </si>
  <si>
    <t>D+M - Odpadní a připojovací potrubí (HT systém) DN 110</t>
  </si>
  <si>
    <t>D+M - Odpadní a připojovací potrubí (HT systém) DN 125</t>
  </si>
  <si>
    <t>D+M - Odpadní a připojovací potrubí (HT systém) DN 160</t>
  </si>
  <si>
    <t>Vyvedení a upevnění odpadních výpustek</t>
  </si>
  <si>
    <t>D+M - Čistící kus DN 75</t>
  </si>
  <si>
    <t>D+M - Čistící kus DN 110</t>
  </si>
  <si>
    <t>D+M - Čistící kus DN 125</t>
  </si>
  <si>
    <t>D+M - Zátka DN 75</t>
  </si>
  <si>
    <t>D+M - Zátka DN 110</t>
  </si>
  <si>
    <t>D+M - WC - Klozet keramický závěsný</t>
  </si>
  <si>
    <t>D+M - WCi - Klozet keramický závěsný pro imobilní s prodlouženou délkou</t>
  </si>
  <si>
    <t>D+M - U - Umyvadlo keramické závěsné 55 cm</t>
  </si>
  <si>
    <t>D+M - Ui - Umyvadlo keramické závěsné 60 cm</t>
  </si>
  <si>
    <t>D+M - Sk - Sprchový nerezový žlab do keramické dlažby 90 cm</t>
  </si>
  <si>
    <t>D+M - Vl - Výlevka keramická závěsná s plastovou sklopnou mřížkou</t>
  </si>
  <si>
    <t>D+M - P - Podomítková zápachová uzávěrka DN40/50 pro pračky a myčky v kombinaci s připojením rozvodu vody</t>
  </si>
  <si>
    <t>D+M - D1 - Nerezový kuchyňský dřez s odkapem pro horní montáž</t>
  </si>
  <si>
    <t>D+M - D2 - Nerezový kuchyňský dvoudřez s odkapem pro horní montáž</t>
  </si>
  <si>
    <t>D+M - Ur - Keramický urinál</t>
  </si>
  <si>
    <t>D+M - Pv - Podlahová vpust DN 50/75 s otočným kloubem na odtoku</t>
  </si>
  <si>
    <t>D+M - Sv - Střešní vtok DN 110 svislý s PVC pevnou izolační přírubou, s elektrickým ohřevem (10-30W, 230V), záchytný koš</t>
  </si>
  <si>
    <t>D+M - Vh - Regulovatelný větrací komínek (hlavice) DN 75</t>
  </si>
  <si>
    <t>D+M - Hp - Kanalizační přivzdušňovací ventil určený pro podomítkovou instalaci do příček DN 75/90</t>
  </si>
  <si>
    <t>D+M - K - Vodní zápachová uzávěrka DN32 pro odvod kondenzátu s hygienickým adaptérem</t>
  </si>
  <si>
    <t>D+M - Madlo univerzální 600 mm, pevné, závěsné, nerezové</t>
  </si>
  <si>
    <t>D+M - Madlo do sprchy 750 mm x 450 mm x 100 mm, pevné, závěsné, nerezové (levé/pravé)</t>
  </si>
  <si>
    <t>D+M - Sprchová sedačka 490 mm x 340 mm, sklopná, závěsná, nerezové (nosnost max. 120 kg)</t>
  </si>
  <si>
    <t>D+M - Sklopné zrcadlo nad umyvadlo s možností naklopení o 10°, s páčkou, nerezové</t>
  </si>
  <si>
    <t>D+M - Madlo toaletní, 834 mm sklopné, nerezové</t>
  </si>
  <si>
    <t>D+M - Madlo toaletní, 834 mm sklopné, s držákem toaletního papíru, nerezové</t>
  </si>
  <si>
    <t>D+M - Urinálová dělící stěna</t>
  </si>
  <si>
    <t>D+M - Revizní dvířka 150x300 mm</t>
  </si>
  <si>
    <t>D+M - Protipožární manžeta</t>
  </si>
  <si>
    <t>D+M - Požární utěsnění prostupu - min. EI 60-120 min</t>
  </si>
  <si>
    <t>Drážky pro potrubí DN 32 až 50 - 120x120 mm ve stěně + oprava a začištění omítky</t>
  </si>
  <si>
    <t>Drážky pro potrubí DN 75 až 110 - 150x150 mm ve stěně + oprava a začištění omítky</t>
  </si>
  <si>
    <t>Prostup stropní (Střešní) konstrukcí pro potrubí + oprava a začištění stropu a střechy + utěsnění</t>
  </si>
  <si>
    <t>Prostup základem pro potrubí + oprava a začištění + utěsnění</t>
  </si>
  <si>
    <t>Drážka v základu pro potrubí + oprava a začištění + utěsnění</t>
  </si>
  <si>
    <t>Ostatní bourací, přípomocné a zednické práce</t>
  </si>
  <si>
    <t>Tlaková zkouška potrubí do DN 200</t>
  </si>
  <si>
    <t>Pročištění potrubí do DN 200</t>
  </si>
  <si>
    <t>Zkouška těsnosti kanalizačního potrubí do DN 200</t>
  </si>
  <si>
    <t>Pojízdné lešení, pomocné konstrukce, montážní plošina v rámci výšky jednoho podlaží</t>
  </si>
  <si>
    <t>Přesun hmot</t>
  </si>
  <si>
    <t>Dokumentace skutečného provedení (3 paré) - není součástí položky ve VRN</t>
  </si>
  <si>
    <t>Koordinace - není součástí položky ve VRN</t>
  </si>
  <si>
    <t>ZTI-Vnitřní vodovod</t>
  </si>
  <si>
    <t>D+M - potrubí PP-RCT (S 3,2) - d 20x2,8 mm</t>
  </si>
  <si>
    <t>D+M - potrubí PP-RCT (S 3,2) - d 25x3,5 mm</t>
  </si>
  <si>
    <t>D+M - potrubí PP-RCT (S 3,2) - d 32x4,4 mm</t>
  </si>
  <si>
    <t>D+M - potrubí PP-RCT (S 3,2) - d 40x5,5 mm</t>
  </si>
  <si>
    <t>D+M - potrubí nerezová ocel 28x1,2 mm</t>
  </si>
  <si>
    <t>D+M - potrubí nerezová ocel 32x1,5 mm</t>
  </si>
  <si>
    <t>D+M - potrubí nerezová ocel 42x1,5 mm</t>
  </si>
  <si>
    <t>D+M - Izolace MV tl. 30 mm + polep ALS fólií na potrubí 20-22 mm</t>
  </si>
  <si>
    <t>D+M - Izolace MV tl. 30 mm + polep ALS fólií na potrubí 25-28 mm</t>
  </si>
  <si>
    <t>D+M - Izolace MV tl. 30 mm + polep ALS fólií na potrubí 32-35 mm</t>
  </si>
  <si>
    <t>D+M - Izolace MV tl. 30 mm + polep ALS fólií na potrubí 40-42 mm</t>
  </si>
  <si>
    <t>D+M - Návleková tepelná izolace PE tl. 20 mm + polep AL fólií na potrubí d 20-22 mm</t>
  </si>
  <si>
    <t>D+M - Návleková tepelná izolace PE tl. 25 mm + polep AL fólií na potrubí d 25-28 mm</t>
  </si>
  <si>
    <t>D+M - Návleková tepelná izolace PE tl. 25 mm + polep AL fólií na potrubí d 32-35 mm</t>
  </si>
  <si>
    <t>D+M - WC - Podomítkový montážní prvek pro závěsné WC pro zděné stěny</t>
  </si>
  <si>
    <t>D+M - U - Umyvadlová stojánková baterie 10° s výpustí 140 mm</t>
  </si>
  <si>
    <t>D+M - Ui - Umyvadlová stojánková baterie 10° s výpustí 140 mm, s ovládací lékařskou pákou</t>
  </si>
  <si>
    <t>D+M - Sk - Sprchový sloup 10°, s termostatickou baterií a sprchovým setem</t>
  </si>
  <si>
    <t>D+M - Vl - Nástěnná páková baterie a podomítkový instalační modul</t>
  </si>
  <si>
    <t>D+M - Ur - Ventil pro oplach pisoáru</t>
  </si>
  <si>
    <t>D+M - P - Podomítková zápachová uzávěrka DN40/50 pro pračky v kombinaci s připojením rozvodu vody</t>
  </si>
  <si>
    <t>D+M - D - Dřezová stojánková baterie s vytahovací sprškou</t>
  </si>
  <si>
    <t>D+M - Zv - Venkovní nezámrzný ventil DN 15</t>
  </si>
  <si>
    <t>D+M - Vv - Kulový výtokový kohout s vnějším závitem DN 20</t>
  </si>
  <si>
    <t>D+M - Zo - Stacionární nepřímotopný zásobník teplé vody s boční přírubou a jedním výměníkem s možností instalací topného tělesa (elektrické topné jedn</t>
  </si>
  <si>
    <t>D+M - H - Nástěnný hydrantový systém s tvarově stálou hadicí o světlosti 19 mm (D 19), délka hadice 20 m</t>
  </si>
  <si>
    <t>D+M - Odvzdušňovací ventil DN 15</t>
  </si>
  <si>
    <t>D+M - Přivzdušňovací ventil DN 15</t>
  </si>
  <si>
    <t>D+M - Připojovací ventil 1/2"</t>
  </si>
  <si>
    <t>D+M - Propojovací nerezové opletené hadice osazených maticemi 3/8" x 1/2" k výtokovým armaturám</t>
  </si>
  <si>
    <t>D+M - Kulový kohout, závitový, chromovaný, páka, DN 15</t>
  </si>
  <si>
    <t>D+M - Kulový kohout, závitový, chromovaný, páka, DN 20</t>
  </si>
  <si>
    <t>D+M - Kulový kohout, závitový, chromovaný, páka, DN 25</t>
  </si>
  <si>
    <t>D+M - Kulový kohout, závitový, chromovaný, páka, DN 32</t>
  </si>
  <si>
    <t>D+M - Kulový kohout s vypouštěním, závitový, chromovaný, páka, DN 25</t>
  </si>
  <si>
    <t>D+M - Kulový kohout s vypouštěním, závitový, chromovaný, páka, DN 32</t>
  </si>
  <si>
    <t>D+M - Kulový kohout průchozí, chromovaný, DN 25</t>
  </si>
  <si>
    <t>D+M - Zpětná klapka s gumovým těsněním, mosazná, DN 20</t>
  </si>
  <si>
    <t>D+M - Zpětná klapka s gumovým těsněním, mosazná, DN 25</t>
  </si>
  <si>
    <t>D+M - Zpětná klapka s gumovým těsněním, mosazná, DN 32</t>
  </si>
  <si>
    <t>D+M - Kohout kulový vypouštěcí, závitový, mosazný, DN 15</t>
  </si>
  <si>
    <t>D+M - Filtr, závitový, mosazný, DN 32</t>
  </si>
  <si>
    <t>D+M - Tlakoměr 0 - 1,0 MPa, DN 25, vč. tlakoměrného kohoutu</t>
  </si>
  <si>
    <t>D+M - Omezovač průtoku pV 8 Bar, DN 20</t>
  </si>
  <si>
    <t>D+M - Uzavírací armatura se zajištěním a vypouštěním zajišťující průtok expanzní nádobou DN 25, max. 16 bar</t>
  </si>
  <si>
    <t>D+M - Pojistný ventil 0,6 bar, DN 25</t>
  </si>
  <si>
    <t>D+M - Zkušební kohout pro kontrolu těsnosti zpětné armatury</t>
  </si>
  <si>
    <t>D+M - Elektronické cirkulační čerpadlo, časově řízené, P 4,5-10 W, 0,05/ A, 230 V, IP 42, Qmax 0,5 m3/h, včetně kabeláže, připojení a + příslušenství</t>
  </si>
  <si>
    <t>D+M - Expanzní nádoba s membránou na vyrovnání zvýšeného tlaku při ohřevu teplé vody o objemu 32 l, 10/25 bar, připojení 3/4" + UA + zavěšení</t>
  </si>
  <si>
    <t>D+M - Přepážkový filtr na studenou vodu s automatickým proplachem DN 32</t>
  </si>
  <si>
    <t>D+M - Domovní vodoměr na studenou vodu Q6, DN 25, Q 3= 6,3 m3/h, t = 50 °C, včetně modulu pro dálkový odečet</t>
  </si>
  <si>
    <t>D+M - Fyzikální úpravna vody na bázi feritové technologie zamezující tvorbě vodního kamene</t>
  </si>
  <si>
    <t>D+M - Spínací hodiny</t>
  </si>
  <si>
    <t>Bourání prostupu nosnou stěnou a stropem pro dvojic až pětici potrubí do DN 80, včetně transportu suti a uložení na skládku + oprava, začištění omítky</t>
  </si>
  <si>
    <t>Vypuštění soustavy</t>
  </si>
  <si>
    <t>Napuštění soustavy</t>
  </si>
  <si>
    <t>Tlaková zkouška vnitřní potrubí do DN 80</t>
  </si>
  <si>
    <t>Proplach a dezinfekce vodovodního potrubí do DN 80</t>
  </si>
  <si>
    <t>Zkouška těsnosti vodovodního potrubí do DN 80</t>
  </si>
  <si>
    <t>ZTI-Vnitřní plynovod</t>
  </si>
  <si>
    <t>D+M - Potrubí Cu 22,0 x 1,0 mm</t>
  </si>
  <si>
    <t>D+M - Potrubí Cu 35,0 x 1,5 mm</t>
  </si>
  <si>
    <t>D+M - Potrubí ocel DN 50</t>
  </si>
  <si>
    <t>D+M - Jekl otevřený L 40 x 40 x 2 mm</t>
  </si>
  <si>
    <t>D+M - Plynová propojovací hadice DN 20 nerez s drátěným opletením délky 500 mm</t>
  </si>
  <si>
    <t>Bourání prostupu stěnou pro potrubí do DN 80, včetně transportu suti a uložení na skládku + oprava, začištění omítky, utěsnění prostupu a malba</t>
  </si>
  <si>
    <t>Bourání drážky ve zdivu 100x100 mm, včetně transportu suti a uložení na skládku + oprava, začištění omítky, utěsnění prostupu a malba</t>
  </si>
  <si>
    <t>Výchozí revize plynovodu</t>
  </si>
  <si>
    <t>Odvzdušnění a odplynění potrubí</t>
  </si>
  <si>
    <t>Napuštění plynového potrubí</t>
  </si>
  <si>
    <t>Uzavření nebo otevření plynového potrubí</t>
  </si>
  <si>
    <t>D+M - Orientační štítky a značení potrubí barevnými pruhy, orientačními štítky a popisky</t>
  </si>
  <si>
    <t>Vzduchotechnika</t>
  </si>
  <si>
    <t>D+M - Diagonální ventilátor do kruhového potrubí 350/125, tichý a úsporný, vč. Příslušenství</t>
  </si>
  <si>
    <t>D+M - Programovatelný doběhový spínač - nastavitelný 0,1 s – 1 hod, 230 V/50 Hz, včetně kabeláže</t>
  </si>
  <si>
    <t>D+M - Montážní konzola</t>
  </si>
  <si>
    <t>D+M - Tlakový snímač 30 - 300 Pa, včetně kabeláže</t>
  </si>
  <si>
    <t>D+M - Regulátor otáček - 10 V DC, krytí IP44, třída II, včetně kabeláže</t>
  </si>
  <si>
    <t>D+M - Měření a regulace (rozváděč, kabeláž, čidla, teploty a relativní vlhkosti, regulátor, propojení, zprovoznění, vyregulování soustavy…)</t>
  </si>
  <si>
    <t>D + M - Diagonální ventilátor do kruhového potrubí 1000/200, tichý a úsporný, vč. Příslušenství</t>
  </si>
  <si>
    <t>D+M - Potrubí SPIRO do O 100 mm - 40% tvarovek</t>
  </si>
  <si>
    <t>D+M - Potrubí SPIRO do O 125 mm - 40% tvarovek</t>
  </si>
  <si>
    <t>D+M - Potrubí SPIRO do O 160 mm - 40% tvarovek</t>
  </si>
  <si>
    <t>D+M - Potrubí SPIRO do O 200 mm - 40% tvarovek</t>
  </si>
  <si>
    <t>D+M - Potrubí ohebné do O 102 mm</t>
  </si>
  <si>
    <t>D+M - Potrubí ohebné do O 127 mm</t>
  </si>
  <si>
    <t>D+M - Potrubí ohebné do O 160 mm</t>
  </si>
  <si>
    <t>D+M - Zpětná klapka „motýlová“  pro kruhové potrubí O 125 mm, vyrobená z galvanizované oceli</t>
  </si>
  <si>
    <t>D+M - Zpětná klapka „motýlová“  pro kruhové potrubí O 200 mm, vyrobená z galvanizované oceli</t>
  </si>
  <si>
    <t>D+M - Tlumič hluku, plášť tlumiče je z galvanizovaného plechu 125/600 mm</t>
  </si>
  <si>
    <t>D+M - Tlumič hluku, plášť tlumiče je z galvanizovaného plechu 200/600 mm</t>
  </si>
  <si>
    <t>D+M - Samotížná žaluziová klapka plastová O 125 mm s okapničkou, včetně ochrané síťky proti hmyzu</t>
  </si>
  <si>
    <t>D+M - Samotížná žaluziová klapka plastová O 200 mm s okapničkou, včetně ochrané síťky proti hmyzu</t>
  </si>
  <si>
    <t>D+M - Zátka vnitřní na potrubí O 100 mm s gumovým těsněním</t>
  </si>
  <si>
    <t>D+M - Zátka vnitřní na potrubí O 125 mm s gumovým těsněním</t>
  </si>
  <si>
    <t>D+M - Univerzální plastový anemostat O 100 mm</t>
  </si>
  <si>
    <t>D+M - Univerzální plastový anemostat O 125 mm</t>
  </si>
  <si>
    <t>D+M - Univerzální plastový anemostat O 160 mm</t>
  </si>
  <si>
    <t>D+M - Tepelná izolace na potrubí, tloušťka izolace 40 mm.</t>
  </si>
  <si>
    <t>Montážní a závěsový materiál</t>
  </si>
  <si>
    <t>Spojovací a těsnící materiál</t>
  </si>
  <si>
    <t>D+M - Podvěsný odsavač par v šířce 60 cm a nerezovém provedení a uhlíkový filtr na recirkulaci, vč. Příslušenství</t>
  </si>
  <si>
    <t>D+M - Odvaděč kontenzázu na potrubí O 125 mm, včetně příslušenství</t>
  </si>
  <si>
    <t>D+M - Tepelná izolace na potrubí, tloušťka izolace 20 mm.</t>
  </si>
  <si>
    <t>Bourání prostupu nosnou stěnou, stropem nebo střechou pro potrubí do DN 250, včetně transportu suti a uložení na skládku + oprava, začištění omítky, u</t>
  </si>
  <si>
    <t>Bourání prostupu příčkou, včetně transportu suti a uložení na skládku + oprava, začištění omítky, utěsnění prostupu a malba</t>
  </si>
  <si>
    <t>Závěsný systém jednoho výrobce - objímky, závěsy, kotvy, příčníky, závitové tyče, konzoly, hmoždinky; vrtání do betonových a jiných konstrukcí; static</t>
  </si>
  <si>
    <t>Manuály</t>
  </si>
  <si>
    <t>Zaškolení</t>
  </si>
  <si>
    <t>Zkušební provoz</t>
  </si>
  <si>
    <t>Energie a jiná media</t>
  </si>
  <si>
    <t>Montáž VZT zařízení</t>
  </si>
  <si>
    <t>Seřízení a zaregulování  celé soustavy, VZT rozvodů a koncových prvků</t>
  </si>
  <si>
    <t>Protokoly, revize, zkoušky, testy</t>
  </si>
  <si>
    <t>Ústřední vytápění</t>
  </si>
  <si>
    <t>D+M - Potrubí Oc 22,0x1,5 mm</t>
  </si>
  <si>
    <t>D+M - Potrubí Oc 28,0x1,5 mm</t>
  </si>
  <si>
    <t>D+M - Potrubí Oc 35,0x1,5 mm</t>
  </si>
  <si>
    <t>D+M - Izolace MV tl. 30 mm + polep ALS fólií na potrubí 22</t>
  </si>
  <si>
    <t>D+M - Izolace MV tl. 30 mm + polep ALS fólií na potrubí 28</t>
  </si>
  <si>
    <t>D+M - Izolace MV tl. 30 mm + polep ALS fólií na potrubí 35</t>
  </si>
  <si>
    <t>D+M - Návleková tepelná izolace PE tl. 25 mm + polep AL fólií na potrubí d 28 mm</t>
  </si>
  <si>
    <t>D+M - Návleková tepelná izolace PE tl. 25 mm + polep AL fólií na potrubí d 35 mm</t>
  </si>
  <si>
    <t>D+M - Kulový kohout závitový, t = 120 °C, PN16, niklovaná mosaz, provedení páka, DN 25</t>
  </si>
  <si>
    <t>D+M - Kulový kohout závitový, t = 120 °C, PN16, niklovaná mosaz, provedení páka, DN 32</t>
  </si>
  <si>
    <t>D+M - Kulový kohout závitový, t = 120 °C, PN16, niklovaná mosaz, provedení páka, DN 40</t>
  </si>
  <si>
    <t>D+M - Zpětná klapka pružinová závitová s gumovým těsněním, t = 110 °C, PN16, mosaz, DN 25</t>
  </si>
  <si>
    <t>D+M - Zpětná klapka pružinová závitová s gumovým těsněním, t = 110 °C, PN16, mosaz, DN 32</t>
  </si>
  <si>
    <t>D+M - Zpětná klapka pružinová závitová s gumovým těsněním, t = 110 °C, PN16, mosaz, DN 40</t>
  </si>
  <si>
    <t>D+M - Filtr závitový, t = 110 °C, PN16, mosaz, DN 25</t>
  </si>
  <si>
    <t>D+M - Filtr závitový, t = 110 °C, PN16, mosaz, DN 32</t>
  </si>
  <si>
    <t>D+M - Filtr závitový, t = 110 °C, PN16, mosaz, DN 40</t>
  </si>
  <si>
    <t>D+M - Teploměr axiální s jímkou L 100 mm, t = 0 až 120 °C, O 80 mm</t>
  </si>
  <si>
    <t>D+M - Manometr axiální (tlakoměr) s jímkou L 100 mm, 0-600 kPa, O 63 mm, vč. tlakoměrného kohoutu</t>
  </si>
  <si>
    <t>D+M - Automatický odvzdušňovací ventil se zpětnou klapkou, t = 110 °C, PN10, mosaz, DN 15</t>
  </si>
  <si>
    <t>D+M - Odvzdušňovací nádobka</t>
  </si>
  <si>
    <t>D+M - Pojistný ventil 3 bar, t = 110 °C, PN10, mosaz, DN 25</t>
  </si>
  <si>
    <t>D+M - Kulový kohout se zajištěním pro údržbu a demontáž expanzní nádoby s integrovaným vypouštěním dle DIN EN 12828, t = 120 °C, PN10, mosaz, DN 20</t>
  </si>
  <si>
    <t>D+M - Kulový kohout se zajištěním pro údržbu a demontáž expanzní nádoby s integrovaným vypouštěním dle DIN EN 12828, t = 120 °C, PN10, mosaz, DN 25</t>
  </si>
  <si>
    <t>D+M - Kulový plnicí a vypouštěcí závitový, t = 120 °C, PN16, niklovaná mosaz, provedení páka, DN 15</t>
  </si>
  <si>
    <t>D+M - Trojcestný směšovací ventil DN 25, ksv = 10 m3/h, 10 bar, -10 až+110 °C, včetně servopohonu 24V, IP 1, 6Nm, doba běhu (nastavitelná) - 15/30/60/</t>
  </si>
  <si>
    <t>D+M - Zátka DN 32</t>
  </si>
  <si>
    <t>D+M - Příruba DN 50</t>
  </si>
  <si>
    <t>D+M - Nový nástěnný kondenzační plynový kotel s nuceným odvodem spalin o výkonu 5,0 až 49,90 kW</t>
  </si>
  <si>
    <t>D+M - Hydraulický vyrovnávač dynamických tlaků (HDTV) pro kaskádu dvou kotlů do výkonu 50 kW</t>
  </si>
  <si>
    <t>D+M - Kombinovaný rozdělovač/sběrač - 3 páry přípojek, Q max 4 m3/h, maximální výkon 50 kW</t>
  </si>
  <si>
    <t>D+M - Stacionární zásobník teplé vody s boční přírubou a jedním výměníkem o objemu 447 l, výkon max. 58 kW</t>
  </si>
  <si>
    <t>D+M - Tlaková expanzní nádoba se zalisovanou nevyměnitelnou membránou, objem 25 litrů</t>
  </si>
  <si>
    <t>D+M - Tlaková expanzní nádoba se zalisovanou nevyměnitelnou membránou, objem 140 litrů</t>
  </si>
  <si>
    <t>D+M - Oddělovací člen s kontaktním vodoměrem, včetně systémového oddělovače</t>
  </si>
  <si>
    <t>D+M - Demineralizační filtr - změkčovací armatura pro první plnění a doplňování topných soustav</t>
  </si>
  <si>
    <t>D+M - Automatické doplňovací zařízení bez čerpadla v nerezovém provedení</t>
  </si>
  <si>
    <t>D+M - Dvojitý konduktometr pro trvalé monitorování kvality vody, včetně nerezových sond</t>
  </si>
  <si>
    <t>D+M - OČ1 - Vysoce účinné oběhové čerpadlo s pokročilými možnostmi řízení 25/100 - 180 mm</t>
  </si>
  <si>
    <t>D+M - OČ2 - Vysoce účinné oběhové čerpadlo s pokročilými možnostmi řízení 25/60 - 180 mm</t>
  </si>
  <si>
    <t>D+M - Neutralizátor kondenzátu, náplň 3,45 kg, včetně držáku na stěnu a zásobníku na kondenzát o objemu 10 l</t>
  </si>
  <si>
    <t>D+M - Systém koaxiálního odkouření Ř 80/125 mm pro jeden plynový kotel</t>
  </si>
  <si>
    <t>Výchozí revize spalinové cesty dle ČSN, včetně technické zprávy</t>
  </si>
  <si>
    <t>D+M - Potrubí PE-RT II/EVOH/PE-RT II 17x2 mm</t>
  </si>
  <si>
    <t>D+M - Dilatační obvodová páska 8x150 mm, s fólií</t>
  </si>
  <si>
    <t>D+M - Rozdělovač podlahového vytápění 1", okruhy 06 + 06</t>
  </si>
  <si>
    <t>D+M - Rozdělovač podlahového vytápění 1", okruhy 07 + 07</t>
  </si>
  <si>
    <t>D+M - Rozdělovač podlahového vytápění 1", okruhy 09 + 09</t>
  </si>
  <si>
    <t>D+M - Skříň kovová pro rozdělovače - podomítková, 715 x 575-665 x 110-175 mm</t>
  </si>
  <si>
    <t>D+M - Skříň kovová pro rozdělovače - podomítková, 795 x 575-665 x 110-175 mm</t>
  </si>
  <si>
    <t>D+M - Kulový ventil (rohový) DN 25, bez teploměrů</t>
  </si>
  <si>
    <t>D+M - Svěrné šroubení pro trubku 17x2 mm, s podložkou</t>
  </si>
  <si>
    <t>D+M - Ochranná trubka (do průměru 18 mm), červená</t>
  </si>
  <si>
    <t>D+M - Ochranná trubka (do průměru 18 mm), modrá</t>
  </si>
  <si>
    <t>D+M - Koleno vodicí 90°, DN 25</t>
  </si>
  <si>
    <t>D+M - Základová deska - polystyren EPS 150, ?D = 0,034 Wm/K, tloušťky 11/31 mm (1400x800 mm), rozteč 50 mm, pro trubky PE-RT  16x2 mm / 17x2 mm</t>
  </si>
  <si>
    <t>D+M - Ekvitermní regulátor s komunikací - Řízení 2x kotel, 3x směšovaný okruh, 1x příprava TUV, 1x cirkulace a 3x multifunkční výstup, vč. komunikace</t>
  </si>
  <si>
    <t>D+M - Rozšiřovací sada směšovače (montovaná na stěnu)</t>
  </si>
  <si>
    <t>D+M - Dálkové ovládání - prostorový přístroj se sběrnicí KM-BUS</t>
  </si>
  <si>
    <t>D+M - Venkovní čidlo teploty, Charakteristika 1kOhm, časová konstanta 12 min, měřící rozsah -50...+70°C</t>
  </si>
  <si>
    <t>D+M - Deska relé</t>
  </si>
  <si>
    <t>D+M - Čidlo teploty TUV (do jímky)</t>
  </si>
  <si>
    <t>D+M - Čidlo teploty otopné vody (příložné)</t>
  </si>
  <si>
    <t>D+M - GSM modul</t>
  </si>
  <si>
    <t>D+M - Záloha napájení pro GSM modul</t>
  </si>
  <si>
    <t>D+M - Webserver pro 1 přístroj</t>
  </si>
  <si>
    <t>D+M - Ovládací panel (k osazení do dvířek rozvaděče)</t>
  </si>
  <si>
    <t>D+M - Plastová krytka pro ovládací panel</t>
  </si>
  <si>
    <t>D+M - Plochý kabel pro ovládací panel</t>
  </si>
  <si>
    <t>D+M - Svorky pro regulátor</t>
  </si>
  <si>
    <t>D+M - Předřadník</t>
  </si>
  <si>
    <t>D+M - Kabeláž</t>
  </si>
  <si>
    <t>D+M - Lišta plastová vkládací 60x40 mm</t>
  </si>
  <si>
    <t>D+M - Montážní a instalační materiál, trubky, chráničky</t>
  </si>
  <si>
    <t>D+M - Drobný montážní a spojovací materiál</t>
  </si>
  <si>
    <t>D+M - Montážní práce MaR-propojení čidel, ventilů a čerpadel s kotlovou regulací</t>
  </si>
  <si>
    <t>D+M - Naparametrování regulátorů kotelny a ovladačů zón</t>
  </si>
  <si>
    <t>D+M - Inženýrské a kompletační práce</t>
  </si>
  <si>
    <t>D+M - Kompletní zkoušky a seřízení</t>
  </si>
  <si>
    <t>D+M - Revize</t>
  </si>
  <si>
    <t>D+M - Zaškolení obsluhy</t>
  </si>
  <si>
    <t>Vyregulování otopné soustavy - projekční práce</t>
  </si>
  <si>
    <t>Vyregulování otopné soustavy - montážní práce, včetně tlakových zkoušek a revizí</t>
  </si>
  <si>
    <t>Vyvážení všech seřizovacích armatur, včetně tlakových zkoušek a revizí</t>
  </si>
  <si>
    <t>Bourání prostupu nosnou stěnou a stropem dvojic pro potrubí do DN 50, včetně transportu suti a uložení na skládku + oprava, začištění omítky, utěsnění</t>
  </si>
  <si>
    <t>Bourání prostupu příčkou dvojic pro potrubí do DN 50, včetně transportu suti a uložení na skládku + oprava, začištění omítky, utěsnění prostupu a malb</t>
  </si>
  <si>
    <t>Topná zkouška celého zařízení 72 hodin</t>
  </si>
  <si>
    <t>Tlaková zkouška celého zařízení</t>
  </si>
  <si>
    <t>Vypuštění otopné soustavy</t>
  </si>
  <si>
    <t>Napuštění otopné soustavy</t>
  </si>
  <si>
    <t>Proplach soustavy</t>
  </si>
  <si>
    <t>Konstrukce tesařské</t>
  </si>
  <si>
    <t>Profilování hranolů - zkosení hran - ručně -pro prvky ozn.T06 a T07 - čelní dvě hrany</t>
  </si>
  <si>
    <t>Hoblování tesařských prvků - ručně -pro prvky ozn.T06 a T07</t>
  </si>
  <si>
    <t>Montáž dřevěných prvků na fasádě, vč.dodávky hranolku 60/30 mm, ozn.T06 -provedení dle popisu v PD</t>
  </si>
  <si>
    <t>Montáž dřevěných prvků na fasádě, vč.dodávky hranolku 60/30 mm, ozn.T07 -provedení dle popisu v PD</t>
  </si>
  <si>
    <t>Montáž obložení atiky,OSB desky,1vrst.,šroubováním vč.dodávky desky OSB ECO 3 N tl. 22 mm, ozn.T05 -úplné provedení dle popisu v PD a detailu Det6</t>
  </si>
  <si>
    <t>Spojovací a ochranné prostř. obložení stěn, stropů -pro T05</t>
  </si>
  <si>
    <t>Přesun hmot pro tesařské konstrukce, výšky do 12 m</t>
  </si>
  <si>
    <t>Konstrukce klempířské</t>
  </si>
  <si>
    <t>Oplechování soklu rampy z lakovaného Pz plechu tl.0,6mm, rš 100 mm ozn.K05</t>
  </si>
  <si>
    <t>Oplechování parapetů, lakovaný Pz plech tl.0,6mm, rš 205 mm ozn.K03</t>
  </si>
  <si>
    <t>Oplechování parapetů, lakovaný Pz plech tl.0,6mm, rš 280 mm ozn.K01</t>
  </si>
  <si>
    <t>Oplechování parapetů, lakovaný Pz plech tl.0,6mm, rš 300 mm ozn.K02</t>
  </si>
  <si>
    <t>Oplechování zdí (atik) z plechu tl.0,6mm s povfch.úpravou PE (polyester), rš 310 mm ozn.K04</t>
  </si>
  <si>
    <t>Přesun hmot pro klempířské konstr., výšky do 12 m</t>
  </si>
  <si>
    <t>Konstrukce truhlářské</t>
  </si>
  <si>
    <t>M+D Sanitární příčka pro WC s dveřmi 1670/2050 mm, ozn.T03 -úplné provedení dle popisu v PD</t>
  </si>
  <si>
    <t>M+D Sanitární příčka pro WC s dveřmi 1840+1750/2050 mm, ozn.T04 -úplné provedení dle popisu v PD</t>
  </si>
  <si>
    <t>M+D Ochrana stěn na chodbě vč.dodávky a povrch.úpravy -provedení dle popisu v PD</t>
  </si>
  <si>
    <t>Těsnění okenní spáry, ostění, PT fólie+ PP páska, folie š.100 mm, páska tl. 6 mm, š. 20 mm</t>
  </si>
  <si>
    <t>Těsnění oken.spáry,parapet,PT folie+PP folie+páska, PT folie š.100 mm; PP folie š.100 mm+páska tl.6 mm</t>
  </si>
  <si>
    <t>Montáž oken plastových plochy do 1,50 m2</t>
  </si>
  <si>
    <t>Okno plastové jednodílné 80 x 100 cm OS, ozn.F02 -provedení dle popisu v PD</t>
  </si>
  <si>
    <t>Montáž oken plastových plochy do 2,70 m2</t>
  </si>
  <si>
    <t>Okno plastové jednodílné 100 x 200 cm OS, ozn.F01 -provedení dle popisu v PD</t>
  </si>
  <si>
    <t>Okno plastové jednodílné 80 x 200 cm OS, ozn.F03 -provedení dle popisu v PD</t>
  </si>
  <si>
    <t>Okno plastové jednodílné 100 x 200 cm OS, ozn.F05 -provedení dle popisu v PD</t>
  </si>
  <si>
    <t>Montáž vchodových dveří plastových</t>
  </si>
  <si>
    <t>Dveře vchodové plastové 1křídlové 110x220 cm, ozn.F04 -provedení dle popisu v PD</t>
  </si>
  <si>
    <t>Doplňky oken-přívodní okenní štěrbina -montáž a dodávka, ozn.Os17 -provedení dle popisu v PD</t>
  </si>
  <si>
    <t>M+D Dveře vnitřní 700/1970mm vč.kování, povrch.úpravy -provedení dle PD, ozn.D4</t>
  </si>
  <si>
    <t>M+D Dveře vnitřní 800/1970mm vč.kování, povrch.úpravy -provedení dle PD, ozn.D3</t>
  </si>
  <si>
    <t>M+D Dveře vnitřní 900/1970mm vč.kování, povrch.úpravy -provedení dle PD, ozn.D2</t>
  </si>
  <si>
    <t>M+D Dveře vnitřní požární 700/1970mm vč.kování, povrch.úpravy -provedení dle PD, ozn.D4</t>
  </si>
  <si>
    <t>M+D Dveře vnitřní požární 800/1970mm vč.kování, povrch.úpravy -provedení dle PD, ozn.D3</t>
  </si>
  <si>
    <t>M+D Dveře vnitřní požární 900/1970mm vč.kování, povrch.úpravy -provedení dle PD, ozn.D2</t>
  </si>
  <si>
    <t>Seříznutí dveřních křídel  kompletizovaných ozn.D2+D4</t>
  </si>
  <si>
    <t>M+D Dveře vnitřní prosklené posuvné 1250/2100mm vč.kování, povrch.úpravy -provedení dle PD, ozn.D1</t>
  </si>
  <si>
    <t>Přípl.-úprava zámků pro generální klíč ozn.D2+D3+D4</t>
  </si>
  <si>
    <t>Přípl.-dveřní zarážky a stavěče ozn.D2</t>
  </si>
  <si>
    <t>Přípl.-madlo na dveřích ozn.D2</t>
  </si>
  <si>
    <t>M+D Kuchyňská linka pro zaměstnance dl.2,8 m ozn.Os11 -provedení dle popisu v PD</t>
  </si>
  <si>
    <t>M+D Kuchyňská linka pro uživatele dl.5,5 m ozn.Os11 -provedení dle popisu v PD</t>
  </si>
  <si>
    <t>Přesun hmot pro truhlářské konstr., výšky do 12 m</t>
  </si>
  <si>
    <t>Konstrukce doplňkové stavební (zámečnické)</t>
  </si>
  <si>
    <t>M+D Kotvící prvek fasádních dřev.profilů ozn.Z03 -provedení dle popisu v PD</t>
  </si>
  <si>
    <t>M+D Zábradlí u venkovní rampy ozn.Z01 -provedení dle popisu v PD</t>
  </si>
  <si>
    <t>M+D Závitové tyče pro kotvení zábradlí a nosníky dřev.profilů na fasádě ozn.Os12 -úplné provedení dle popisu v PD</t>
  </si>
  <si>
    <t>M+D Zábradlí vnitřního schodiště ozn.Z04 -úplné provedení dle popisu v PD</t>
  </si>
  <si>
    <t>M+D Nerezová madla podél schodiště ozn.Z05 -úplné provedení dle popisu v PD</t>
  </si>
  <si>
    <t>M+D Přestřešení hlavního vstupu ozn.Z08 -úplné provedení dle popisu v PD</t>
  </si>
  <si>
    <t>M+D Prahový nerez úhelník v hlavním vstupu ozn.Z06 -úplné provedení dle popisu v PD</t>
  </si>
  <si>
    <t>M+D Úhelník ukonč.podlah.vrstvy ozn.Z07 -úplné provedení dle popisu v PD</t>
  </si>
  <si>
    <t>M+D Al fasádní systém s dveřmi 4650+4380/5700mm ozn.F06 -provedení dle popisu v PD</t>
  </si>
  <si>
    <t>M+D Vnitřní Al proskl.stěna s aut.posuv.dveřmi 70802400mm ozn.D5 -provedení dle popisu v PD</t>
  </si>
  <si>
    <t>M+D Revizní dvířka pro hlavní uzávěry 600x600mm ozn.Os6 -provedení dle popisu v PD</t>
  </si>
  <si>
    <t>M+D Revizní dvířka pro čistící kusy kanalizace 300x175mm ozn.Os7 -provedení dle popisu v PD</t>
  </si>
  <si>
    <t>M+D Plech.dvířka do niky HUP 450x500mm ozn.Os18 -provedení dle popisu v PD</t>
  </si>
  <si>
    <t>M+D Žebřík s ochranným košem ozn.Z02 -provedení dle popisu v PD</t>
  </si>
  <si>
    <t>M+D Pomocná kce pro ukotvení proskl.interiér.stěny ozn.Z09 -provedení dle popisu v PD</t>
  </si>
  <si>
    <t>M+D ocel.sloupů z tenkostěnných uzavřených profilů -provedení dle popisu v PD</t>
  </si>
  <si>
    <t>M+D Záchytný systém ozn.Os5 -úplné provedení dle popisu v PD</t>
  </si>
  <si>
    <t>M+D Venkovní samočistící rohož 1200/800 mm vč.vaničky a rámu a stěrk.hydroizolace ozn.Os15 -úplné provedení dle popisu v PD</t>
  </si>
  <si>
    <t>M+D Vjezdová brána dvoukřídlá 3400/1450mm ozn.Z10 -úplné provedení dle popisu v PD</t>
  </si>
  <si>
    <t>M+D Nástěnný háček na oděv dle popisu v PD -ozn.Os10</t>
  </si>
  <si>
    <t>M+D Zásobník na papírové ručníky dle popisu v PD -ozn.Os10</t>
  </si>
  <si>
    <t>M+D WC štětka závěsná dle popisu v PD -ozn.Os10</t>
  </si>
  <si>
    <t>M+D Zásobník na toaletní papír dle popisu v PD -ozn.Os10</t>
  </si>
  <si>
    <t>M+D Dávkovač na tekuté mýdlo dle popisu v PD -ozn.Os10</t>
  </si>
  <si>
    <t>M+D Hydrantová skříň dle popisu v PD -ozn.Os1</t>
  </si>
  <si>
    <t>M+D Držák na anténu dle popisu v PD -ozn.Os8</t>
  </si>
  <si>
    <t>M+D Orientační systém dle popisu v PD -ozn.Os9</t>
  </si>
  <si>
    <t>Přesun hmot pro zámečnické konstr., výšky do 12 m</t>
  </si>
  <si>
    <t>Podlahy z dlaždic</t>
  </si>
  <si>
    <t>Hydroizolační stěrka -vlhké provozy- pod dlažby -skladba E, bod 2 + skladba H, bod 2 + skladba I, bod 2</t>
  </si>
  <si>
    <t>Vyrovnání podkladů samonivelační stěrka tl.3 mm -skladba J, bod 2</t>
  </si>
  <si>
    <t>Penetrace podkladu pod dlažby -skladba E, bod 1 + skladba H, bod 1 + skladba J, bod 1</t>
  </si>
  <si>
    <t>Kladení dlažby keramické do TM, vel. do 600x600 mm -skladba E, bod 1 + skladba H, bod 1</t>
  </si>
  <si>
    <t>Kladení dlažby keramické a soklu do TM-schodiště, vč.dodávky dlažby dle výběru investora -skladba J, bod 1</t>
  </si>
  <si>
    <t>Dlažba keramická protiskluzná-veřejné prostory -dle výběru investora</t>
  </si>
  <si>
    <t>Dlažba keramická protiskluzná-veřejné sprchy -dle výběru investora</t>
  </si>
  <si>
    <t>Obklad soklíků keram.rovných, tmel,výška 10 cm -skladba E, bod 1</t>
  </si>
  <si>
    <t>Dlažba pro soklíky výšky 100mm -dle výběru investora</t>
  </si>
  <si>
    <t>Lišta přechodová nerez, montáž a dodávka -dle výběru investora</t>
  </si>
  <si>
    <t>Spára podlaha - stěna, silikonem+separač.provazec -skladba E, bod 1 + skladba H, bod 1</t>
  </si>
  <si>
    <t>Příplatek za spárování vodotěsnou hmotou - plošně -skladba E, bod 1 + skladba H, bod 1</t>
  </si>
  <si>
    <t>Příplatek za plochu do 5 m2 jednotlivě -skladba E, bod 1 + skladba H, bod 1</t>
  </si>
  <si>
    <t>Přesun hmot pro podlahy z dlaždic, výšky do 12 m</t>
  </si>
  <si>
    <t>Podlahy povlakové</t>
  </si>
  <si>
    <t>Vysávání podlah prům.vysavačem pod povlak.podlahy -skladba F, bod 1 + skladba G, bod 1</t>
  </si>
  <si>
    <t>Vyrovnání podkladů samonivelační hmotou-samonivelační stěrka do tl.3 mm -skladba F, bod 1 + skladba G, bod 1</t>
  </si>
  <si>
    <t>Penetrace podkladu pod.povlak.podlahy -skladba F, bod 1 + skladba G, bod 1</t>
  </si>
  <si>
    <t>Lepení podlahových soklíků z PVC a vinylu včetně dodávky soklíku PVC -dle výběru investora -skladba F, bod 1 + skladba G, bod 1</t>
  </si>
  <si>
    <t>Lepení povlak.podlah z pásů PVC -skladba F, bod 1 + skladba G, bod 1</t>
  </si>
  <si>
    <t>Homogenní PVC tř.zátěže 34 -dle výběru investora</t>
  </si>
  <si>
    <t>Rohož textilní čistící tl. 15 mm -skladba I, bod 1 -montáž a dodávka, ozn.Os3</t>
  </si>
  <si>
    <t>Rám pro zapuštění z Al profilů L -skladba I, bod 1 -montáž a dodávka</t>
  </si>
  <si>
    <t>Přesun hmot pro podlahy povlakové, výšky do 12 m</t>
  </si>
  <si>
    <t>Obklady (keramické)</t>
  </si>
  <si>
    <t>Hydroizolační stěrka -vlhké provozy- pod obklady</t>
  </si>
  <si>
    <t>Penetrace podkladu pod obklady</t>
  </si>
  <si>
    <t>Obkládání ostění do tmele šířky do 300 mm, vč.dodávky obkladu</t>
  </si>
  <si>
    <t>Obkládání parapetů do tmele šířky do 300 mm, vč.dodávky obkladu -ozn.T02, (také předstěny)</t>
  </si>
  <si>
    <t>Montáž obkladů stěn, porovin.,tmel, do 20x25 cm</t>
  </si>
  <si>
    <t>Obkládačka keramická -dle výběru investora</t>
  </si>
  <si>
    <t>Delta listela -dle výběru investora</t>
  </si>
  <si>
    <t>Montáž obkladů stěn, porovin.,tmel, do 20x25 cm -kuchyňské linky</t>
  </si>
  <si>
    <t>Příplatek za spárovací vodotěsnou hmotu - plošně</t>
  </si>
  <si>
    <t>Montáž lišt k obkladům -nárožních,koutových, horních</t>
  </si>
  <si>
    <t>Profil ukončovací plast -dle výběru investora</t>
  </si>
  <si>
    <t>Profil nárožní plast -dle výběru investora</t>
  </si>
  <si>
    <t>Přesun hmot pro obklady keramické, výšky do 12 m</t>
  </si>
  <si>
    <t>Nátěry</t>
  </si>
  <si>
    <t>Nátěr syntetický kov. konstr. 3x vrchní -zárubně</t>
  </si>
  <si>
    <t>Nátěr syntetický kovových konstrukcí základní 2x -zárubně</t>
  </si>
  <si>
    <t>Nátěr synt. lazurovací tesařských konstr. 3x lak -prvky ozn.T06 a T07</t>
  </si>
  <si>
    <t>Odmaštění chemickými rozpouštědly -zárubně</t>
  </si>
  <si>
    <t>Malby</t>
  </si>
  <si>
    <t>Oprášení/ometení podkladu-podhledy SDK</t>
  </si>
  <si>
    <t>Oprášení/ometení podkladu-stěny,ostění, schodiště, SDK</t>
  </si>
  <si>
    <t>Broušení štuků a nových omítek-stěny,ostění, schodiště</t>
  </si>
  <si>
    <t>Zakrytí podlah včetně papírové lepenky</t>
  </si>
  <si>
    <t>Penetrace podkladu nátěrem s vysokou kryvostí-podhledy SDK</t>
  </si>
  <si>
    <t>Penetrace podkladu nátěrem s vysokou kryvostí-stěny,ostění, schodiště, SDK</t>
  </si>
  <si>
    <t>Malba otěruvzdorná, prodyšná, bílá, 2x-podhledy SDK</t>
  </si>
  <si>
    <t>Malba otěruvzdorná, prodyšná, bílá, 2x-stěny,ostění, schodiště, SDK</t>
  </si>
  <si>
    <t>Pačokování 1x vápenné mléko-stěny,ostění, schodiště</t>
  </si>
  <si>
    <t>Elektromontáže-silnoproud</t>
  </si>
  <si>
    <t>Vybourání otvorů ve zdivu cihelném D do 60 mm na MVC nebo MV tl do 300 mm</t>
  </si>
  <si>
    <t>Vybourání otvorů ve zdivu cihelném D do 150 mm na MVC nebo MV tl do 300 mm</t>
  </si>
  <si>
    <t>Vysekání kapes ve zdivu cihelném na MV nebo MVC pl do 0,10 m2 hl do 150 mm</t>
  </si>
  <si>
    <t>Vysekání rýh pro vodiče v omítce MC stěn š do 30 mm</t>
  </si>
  <si>
    <t>Vysekání rýh pro vodiče v omítce MC stěn š do 70 mm</t>
  </si>
  <si>
    <t>Celková prohlídka elektrického rozvodu a zařízení do 5 milionu Kč</t>
  </si>
  <si>
    <t>Montáž rozvodné skříně do 50 kg</t>
  </si>
  <si>
    <t>Rozvaděč RH  ( viz výkres č. E06 ) vč. vybavení TOTAL STOP</t>
  </si>
  <si>
    <t>Kontrola přívodů a napojovacího bodu</t>
  </si>
  <si>
    <t>Přípojnice hlavního /lokálního pospojení</t>
  </si>
  <si>
    <t>Koordinace s provozovatelem / investorem</t>
  </si>
  <si>
    <t>Montáž trubka plastová ohebná D 23 mm uložená pevně</t>
  </si>
  <si>
    <t>trubka elektroinstalační ohebná D23 mm</t>
  </si>
  <si>
    <t>Montáž trubka plastová ohebná D 36 mm uložená pevně</t>
  </si>
  <si>
    <t>trubka elektroinstalační ohebná D36 mm</t>
  </si>
  <si>
    <t>Montáž trubka plastová ohebná D 13,5 mm uložená pevně</t>
  </si>
  <si>
    <t>trubka elektroinstalační ohebná D 13,5 mm</t>
  </si>
  <si>
    <t>Montáž krabice zapuštěná plastová kruhová typ KU68/2-1902, KO125</t>
  </si>
  <si>
    <t>krabice přístrojová instalační KP 68/1</t>
  </si>
  <si>
    <t>krabice univerzální z PH KU 68/2-1903</t>
  </si>
  <si>
    <t>krabice přístrojová odbočná s víčkem z PH KO125</t>
  </si>
  <si>
    <t>Montáž krabice zapuštěná plastová čtyřhranná typ KO100, KO125</t>
  </si>
  <si>
    <t>Krabice  IP65</t>
  </si>
  <si>
    <t>Montáž vodič uzemňovací drát nebo lano D do 10 mm / v liště / pod omítkou</t>
  </si>
  <si>
    <t>drát průměr 10 mm FeZn</t>
  </si>
  <si>
    <t>Montáž svorka hromosvodná typ ST, SJ, SK, SZ, SR01, 02 se 3 šrouby</t>
  </si>
  <si>
    <t>svorka uzemnění  SU nerez univerzální</t>
  </si>
  <si>
    <t>Kabelový drátěný žlab vč. výložníků, spoj.materiálu š. 400mm</t>
  </si>
  <si>
    <t>Lišta vkládací s víkem 40x40mm</t>
  </si>
  <si>
    <t>Trubka korugovaná 50/41</t>
  </si>
  <si>
    <t>Trubka korugovaná 100/91</t>
  </si>
  <si>
    <t>Montáž vodič Cu izolovaný sk.1 do 1 kV žíla 0,35 až 6 mm2 do stěny</t>
  </si>
  <si>
    <t>vodič silový s Cu jádrem CY H07 V-U 2 mm2</t>
  </si>
  <si>
    <t>vodič silový s Cu jádrem CY H07 V-U 4 mm2</t>
  </si>
  <si>
    <t>vodič silový s Cu jádrem CY H07 V-U 6 mm2</t>
  </si>
  <si>
    <t>Montáž vodič Cu izolovaný sk.1 do 1 kV žíla 10 až 16 mm2 do stěny</t>
  </si>
  <si>
    <t>vodič silový s Cu jádrem CY H07 V-U 10 mm2</t>
  </si>
  <si>
    <t>vodič silový s Cu jádrem CY H07 V-U 16 mm2</t>
  </si>
  <si>
    <t>Montáž kabel Cu sk.2 do 1 kV do 0,20 kg pod omítku stěn</t>
  </si>
  <si>
    <t>kabel silový s Cu jádrem CYKY-J 3x1,5 mm2</t>
  </si>
  <si>
    <t>kabel silový s Cu jádrem CYKY-O 3x1,5 mm2</t>
  </si>
  <si>
    <t>kabel silový s Cu jádrem CYKY-O 2x1,5 mm2</t>
  </si>
  <si>
    <t>Montáž kabel Cu sk.2 do 1 kV do 0,40 kg pod omítku stěn</t>
  </si>
  <si>
    <t>kabel silový s Cu jádrem CYKY 5x1,5 mm2</t>
  </si>
  <si>
    <t>kabel silový s Cu jádrem CHK-R 3x1,5 mm2</t>
  </si>
  <si>
    <t>kabel silový s Cu jádrem CYKY 5x2,5 mm2</t>
  </si>
  <si>
    <t>kabel silový s Cu jádrem CYKY 3x2,5 mm2</t>
  </si>
  <si>
    <t>Ukončení vodič izolovaný do 2,5mm2 v rozváděči nebo na přístroji</t>
  </si>
  <si>
    <t>SVORKA 221-415 5x2,5</t>
  </si>
  <si>
    <t>SVORKA ST 5 NA POTRUBI</t>
  </si>
  <si>
    <t>OZNAC.STITEK C.1</t>
  </si>
  <si>
    <t>páska stahovací kabelová VPP 4/280</t>
  </si>
  <si>
    <t>Ukončení vodič izolovaný do 16 mm2 v rozváděči nebo na přístroji</t>
  </si>
  <si>
    <t>Montáž pospojení</t>
  </si>
  <si>
    <t>Sada pro ochranné pospojení</t>
  </si>
  <si>
    <t>Montáž vypínač nástěnný 1-jednopólový prostředí obyčejné nebo vlhké</t>
  </si>
  <si>
    <t>spínač jednopólový řazení 1 10A bílý, IP20, komplet</t>
  </si>
  <si>
    <t>spínač jednopólový řazení 1 10A bílý, IP44, komplet</t>
  </si>
  <si>
    <t>Montáž vypínač nástěnný 5-dvoupólový prostředí obyčejné nebo vlhké</t>
  </si>
  <si>
    <t>spínač jednopólový řazení 5 10A bílý, IP20, komplet</t>
  </si>
  <si>
    <t>Montáž přepínač nástěnný 6-střídavý prostředí obyčejné nebo vlhké</t>
  </si>
  <si>
    <t>spínač řazení 6 10A bílý IP20, komplet</t>
  </si>
  <si>
    <t>spínač řazení 6+6 10A bílý IP20, komplet</t>
  </si>
  <si>
    <t>Montáž přepínač nástěnný 7-křížový prostředí obyčejné nebo vlhké</t>
  </si>
  <si>
    <t>spínač řazení 7 10A bílý IP20</t>
  </si>
  <si>
    <t>Krabice vývodka do 5x2,5mm2</t>
  </si>
  <si>
    <t>Montáž zásuvka chráněná bezšroubové připojení v krabici L+N+PE dvojí zapojení prostř. základní,vlhké</t>
  </si>
  <si>
    <t>zásuvka 2násobná 16A IP 20 bílá komplet</t>
  </si>
  <si>
    <t>zásuvka 1násobná 16A IP 44 bílá komplet</t>
  </si>
  <si>
    <t>zásuvka 2násobná 16A IP 20 bílá komplet  s přepěťovou ochranou "D"</t>
  </si>
  <si>
    <t>Pohybové čidlo - spínání VZT</t>
  </si>
  <si>
    <t>Pohybové čildo IR - 360° / 6m</t>
  </si>
  <si>
    <t>Tlačítko TOTAL STOP v krabici</t>
  </si>
  <si>
    <t>Podružný montážní materiál</t>
  </si>
  <si>
    <t>Montáž svítidlo zářivkové bytové stropní do dvou zdrojů</t>
  </si>
  <si>
    <t>A - Zářivkové svítidlo, AL lešť.mříž, přisazené, elektronický předř.,IP20,1x58W</t>
  </si>
  <si>
    <t>A/IR - Zářivkové svítidlo, AL lešť.mříž, přisazené, elektronický předř.,IP20,1x58W s IR pohybovým čidlem</t>
  </si>
  <si>
    <t>A/N - Zářivkové svítidlo, AL lešť.mříž, přisazené, elektronický předř.,IP20,1x58W s invertorem 1 hod</t>
  </si>
  <si>
    <t>B - Zářivkové svítidlo s opálovým krytem, IP40/65,4x14W</t>
  </si>
  <si>
    <t>B/IR - Zářivkové svítidlo s opálovým krytem, IP40/65,4x14W s pohybovým čidlem</t>
  </si>
  <si>
    <t>C - Zářivkové svítidlo , elektronický předř.,opálový kryt , 2x58W</t>
  </si>
  <si>
    <t>C/N - Zářivkové svítidlo , elektronický předř.,opálový kryt , 2x58W invertorem 1 hod</t>
  </si>
  <si>
    <t>D - Zářivkové svítidlo , IP20,2x26W</t>
  </si>
  <si>
    <t>D/IR - Zářivkové svítidlo , IP20,2x26W s pohybovým čidlem</t>
  </si>
  <si>
    <t>D/N - Zářivkové svítidlo , IP20,2x26W s invertorem 1 hod</t>
  </si>
  <si>
    <t>D/N/IR - Zářivkové svítidlo , IP20,2x26W s invertorem 1 hod a pohybovým čidlem</t>
  </si>
  <si>
    <t>E/IR - Zářivkové svítidlo, IP40,44W s pohybovým čidlem</t>
  </si>
  <si>
    <t>Montáž svítidlo zářivkové bytové nástěnné přisazené 1 zdroj</t>
  </si>
  <si>
    <t>N - Svítidlo LED nouzové s piktogramy 8W/1 hod</t>
  </si>
  <si>
    <t>zkouška nouzových svítidel</t>
  </si>
  <si>
    <t>Měření intenzity osvětlení</t>
  </si>
  <si>
    <t>zemnící drát FeZn d10</t>
  </si>
  <si>
    <t>svorka SR03 (páska-drát)</t>
  </si>
  <si>
    <t>Svorka AB vč. pásky Cu</t>
  </si>
  <si>
    <t>zemnící drát AlMgSi d8 polotvrdý</t>
  </si>
  <si>
    <t>zemnicí páska FeZn 30/4</t>
  </si>
  <si>
    <t>zemnící páska FeZn 30/4</t>
  </si>
  <si>
    <t>Svorka zkušební ZS</t>
  </si>
  <si>
    <t>Svorka SR02</t>
  </si>
  <si>
    <t>Ochranná trubka vč. držáků</t>
  </si>
  <si>
    <t>svorka SU</t>
  </si>
  <si>
    <t>svorka SK</t>
  </si>
  <si>
    <t>svorka SO</t>
  </si>
  <si>
    <t>Podružný, spojovací, připojovací, kotevní a upevňovací materiál, svorky a - veškeré příslušenství,</t>
  </si>
  <si>
    <t>Podružný, spojovací, připojovací, kotevní a upevňovací materiál, svorky a - veškeré příslušenství</t>
  </si>
  <si>
    <t>Dokumentace skutečného provedení stavby -není součástí položky ve VRN</t>
  </si>
  <si>
    <t>Koordinace vypnutí stavby, prozatímní napájení staveništního rozvaděče</t>
  </si>
  <si>
    <t>práce ve výšce nad 3m</t>
  </si>
  <si>
    <t>Náklady na zkušební provoz</t>
  </si>
  <si>
    <t>Stavební přípomoce</t>
  </si>
  <si>
    <t>Materiál pro stavební přípomoce / zához rýh pro vodiče a kabely</t>
  </si>
  <si>
    <t>Opatření proti prašnosti a úklid</t>
  </si>
  <si>
    <t>Ekologická likvidace odpadů</t>
  </si>
  <si>
    <t>Elektroinstalace-slaboproud</t>
  </si>
  <si>
    <t>Celková prohlídka rozvodu vč. 22x dílčí  měření paprsků UTP</t>
  </si>
  <si>
    <t>RACK - 600x800x600 mm / IP54 , 1x patch panel 24 , vyvazovací panely, DVR týdenní, propojovací kabely, podružný a spojovací materiál, …..</t>
  </si>
  <si>
    <t>Kontrola přívodů / úpravy bodu napojení</t>
  </si>
  <si>
    <t>Ochranné pospojení</t>
  </si>
  <si>
    <t>Trubka plastová ohebná D 13,5mm</t>
  </si>
  <si>
    <t>Lišta vkládací 40x40mm</t>
  </si>
  <si>
    <t>Kabel sdělovací ÚTP cat 6</t>
  </si>
  <si>
    <t>Kabel sdělovací SYKFY 3x2x0,5mm2</t>
  </si>
  <si>
    <t>Montáž zásuvka chráněná bezšroubové připojení v krabici ( MN )  dvojí zapojení prostř. základní,vlhké</t>
  </si>
  <si>
    <t>zásuvka datová 2xRJ45 komplet</t>
  </si>
  <si>
    <t>Autonomní detektor kouře</t>
  </si>
  <si>
    <t>Ústředna EZS vč. napojení na PCO</t>
  </si>
  <si>
    <t>Ústředna EZS</t>
  </si>
  <si>
    <t>EZS - čidlo PIR</t>
  </si>
  <si>
    <t>Kamera CCTV vnitřní vč. držáku, pouzdra a příslušenství</t>
  </si>
  <si>
    <t>Kamera CCTV venkovní vč. držáku, pouzdra a příslušenství</t>
  </si>
  <si>
    <t>EZS - vstupní klávesnice</t>
  </si>
  <si>
    <t>WIFI</t>
  </si>
  <si>
    <t>EZS - magnetické čidlo</t>
  </si>
  <si>
    <t>Domácí videotelefon, 1x uvolňovací tl. vstupu</t>
  </si>
  <si>
    <t>Domácí videotelefon - zvonkové tablo 2x účastníci</t>
  </si>
  <si>
    <t>El.zámek</t>
  </si>
  <si>
    <t>EZS - akustické a světelné návěští</t>
  </si>
  <si>
    <t>Jednotný čás</t>
  </si>
  <si>
    <t>Hodiny analogové DCF signal, bateriové</t>
  </si>
  <si>
    <t>EZS - tlačítko nouze</t>
  </si>
  <si>
    <t>SOS systém</t>
  </si>
  <si>
    <t>SOS systém ( centrální jednotka se zdrojem, 2x zahový spínač, 1x spínač, 1x akustické a světelné návěští, vč. příslušenství, …...</t>
  </si>
  <si>
    <t>Podružný, spojovací, připojovací, kotevní a upevňovací materiál, svorky, návlečky, označovací prvky a  veškeré příslušenství</t>
  </si>
  <si>
    <t>Dokumentace skutečného provedení stavby není součástí položky ve VRN</t>
  </si>
  <si>
    <t>Pomocné montážní práce ( přesun a úpravy  rozvaděčů, dodatečné a prozatímní zprovoznění linek, …. )</t>
  </si>
  <si>
    <t>Dopravní řešení</t>
  </si>
  <si>
    <t>Přípravné a přidružené práce</t>
  </si>
  <si>
    <t>Rozebrání dlažeb ze zámkové dlažby v kamenivu -skladba ZP3</t>
  </si>
  <si>
    <t>Odstranění podkladu nad 50 m2,kam.těžené tl.do 5 cm -skladba ZP3</t>
  </si>
  <si>
    <t>Odkopávky nezapažené v hornině 1-4, bourání povrchu a podkladu, naložení, odvoz 10 km, uložení, skládkovné -skladba ZP1 + ZP2</t>
  </si>
  <si>
    <t>Podkladní vrstvy komunikací, letišť a ploch</t>
  </si>
  <si>
    <t>Podsyp ze štěrkodrti fr.16-32 po zhutnění tloušťky 10 cm -skladba ZP2</t>
  </si>
  <si>
    <t>Podsyp ze štěrkodrti fr.32/64 po zhutnění tloušťky 15 cm -skladba ZP2</t>
  </si>
  <si>
    <t>Podklad ze štěrkodrti ŠDa po zhutnění tloušťky 18 cm -skladba ZP1</t>
  </si>
  <si>
    <t>Podklad z mechanicky zpevněného kameniva tl. 12 cm -skladba ZP1</t>
  </si>
  <si>
    <t>Kladení zámkové dlažby tl. 8 cm do drtě tl. 4 cm -skladba ZP1</t>
  </si>
  <si>
    <t>Dlažba zámková 20/10/8cm přírodní</t>
  </si>
  <si>
    <t>Kladení zámkové dlažby tl. 8 cm do drtě tl. 4 cm -přeskládání stáv.zpev.plochy s doplněním dlaždic (20%) -skladba ZP3</t>
  </si>
  <si>
    <t>Kladení bet.veget.dlaždic,lože 40 mm,pl.do 50 m2 -skladba ZP2</t>
  </si>
  <si>
    <t>Příplatek za výpl.spár veg.bet.dlaždic s dodávkou výplně -skladba ZP2</t>
  </si>
  <si>
    <t>Dlažba betonová zatravňovací 600x400x80 mm, spotřeba 4,17 ks/m2</t>
  </si>
  <si>
    <t>Příplatek za vodorovné značení barevně odlišnými tvárnicemi</t>
  </si>
  <si>
    <t>Montáž liniového polymerbeton.odvodňov.žlabu s roštem š.150mm vč.dodávky</t>
  </si>
  <si>
    <t>Vpusť k žlabu polymerbetonová</t>
  </si>
  <si>
    <t>Osaz.sloupku dopr.značky vč. bet.základu+Al patka</t>
  </si>
  <si>
    <t>Sloupek Fe 60/3 s povrch.úpravou vč.doplňků a příslušenství (mimo patky)</t>
  </si>
  <si>
    <t>Patka kotevní kompletní AP 60/3</t>
  </si>
  <si>
    <t>Osazení svislé dopr.značky na sloupek nebo konzolu</t>
  </si>
  <si>
    <t>Značka dopr.informat.IP12 500x700mm poz.tř.1</t>
  </si>
  <si>
    <t>Značka dopr dodat E13 fól 1, EG 7 letá</t>
  </si>
  <si>
    <t>Demontáž a zpětné osaz.značky IP 4b-jednosměrný provoz</t>
  </si>
  <si>
    <t>Vodorovné značení dělicích čar 12 cm střík.barvou, barva bílá</t>
  </si>
  <si>
    <t>Vodorovné značení dělicích čar 12 cm střík.barvou, barva žlutá</t>
  </si>
  <si>
    <t>Vodorovné značení střík.barvou stopčar,zeber atd., barva bílá -stání pro invalidy</t>
  </si>
  <si>
    <t>Předznačení pro značení dělicí čáry,vodicí proužky</t>
  </si>
  <si>
    <t>Předznačení pro značení stopčáry, zebry, nápisů</t>
  </si>
  <si>
    <t>Osazení ležat. obrub. bet. s opěrou,lože z C 12/15</t>
  </si>
  <si>
    <t>Obrubník silniční 1000/150/250 šedý</t>
  </si>
  <si>
    <t>Lože pod obrubníky nebo obruby dlažeb z C 12/15</t>
  </si>
  <si>
    <t>Prorážení otvorů a ostatní bourací práce</t>
  </si>
  <si>
    <t>Očištění vybour. dlaždic s výplní kamen. těženým -skladba ZP3</t>
  </si>
  <si>
    <t>Komunikace pozemní a letiště</t>
  </si>
  <si>
    <t>Přesun hmot, pozemní komunikace, kryt dlážděný</t>
  </si>
  <si>
    <t>Přípojka vodovodu</t>
  </si>
  <si>
    <t>Trubní vedení</t>
  </si>
  <si>
    <t>Demontáž - Potrubí ocelové/PE do DN 50, včetně tvarovek, výkopů a uvedení do původního stavu</t>
  </si>
  <si>
    <t>Demontáž - Vodoměrných armatur ve stávajícím objektu</t>
  </si>
  <si>
    <t>Hloubení rýh šířky do 600 mm pro odstraněné potrubí, včetně hutněného zasypání výkopu</t>
  </si>
  <si>
    <t>Hloubení rýh šířky do 600 mm pro nové potrubí, včetně hutněného zasypání výkopu</t>
  </si>
  <si>
    <t>Montážní jáma 1500x1500x2000 mm, včetně pažení</t>
  </si>
  <si>
    <t>D+M - Zemní výstražná fólie</t>
  </si>
  <si>
    <t>D+M - Signalizační (propojovací) vodič CYKY 6x6 mm</t>
  </si>
  <si>
    <t>D+M - Stavební drenáž včetně obsypu</t>
  </si>
  <si>
    <t>D+M - Podsyp - zhutněné pískové lóže tl. 100 mm, max. frakce 8 mm</t>
  </si>
  <si>
    <t>D+M - Obsyp štěrkopískem (pískem), max. frakce 16 mm, min. 200 mm</t>
  </si>
  <si>
    <t>D+M - Zásyp jam, rýh, šachet se zhutněním</t>
  </si>
  <si>
    <t>D+M - Potrubí PE 100 SDR 11 d40 (40x3,7 mm)</t>
  </si>
  <si>
    <t>D+M - Potrubí PE d63 (63×3,0 mm), včetně utěsnění a obetonování prostupu</t>
  </si>
  <si>
    <t>D+M - Elektrospojka PE 100 SDR 11 - d40 PN10/16</t>
  </si>
  <si>
    <t>D+M - Přechodka PE - nerez, závit d40 / DN 32</t>
  </si>
  <si>
    <t>D+M - Elektrokoleno 90° PE 100 SDR 11 - d40, PN16</t>
  </si>
  <si>
    <t>D+M - T-kus navrtávací ocel DN 80 / PE 100 SDR 11, d40</t>
  </si>
  <si>
    <t>D+M - Kulový kohout PE 100 SDR 11 - d40, PN10/20</t>
  </si>
  <si>
    <t>D+M - Zemní souprava teleskopická pro KK, s fixací dl. 1,1 - 1,8 m</t>
  </si>
  <si>
    <t>D+M - Kruhový plovoucí poklop pro KK, s fixací</t>
  </si>
  <si>
    <t>D+M - Fixační podložka pod poklop pro KK</t>
  </si>
  <si>
    <t>D+M - HUV - Kulový kohout, chromovaný, DN 32</t>
  </si>
  <si>
    <t>Prostup základem (velikost prostupu dle PD) + oprava</t>
  </si>
  <si>
    <t>Prostup podlahou (velikost prostupu dle PD) + oprava</t>
  </si>
  <si>
    <t>Tlaková zkouška potrubí do DN 100</t>
  </si>
  <si>
    <t>Proplach a dezinfekce vodovodního potrubí do DN 100</t>
  </si>
  <si>
    <t>Revize vodovodu do DN 100</t>
  </si>
  <si>
    <t>Napojení na stávající potrubí, včetně utěsnění</t>
  </si>
  <si>
    <t>Geodetické zaměření skutečného provedení s polohopisem</t>
  </si>
  <si>
    <t>Přípojka kanalizace</t>
  </si>
  <si>
    <t>Demontáž - Potrubí kameninové/plastové do DN 250, vč. tvarovek, ekologické likvidace, výkopů a uvedení do původního stavu</t>
  </si>
  <si>
    <t>Hloubení rýh šířky do 800 mm pro odstraněné potrubí, včetně hutněného zasypání výkopu</t>
  </si>
  <si>
    <t>Hloubení rýh šířky do 800 mm pro nové potrubí, včetně hutněného zasypání výkopu</t>
  </si>
  <si>
    <t>Montážní jáma pro kanalizační šachty 1500x1500x2000 mm, včetně pažení</t>
  </si>
  <si>
    <t>D+M - Obsyp štěrkopískem (pískem), max. frakce 16 mm, min. 300 mm</t>
  </si>
  <si>
    <t>D+M - Ležaté potrubí PVC-KG DN 160 (182x4,0 mm)</t>
  </si>
  <si>
    <t>D+M - Plastová revizní šachta RŠ 01, RŠ 02 a RŠ 03 O 425 s teleskopiskou rourou a litinovým poklopem D400, včetně příslušenství, betonáže, osazení, mo</t>
  </si>
  <si>
    <t>Tlaková zkouška potrubí do DN 250</t>
  </si>
  <si>
    <t>Pročištění potrubí do DN 250</t>
  </si>
  <si>
    <t>Zkouška těsnosti kanalizačního potrubí do DN 250</t>
  </si>
  <si>
    <t>Napojení na stávající potrubí (navrtávka) vč. utěsnění</t>
  </si>
  <si>
    <t>Napojení na stávající potrubí vč. utěsnění</t>
  </si>
  <si>
    <t>Přípojka plynovodu</t>
  </si>
  <si>
    <t>D+M - Signalizační (propojovací) vodič CYKY 6x6 mm, včetně propojení</t>
  </si>
  <si>
    <t>D+M - Podsyp a obsyp - zhutněné pískové lóže tl. 100 mm, max. frakce 8 mm</t>
  </si>
  <si>
    <t>D+M - Potrubí PE 100 SDR 11 d40 (40×3,7 mm)</t>
  </si>
  <si>
    <t>D+M - Kulový kohout (HUP) DN 32</t>
  </si>
  <si>
    <t>D+M - Trasový uzávěr dn 40</t>
  </si>
  <si>
    <t>D+M - Kulový kohout DN 25</t>
  </si>
  <si>
    <t>D+M - Membránový plynoměr G6, rozteč 250 mm - zajištění dodávky od provozovatele</t>
  </si>
  <si>
    <t>D+M - Lisovaná přechodka PE/ocel DN32</t>
  </si>
  <si>
    <t>D+M - Držák přechodky</t>
  </si>
  <si>
    <t>D+M - Dýnko DN 32</t>
  </si>
  <si>
    <t>D+M - Rám s nerezovými dvířky pro HUP + plynoměr 500x600 mm, uzamykatelná čtyřhranným klíčem, včetně nálepek a příslušenství</t>
  </si>
  <si>
    <t>D+M - Rám s nerezovými dvířky pro HUP 300x300 mm, uzamykatelná čtyřhranným klíčem, včetně nálepek a příslušenství</t>
  </si>
  <si>
    <t>D+M - Instalační H-rám pro plynoměr 250 mm, 4x C lišta svařená do rámu+1 lišta volná, úchyt regulátoru, plynoměru s objímkami, včetně spojovacího mate</t>
  </si>
  <si>
    <t>D+M - Úchyt plynoměru 250 mm, držák, objímky 1“, včetně spojovacího materiálu</t>
  </si>
  <si>
    <t>D+M - Propojovacího potrubí od HUP k plynoměru až k napojení na potrubí, včetně armatur a spojovacího materiálu</t>
  </si>
  <si>
    <t>D+M - Přípojkový navrtávací "T"kus ocel DN 200 / DN 32</t>
  </si>
  <si>
    <t>D+M - Přechodka zemní ocel DN 32/PE d40</t>
  </si>
  <si>
    <t>Drážka ve zdivu (v základu) 100x150 mm</t>
  </si>
  <si>
    <t>Nika pro HUP 300x300x300 mm, včetně základů, zdí, izolací a přípomocí</t>
  </si>
  <si>
    <t>Nika pro HUP 500x600x250 mm, včetně základů, zdí, izolací a přípomocí</t>
  </si>
  <si>
    <t>Tlakové zkoušky těsnosti potrubí - příprava DN do 80</t>
  </si>
  <si>
    <t>Hlavní tlaková zkouška vzduchem 0,6 Mpa do DN 80</t>
  </si>
  <si>
    <t>Čištění potrubí PN 38 6416 DN 200</t>
  </si>
  <si>
    <t>Výchozí revize NTL plynovodu</t>
  </si>
  <si>
    <t>Přípojka kabelového vedení NN</t>
  </si>
  <si>
    <t>Elektroinstalace-silnoproud</t>
  </si>
  <si>
    <t>Celková prohlídka elektrického rozvodu a zařízení do 0,5 milionu Kč</t>
  </si>
  <si>
    <t>Rozvaděč ER - elektroměrový 3/32A + 1/2A, OCEP pod omítku IP44</t>
  </si>
  <si>
    <t>Úpravy v napojovacím bodě</t>
  </si>
  <si>
    <t>AYKY 4Bx25mm2</t>
  </si>
  <si>
    <t>Montáž kabel Cu sk.2 do 1 kV nad 0,40 kg pod omítku stěn</t>
  </si>
  <si>
    <t>kabel silový s Cu jádrem CYKY 4Bx16 mm2</t>
  </si>
  <si>
    <t>kabel silový s Al jádrem AYKY 4Bx25mm2</t>
  </si>
  <si>
    <t>Kabelové oko AL25mm2</t>
  </si>
  <si>
    <t>Spojka kabelová pro plastové kabely</t>
  </si>
  <si>
    <t>Ukončení vodič izolovaný do 25 mm2 v rozváděči nebo na přístroji</t>
  </si>
  <si>
    <t>Geodetické zaměření</t>
  </si>
  <si>
    <t>Kabelov rýha š.0,5m x 0,8m zem.tř.III vč záhozu rýhy, kabelového lože, záhozu rýhy, provizorní úpravy, pokládky fólie</t>
  </si>
  <si>
    <t>Fólie výstražná</t>
  </si>
  <si>
    <t>Písek kopaný</t>
  </si>
  <si>
    <t>Vytýčení sítí</t>
  </si>
  <si>
    <t>Dešťová kanalizace</t>
  </si>
  <si>
    <t>Montážní jáma pro kanalizační šachty 1000x1000x2000 mm, včetně pažení</t>
  </si>
  <si>
    <t>Montážní jáma pro OLK 1700x1700x2300 mm, včetně pažení</t>
  </si>
  <si>
    <t>Montážní jáma pro retenční nádrž 4500x3000x3000 mm, včetně pažení</t>
  </si>
  <si>
    <t>Montážní jáma pro vsakovací systém 5200x6400x3000 mm, včetně pažení</t>
  </si>
  <si>
    <t>D+M - Ležatí potrubí PVC-KG DN 110 (110x3,2 mm)</t>
  </si>
  <si>
    <t>D+M - Ležatí potrubí PVC-KG DN 160 (182x4,0 mm)</t>
  </si>
  <si>
    <t>D+M - Ležatí potrubí PVC-KG DN 200 (200x4,9 mm)</t>
  </si>
  <si>
    <t>D+M - Ležatí potrubí PVC-KG DN 250 (250x6,2 mm)</t>
  </si>
  <si>
    <t>D+M - Plastová revizní šachta DŠ 01 O 600 s litinovým poklopem D400 a betonovým prstencem, včetně příslušenství, betonáže, osazení, montáže a zemních</t>
  </si>
  <si>
    <t>D+M - Betonová revizní šachta DŠ 02 O 1000 s litinovým poklopem D400, včetně příslušenství, betonáže, osazení, montáže a zemních prací</t>
  </si>
  <si>
    <t>D+M - Plastová revizní šachta DŠ 03 O 425 s teleskopiskou rourou a litinovým poklopem D400, včetně příslušenství, betonáže, osazení, montáže a zemních</t>
  </si>
  <si>
    <t>D+M - Vsakovací blok 600x600X600 mm (ŠxVxD) s kanálkem DN 180, zatížení 600 kN/m2</t>
  </si>
  <si>
    <t>D+M - Vsakovací blok kontrolní 600x600 mm (jedná se o 1 komponent: 4 ks na 1 box 600x600x600)</t>
  </si>
  <si>
    <t>D+M - BOX konektor - mašlička</t>
  </si>
  <si>
    <t>D+M - Spojovací clip</t>
  </si>
  <si>
    <t>D+M - Koncová stěna pro kontrolní box, předformované otvory</t>
  </si>
  <si>
    <t>D+M - Připojovací čelo DN 110</t>
  </si>
  <si>
    <t>D+M - Geotextílie S 200 g/m2, šíře 2 m - role 100 m2, PP</t>
  </si>
  <si>
    <t>D+M - Ponorné čerpadlo se spínací skříní s plovákem, 3/7F 0,75kW 230V 20m kabel</t>
  </si>
  <si>
    <t>D+M - LŽ 01 - Liniový odvodňovací systém o celkové délce 19,5 m</t>
  </si>
  <si>
    <t>D+M - LŽ 02 - Liniový odvodňovací systém o celkové délce 10,0 m</t>
  </si>
  <si>
    <t>D+M - RN - Retenční nádrž k zadržování dešťové vody a jejímu využití o objemu 8 500 l</t>
  </si>
  <si>
    <t>D+M - OLK - Koalescenční odlučovač lehkých kapalin</t>
  </si>
  <si>
    <t>D+M - LS - Lapač střešních splavenin DN110/125</t>
  </si>
  <si>
    <t>Betonářské práce - LAPOL, RN, ŽLABY</t>
  </si>
  <si>
    <t>Vypracování hydrogeologického posudku, včetně zemních prací</t>
  </si>
  <si>
    <t>Vedlejší rozpočtové náklady</t>
  </si>
  <si>
    <t>Ostatní položky práce</t>
  </si>
  <si>
    <t>Zařízení staveniště (dle SoD čl. 2  odst. 2.5.2)</t>
  </si>
  <si>
    <t>Revize, zkoušky a měření (dle SoD čl. 2  odst. 2.5.3)</t>
  </si>
  <si>
    <t>Provozní a územní vlivy (dle SoD čl. 2 odst. 2.5.7)</t>
  </si>
  <si>
    <t>Geodetické práce a ochrana inženýrských sítí (dle SoD čl.2  odst. 2.5.10)</t>
  </si>
  <si>
    <t>Geodetické práce po výstavbě  - skutečné zaměření stavby (dle SoD čl. 2 odst. 2.5.11)</t>
  </si>
  <si>
    <t>Kompletační činnost (dle SoD čl. 2 odst. 2.5.4)</t>
  </si>
  <si>
    <t>Koordinační činnost (dle SoD čl. 2 odst. 2.5.5)</t>
  </si>
  <si>
    <t>Dokumentace skutečného provedení stavby (dle SoD čl. 2 odst. 2.5.1)</t>
  </si>
  <si>
    <t>Provoz v dotčeném objektu (dle SoD čl. 2 odst. 2.5.8)</t>
  </si>
  <si>
    <t>Zajištění kolaudačního souhlasu (dle SoD čl. 2 odst. 2.5.12)</t>
  </si>
  <si>
    <t>Pojištění stavby (dle SoD čl. 2 odst. 2.5.6)</t>
  </si>
  <si>
    <t>Fotodokumentace provádění díla (dle SoD čl. 2 odst. 2.5.9)</t>
  </si>
  <si>
    <t>Doba výstavby:</t>
  </si>
  <si>
    <t>Začátek výstavby:</t>
  </si>
  <si>
    <t>Konec výstavby:</t>
  </si>
  <si>
    <t>Zpracováno dne:</t>
  </si>
  <si>
    <t>MJ</t>
  </si>
  <si>
    <t>m3</t>
  </si>
  <si>
    <t>t</t>
  </si>
  <si>
    <t>m2</t>
  </si>
  <si>
    <t>kus</t>
  </si>
  <si>
    <t>m</t>
  </si>
  <si>
    <t>hod</t>
  </si>
  <si>
    <t>kg</t>
  </si>
  <si>
    <t>sada</t>
  </si>
  <si>
    <t>100 kus</t>
  </si>
  <si>
    <t>soub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</si>
  <si>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</si>
  <si>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</si>
  <si>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</si>
  <si>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</si>
  <si>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</si>
  <si>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</si>
  <si>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</si>
  <si>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 </t>
  </si>
  <si>
    <t>Náklady (Kč)</t>
  </si>
  <si>
    <t>Dodávka</t>
  </si>
  <si>
    <t>Celkem:</t>
  </si>
  <si>
    <t>Montáž</t>
  </si>
  <si>
    <t>Celkem</t>
  </si>
  <si>
    <t>Cenová</t>
  </si>
  <si>
    <t>soustava</t>
  </si>
  <si>
    <t>RTS II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</si>
  <si>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</si>
  <si>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</si>
  <si>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</si>
  <si>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</si>
  <si>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</si>
  <si>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</si>
  <si>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</si>
  <si>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</si>
  <si>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</si>
  <si>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SO01</t>
  </si>
  <si>
    <t>SO03</t>
  </si>
  <si>
    <t>SO04</t>
  </si>
  <si>
    <t>SO05</t>
  </si>
  <si>
    <t>SO06</t>
  </si>
  <si>
    <t>SO07</t>
  </si>
  <si>
    <t>SO08</t>
  </si>
  <si>
    <t>VRN</t>
  </si>
  <si>
    <t>12_</t>
  </si>
  <si>
    <t>13_</t>
  </si>
  <si>
    <t>16_</t>
  </si>
  <si>
    <t>17_</t>
  </si>
  <si>
    <t>19_</t>
  </si>
  <si>
    <t>27_</t>
  </si>
  <si>
    <t>31_</t>
  </si>
  <si>
    <t>34_</t>
  </si>
  <si>
    <t>41_</t>
  </si>
  <si>
    <t>43_</t>
  </si>
  <si>
    <t>59_</t>
  </si>
  <si>
    <t>60_</t>
  </si>
  <si>
    <t>61_</t>
  </si>
  <si>
    <t>62_</t>
  </si>
  <si>
    <t>63_</t>
  </si>
  <si>
    <t>64_</t>
  </si>
  <si>
    <t>91_</t>
  </si>
  <si>
    <t>94_</t>
  </si>
  <si>
    <t>95_</t>
  </si>
  <si>
    <t>H01_</t>
  </si>
  <si>
    <t>711_</t>
  </si>
  <si>
    <t>712_</t>
  </si>
  <si>
    <t>713_</t>
  </si>
  <si>
    <t>721_</t>
  </si>
  <si>
    <t>722_</t>
  </si>
  <si>
    <t>723_</t>
  </si>
  <si>
    <t>728_</t>
  </si>
  <si>
    <t>730_</t>
  </si>
  <si>
    <t>762_</t>
  </si>
  <si>
    <t>764_</t>
  </si>
  <si>
    <t>766_</t>
  </si>
  <si>
    <t>767_</t>
  </si>
  <si>
    <t>771_</t>
  </si>
  <si>
    <t>776_</t>
  </si>
  <si>
    <t>781_</t>
  </si>
  <si>
    <t>783_</t>
  </si>
  <si>
    <t>784_</t>
  </si>
  <si>
    <t>M21_</t>
  </si>
  <si>
    <t>M22_</t>
  </si>
  <si>
    <t>11_</t>
  </si>
  <si>
    <t>56_</t>
  </si>
  <si>
    <t>97_</t>
  </si>
  <si>
    <t>H22_</t>
  </si>
  <si>
    <t>8_</t>
  </si>
  <si>
    <t>Z88888_</t>
  </si>
  <si>
    <t>SO01_1_</t>
  </si>
  <si>
    <t>SO01_2_</t>
  </si>
  <si>
    <t>SO01_3_</t>
  </si>
  <si>
    <t>SO01_4_</t>
  </si>
  <si>
    <t>SO01_5_</t>
  </si>
  <si>
    <t>SO01_6_</t>
  </si>
  <si>
    <t>SO01_9_</t>
  </si>
  <si>
    <t>SO01_71_</t>
  </si>
  <si>
    <t>SO01_72_</t>
  </si>
  <si>
    <t>SO01_73_</t>
  </si>
  <si>
    <t>SO01_76_</t>
  </si>
  <si>
    <t>SO01_77_</t>
  </si>
  <si>
    <t>SO01_78_</t>
  </si>
  <si>
    <t>SO03_1_</t>
  </si>
  <si>
    <t>SO03_5_</t>
  </si>
  <si>
    <t>SO03_9_</t>
  </si>
  <si>
    <t>SO04_8_</t>
  </si>
  <si>
    <t>SO05_8_</t>
  </si>
  <si>
    <t>SO06_8_</t>
  </si>
  <si>
    <t>SO07_9_</t>
  </si>
  <si>
    <t>SO08_8_</t>
  </si>
  <si>
    <t>VRN_Z_</t>
  </si>
  <si>
    <t>SO01_</t>
  </si>
  <si>
    <t>SO03_</t>
  </si>
  <si>
    <t>SO04_</t>
  </si>
  <si>
    <t>SO05_</t>
  </si>
  <si>
    <t>SO06_</t>
  </si>
  <si>
    <t>SO07_</t>
  </si>
  <si>
    <t>SO08_</t>
  </si>
  <si>
    <t>VRN_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</si>
  <si>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</si>
  <si>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</si>
  <si>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</si>
  <si>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</si>
  <si>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</si>
  <si>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</si>
  <si>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</si>
  <si>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</si>
  <si>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Objekt</t>
  </si>
  <si>
    <t>Zkrácený popis</t>
  </si>
  <si>
    <t>Náklady (Kč) - dodávka</t>
  </si>
  <si>
    <t>Náklady (Kč) - Montáž</t>
  </si>
  <si>
    <t>Náklady (Kč) - celkem</t>
  </si>
  <si>
    <t>F</t>
  </si>
  <si>
    <t>T</t>
  </si>
  <si>
    <t>Výkaz výměr</t>
  </si>
  <si>
    <t>(24,375*10,08)*0,20+(11,255*10,08)*0,20+(8,40*4,31)*0,20</t>
  </si>
  <si>
    <t>(3,31*5,70)*0,15+(6,40*3,31)*0,15</t>
  </si>
  <si>
    <t>(15,255+10,255+3,10)*8,08*0,40</t>
  </si>
  <si>
    <t>(6,88*1,25*0,40)*4+(20,065+15,065+10,255+15,255+2,00)*1,25*0,40</t>
  </si>
  <si>
    <t>(290,0+40,0)*0,4</t>
  </si>
  <si>
    <t>(5,70+2,71*3+1,06)*0,40*0,75+(6,40+2,71*3+1,06)*0,40*0,75</t>
  </si>
  <si>
    <t>(3,60*2+1,395+3,93+0,68+0,68)*0,60*0,75</t>
  </si>
  <si>
    <t>(15,065+20,065+15,255+10,255+6,68*4+0,60-5,70-6,40)*0,8*0,75</t>
  </si>
  <si>
    <t>(5,70+6,40)*0,90*0,75</t>
  </si>
  <si>
    <t>(15,065+20,065+15,255+10,255+6,68*4+0,60-5,70-6,40)*0,8*0,15</t>
  </si>
  <si>
    <t>(5,70+6,40)*0,90*0,15</t>
  </si>
  <si>
    <t>(5,70+2,71*3+1,06)*0,40*0,15+(6,40+2,71*3+1,06)*0,40*0,15</t>
  </si>
  <si>
    <t>(3,60*2+1,395+3,93+0,68*2)*0,60*0,15</t>
  </si>
  <si>
    <t>(143,555+15,392+53,684+13,816)*0,90</t>
  </si>
  <si>
    <t>(143,555+15,392+53,684+13,816)*0,1</t>
  </si>
  <si>
    <t>(143,555+15,392+47,995+12,678)*0,70*1,75</t>
  </si>
  <si>
    <t>(15,065+20,065+15,255+10,255+6,68*4+0,60-5,70-6,40)*0,8*0,30</t>
  </si>
  <si>
    <t>(5,70+6,40)*0,90*0,30</t>
  </si>
  <si>
    <t>(5,70+2,71*3+1,06)*0,40*0,30+(6,40+2,71*3+1,06)*0,40*0,30</t>
  </si>
  <si>
    <t>(3,60*2+1,395+3,93+0,68*2)*0,60*0,30</t>
  </si>
  <si>
    <t>(14,955+14,865)*7,688*0,40</t>
  </si>
  <si>
    <t>(14,955+14,865)*7,68</t>
  </si>
  <si>
    <t>(14,955+14,865)*7,68*0,15+(3,31*5,7+3,26*6,24)*0,12</t>
  </si>
  <si>
    <t>(19,665+7,68+15,055+10,055+7,68+14,665)*0,30+(3,31*2+5,7+2,26*2+6,24)*0,27</t>
  </si>
  <si>
    <t>(14,955+14,865)*7,68*2*5,398*1,25/1000+(3,31*5,7+2,26*6,24)*5,398*1,25/1000</t>
  </si>
  <si>
    <t>(5,50+5,50+2,87*3+1,26+3,80*2)*0,75</t>
  </si>
  <si>
    <t>(6,20+6,20+2,87*3+1,26+4,50*2)*0,75</t>
  </si>
  <si>
    <t>(19,665+6,88*4+0,60+15,055+10,255+14,665+0,68*2+1,3+2,01)*0,75</t>
  </si>
  <si>
    <t>(15,065+20,065+15,255+10,255+6,68*4+0,60-5,70-6,40)*0,8*0,60</t>
  </si>
  <si>
    <t>(5,70+6,40)*0,90*0,60</t>
  </si>
  <si>
    <t>(5,70+2,71*3+1,06)*0,40*0,60+(6,40+2,71*3+1,06)*0,40*0,60</t>
  </si>
  <si>
    <t>(3,60*2+0,68*2+1,395+3,93)*0,60*0,60</t>
  </si>
  <si>
    <t>5+5</t>
  </si>
  <si>
    <t>1+1</t>
  </si>
  <si>
    <t>(44,806*0,2+69,323*0,4)*0,015</t>
  </si>
  <si>
    <t>(15,235+10,35+7,08+10,35+15,02+7,08)*2,85</t>
  </si>
  <si>
    <t>-(1,00*2,05)*1-(0,80*2,00)*6-(0,80*1,00)*8</t>
  </si>
  <si>
    <t xml:space="preserve"> -(1,00*2,00)*6</t>
  </si>
  <si>
    <t xml:space="preserve"> (15,235+10,35+7,08+10,35+15,02+7,08)*2,65</t>
  </si>
  <si>
    <t xml:space="preserve"> -(0,8*2)*8-(1*2)*12</t>
  </si>
  <si>
    <t>(2,82+0,12+1,26+0,60+2,94+1,20)*3,21-(1,00*2,02)</t>
  </si>
  <si>
    <t xml:space="preserve"> (15,235+10,35+7,08+14,84+19,84+7,08)*0,25</t>
  </si>
  <si>
    <t>10+5</t>
  </si>
  <si>
    <t>2*8+2*10</t>
  </si>
  <si>
    <t>2*1</t>
  </si>
  <si>
    <t>14+8</t>
  </si>
  <si>
    <t>8+12</t>
  </si>
  <si>
    <t>( 2,45+2,79)*1,20</t>
  </si>
  <si>
    <t>(0,90+0,875*2+0,9+2,5+0,9+0,875)*1,20</t>
  </si>
  <si>
    <t>(0,90+0,90+0,60)*1,20</t>
  </si>
  <si>
    <t xml:space="preserve"> (7,08+2,50+2,84+1,40+1,82)*3,21</t>
  </si>
  <si>
    <t xml:space="preserve"> (2,94+2,79+3,62+4,135+2,79+6,50)*3,21</t>
  </si>
  <si>
    <t xml:space="preserve"> -(0,80*2,02)*1-(0,90*2,02)*4-(1,00*2,02)*1</t>
  </si>
  <si>
    <t xml:space="preserve">  (7,08+5,73*5+12,12+4,505+1,40+7,08+5,73*3+7,28)*2,95</t>
  </si>
  <si>
    <t xml:space="preserve"> -(0,90*2,02)*10</t>
  </si>
  <si>
    <t>(2,50+2,50+2,84+5,46+6,78+2,72+0,90)*3,21</t>
  </si>
  <si>
    <t>(2,82+1,80+2,10+5,98+2,79)*3,21</t>
  </si>
  <si>
    <t>-(0,80*2,02)*9-(0,90*2,02)*2-(1,00*2,02)*2</t>
  </si>
  <si>
    <t>(5,25+3,25+0,70+0,90+1,40+0,70)*2,95</t>
  </si>
  <si>
    <t>-(0,80*2,02)*5</t>
  </si>
  <si>
    <t xml:space="preserve"> (7,08+2,50+2,84+1,40+1,82)</t>
  </si>
  <si>
    <t xml:space="preserve"> (2,94+2,79+3,62+4,135+2,79+6,50)</t>
  </si>
  <si>
    <t xml:space="preserve">  (7,08+5,73*5+12,12+4,505+1,40+7,08+5,73*3+7,28)</t>
  </si>
  <si>
    <t>(2,50+2,50+2,84+5,46+6,78+2,72+0,90)</t>
  </si>
  <si>
    <t>(2,82+1,80+2,10+5,98+2,79)</t>
  </si>
  <si>
    <t>(5,25+3,25+0,70+0,90+1,40+0,70)</t>
  </si>
  <si>
    <t>3,21*38</t>
  </si>
  <si>
    <t>2,95*28</t>
  </si>
  <si>
    <t>(15,235+10,35+7,38+10,35+15,02+7,38)</t>
  </si>
  <si>
    <t xml:space="preserve"> -(0,80+0,90*4+1,00+0,9*10)</t>
  </si>
  <si>
    <t>-(0,80*9+0,90*2+1,00*2+0,8*5)</t>
  </si>
  <si>
    <t>(7,38*14,87)+(7,38*10,20)</t>
  </si>
  <si>
    <t>(7,38*1,25*0,25)+(0,875*1,25*0,25)+(3,35+0,90)*4,605/2*0,25</t>
  </si>
  <si>
    <t>(7,38+4,85)*4,82/2*0,25+(2,10*4,49)/2*0,25</t>
  </si>
  <si>
    <t>(7,38+1,25+1,25)*0,4+(0,875+1,25+0,875)*0,4+(3,35+0,9+4,605)*0,4</t>
  </si>
  <si>
    <t>(7,38+4,82+4,49+7,38)*0,40</t>
  </si>
  <si>
    <t>(7,38*1,25)+(0,875*1,25)+(3,35+0,90)*4,605/2</t>
  </si>
  <si>
    <t>(7,38+4,85)*4,82/2+(2,10*4,49)/2</t>
  </si>
  <si>
    <t>5,0261*0,250</t>
  </si>
  <si>
    <t>8,5472*0,250</t>
  </si>
  <si>
    <t>4+4</t>
  </si>
  <si>
    <t>8+4</t>
  </si>
  <si>
    <t>2+4</t>
  </si>
  <si>
    <t>2,75+19,26+8,67+10,35</t>
  </si>
  <si>
    <t>33,6+17,62+12,93+13,18+12,9+17,74+13,0+12,87+13,2*3</t>
  </si>
  <si>
    <t>10,1+2,33+3,0+4,65+2,55+5,42+3,64+5,07+2,45+9,48+4,27+4,46+4,44+1,87+1,64+1,89+5,83</t>
  </si>
  <si>
    <t>3,8+3,15+1,28</t>
  </si>
  <si>
    <t>25,1+39,35+10,1</t>
  </si>
  <si>
    <t>9,28</t>
  </si>
  <si>
    <t>214,47</t>
  </si>
  <si>
    <t>(2,82+0,12+1,26+0,60+2,94+1,20)*0,30*0,25</t>
  </si>
  <si>
    <t>(15,235+10,35+7,08+10,35+15,02+7,08)*0,28*0,25</t>
  </si>
  <si>
    <t>(2,82+0,12+1,26+0,60+2,94+1,20)*0,40</t>
  </si>
  <si>
    <t>(15,235+10,35+7,08+10,35+15,02+7,08)*0,40</t>
  </si>
  <si>
    <t>(2,82+0,12+1,26+0,60+2,94+1,20)*0,30*0,25*0,15</t>
  </si>
  <si>
    <t>(15,235+10,35+7,08+10,35+15,02+7,08)*0,28*0,25*0,15</t>
  </si>
  <si>
    <t>21*1,26</t>
  </si>
  <si>
    <t>(1,57+2,1+2,26+2,45+3,76)*1,26*0,15</t>
  </si>
  <si>
    <t>(8,3+10,235+15,235+3,55+5,75)*0,3</t>
  </si>
  <si>
    <t>(5,75*3,25)+(6,2*3,25)</t>
  </si>
  <si>
    <t>;ztratné 5%; 14,5</t>
  </si>
  <si>
    <t>40,0*0,08</t>
  </si>
  <si>
    <t>40*4,17</t>
  </si>
  <si>
    <t>;ztratné 5%; 8,34</t>
  </si>
  <si>
    <t>5,0+2,5*2+0,5*4</t>
  </si>
  <si>
    <t>(1,57+2,1+2,26+2,45+3,76)*1,26</t>
  </si>
  <si>
    <t>(20,16+15,26+17,5+15,69+9,78+8,72+12,88+13,58+11,78+8,78+8,64)*2,65</t>
  </si>
  <si>
    <t>-25,314-41,208+(80,03*0,55)-10,176-0,46</t>
  </si>
  <si>
    <t>(53,195+19,06+80,04+8,215+48,04+19,06)*2,65</t>
  </si>
  <si>
    <t>-36,8-43,262+(26,185*0,55)</t>
  </si>
  <si>
    <t>882,706</t>
  </si>
  <si>
    <t>(5,0*16+2,8*6+4,8*13+5,67+5,0*2+5,7*2)*0,3</t>
  </si>
  <si>
    <t>938,587-56</t>
  </si>
  <si>
    <t>(7,6+7,7+12,7)*2,0</t>
  </si>
  <si>
    <t>214,47+81,32+83,83</t>
  </si>
  <si>
    <t>5,0*16+2,8*6+4,8*13+5,67+5,0*2+5,7*2</t>
  </si>
  <si>
    <t>2,0*16+0,8*8+1,6*14+2,514+2,0*2+53,0+7,08*2,06*2</t>
  </si>
  <si>
    <t>(5,515+4,94*3+4,84*15+4,74*17+7,7)*2</t>
  </si>
  <si>
    <t>(6,8+7,34+9,4+6,9+9,12+7,14+8,97+7,43+5,54+5,39+6,0+11,28+10,47+4,435)*2,1</t>
  </si>
  <si>
    <t>-0,7*2,02*24-0,9*2,02-0,565*0,8*4</t>
  </si>
  <si>
    <t>(0,565*0,3)*2*4</t>
  </si>
  <si>
    <t>(1,0*16+0,8*6+0,8*13+1,0*2)*0,3</t>
  </si>
  <si>
    <t>3,21*10+2,95*7</t>
  </si>
  <si>
    <t>2,0*16+0,8*8+1,6*14+2,514+2,0*2+53,0</t>
  </si>
  <si>
    <t>8,0+10,33+15,235+8,0+20,0+15,0</t>
  </si>
  <si>
    <t>(7,6*2,0)-5,6+(7,7*2,0)-4,4+(12,7*2,0)-8,4</t>
  </si>
  <si>
    <t>(8,0+10,33+15,235+8,0+20,0+15,0)*5,74</t>
  </si>
  <si>
    <t>-9,6-53,0-2,514-36,8-(7,6+7,7+12,7)*2,0</t>
  </si>
  <si>
    <t>(8,1+10,43+15,335+8,0+20,1+15,1)*1,16</t>
  </si>
  <si>
    <t>(5,0*10+4,8*14+2,514+5,0*2+20,435)*0,16</t>
  </si>
  <si>
    <t>(5,0*6+2,8*8)*0,14</t>
  </si>
  <si>
    <t>(8,0+10,33+15,235+6,5+20,0+13,5)*0,4</t>
  </si>
  <si>
    <t>37,6+281,569+89,395+29,426</t>
  </si>
  <si>
    <t>205,705*2+7,3*5</t>
  </si>
  <si>
    <t>5,0*16+2,8*8+4,8*14+5,67+5,0*2+20,435</t>
  </si>
  <si>
    <t>1,0*16+0,8*8+0,8*14+1,0*2</t>
  </si>
  <si>
    <t>33,6+17,62+12,93+13,18+12,9+17,74+13,0+12,87+13,2+13,2+13,2</t>
  </si>
  <si>
    <t>2,75</t>
  </si>
  <si>
    <t>2,33+3,0+4,65+2,55+5,42+3,64+5,07+2,45+4,27+4,46+4,44+1,87+1,64+1,89+5,83</t>
  </si>
  <si>
    <t>25,1+39,35+10,1+19,26+9,48+8,67+10,35+10,1</t>
  </si>
  <si>
    <t>5,0*16+2,8*6+4,8*1+5,0*2+20,435</t>
  </si>
  <si>
    <t>2+10+1</t>
  </si>
  <si>
    <t>1,0*18+0,8*18</t>
  </si>
  <si>
    <t>50*0,3*0,25</t>
  </si>
  <si>
    <t>3+3</t>
  </si>
  <si>
    <t>75,5+35,0</t>
  </si>
  <si>
    <t>7,0*2+5,0*2+4,4+5,6</t>
  </si>
  <si>
    <t>110,5+34,0</t>
  </si>
  <si>
    <t>;ztratné 5%; 2,25</t>
  </si>
  <si>
    <t>45,0*0,35*0,2</t>
  </si>
  <si>
    <t>(16,00+21,00+8,00+16,235+11,235+8,00)*8,50</t>
  </si>
  <si>
    <t>(16,00+21,00+8,00+16,235+11,235+8,00)*8,50*3</t>
  </si>
  <si>
    <t>(186,66+171,7)*2</t>
  </si>
  <si>
    <t>15,296+9,28</t>
  </si>
  <si>
    <t>2,75+25,1+39,35+10,1+2,33+3,0+4,065+2,55+5,42+3,64+5,07+2,45+19,26+9,48+4,27+4,46+8,67+10,35+10,1</t>
  </si>
  <si>
    <t>4,44+1,87+1,64+1,89+5,83</t>
  </si>
  <si>
    <t>9,28+33,6+17,62+12,93+13,18+12,9+17,74+13,0+12,87+13,2*3+3,8+3,15+1,28</t>
  </si>
  <si>
    <t>2,985*4+6,2*3</t>
  </si>
  <si>
    <t>2,8*6</t>
  </si>
  <si>
    <t>0,86</t>
  </si>
  <si>
    <t>601,055+181,543+156,677+253,329+10,277+40,438+0,115+28,189+6,67+36,002+7,606+17,081+15,695+2,036</t>
  </si>
  <si>
    <t>52,93+244,575+107,565+20,549</t>
  </si>
  <si>
    <t>(9,915+15,075)*7,68+(7,68+4,78)*6,015/2</t>
  </si>
  <si>
    <t>(19,865+2,10+3,21+5,50+3,21+15,055+10,055+7,68+7,05+12,62+1,215)*0,75</t>
  </si>
  <si>
    <t>15+12</t>
  </si>
  <si>
    <t xml:space="preserve"> 6,00+5,74+8,22+6,68+8,40+6,20+13,92+11,18+29,08+18,85</t>
  </si>
  <si>
    <t>58*0,30+22*0,30</t>
  </si>
  <si>
    <t>1,686</t>
  </si>
  <si>
    <t>(20,59+15,65)*7,68/2+(14,865+10,83)*7,68/2</t>
  </si>
  <si>
    <t>11+3+2+3+1</t>
  </si>
  <si>
    <t>(20,59+15,85)*8,08/2+(15,065+11,03)*8,08/2</t>
  </si>
  <si>
    <t>(20,79+8,08+15,15+10,53+8,08+14,565)</t>
  </si>
  <si>
    <t>(20,59+7,68+15,65)*0,25+(14,865+7,68+10,83)*0,25</t>
  </si>
  <si>
    <t>(19,59+6,68+14,95)*0,15+(14,365+6,68+10,33)*0,15</t>
  </si>
  <si>
    <t>2*(19,59+6,68+14,95)+2*(14,365+6,68+10,33)</t>
  </si>
  <si>
    <t>(20,79+8,08+15,15+10,53+8,08+14,565)+(0,15*6)</t>
  </si>
  <si>
    <t>1,132</t>
  </si>
  <si>
    <t>(53,51+132,41+2,75)*0,75</t>
  </si>
  <si>
    <t>141,503</t>
  </si>
  <si>
    <t>;ztratné 5%; 7,07515</t>
  </si>
  <si>
    <t>53,51+132,41+2,75</t>
  </si>
  <si>
    <t>188,67</t>
  </si>
  <si>
    <t>;ztratné 5%; 9,4335</t>
  </si>
  <si>
    <t>173,44+8,23</t>
  </si>
  <si>
    <t>253,91+231,03</t>
  </si>
  <si>
    <t>173,44</t>
  </si>
  <si>
    <t>8,23</t>
  </si>
  <si>
    <t>181,67</t>
  </si>
  <si>
    <t>;ztratné 5%; 9,0835</t>
  </si>
  <si>
    <t>65,67</t>
  </si>
  <si>
    <t>;ztratné 5%; 3,2835</t>
  </si>
  <si>
    <t>(20,59+7,68+15,65)*0,70+(14,865+7,68+10,83)*0,70</t>
  </si>
  <si>
    <t>54,107</t>
  </si>
  <si>
    <t>;ztratné 5%; 2,70535</t>
  </si>
  <si>
    <t>19,324</t>
  </si>
  <si>
    <t>;ztratné 5%; 0,9662</t>
  </si>
  <si>
    <t>237,83</t>
  </si>
  <si>
    <t>;ztratné 5%; 11,8915</t>
  </si>
  <si>
    <t>53,51</t>
  </si>
  <si>
    <t>132,41</t>
  </si>
  <si>
    <t>2*(20,59+15,65)*7,68/2+2*(14,865+10,83)*7,68/2</t>
  </si>
  <si>
    <t>2*(20,59+7,68+15,65)*0,25+2*(14,865+7,68+10,83)*0,25</t>
  </si>
  <si>
    <t>4,701</t>
  </si>
  <si>
    <t>(315+252)*2</t>
  </si>
  <si>
    <t>(0,06+0,03)*2*(315+252)</t>
  </si>
  <si>
    <t>1,389</t>
  </si>
  <si>
    <t>2,0*20</t>
  </si>
  <si>
    <t>7,8</t>
  </si>
  <si>
    <t>0,8*8</t>
  </si>
  <si>
    <t>1,0*18+0,8*14</t>
  </si>
  <si>
    <t>2,0*39</t>
  </si>
  <si>
    <t>0,375</t>
  </si>
  <si>
    <t>40,20+50,50</t>
  </si>
  <si>
    <t>5,0*16+2,8*6+4,8*13+5,67+5,0*2+20,435</t>
  </si>
  <si>
    <t>1,0*16+0,8*6+0,8*13+1,0*2</t>
  </si>
  <si>
    <t>16+14+2</t>
  </si>
  <si>
    <t>1+17</t>
  </si>
  <si>
    <t>3+15+17</t>
  </si>
  <si>
    <t>6,346</t>
  </si>
  <si>
    <t>6,20+3,25+3,20+4,70+4,70</t>
  </si>
  <si>
    <t>5,50+3,25+4,00+4,00+1,60</t>
  </si>
  <si>
    <t>9,588</t>
  </si>
  <si>
    <t>13,514</t>
  </si>
  <si>
    <t>9,28+1,26*0,16*21</t>
  </si>
  <si>
    <t>(61,74-20,82)</t>
  </si>
  <si>
    <t>;ztratné 5%; 2,046</t>
  </si>
  <si>
    <t>(3,0+2,55+5,42+3,64+2,45+1,87+1,89)</t>
  </si>
  <si>
    <t>;ztratné 5%; 1,041</t>
  </si>
  <si>
    <t>7,94+8,08+3,9+8,98</t>
  </si>
  <si>
    <t>28,9*0,1</t>
  </si>
  <si>
    <t>;ztratné 25%; 0,7225</t>
  </si>
  <si>
    <t>0,7*3+0,9+0,8*2+0,7</t>
  </si>
  <si>
    <t>0,7*3+1,2</t>
  </si>
  <si>
    <t>6,1+5,94+8,5+5,5+7,72+6,44+7,57+6,73+3,44+4,69+5,3</t>
  </si>
  <si>
    <t>9,18+8,37+3,735</t>
  </si>
  <si>
    <t>61,74</t>
  </si>
  <si>
    <t>2,33+3,0+4,65+2,55+3,64+2,45+4,27+4,46+4,44+1,87+1,64+1,89</t>
  </si>
  <si>
    <t>1,73</t>
  </si>
  <si>
    <t>14,16+17,46+11,36+18,46+9,96+10,98+12,78+12,02</t>
  </si>
  <si>
    <t>43,08+18,26+15,22+15,26+15,16+18,26+15,16*2+15,26+15,2+15,26</t>
  </si>
  <si>
    <t>305,85</t>
  </si>
  <si>
    <t>;ztratné 15%; 45,8775</t>
  </si>
  <si>
    <t>1,2*1,5</t>
  </si>
  <si>
    <t>(1,2+1,50)*2</t>
  </si>
  <si>
    <t>3,457</t>
  </si>
  <si>
    <t>7,43*2,1-0,7*2,02-0,565*0,8</t>
  </si>
  <si>
    <t>7,14*2,1-0,7*2,02-0,565*0,8</t>
  </si>
  <si>
    <t>6,0*2,1-0,7*2,02-0,565*0,8</t>
  </si>
  <si>
    <t>(98,137-6,73-6,44-5,3)*0,3</t>
  </si>
  <si>
    <t>1,356+2,665+185,49+10,176</t>
  </si>
  <si>
    <t>2,45*0,01+(0,9+2,5+0,9+1,84+0,85+0,95+0,875+0,9*2+0,585)*0,15</t>
  </si>
  <si>
    <t>(0,8*4)*0,3</t>
  </si>
  <si>
    <t>185,49</t>
  </si>
  <si>
    <t>;ztratné 5%; 9,2745</t>
  </si>
  <si>
    <t>;ztratné 10%; 8,9215</t>
  </si>
  <si>
    <t>(5,46+0,6+0,85)*0,6+(2,82+0,6*2)*1,5</t>
  </si>
  <si>
    <t>10,176</t>
  </si>
  <si>
    <t>;ztratné 5%; 0,5088</t>
  </si>
  <si>
    <t>6,8+7,34+9,4+6,9+9,12+7,14+8,97+7,43+5,54+5,39+6,0+11,28+10,47+4,435</t>
  </si>
  <si>
    <t>2,1*2+0,565*2*4+0,6*2+1,5*2</t>
  </si>
  <si>
    <t>106,215</t>
  </si>
  <si>
    <t>;ztratné 10%; 10,6215</t>
  </si>
  <si>
    <t>12,92</t>
  </si>
  <si>
    <t>;ztratné 10%; 1,292</t>
  </si>
  <si>
    <t>4,221</t>
  </si>
  <si>
    <t>4,94*0,21*2+4,94*0,26*1+4,84*0,21*2+4,84*0,26*13+4,74*0,21*13+4,74*0,26*4</t>
  </si>
  <si>
    <t>(0,06+0,03)*2*(315+252)+(0,06*0,03)*2*(104+84)</t>
  </si>
  <si>
    <t>882,706+55,881+15,296+23,7</t>
  </si>
  <si>
    <t>882,706+55,881+15,296</t>
  </si>
  <si>
    <t>379,035</t>
  </si>
  <si>
    <t>(0,16*4*2,65)*4+(0,18*4*6,2)*3+(0,1*3*2,65)*3+(0,1*2,65)*3+0,344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</si>
  <si>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</si>
  <si>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</si>
  <si>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</si>
  <si>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</si>
  <si>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</si>
  <si>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</si>
  <si>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</si>
  <si>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</si>
  <si>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</si>
  <si>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</si>
  <si>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</si>
  <si>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</si>
  <si>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</si>
  <si>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</si>
  <si>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</si>
  <si>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</si>
  <si>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</si>
  <si>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</si>
  <si>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</si>
  <si>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</si>
  <si>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</si>
  <si>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</si>
  <si>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</si>
  <si>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</si>
  <si>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</si>
  <si>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</si>
  <si>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</si>
  <si>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</si>
  <si>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</si>
  <si>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</si>
  <si>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</si>
  <si>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</si>
  <si>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</si>
  <si>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</si>
  <si>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</si>
  <si>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</si>
  <si>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</si>
  <si>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</si>
  <si>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</si>
  <si>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</si>
  <si>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</si>
  <si>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</si>
  <si>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</si>
  <si>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</si>
  <si>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</si>
  <si>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</t>
  </si>
  <si>
    <t>1004</t>
  </si>
  <si>
    <t xml:space="preserve">004111020R </t>
  </si>
  <si>
    <t>Vypracování projektové dokumentace - Výrobní dokumentace (dle SoD čl. 2 odst. 2.5.13)</t>
  </si>
  <si>
    <t>411120032RA0</t>
  </si>
  <si>
    <t xml:space="preserve">Strop montovaný z předpjatých stropních panelů, tl. 25 cm, zesílená výztuž, min. zatížitelnost panelů dle PD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</si>
</sst>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5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4"/>
      <name val="Arial"/>
      <family val="2"/>
    </font>
    <font>
      <b/>
      <sz val="10"/>
      <color indexed="56"/>
      <name val="Arial"/>
      <family val="2"/>
    </font>
    <font>
      <i/>
      <sz val="10"/>
      <color indexed="58"/>
      <name val="Arial"/>
      <family val="2"/>
    </font>
    <font>
      <i/>
      <sz val="10"/>
      <color indexed="59"/>
      <name val="Arial"/>
      <family val="2"/>
    </font>
    <font>
      <i/>
      <sz val="9"/>
      <color indexed="63"/>
      <name val="Arial"/>
      <family val="2"/>
    </font>
    <font>
      <i/>
      <sz val="9"/>
      <color indexed="50"/>
      <name val="Arial"/>
      <family val="2"/>
    </font>
    <font>
      <i/>
      <sz val="9"/>
      <color indexed="61"/>
      <name val="Arial"/>
      <family val="2"/>
    </font>
    <font>
      <i/>
      <sz val="9"/>
      <color indexed="62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6" fillId="0" borderId="3" xfId="0" applyNumberFormat="1" applyFont="1" applyFill="1" applyBorder="1" applyAlignment="1" applyProtection="1">
      <alignment horizontal="left" vertical="center"/>
      <protection/>
    </xf>
    <xf numFmtId="49" fontId="5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9" fillId="2" borderId="15" xfId="0" applyNumberFormat="1" applyFont="1" applyFill="1" applyBorder="1" applyAlignment="1" applyProtection="1">
      <alignment horizontal="right" vertical="center"/>
      <protection/>
    </xf>
    <xf numFmtId="49" fontId="5" fillId="0" borderId="15" xfId="0" applyNumberFormat="1" applyFont="1" applyFill="1" applyBorder="1" applyAlignment="1" applyProtection="1">
      <alignment horizontal="right" vertical="center"/>
      <protection/>
    </xf>
    <xf numFmtId="49" fontId="6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9" fillId="2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9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9" fillId="2" borderId="20" xfId="0" applyNumberFormat="1" applyFont="1" applyFill="1" applyBorder="1" applyAlignment="1" applyProtection="1">
      <alignment horizontal="left" vertical="center"/>
      <protection/>
    </xf>
    <xf numFmtId="49" fontId="9" fillId="2" borderId="3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right" vertical="center"/>
      <protection/>
    </xf>
    <xf numFmtId="4" fontId="14" fillId="0" borderId="0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9" fillId="2" borderId="22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17" fillId="3" borderId="25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7" fillId="0" borderId="29" xfId="0" applyNumberFormat="1" applyFont="1" applyFill="1" applyBorder="1" applyAlignment="1" applyProtection="1">
      <alignment horizontal="left" vertical="center"/>
      <protection/>
    </xf>
    <xf numFmtId="49" fontId="19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" fontId="19" fillId="0" borderId="25" xfId="0" applyNumberFormat="1" applyFont="1" applyFill="1" applyBorder="1" applyAlignment="1" applyProtection="1">
      <alignment horizontal="right" vertical="center"/>
      <protection/>
    </xf>
    <xf numFmtId="49" fontId="19" fillId="0" borderId="25" xfId="0" applyNumberFormat="1" applyFont="1" applyFill="1" applyBorder="1" applyAlignment="1" applyProtection="1">
      <alignment horizontal="right" vertical="center"/>
      <protection/>
    </xf>
    <xf numFmtId="4" fontId="19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8" fillId="3" borderId="32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164" fontId="9" fillId="2" borderId="29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Border="1" applyAlignment="1" applyProtection="1">
      <alignment horizontal="right" vertical="center"/>
      <protection/>
    </xf>
    <xf numFmtId="164" fontId="9" fillId="2" borderId="0" xfId="0" applyNumberFormat="1" applyFont="1" applyFill="1" applyBorder="1" applyAlignment="1" applyProtection="1">
      <alignment horizontal="right" vertical="center"/>
      <protection/>
    </xf>
    <xf numFmtId="164" fontId="14" fillId="0" borderId="0" xfId="0" applyNumberFormat="1" applyFont="1" applyFill="1" applyBorder="1" applyAlignment="1" applyProtection="1">
      <alignment horizontal="right" vertical="center"/>
      <protection/>
    </xf>
    <xf numFmtId="164" fontId="6" fillId="0" borderId="0" xfId="0" applyNumberFormat="1" applyFont="1" applyFill="1" applyBorder="1" applyAlignment="1" applyProtection="1">
      <alignment horizontal="right" vertical="center"/>
      <protection/>
    </xf>
    <xf numFmtId="164" fontId="15" fillId="0" borderId="0" xfId="0" applyNumberFormat="1" applyFont="1" applyFill="1" applyBorder="1" applyAlignment="1" applyProtection="1">
      <alignment horizontal="right" vertical="center"/>
      <protection/>
    </xf>
    <xf numFmtId="164" fontId="5" fillId="0" borderId="24" xfId="0" applyNumberFormat="1" applyFont="1" applyFill="1" applyBorder="1" applyAlignment="1" applyProtection="1">
      <alignment horizontal="right" vertical="center"/>
      <protection/>
    </xf>
    <xf numFmtId="49" fontId="21" fillId="4" borderId="20" xfId="0" applyNumberFormat="1" applyFont="1" applyFill="1" applyBorder="1" applyAlignment="1" applyProtection="1">
      <alignment horizontal="left" vertical="center"/>
      <protection/>
    </xf>
    <xf numFmtId="49" fontId="21" fillId="4" borderId="29" xfId="0" applyNumberFormat="1" applyFont="1" applyFill="1" applyBorder="1" applyAlignment="1" applyProtection="1">
      <alignment horizontal="left" vertical="center"/>
      <protection/>
    </xf>
    <xf numFmtId="4" fontId="22" fillId="4" borderId="29" xfId="0" applyNumberFormat="1" applyFont="1" applyFill="1" applyBorder="1" applyAlignment="1" applyProtection="1">
      <alignment horizontal="right" vertical="center"/>
      <protection/>
    </xf>
    <xf numFmtId="49" fontId="22" fillId="4" borderId="22" xfId="0" applyNumberFormat="1" applyFont="1" applyFill="1" applyBorder="1" applyAlignment="1" applyProtection="1">
      <alignment horizontal="right" vertical="center"/>
      <protection/>
    </xf>
    <xf numFmtId="49" fontId="21" fillId="4" borderId="3" xfId="0" applyNumberFormat="1" applyFont="1" applyFill="1" applyBorder="1" applyAlignment="1" applyProtection="1">
      <alignment horizontal="left" vertical="center"/>
      <protection/>
    </xf>
    <xf numFmtId="49" fontId="21" fillId="4" borderId="0" xfId="0" applyNumberFormat="1" applyFont="1" applyFill="1" applyBorder="1" applyAlignment="1" applyProtection="1">
      <alignment horizontal="left" vertical="center"/>
      <protection/>
    </xf>
    <xf numFmtId="4" fontId="22" fillId="4" borderId="0" xfId="0" applyNumberFormat="1" applyFont="1" applyFill="1" applyBorder="1" applyAlignment="1" applyProtection="1">
      <alignment horizontal="right" vertical="center"/>
      <protection/>
    </xf>
    <xf numFmtId="49" fontId="22" fillId="4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23" fillId="0" borderId="3" xfId="0" applyNumberFormat="1" applyFont="1" applyFill="1" applyBorder="1" applyAlignment="1" applyProtection="1">
      <alignment horizontal="left" vertical="center"/>
      <protection/>
    </xf>
    <xf numFmtId="4" fontId="2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49" fontId="22" fillId="4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22" fillId="4" borderId="29" xfId="0" applyNumberFormat="1" applyFont="1" applyFill="1" applyBorder="1" applyAlignment="1" applyProtection="1">
      <alignment horizontal="left" vertical="center"/>
      <protection/>
    </xf>
    <xf numFmtId="49" fontId="9" fillId="2" borderId="29" xfId="0" applyNumberFormat="1" applyFont="1" applyFill="1" applyBorder="1" applyAlignment="1" applyProtection="1">
      <alignment horizontal="left" vertical="center"/>
      <protection/>
    </xf>
    <xf numFmtId="49" fontId="24" fillId="5" borderId="4" xfId="0" applyNumberFormat="1" applyFont="1" applyFill="1" applyBorder="1" applyAlignment="1" applyProtection="1">
      <alignment horizontal="left" vertical="center"/>
      <protection/>
    </xf>
    <xf numFmtId="49" fontId="24" fillId="5" borderId="24" xfId="0" applyNumberFormat="1" applyFont="1" applyFill="1" applyBorder="1" applyAlignment="1" applyProtection="1">
      <alignment horizontal="left" vertical="center"/>
      <protection/>
    </xf>
    <xf numFmtId="164" fontId="24" fillId="5" borderId="24" xfId="0" applyNumberFormat="1" applyFont="1" applyFill="1" applyBorder="1" applyAlignment="1" applyProtection="1">
      <alignment horizontal="right" vertical="center"/>
      <protection/>
    </xf>
    <xf numFmtId="4" fontId="24" fillId="5" borderId="24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4" fontId="24" fillId="5" borderId="2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9" fillId="0" borderId="16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33" xfId="0" applyNumberFormat="1" applyFont="1" applyFill="1" applyBorder="1" applyAlignment="1" applyProtection="1">
      <alignment horizontal="left" vertical="center"/>
      <protection/>
    </xf>
    <xf numFmtId="49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35" xfId="0" applyNumberFormat="1" applyFont="1" applyFill="1" applyBorder="1" applyAlignment="1" applyProtection="1">
      <alignment horizontal="left" vertical="center"/>
      <protection/>
    </xf>
    <xf numFmtId="0" fontId="19" fillId="0" borderId="36" xfId="0" applyNumberFormat="1" applyFont="1" applyFill="1" applyBorder="1" applyAlignment="1" applyProtection="1">
      <alignment horizontal="left" vertical="center"/>
      <protection/>
    </xf>
    <xf numFmtId="49" fontId="18" fillId="3" borderId="31" xfId="0" applyNumberFormat="1" applyFont="1" applyFill="1" applyBorder="1" applyAlignment="1" applyProtection="1">
      <alignment horizontal="left" vertical="center"/>
      <protection/>
    </xf>
    <xf numFmtId="0" fontId="18" fillId="3" borderId="37" xfId="0" applyNumberFormat="1" applyFont="1" applyFill="1" applyBorder="1" applyAlignment="1" applyProtection="1">
      <alignment horizontal="left" vertical="center"/>
      <protection/>
    </xf>
    <xf numFmtId="49" fontId="19" fillId="0" borderId="38" xfId="0" applyNumberFormat="1" applyFont="1" applyFill="1" applyBorder="1" applyAlignment="1" applyProtection="1">
      <alignment horizontal="left" vertical="center"/>
      <protection/>
    </xf>
    <xf numFmtId="0" fontId="19" fillId="0" borderId="29" xfId="0" applyNumberFormat="1" applyFont="1" applyFill="1" applyBorder="1" applyAlignment="1" applyProtection="1">
      <alignment horizontal="left" vertical="center"/>
      <protection/>
    </xf>
    <xf numFmtId="0" fontId="19" fillId="0" borderId="39" xfId="0" applyNumberFormat="1" applyFont="1" applyFill="1" applyBorder="1" applyAlignment="1" applyProtection="1">
      <alignment horizontal="left" vertical="center"/>
      <protection/>
    </xf>
    <xf numFmtId="49" fontId="18" fillId="0" borderId="31" xfId="0" applyNumberFormat="1" applyFont="1" applyFill="1" applyBorder="1" applyAlignment="1" applyProtection="1">
      <alignment horizontal="left" vertical="center"/>
      <protection/>
    </xf>
    <xf numFmtId="0" fontId="18" fillId="0" borderId="32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horizontal="left" vertical="center"/>
      <protection/>
    </xf>
    <xf numFmtId="0" fontId="19" fillId="0" borderId="32" xfId="0" applyNumberFormat="1" applyFont="1" applyFill="1" applyBorder="1" applyAlignment="1" applyProtection="1">
      <alignment horizontal="left" vertical="center"/>
      <protection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37" xfId="0" applyNumberFormat="1" applyFont="1" applyFill="1" applyBorder="1" applyAlignment="1" applyProtection="1">
      <alignment horizontal="center" vertical="center"/>
      <protection/>
    </xf>
    <xf numFmtId="49" fontId="20" fillId="0" borderId="31" xfId="0" applyNumberFormat="1" applyFont="1" applyFill="1" applyBorder="1" applyAlignment="1" applyProtection="1">
      <alignment horizontal="left" vertical="center"/>
      <protection/>
    </xf>
    <xf numFmtId="0" fontId="20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23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24" fillId="5" borderId="24" xfId="0" applyNumberFormat="1" applyFont="1" applyFill="1" applyBorder="1" applyAlignment="1" applyProtection="1">
      <alignment horizontal="left" vertical="center"/>
      <protection/>
    </xf>
    <xf numFmtId="0" fontId="24" fillId="5" borderId="2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9" fontId="22" fillId="4" borderId="0" xfId="0" applyNumberFormat="1" applyFont="1" applyFill="1" applyBorder="1" applyAlignment="1" applyProtection="1">
      <alignment horizontal="left" vertical="center"/>
      <protection/>
    </xf>
    <xf numFmtId="0" fontId="8" fillId="4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0" fontId="9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35" xfId="0" applyNumberFormat="1" applyFont="1" applyFill="1" applyBorder="1" applyAlignment="1" applyProtection="1">
      <alignment horizontal="left" vertical="center"/>
      <protection/>
    </xf>
    <xf numFmtId="0" fontId="3" fillId="0" borderId="45" xfId="0" applyNumberFormat="1" applyFont="1" applyFill="1" applyBorder="1" applyAlignment="1" applyProtection="1">
      <alignment horizontal="left" vertical="center"/>
      <protection/>
    </xf>
    <xf numFmtId="49" fontId="22" fillId="4" borderId="29" xfId="0" applyNumberFormat="1" applyFont="1" applyFill="1" applyBorder="1" applyAlignment="1" applyProtection="1">
      <alignment horizontal="left" vertical="center"/>
      <protection/>
    </xf>
    <xf numFmtId="0" fontId="8" fillId="4" borderId="29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35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horizontal="left" vertical="center"/>
      <protection locked="0"/>
    </xf>
    <xf numFmtId="0" fontId="1" fillId="0" borderId="45" xfId="0" applyNumberFormat="1" applyFont="1" applyFill="1" applyBorder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Fill="1" applyBorder="1" applyAlignment="1" applyProtection="1">
      <alignment horizontal="left" vertical="center"/>
      <protection locked="0"/>
    </xf>
    <xf numFmtId="0" fontId="1" fillId="0" borderId="30" xfId="0" applyNumberFormat="1" applyFont="1" applyFill="1" applyBorder="1" applyAlignment="1" applyProtection="1">
      <alignment horizontal="left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9" fillId="2" borderId="29" xfId="0" applyNumberFormat="1" applyFont="1" applyFill="1" applyBorder="1" applyAlignment="1" applyProtection="1">
      <alignment horizontal="left" vertical="center"/>
      <protection/>
    </xf>
    <xf numFmtId="0" fontId="9" fillId="2" borderId="29" xfId="0" applyNumberFormat="1" applyFont="1" applyFill="1" applyBorder="1" applyAlignment="1" applyProtection="1">
      <alignment horizontal="left" vertical="center"/>
      <protection/>
    </xf>
    <xf numFmtId="0" fontId="1" fillId="0" borderId="45" xfId="0" applyNumberFormat="1" applyFont="1" applyFill="1" applyBorder="1" applyAlignment="1" applyProtection="1">
      <alignment horizontal="left" vertical="center"/>
      <protection/>
    </xf>
    <xf numFmtId="49" fontId="24" fillId="5" borderId="3" xfId="0" applyNumberFormat="1" applyFont="1" applyFill="1" applyBorder="1" applyAlignment="1" applyProtection="1">
      <alignment horizontal="left" vertical="center"/>
      <protection/>
    </xf>
    <xf numFmtId="49" fontId="24" fillId="5" borderId="0" xfId="0" applyNumberFormat="1" applyFont="1" applyFill="1" applyBorder="1" applyAlignment="1" applyProtection="1">
      <alignment horizontal="left" vertical="center"/>
      <protection/>
    </xf>
    <xf numFmtId="49" fontId="24" fillId="5" borderId="0" xfId="0" applyNumberFormat="1" applyFont="1" applyFill="1" applyBorder="1" applyAlignment="1" applyProtection="1">
      <alignment horizontal="left" vertical="center"/>
      <protection/>
    </xf>
    <xf numFmtId="0" fontId="24" fillId="5" borderId="0" xfId="0" applyNumberFormat="1" applyFont="1" applyFill="1" applyBorder="1" applyAlignment="1" applyProtection="1">
      <alignment horizontal="left" vertical="center"/>
      <protection/>
    </xf>
    <xf numFmtId="164" fontId="24" fillId="5" borderId="0" xfId="0" applyNumberFormat="1" applyFont="1" applyFill="1" applyBorder="1" applyAlignment="1" applyProtection="1">
      <alignment horizontal="right" vertical="center"/>
      <protection/>
    </xf>
    <xf numFmtId="4" fontId="24" fillId="5" borderId="0" xfId="0" applyNumberFormat="1" applyFont="1" applyFill="1" applyBorder="1" applyAlignment="1" applyProtection="1">
      <alignment horizontal="right" vertical="center"/>
      <protection locked="0"/>
    </xf>
    <xf numFmtId="4" fontId="24" fillId="5" borderId="0" xfId="0" applyNumberFormat="1" applyFont="1" applyFill="1" applyBorder="1" applyAlignment="1" applyProtection="1">
      <alignment horizontal="right" vertical="center"/>
      <protection/>
    </xf>
    <xf numFmtId="49" fontId="24" fillId="5" borderId="15" xfId="0" applyNumberFormat="1" applyFont="1" applyFill="1" applyBorder="1" applyAlignment="1" applyProtection="1">
      <alignment horizontal="right" vertical="center"/>
      <protection/>
    </xf>
    <xf numFmtId="49" fontId="24" fillId="5" borderId="23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4097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885825</xdr:rowOff>
    </xdr:to>
    <xdr:pic>
      <xdr:nvPicPr>
        <xdr:cNvPr id="20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3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885825</xdr:rowOff>
    </xdr:to>
    <xdr:pic>
      <xdr:nvPicPr>
        <xdr:cNvPr id="102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3073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953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7"/>
  <sheetViews>
    <sheetView tabSelected="1" workbookViewId="0" topLeftCell="A1">
      <selection activeCell="A1" sqref="A1:I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95" customHeight="1">
      <c r="A1" s="71"/>
      <c r="B1" s="55"/>
      <c r="C1" s="138" t="s">
        <v>3268</v>
      </c>
      <c r="D1" s="139"/>
      <c r="E1" s="139"/>
      <c r="F1" s="139"/>
      <c r="G1" s="139"/>
      <c r="H1" s="139"/>
      <c r="I1" s="139"/>
    </row>
    <row r="2" spans="1:10" ht="12.75">
      <c r="A2" s="140" t="s">
        <v>1</v>
      </c>
      <c r="B2" s="141"/>
      <c r="C2" s="142" t="str">
        <f>'Stavební rozpočet'!C2</f>
        <v>Azylový dům města Česká Lípa</v>
      </c>
      <c r="D2" s="143"/>
      <c r="E2" s="145" t="s">
        <v>2858</v>
      </c>
      <c r="F2" s="145" t="str">
        <f>'Stavební rozpočet'!J2</f>
        <v> </v>
      </c>
      <c r="G2" s="141"/>
      <c r="H2" s="145" t="s">
        <v>3293</v>
      </c>
      <c r="I2" s="146"/>
      <c r="J2" s="5"/>
    </row>
    <row r="3" spans="1:10" ht="12.75">
      <c r="A3" s="132"/>
      <c r="B3" s="109"/>
      <c r="C3" s="144"/>
      <c r="D3" s="144"/>
      <c r="E3" s="109"/>
      <c r="F3" s="109"/>
      <c r="G3" s="109"/>
      <c r="H3" s="109"/>
      <c r="I3" s="135"/>
      <c r="J3" s="5"/>
    </row>
    <row r="4" spans="1:10" ht="12.75">
      <c r="A4" s="131" t="s">
        <v>2</v>
      </c>
      <c r="B4" s="109"/>
      <c r="C4" s="108" t="str">
        <f>'Stavební rozpočet'!C4</f>
        <v xml:space="preserve"> </v>
      </c>
      <c r="D4" s="109"/>
      <c r="E4" s="108" t="s">
        <v>2859</v>
      </c>
      <c r="F4" s="108" t="str">
        <f>'Stavební rozpočet'!J4</f>
        <v> </v>
      </c>
      <c r="G4" s="109"/>
      <c r="H4" s="108" t="s">
        <v>3293</v>
      </c>
      <c r="I4" s="134"/>
      <c r="J4" s="5"/>
    </row>
    <row r="5" spans="1:10" ht="12.75">
      <c r="A5" s="132"/>
      <c r="B5" s="109"/>
      <c r="C5" s="109"/>
      <c r="D5" s="109"/>
      <c r="E5" s="109"/>
      <c r="F5" s="109"/>
      <c r="G5" s="109"/>
      <c r="H5" s="109"/>
      <c r="I5" s="135"/>
      <c r="J5" s="5"/>
    </row>
    <row r="6" spans="1:10" ht="12.75">
      <c r="A6" s="131" t="s">
        <v>3</v>
      </c>
      <c r="B6" s="109"/>
      <c r="C6" s="108" t="str">
        <f>'Stavební rozpočet'!C6</f>
        <v>st.p.č. 3006, 3007, k.ú.Česká Lípa, ul.Dubická č.p.931, Česká Lípa</v>
      </c>
      <c r="D6" s="109"/>
      <c r="E6" s="108" t="s">
        <v>2860</v>
      </c>
      <c r="F6" s="108" t="str">
        <f>'Stavební rozpočet'!J6</f>
        <v> </v>
      </c>
      <c r="G6" s="109"/>
      <c r="H6" s="108" t="s">
        <v>3293</v>
      </c>
      <c r="I6" s="134"/>
      <c r="J6" s="5"/>
    </row>
    <row r="7" spans="1:10" ht="12.75">
      <c r="A7" s="132"/>
      <c r="B7" s="109"/>
      <c r="C7" s="109"/>
      <c r="D7" s="109"/>
      <c r="E7" s="109"/>
      <c r="F7" s="109"/>
      <c r="G7" s="109"/>
      <c r="H7" s="109"/>
      <c r="I7" s="135"/>
      <c r="J7" s="5"/>
    </row>
    <row r="8" spans="1:10" ht="12.75">
      <c r="A8" s="131" t="s">
        <v>2843</v>
      </c>
      <c r="B8" s="109"/>
      <c r="C8" s="108"/>
      <c r="D8" s="109"/>
      <c r="E8" s="108" t="s">
        <v>2844</v>
      </c>
      <c r="F8" s="108"/>
      <c r="G8" s="109"/>
      <c r="H8" s="133" t="s">
        <v>3294</v>
      </c>
      <c r="I8" s="134" t="s">
        <v>3298</v>
      </c>
      <c r="J8" s="5"/>
    </row>
    <row r="9" spans="1:10" ht="12.75">
      <c r="A9" s="132"/>
      <c r="B9" s="109"/>
      <c r="C9" s="109"/>
      <c r="D9" s="109"/>
      <c r="E9" s="109"/>
      <c r="F9" s="109"/>
      <c r="G9" s="109"/>
      <c r="H9" s="109"/>
      <c r="I9" s="135"/>
      <c r="J9" s="5"/>
    </row>
    <row r="10" spans="1:10" ht="12.75">
      <c r="A10" s="131" t="s">
        <v>4</v>
      </c>
      <c r="B10" s="109"/>
      <c r="C10" s="108" t="str">
        <f>'Stavební rozpočet'!C8</f>
        <v>801 21 1 1</v>
      </c>
      <c r="D10" s="109"/>
      <c r="E10" s="108" t="s">
        <v>2861</v>
      </c>
      <c r="F10" s="108" t="str">
        <f>'Stavební rozpočet'!J8</f>
        <v> </v>
      </c>
      <c r="G10" s="109"/>
      <c r="H10" s="133" t="s">
        <v>3295</v>
      </c>
      <c r="I10" s="129"/>
      <c r="J10" s="5"/>
    </row>
    <row r="11" spans="1:10" ht="12.75">
      <c r="A11" s="136"/>
      <c r="B11" s="137"/>
      <c r="C11" s="137"/>
      <c r="D11" s="137"/>
      <c r="E11" s="137"/>
      <c r="F11" s="137"/>
      <c r="G11" s="137"/>
      <c r="H11" s="137"/>
      <c r="I11" s="130"/>
      <c r="J11" s="5"/>
    </row>
    <row r="12" spans="1:9" ht="23.45" customHeight="1">
      <c r="A12" s="125" t="s">
        <v>3253</v>
      </c>
      <c r="B12" s="126"/>
      <c r="C12" s="126"/>
      <c r="D12" s="126"/>
      <c r="E12" s="126"/>
      <c r="F12" s="126"/>
      <c r="G12" s="126"/>
      <c r="H12" s="126"/>
      <c r="I12" s="126"/>
    </row>
    <row r="13" spans="1:10" ht="26.45" customHeight="1">
      <c r="A13" s="56" t="s">
        <v>3254</v>
      </c>
      <c r="B13" s="127" t="s">
        <v>3266</v>
      </c>
      <c r="C13" s="128"/>
      <c r="D13" s="56" t="s">
        <v>3269</v>
      </c>
      <c r="E13" s="127" t="s">
        <v>3278</v>
      </c>
      <c r="F13" s="128"/>
      <c r="G13" s="56" t="s">
        <v>3279</v>
      </c>
      <c r="H13" s="127" t="s">
        <v>3296</v>
      </c>
      <c r="I13" s="128"/>
      <c r="J13" s="5"/>
    </row>
    <row r="14" spans="1:10" ht="15.2" customHeight="1">
      <c r="A14" s="57" t="s">
        <v>3255</v>
      </c>
      <c r="B14" s="61" t="s">
        <v>3267</v>
      </c>
      <c r="C14" s="65">
        <f>SUM('Stavební rozpočet'!AB12:AB1085)</f>
        <v>0</v>
      </c>
      <c r="D14" s="123" t="s">
        <v>3270</v>
      </c>
      <c r="E14" s="124"/>
      <c r="F14" s="65">
        <v>0</v>
      </c>
      <c r="G14" s="123" t="s">
        <v>3280</v>
      </c>
      <c r="H14" s="124"/>
      <c r="I14" s="66" t="s">
        <v>3297</v>
      </c>
      <c r="J14" s="5"/>
    </row>
    <row r="15" spans="1:10" ht="15.2" customHeight="1">
      <c r="A15" s="58"/>
      <c r="B15" s="61" t="s">
        <v>2868</v>
      </c>
      <c r="C15" s="65">
        <f>SUM('Stavební rozpočet'!AC12:AC1085)</f>
        <v>0</v>
      </c>
      <c r="D15" s="123" t="s">
        <v>3271</v>
      </c>
      <c r="E15" s="124"/>
      <c r="F15" s="65">
        <v>0</v>
      </c>
      <c r="G15" s="123" t="s">
        <v>3281</v>
      </c>
      <c r="H15" s="124"/>
      <c r="I15" s="66" t="s">
        <v>3297</v>
      </c>
      <c r="J15" s="5"/>
    </row>
    <row r="16" spans="1:10" ht="15.2" customHeight="1">
      <c r="A16" s="57" t="s">
        <v>3256</v>
      </c>
      <c r="B16" s="61" t="s">
        <v>3267</v>
      </c>
      <c r="C16" s="65">
        <f>SUM('Stavební rozpočet'!AD12:AD1085)</f>
        <v>0</v>
      </c>
      <c r="D16" s="123" t="s">
        <v>3272</v>
      </c>
      <c r="E16" s="124"/>
      <c r="F16" s="65">
        <v>0</v>
      </c>
      <c r="G16" s="123" t="s">
        <v>3282</v>
      </c>
      <c r="H16" s="124"/>
      <c r="I16" s="66" t="s">
        <v>3297</v>
      </c>
      <c r="J16" s="5"/>
    </row>
    <row r="17" spans="1:10" ht="15.2" customHeight="1">
      <c r="A17" s="58"/>
      <c r="B17" s="61" t="s">
        <v>2868</v>
      </c>
      <c r="C17" s="65">
        <f>SUM('Stavební rozpočet'!AE12:AE1085)</f>
        <v>0</v>
      </c>
      <c r="D17" s="123"/>
      <c r="E17" s="124"/>
      <c r="F17" s="66"/>
      <c r="G17" s="123" t="s">
        <v>3283</v>
      </c>
      <c r="H17" s="124"/>
      <c r="I17" s="66" t="s">
        <v>3297</v>
      </c>
      <c r="J17" s="5"/>
    </row>
    <row r="18" spans="1:10" ht="15.2" customHeight="1">
      <c r="A18" s="57" t="s">
        <v>3257</v>
      </c>
      <c r="B18" s="61" t="s">
        <v>3267</v>
      </c>
      <c r="C18" s="65">
        <f>SUM('Stavební rozpočet'!AF12:AF1085)</f>
        <v>0</v>
      </c>
      <c r="D18" s="123"/>
      <c r="E18" s="124"/>
      <c r="F18" s="66"/>
      <c r="G18" s="123" t="s">
        <v>3284</v>
      </c>
      <c r="H18" s="124"/>
      <c r="I18" s="66" t="s">
        <v>3297</v>
      </c>
      <c r="J18" s="5"/>
    </row>
    <row r="19" spans="1:10" ht="15.2" customHeight="1">
      <c r="A19" s="58"/>
      <c r="B19" s="61" t="s">
        <v>2868</v>
      </c>
      <c r="C19" s="65">
        <f>SUM('Stavební rozpočet'!AG12:AG1085)</f>
        <v>0</v>
      </c>
      <c r="D19" s="123"/>
      <c r="E19" s="124"/>
      <c r="F19" s="66"/>
      <c r="G19" s="123" t="s">
        <v>3285</v>
      </c>
      <c r="H19" s="124"/>
      <c r="I19" s="66" t="s">
        <v>3297</v>
      </c>
      <c r="J19" s="5"/>
    </row>
    <row r="20" spans="1:10" ht="15.2" customHeight="1">
      <c r="A20" s="121" t="s">
        <v>3258</v>
      </c>
      <c r="B20" s="122"/>
      <c r="C20" s="65">
        <f>SUM('Stavební rozpočet'!AH12:AH1085)</f>
        <v>0</v>
      </c>
      <c r="D20" s="123"/>
      <c r="E20" s="124"/>
      <c r="F20" s="66"/>
      <c r="G20" s="123"/>
      <c r="H20" s="124"/>
      <c r="I20" s="66"/>
      <c r="J20" s="5"/>
    </row>
    <row r="21" spans="1:10" ht="15.2" customHeight="1">
      <c r="A21" s="121" t="s">
        <v>3259</v>
      </c>
      <c r="B21" s="122"/>
      <c r="C21" s="65">
        <f>SUM('Stavební rozpočet'!Z12:Z1085)</f>
        <v>0</v>
      </c>
      <c r="D21" s="123"/>
      <c r="E21" s="124"/>
      <c r="F21" s="66"/>
      <c r="G21" s="123"/>
      <c r="H21" s="124"/>
      <c r="I21" s="66"/>
      <c r="J21" s="5"/>
    </row>
    <row r="22" spans="1:10" ht="16.7" customHeight="1">
      <c r="A22" s="121" t="s">
        <v>3260</v>
      </c>
      <c r="B22" s="122"/>
      <c r="C22" s="65">
        <f>SUM(C14:C21)</f>
        <v>0</v>
      </c>
      <c r="D22" s="121" t="s">
        <v>3273</v>
      </c>
      <c r="E22" s="122"/>
      <c r="F22" s="65">
        <f>SUM(F14:F21)</f>
        <v>0</v>
      </c>
      <c r="G22" s="121" t="s">
        <v>3286</v>
      </c>
      <c r="H22" s="122"/>
      <c r="I22" s="65">
        <f>SUM(I14:I21)</f>
        <v>0</v>
      </c>
      <c r="J22" s="5"/>
    </row>
    <row r="23" spans="1:10" ht="15.2" customHeight="1">
      <c r="A23" s="8"/>
      <c r="B23" s="8"/>
      <c r="C23" s="63"/>
      <c r="D23" s="121" t="s">
        <v>3274</v>
      </c>
      <c r="E23" s="122"/>
      <c r="F23" s="67">
        <v>0</v>
      </c>
      <c r="G23" s="121" t="s">
        <v>3287</v>
      </c>
      <c r="H23" s="122"/>
      <c r="I23" s="65">
        <v>0</v>
      </c>
      <c r="J23" s="5"/>
    </row>
    <row r="24" spans="4:9" ht="15.2" customHeight="1">
      <c r="D24" s="8"/>
      <c r="E24" s="8"/>
      <c r="F24" s="68"/>
      <c r="G24" s="121" t="s">
        <v>3288</v>
      </c>
      <c r="H24" s="122"/>
      <c r="I24" s="69"/>
    </row>
    <row r="25" spans="6:10" ht="15.2" customHeight="1">
      <c r="F25" s="52"/>
      <c r="G25" s="121" t="s">
        <v>3289</v>
      </c>
      <c r="H25" s="122"/>
      <c r="I25" s="65">
        <v>0</v>
      </c>
      <c r="J25" s="5"/>
    </row>
    <row r="26" spans="1:9" ht="12.75">
      <c r="A26" s="55"/>
      <c r="B26" s="55"/>
      <c r="C26" s="55"/>
      <c r="G26" s="8"/>
      <c r="H26" s="8"/>
      <c r="I26" s="8"/>
    </row>
    <row r="27" spans="1:9" ht="15.2" customHeight="1">
      <c r="A27" s="116" t="s">
        <v>3261</v>
      </c>
      <c r="B27" s="117"/>
      <c r="C27" s="70">
        <f>SUM('Stavební rozpočet'!AJ12:AJ1085)</f>
        <v>0</v>
      </c>
      <c r="D27" s="64"/>
      <c r="E27" s="55"/>
      <c r="F27" s="55"/>
      <c r="G27" s="55"/>
      <c r="H27" s="55"/>
      <c r="I27" s="55"/>
    </row>
    <row r="28" spans="1:10" ht="15.2" customHeight="1">
      <c r="A28" s="116" t="s">
        <v>3262</v>
      </c>
      <c r="B28" s="117"/>
      <c r="C28" s="70">
        <f>SUM('Stavební rozpočet'!AK12:AK1085)+(F22+I22+F23+I23+I24+I25)</f>
        <v>0</v>
      </c>
      <c r="D28" s="116" t="s">
        <v>3275</v>
      </c>
      <c r="E28" s="117"/>
      <c r="F28" s="70">
        <f>ROUND(C28*(15/100),2)</f>
        <v>0</v>
      </c>
      <c r="G28" s="116" t="s">
        <v>3290</v>
      </c>
      <c r="H28" s="117"/>
      <c r="I28" s="70">
        <f>SUM(C27:C29)</f>
        <v>0</v>
      </c>
      <c r="J28" s="5"/>
    </row>
    <row r="29" spans="1:10" ht="15.2" customHeight="1">
      <c r="A29" s="116" t="s">
        <v>3263</v>
      </c>
      <c r="B29" s="117"/>
      <c r="C29" s="70">
        <f>SUM('Stavební rozpočet'!AL12:AL1085)</f>
        <v>0</v>
      </c>
      <c r="D29" s="116" t="s">
        <v>3276</v>
      </c>
      <c r="E29" s="117"/>
      <c r="F29" s="70">
        <f>ROUND(C29*(21/100),2)</f>
        <v>0</v>
      </c>
      <c r="G29" s="116" t="s">
        <v>3291</v>
      </c>
      <c r="H29" s="117"/>
      <c r="I29" s="70">
        <f>SUM(F28:F29)+I28</f>
        <v>0</v>
      </c>
      <c r="J29" s="5"/>
    </row>
    <row r="30" spans="1:9" ht="12.75">
      <c r="A30" s="59"/>
      <c r="B30" s="59"/>
      <c r="C30" s="59"/>
      <c r="D30" s="59"/>
      <c r="E30" s="59"/>
      <c r="F30" s="59"/>
      <c r="G30" s="59"/>
      <c r="H30" s="59"/>
      <c r="I30" s="59"/>
    </row>
    <row r="31" spans="1:10" ht="14.45" customHeight="1">
      <c r="A31" s="118" t="s">
        <v>3264</v>
      </c>
      <c r="B31" s="119"/>
      <c r="C31" s="120"/>
      <c r="D31" s="118" t="s">
        <v>3277</v>
      </c>
      <c r="E31" s="119"/>
      <c r="F31" s="120"/>
      <c r="G31" s="118" t="s">
        <v>3292</v>
      </c>
      <c r="H31" s="119"/>
      <c r="I31" s="120"/>
      <c r="J31" s="27"/>
    </row>
    <row r="32" spans="1:10" ht="14.45" customHeight="1">
      <c r="A32" s="110"/>
      <c r="B32" s="111"/>
      <c r="C32" s="112"/>
      <c r="D32" s="110"/>
      <c r="E32" s="111"/>
      <c r="F32" s="112"/>
      <c r="G32" s="110"/>
      <c r="H32" s="111"/>
      <c r="I32" s="112"/>
      <c r="J32" s="27"/>
    </row>
    <row r="33" spans="1:10" ht="14.45" customHeight="1">
      <c r="A33" s="110"/>
      <c r="B33" s="111"/>
      <c r="C33" s="112"/>
      <c r="D33" s="110"/>
      <c r="E33" s="111"/>
      <c r="F33" s="112"/>
      <c r="G33" s="110"/>
      <c r="H33" s="111"/>
      <c r="I33" s="112"/>
      <c r="J33" s="27"/>
    </row>
    <row r="34" spans="1:10" ht="14.45" customHeight="1">
      <c r="A34" s="110"/>
      <c r="B34" s="111"/>
      <c r="C34" s="112"/>
      <c r="D34" s="110"/>
      <c r="E34" s="111"/>
      <c r="F34" s="112"/>
      <c r="G34" s="110"/>
      <c r="H34" s="111"/>
      <c r="I34" s="112"/>
      <c r="J34" s="27"/>
    </row>
    <row r="35" spans="1:10" ht="14.45" customHeight="1">
      <c r="A35" s="113" t="s">
        <v>3265</v>
      </c>
      <c r="B35" s="114"/>
      <c r="C35" s="115"/>
      <c r="D35" s="113" t="s">
        <v>3265</v>
      </c>
      <c r="E35" s="114"/>
      <c r="F35" s="115"/>
      <c r="G35" s="113" t="s">
        <v>3265</v>
      </c>
      <c r="H35" s="114"/>
      <c r="I35" s="115"/>
      <c r="J35" s="27"/>
    </row>
    <row r="36" spans="1:9" ht="11.25" customHeight="1">
      <c r="A36" s="60" t="s">
        <v>1010</v>
      </c>
      <c r="B36" s="62"/>
      <c r="C36" s="62"/>
      <c r="D36" s="62"/>
      <c r="E36" s="62"/>
      <c r="F36" s="62"/>
      <c r="G36" s="62"/>
      <c r="H36" s="62"/>
      <c r="I36" s="62"/>
    </row>
    <row r="37" spans="1:9" ht="12.75">
      <c r="A37" s="108"/>
      <c r="B37" s="109"/>
      <c r="C37" s="109"/>
      <c r="D37" s="109"/>
      <c r="E37" s="109"/>
      <c r="F37" s="109"/>
      <c r="G37" s="109"/>
      <c r="H37" s="109"/>
      <c r="I37" s="109"/>
    </row>
  </sheetData>
  <sheetProtection algorithmName="SHA-512" hashValue="2QsToxmkq3eqjWrimntWf6Xi3z6+g7jAIparm00W0eJx9vkVKhyYDm9lhyw2gSCP9DwXVYIm0r4jYOg2yemjPg==" saltValue="eV2OdH1pWIremfcrRPP1pw==" spinCount="100000" sheet="1" objects="1" scenarios="1"/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1"/>
  <sheetViews>
    <sheetView workbookViewId="0" topLeftCell="A1">
      <pane ySplit="10" topLeftCell="A11" activePane="bottomLeft" state="frozen"/>
      <selection pane="topLeft" activeCell="A1" sqref="A1:I1"/>
      <selection pane="bottomLeft" activeCell="A1" sqref="A1:I1"/>
    </sheetView>
  </sheetViews>
  <sheetFormatPr defaultColWidth="11.57421875" defaultRowHeight="12.75"/>
  <cols>
    <col min="1" max="2" width="7.140625" style="0" customWidth="1"/>
    <col min="3" max="3" width="57.140625" style="0" customWidth="1"/>
    <col min="4" max="4" width="16.00390625" style="0" customWidth="1"/>
    <col min="5" max="5" width="22.140625" style="0" hidden="1" customWidth="1"/>
    <col min="6" max="6" width="21.00390625" style="0" hidden="1" customWidth="1"/>
    <col min="7" max="7" width="20.8515625" style="0" customWidth="1"/>
    <col min="8" max="9" width="11.57421875" style="0" hidden="1" customWidth="1"/>
  </cols>
  <sheetData>
    <row r="1" spans="1:7" ht="72.95" customHeight="1">
      <c r="A1" s="149" t="s">
        <v>2972</v>
      </c>
      <c r="B1" s="139"/>
      <c r="C1" s="139"/>
      <c r="D1" s="139"/>
      <c r="E1" s="139"/>
      <c r="F1" s="139"/>
      <c r="G1" s="139"/>
    </row>
    <row r="2" spans="1:8" ht="12.75">
      <c r="A2" s="140" t="s">
        <v>1</v>
      </c>
      <c r="B2" s="141"/>
      <c r="C2" s="142" t="str">
        <f>'Stavební rozpočet'!C2</f>
        <v>Azylový dům města Česká Lípa</v>
      </c>
      <c r="D2" s="150" t="s">
        <v>2842</v>
      </c>
      <c r="E2" s="150" t="s">
        <v>6</v>
      </c>
      <c r="F2" s="145" t="s">
        <v>2858</v>
      </c>
      <c r="G2" s="151" t="str">
        <f>'Stavební rozpočet'!J2</f>
        <v> </v>
      </c>
      <c r="H2" s="5"/>
    </row>
    <row r="3" spans="1:8" ht="12.75">
      <c r="A3" s="132"/>
      <c r="B3" s="109"/>
      <c r="C3" s="144"/>
      <c r="D3" s="109"/>
      <c r="E3" s="109"/>
      <c r="F3" s="109"/>
      <c r="G3" s="135"/>
      <c r="H3" s="5"/>
    </row>
    <row r="4" spans="1:8" ht="12.75">
      <c r="A4" s="131" t="s">
        <v>2</v>
      </c>
      <c r="B4" s="109"/>
      <c r="C4" s="108" t="str">
        <f>'Stavební rozpočet'!C4</f>
        <v xml:space="preserve"> </v>
      </c>
      <c r="D4" s="133" t="s">
        <v>2843</v>
      </c>
      <c r="E4" s="133"/>
      <c r="F4" s="108" t="s">
        <v>2859</v>
      </c>
      <c r="G4" s="129" t="str">
        <f>'Stavební rozpočet'!J4</f>
        <v> </v>
      </c>
      <c r="H4" s="5"/>
    </row>
    <row r="5" spans="1:8" ht="12.75">
      <c r="A5" s="132"/>
      <c r="B5" s="109"/>
      <c r="C5" s="109"/>
      <c r="D5" s="109"/>
      <c r="E5" s="109"/>
      <c r="F5" s="109"/>
      <c r="G5" s="135"/>
      <c r="H5" s="5"/>
    </row>
    <row r="6" spans="1:8" ht="12.75">
      <c r="A6" s="131" t="s">
        <v>3</v>
      </c>
      <c r="B6" s="109"/>
      <c r="C6" s="108" t="str">
        <f>'Stavební rozpočet'!C6</f>
        <v>st.p.č. 3006, 3007, k.ú.Česká Lípa, ul.Dubická č.p.931, Česká Lípa</v>
      </c>
      <c r="D6" s="133" t="s">
        <v>2844</v>
      </c>
      <c r="E6" s="133"/>
      <c r="F6" s="108" t="s">
        <v>2860</v>
      </c>
      <c r="G6" s="129" t="str">
        <f>'Stavební rozpočet'!J6</f>
        <v> </v>
      </c>
      <c r="H6" s="5"/>
    </row>
    <row r="7" spans="1:8" ht="12.75">
      <c r="A7" s="132"/>
      <c r="B7" s="109"/>
      <c r="C7" s="109"/>
      <c r="D7" s="109"/>
      <c r="E7" s="109"/>
      <c r="F7" s="109"/>
      <c r="G7" s="135"/>
      <c r="H7" s="5"/>
    </row>
    <row r="8" spans="1:8" ht="12.75">
      <c r="A8" s="131" t="s">
        <v>2861</v>
      </c>
      <c r="B8" s="109"/>
      <c r="C8" s="108" t="str">
        <f>'Stavební rozpočet'!J8</f>
        <v> </v>
      </c>
      <c r="D8" s="133" t="s">
        <v>2845</v>
      </c>
      <c r="E8" s="133"/>
      <c r="F8" s="133" t="s">
        <v>2845</v>
      </c>
      <c r="G8" s="129"/>
      <c r="H8" s="5"/>
    </row>
    <row r="9" spans="1:8" ht="13.5" thickBot="1">
      <c r="A9" s="132"/>
      <c r="B9" s="109"/>
      <c r="C9" s="109"/>
      <c r="D9" s="109"/>
      <c r="E9" s="109"/>
      <c r="F9" s="109"/>
      <c r="G9" s="135"/>
      <c r="H9" s="5"/>
    </row>
    <row r="10" spans="1:8" ht="13.5" thickBot="1">
      <c r="A10" s="36" t="s">
        <v>2973</v>
      </c>
      <c r="B10" s="38" t="s">
        <v>1011</v>
      </c>
      <c r="C10" s="39" t="s">
        <v>2974</v>
      </c>
      <c r="D10" s="88"/>
      <c r="E10" s="40" t="s">
        <v>2975</v>
      </c>
      <c r="F10" s="40" t="s">
        <v>2976</v>
      </c>
      <c r="G10" s="89" t="s">
        <v>2977</v>
      </c>
      <c r="H10" s="87"/>
    </row>
    <row r="11" spans="1:9" ht="12.75">
      <c r="A11" s="90" t="s">
        <v>2882</v>
      </c>
      <c r="B11" s="93"/>
      <c r="C11" s="147" t="s">
        <v>1934</v>
      </c>
      <c r="D11" s="148"/>
      <c r="E11" s="91">
        <f>'Stavební rozpočet'!J12</f>
        <v>0</v>
      </c>
      <c r="F11" s="91">
        <f>'Stavební rozpočet'!K12</f>
        <v>0</v>
      </c>
      <c r="G11" s="91">
        <f>'Stavební rozpočet'!L12</f>
        <v>0</v>
      </c>
      <c r="H11" s="29" t="s">
        <v>2978</v>
      </c>
      <c r="I11" s="29">
        <f aca="true" t="shared" si="0" ref="I11:I42">IF(H11="F",0,G11)</f>
        <v>0</v>
      </c>
    </row>
    <row r="12" spans="1:9" ht="12.75">
      <c r="A12" s="37" t="s">
        <v>2882</v>
      </c>
      <c r="B12" s="92" t="s">
        <v>18</v>
      </c>
      <c r="C12" s="133" t="s">
        <v>1935</v>
      </c>
      <c r="D12" s="109"/>
      <c r="E12" s="29">
        <f>'Stavební rozpočet'!J13</f>
        <v>0</v>
      </c>
      <c r="F12" s="29">
        <f>'Stavební rozpočet'!K13</f>
        <v>0</v>
      </c>
      <c r="G12" s="29">
        <f>'Stavební rozpočet'!L13</f>
        <v>0</v>
      </c>
      <c r="H12" s="29" t="s">
        <v>2979</v>
      </c>
      <c r="I12" s="29">
        <f t="shared" si="0"/>
        <v>0</v>
      </c>
    </row>
    <row r="13" spans="1:9" ht="12.75">
      <c r="A13" s="37" t="s">
        <v>2882</v>
      </c>
      <c r="B13" s="92" t="s">
        <v>19</v>
      </c>
      <c r="C13" s="133" t="s">
        <v>1938</v>
      </c>
      <c r="D13" s="109"/>
      <c r="E13" s="29">
        <f>'Stavební rozpočet'!J16</f>
        <v>0</v>
      </c>
      <c r="F13" s="29">
        <f>'Stavební rozpočet'!K16</f>
        <v>0</v>
      </c>
      <c r="G13" s="29">
        <f>'Stavební rozpočet'!L16</f>
        <v>0</v>
      </c>
      <c r="H13" s="29" t="s">
        <v>2979</v>
      </c>
      <c r="I13" s="29">
        <f t="shared" si="0"/>
        <v>0</v>
      </c>
    </row>
    <row r="14" spans="1:9" ht="12.75">
      <c r="A14" s="37" t="s">
        <v>2882</v>
      </c>
      <c r="B14" s="92" t="s">
        <v>22</v>
      </c>
      <c r="C14" s="133" t="s">
        <v>1944</v>
      </c>
      <c r="D14" s="109"/>
      <c r="E14" s="29">
        <f>'Stavební rozpočet'!J22</f>
        <v>0</v>
      </c>
      <c r="F14" s="29">
        <f>'Stavební rozpočet'!K22</f>
        <v>0</v>
      </c>
      <c r="G14" s="29">
        <f>'Stavební rozpočet'!L22</f>
        <v>0</v>
      </c>
      <c r="H14" s="29" t="s">
        <v>2979</v>
      </c>
      <c r="I14" s="29">
        <f t="shared" si="0"/>
        <v>0</v>
      </c>
    </row>
    <row r="15" spans="1:9" ht="12.75">
      <c r="A15" s="37" t="s">
        <v>2882</v>
      </c>
      <c r="B15" s="92" t="s">
        <v>23</v>
      </c>
      <c r="C15" s="133" t="s">
        <v>1948</v>
      </c>
      <c r="D15" s="109"/>
      <c r="E15" s="29">
        <f>'Stavební rozpočet'!J26</f>
        <v>0</v>
      </c>
      <c r="F15" s="29">
        <f>'Stavební rozpočet'!K26</f>
        <v>0</v>
      </c>
      <c r="G15" s="29">
        <f>'Stavební rozpočet'!L26</f>
        <v>0</v>
      </c>
      <c r="H15" s="29" t="s">
        <v>2979</v>
      </c>
      <c r="I15" s="29">
        <f t="shared" si="0"/>
        <v>0</v>
      </c>
    </row>
    <row r="16" spans="1:9" ht="12.75">
      <c r="A16" s="37" t="s">
        <v>2882</v>
      </c>
      <c r="B16" s="92" t="s">
        <v>25</v>
      </c>
      <c r="C16" s="133" t="s">
        <v>1950</v>
      </c>
      <c r="D16" s="109"/>
      <c r="E16" s="29">
        <f>'Stavební rozpočet'!J28</f>
        <v>0</v>
      </c>
      <c r="F16" s="29">
        <f>'Stavební rozpočet'!K28</f>
        <v>0</v>
      </c>
      <c r="G16" s="29">
        <f>'Stavební rozpočet'!L28</f>
        <v>0</v>
      </c>
      <c r="H16" s="29" t="s">
        <v>2979</v>
      </c>
      <c r="I16" s="29">
        <f t="shared" si="0"/>
        <v>0</v>
      </c>
    </row>
    <row r="17" spans="1:9" ht="12.75">
      <c r="A17" s="37" t="s">
        <v>2882</v>
      </c>
      <c r="B17" s="92" t="s">
        <v>33</v>
      </c>
      <c r="C17" s="133" t="s">
        <v>1952</v>
      </c>
      <c r="D17" s="109"/>
      <c r="E17" s="29">
        <f>'Stavební rozpočet'!J30</f>
        <v>0</v>
      </c>
      <c r="F17" s="29">
        <f>'Stavební rozpočet'!K30</f>
        <v>0</v>
      </c>
      <c r="G17" s="29">
        <f>'Stavební rozpočet'!L30</f>
        <v>0</v>
      </c>
      <c r="H17" s="29" t="s">
        <v>2979</v>
      </c>
      <c r="I17" s="29">
        <f t="shared" si="0"/>
        <v>0</v>
      </c>
    </row>
    <row r="18" spans="1:9" ht="12.75">
      <c r="A18" s="37" t="s">
        <v>2882</v>
      </c>
      <c r="B18" s="92" t="s">
        <v>37</v>
      </c>
      <c r="C18" s="133" t="s">
        <v>1971</v>
      </c>
      <c r="D18" s="109"/>
      <c r="E18" s="29">
        <f>'Stavební rozpočet'!J50</f>
        <v>0</v>
      </c>
      <c r="F18" s="29">
        <f>'Stavební rozpočet'!K50</f>
        <v>0</v>
      </c>
      <c r="G18" s="29">
        <f>'Stavební rozpočet'!L50</f>
        <v>0</v>
      </c>
      <c r="H18" s="29" t="s">
        <v>2979</v>
      </c>
      <c r="I18" s="29">
        <f t="shared" si="0"/>
        <v>0</v>
      </c>
    </row>
    <row r="19" spans="1:9" ht="12.75">
      <c r="A19" s="37" t="s">
        <v>2882</v>
      </c>
      <c r="B19" s="92" t="s">
        <v>40</v>
      </c>
      <c r="C19" s="133" t="s">
        <v>1985</v>
      </c>
      <c r="D19" s="109"/>
      <c r="E19" s="29">
        <f>'Stavební rozpočet'!J64</f>
        <v>0</v>
      </c>
      <c r="F19" s="29">
        <f>'Stavební rozpočet'!K64</f>
        <v>0</v>
      </c>
      <c r="G19" s="29">
        <f>'Stavební rozpočet'!L64</f>
        <v>0</v>
      </c>
      <c r="H19" s="29" t="s">
        <v>2979</v>
      </c>
      <c r="I19" s="29">
        <f t="shared" si="0"/>
        <v>0</v>
      </c>
    </row>
    <row r="20" spans="1:9" ht="12.75">
      <c r="A20" s="37" t="s">
        <v>2882</v>
      </c>
      <c r="B20" s="92" t="s">
        <v>47</v>
      </c>
      <c r="C20" s="133" t="s">
        <v>1994</v>
      </c>
      <c r="D20" s="109"/>
      <c r="E20" s="29">
        <f>'Stavební rozpočet'!J73</f>
        <v>0</v>
      </c>
      <c r="F20" s="29">
        <f>'Stavební rozpočet'!K73</f>
        <v>0</v>
      </c>
      <c r="G20" s="29">
        <f>'Stavební rozpočet'!L73</f>
        <v>0</v>
      </c>
      <c r="H20" s="29" t="s">
        <v>2979</v>
      </c>
      <c r="I20" s="29">
        <f t="shared" si="0"/>
        <v>0</v>
      </c>
    </row>
    <row r="21" spans="1:9" ht="12.75">
      <c r="A21" s="37" t="s">
        <v>2882</v>
      </c>
      <c r="B21" s="92" t="s">
        <v>49</v>
      </c>
      <c r="C21" s="133" t="s">
        <v>2013</v>
      </c>
      <c r="D21" s="109"/>
      <c r="E21" s="29">
        <f>'Stavební rozpočet'!J93</f>
        <v>0</v>
      </c>
      <c r="F21" s="29">
        <f>'Stavební rozpočet'!K93</f>
        <v>0</v>
      </c>
      <c r="G21" s="29">
        <f>'Stavební rozpočet'!L93</f>
        <v>0</v>
      </c>
      <c r="H21" s="29" t="s">
        <v>2979</v>
      </c>
      <c r="I21" s="29">
        <f t="shared" si="0"/>
        <v>0</v>
      </c>
    </row>
    <row r="22" spans="1:9" ht="12.75">
      <c r="A22" s="37" t="s">
        <v>2882</v>
      </c>
      <c r="B22" s="92" t="s">
        <v>65</v>
      </c>
      <c r="C22" s="133" t="s">
        <v>2016</v>
      </c>
      <c r="D22" s="109"/>
      <c r="E22" s="29">
        <f>'Stavební rozpočet'!J96</f>
        <v>0</v>
      </c>
      <c r="F22" s="29">
        <f>'Stavební rozpočet'!K96</f>
        <v>0</v>
      </c>
      <c r="G22" s="29">
        <f>'Stavební rozpočet'!L96</f>
        <v>0</v>
      </c>
      <c r="H22" s="29" t="s">
        <v>2979</v>
      </c>
      <c r="I22" s="29">
        <f t="shared" si="0"/>
        <v>0</v>
      </c>
    </row>
    <row r="23" spans="1:9" ht="12.75">
      <c r="A23" s="37" t="s">
        <v>2882</v>
      </c>
      <c r="B23" s="92" t="s">
        <v>66</v>
      </c>
      <c r="C23" s="133" t="s">
        <v>2021</v>
      </c>
      <c r="D23" s="109"/>
      <c r="E23" s="29">
        <f>'Stavební rozpočet'!J101</f>
        <v>0</v>
      </c>
      <c r="F23" s="29">
        <f>'Stavební rozpočet'!K101</f>
        <v>0</v>
      </c>
      <c r="G23" s="29">
        <f>'Stavební rozpočet'!L101</f>
        <v>0</v>
      </c>
      <c r="H23" s="29" t="s">
        <v>2979</v>
      </c>
      <c r="I23" s="29">
        <f t="shared" si="0"/>
        <v>0</v>
      </c>
    </row>
    <row r="24" spans="1:9" ht="12.75">
      <c r="A24" s="37" t="s">
        <v>2882</v>
      </c>
      <c r="B24" s="92" t="s">
        <v>67</v>
      </c>
      <c r="C24" s="133" t="s">
        <v>2024</v>
      </c>
      <c r="D24" s="109"/>
      <c r="E24" s="29">
        <f>'Stavební rozpočet'!J104</f>
        <v>0</v>
      </c>
      <c r="F24" s="29">
        <f>'Stavební rozpočet'!K104</f>
        <v>0</v>
      </c>
      <c r="G24" s="29">
        <f>'Stavební rozpočet'!L104</f>
        <v>0</v>
      </c>
      <c r="H24" s="29" t="s">
        <v>2979</v>
      </c>
      <c r="I24" s="29">
        <f t="shared" si="0"/>
        <v>0</v>
      </c>
    </row>
    <row r="25" spans="1:9" ht="12.75">
      <c r="A25" s="37" t="s">
        <v>2882</v>
      </c>
      <c r="B25" s="92" t="s">
        <v>68</v>
      </c>
      <c r="C25" s="133" t="s">
        <v>2039</v>
      </c>
      <c r="D25" s="109"/>
      <c r="E25" s="29">
        <f>'Stavební rozpočet'!J119</f>
        <v>0</v>
      </c>
      <c r="F25" s="29">
        <f>'Stavební rozpočet'!K119</f>
        <v>0</v>
      </c>
      <c r="G25" s="29">
        <f>'Stavební rozpočet'!L119</f>
        <v>0</v>
      </c>
      <c r="H25" s="29" t="s">
        <v>2979</v>
      </c>
      <c r="I25" s="29">
        <f t="shared" si="0"/>
        <v>0</v>
      </c>
    </row>
    <row r="26" spans="1:9" ht="12.75">
      <c r="A26" s="37" t="s">
        <v>2882</v>
      </c>
      <c r="B26" s="92" t="s">
        <v>69</v>
      </c>
      <c r="C26" s="133" t="s">
        <v>2056</v>
      </c>
      <c r="D26" s="109"/>
      <c r="E26" s="29">
        <f>'Stavební rozpočet'!J136</f>
        <v>0</v>
      </c>
      <c r="F26" s="29">
        <f>'Stavební rozpočet'!K136</f>
        <v>0</v>
      </c>
      <c r="G26" s="29">
        <f>'Stavební rozpočet'!L136</f>
        <v>0</v>
      </c>
      <c r="H26" s="29" t="s">
        <v>2979</v>
      </c>
      <c r="I26" s="29">
        <f t="shared" si="0"/>
        <v>0</v>
      </c>
    </row>
    <row r="27" spans="1:9" ht="12.75">
      <c r="A27" s="37" t="s">
        <v>2882</v>
      </c>
      <c r="B27" s="92" t="s">
        <v>70</v>
      </c>
      <c r="C27" s="133" t="s">
        <v>2062</v>
      </c>
      <c r="D27" s="109"/>
      <c r="E27" s="29">
        <f>'Stavební rozpočet'!J142</f>
        <v>0</v>
      </c>
      <c r="F27" s="29">
        <f>'Stavební rozpočet'!K142</f>
        <v>0</v>
      </c>
      <c r="G27" s="29">
        <f>'Stavební rozpočet'!L142</f>
        <v>0</v>
      </c>
      <c r="H27" s="29" t="s">
        <v>2979</v>
      </c>
      <c r="I27" s="29">
        <f t="shared" si="0"/>
        <v>0</v>
      </c>
    </row>
    <row r="28" spans="1:9" ht="12.75">
      <c r="A28" s="37" t="s">
        <v>2882</v>
      </c>
      <c r="B28" s="92" t="s">
        <v>97</v>
      </c>
      <c r="C28" s="133" t="s">
        <v>2072</v>
      </c>
      <c r="D28" s="109"/>
      <c r="E28" s="29">
        <f>'Stavební rozpočet'!J152</f>
        <v>0</v>
      </c>
      <c r="F28" s="29">
        <f>'Stavební rozpočet'!K152</f>
        <v>0</v>
      </c>
      <c r="G28" s="29">
        <f>'Stavební rozpočet'!L152</f>
        <v>0</v>
      </c>
      <c r="H28" s="29" t="s">
        <v>2979</v>
      </c>
      <c r="I28" s="29">
        <f t="shared" si="0"/>
        <v>0</v>
      </c>
    </row>
    <row r="29" spans="1:9" ht="12.75">
      <c r="A29" s="37" t="s">
        <v>2882</v>
      </c>
      <c r="B29" s="92" t="s">
        <v>100</v>
      </c>
      <c r="C29" s="133" t="s">
        <v>2075</v>
      </c>
      <c r="D29" s="109"/>
      <c r="E29" s="29">
        <f>'Stavební rozpočet'!J155</f>
        <v>0</v>
      </c>
      <c r="F29" s="29">
        <f>'Stavební rozpočet'!K155</f>
        <v>0</v>
      </c>
      <c r="G29" s="29">
        <f>'Stavební rozpočet'!L155</f>
        <v>0</v>
      </c>
      <c r="H29" s="29" t="s">
        <v>2979</v>
      </c>
      <c r="I29" s="29">
        <f t="shared" si="0"/>
        <v>0</v>
      </c>
    </row>
    <row r="30" spans="1:9" ht="12.75">
      <c r="A30" s="37" t="s">
        <v>2882</v>
      </c>
      <c r="B30" s="92" t="s">
        <v>101</v>
      </c>
      <c r="C30" s="133" t="s">
        <v>2084</v>
      </c>
      <c r="D30" s="109"/>
      <c r="E30" s="29">
        <f>'Stavební rozpočet'!J164</f>
        <v>0</v>
      </c>
      <c r="F30" s="29">
        <f>'Stavební rozpočet'!K164</f>
        <v>0</v>
      </c>
      <c r="G30" s="29">
        <f>'Stavební rozpočet'!L164</f>
        <v>0</v>
      </c>
      <c r="H30" s="29" t="s">
        <v>2979</v>
      </c>
      <c r="I30" s="29">
        <f t="shared" si="0"/>
        <v>0</v>
      </c>
    </row>
    <row r="31" spans="1:9" ht="12.75">
      <c r="A31" s="37" t="s">
        <v>2882</v>
      </c>
      <c r="B31" s="92" t="s">
        <v>1142</v>
      </c>
      <c r="C31" s="133" t="s">
        <v>2097</v>
      </c>
      <c r="D31" s="109"/>
      <c r="E31" s="29">
        <f>'Stavební rozpočet'!J177</f>
        <v>0</v>
      </c>
      <c r="F31" s="29">
        <f>'Stavební rozpočet'!K177</f>
        <v>0</v>
      </c>
      <c r="G31" s="29">
        <f>'Stavební rozpočet'!L177</f>
        <v>0</v>
      </c>
      <c r="H31" s="29" t="s">
        <v>2979</v>
      </c>
      <c r="I31" s="29">
        <f t="shared" si="0"/>
        <v>0</v>
      </c>
    </row>
    <row r="32" spans="1:9" ht="12.75">
      <c r="A32" s="37" t="s">
        <v>2882</v>
      </c>
      <c r="B32" s="92" t="s">
        <v>717</v>
      </c>
      <c r="C32" s="133" t="s">
        <v>2099</v>
      </c>
      <c r="D32" s="109"/>
      <c r="E32" s="29">
        <f>'Stavební rozpočet'!J179</f>
        <v>0</v>
      </c>
      <c r="F32" s="29">
        <f>'Stavební rozpočet'!K179</f>
        <v>0</v>
      </c>
      <c r="G32" s="29">
        <f>'Stavební rozpočet'!L179</f>
        <v>0</v>
      </c>
      <c r="H32" s="29" t="s">
        <v>2979</v>
      </c>
      <c r="I32" s="29">
        <f t="shared" si="0"/>
        <v>0</v>
      </c>
    </row>
    <row r="33" spans="1:9" ht="12.75">
      <c r="A33" s="37" t="s">
        <v>2882</v>
      </c>
      <c r="B33" s="92" t="s">
        <v>718</v>
      </c>
      <c r="C33" s="133" t="s">
        <v>2109</v>
      </c>
      <c r="D33" s="109"/>
      <c r="E33" s="29">
        <f>'Stavební rozpočet'!J189</f>
        <v>0</v>
      </c>
      <c r="F33" s="29">
        <f>'Stavební rozpočet'!K189</f>
        <v>0</v>
      </c>
      <c r="G33" s="29">
        <f>'Stavební rozpočet'!L189</f>
        <v>0</v>
      </c>
      <c r="H33" s="29" t="s">
        <v>2979</v>
      </c>
      <c r="I33" s="29">
        <f t="shared" si="0"/>
        <v>0</v>
      </c>
    </row>
    <row r="34" spans="1:9" ht="12.75">
      <c r="A34" s="37" t="s">
        <v>2882</v>
      </c>
      <c r="B34" s="92" t="s">
        <v>719</v>
      </c>
      <c r="C34" s="133" t="s">
        <v>2119</v>
      </c>
      <c r="D34" s="109"/>
      <c r="E34" s="29">
        <f>'Stavební rozpočet'!J199</f>
        <v>0</v>
      </c>
      <c r="F34" s="29">
        <f>'Stavební rozpočet'!K199</f>
        <v>0</v>
      </c>
      <c r="G34" s="29">
        <f>'Stavební rozpočet'!L199</f>
        <v>0</v>
      </c>
      <c r="H34" s="29" t="s">
        <v>2979</v>
      </c>
      <c r="I34" s="29">
        <f t="shared" si="0"/>
        <v>0</v>
      </c>
    </row>
    <row r="35" spans="1:9" ht="12.75">
      <c r="A35" s="37" t="s">
        <v>2882</v>
      </c>
      <c r="B35" s="92" t="s">
        <v>727</v>
      </c>
      <c r="C35" s="133" t="s">
        <v>2143</v>
      </c>
      <c r="D35" s="109"/>
      <c r="E35" s="29">
        <f>'Stavební rozpočet'!J224</f>
        <v>0</v>
      </c>
      <c r="F35" s="29">
        <f>'Stavební rozpočet'!K224</f>
        <v>0</v>
      </c>
      <c r="G35" s="29">
        <f>'Stavební rozpočet'!L224</f>
        <v>0</v>
      </c>
      <c r="H35" s="29" t="s">
        <v>2979</v>
      </c>
      <c r="I35" s="29">
        <f t="shared" si="0"/>
        <v>0</v>
      </c>
    </row>
    <row r="36" spans="1:9" ht="12.75">
      <c r="A36" s="37" t="s">
        <v>2882</v>
      </c>
      <c r="B36" s="92" t="s">
        <v>728</v>
      </c>
      <c r="C36" s="133" t="s">
        <v>2197</v>
      </c>
      <c r="D36" s="109"/>
      <c r="E36" s="29">
        <f>'Stavební rozpočet'!J278</f>
        <v>0</v>
      </c>
      <c r="F36" s="29">
        <f>'Stavební rozpočet'!K278</f>
        <v>0</v>
      </c>
      <c r="G36" s="29">
        <f>'Stavební rozpočet'!L278</f>
        <v>0</v>
      </c>
      <c r="H36" s="29" t="s">
        <v>2979</v>
      </c>
      <c r="I36" s="29">
        <f t="shared" si="0"/>
        <v>0</v>
      </c>
    </row>
    <row r="37" spans="1:9" ht="12.75">
      <c r="A37" s="37" t="s">
        <v>2882</v>
      </c>
      <c r="B37" s="92" t="s">
        <v>729</v>
      </c>
      <c r="C37" s="133" t="s">
        <v>2257</v>
      </c>
      <c r="D37" s="109"/>
      <c r="E37" s="29">
        <f>'Stavební rozpočet'!J344</f>
        <v>0</v>
      </c>
      <c r="F37" s="29">
        <f>'Stavební rozpočet'!K344</f>
        <v>0</v>
      </c>
      <c r="G37" s="29">
        <f>'Stavební rozpočet'!L344</f>
        <v>0</v>
      </c>
      <c r="H37" s="29" t="s">
        <v>2979</v>
      </c>
      <c r="I37" s="29">
        <f t="shared" si="0"/>
        <v>0</v>
      </c>
    </row>
    <row r="38" spans="1:9" ht="12.75">
      <c r="A38" s="37" t="s">
        <v>2882</v>
      </c>
      <c r="B38" s="92" t="s">
        <v>734</v>
      </c>
      <c r="C38" s="133" t="s">
        <v>2270</v>
      </c>
      <c r="D38" s="109"/>
      <c r="E38" s="29">
        <f>'Stavební rozpočet'!J365</f>
        <v>0</v>
      </c>
      <c r="F38" s="29">
        <f>'Stavební rozpočet'!K365</f>
        <v>0</v>
      </c>
      <c r="G38" s="29">
        <f>'Stavební rozpočet'!L365</f>
        <v>0</v>
      </c>
      <c r="H38" s="29" t="s">
        <v>2979</v>
      </c>
      <c r="I38" s="29">
        <f t="shared" si="0"/>
        <v>0</v>
      </c>
    </row>
    <row r="39" spans="1:9" ht="12.75">
      <c r="A39" s="37" t="s">
        <v>2882</v>
      </c>
      <c r="B39" s="92" t="s">
        <v>736</v>
      </c>
      <c r="C39" s="133" t="s">
        <v>2312</v>
      </c>
      <c r="D39" s="109"/>
      <c r="E39" s="29">
        <f>'Stavební rozpočet'!J422</f>
        <v>0</v>
      </c>
      <c r="F39" s="29">
        <f>'Stavební rozpočet'!K422</f>
        <v>0</v>
      </c>
      <c r="G39" s="29">
        <f>'Stavební rozpočet'!L422</f>
        <v>0</v>
      </c>
      <c r="H39" s="29" t="s">
        <v>2979</v>
      </c>
      <c r="I39" s="29">
        <f t="shared" si="0"/>
        <v>0</v>
      </c>
    </row>
    <row r="40" spans="1:9" ht="12.75">
      <c r="A40" s="37" t="s">
        <v>2882</v>
      </c>
      <c r="B40" s="92" t="s">
        <v>768</v>
      </c>
      <c r="C40" s="133" t="s">
        <v>2404</v>
      </c>
      <c r="D40" s="109"/>
      <c r="E40" s="29">
        <f>'Stavební rozpočet'!J520</f>
        <v>0</v>
      </c>
      <c r="F40" s="29">
        <f>'Stavební rozpočet'!K520</f>
        <v>0</v>
      </c>
      <c r="G40" s="29">
        <f>'Stavební rozpočet'!L520</f>
        <v>0</v>
      </c>
      <c r="H40" s="29" t="s">
        <v>2979</v>
      </c>
      <c r="I40" s="29">
        <f t="shared" si="0"/>
        <v>0</v>
      </c>
    </row>
    <row r="41" spans="1:9" ht="12.75">
      <c r="A41" s="37" t="s">
        <v>2882</v>
      </c>
      <c r="B41" s="92" t="s">
        <v>770</v>
      </c>
      <c r="C41" s="133" t="s">
        <v>2412</v>
      </c>
      <c r="D41" s="109"/>
      <c r="E41" s="29">
        <f>'Stavební rozpočet'!J528</f>
        <v>0</v>
      </c>
      <c r="F41" s="29">
        <f>'Stavební rozpočet'!K528</f>
        <v>0</v>
      </c>
      <c r="G41" s="29">
        <f>'Stavební rozpočet'!L528</f>
        <v>0</v>
      </c>
      <c r="H41" s="29" t="s">
        <v>2979</v>
      </c>
      <c r="I41" s="29">
        <f t="shared" si="0"/>
        <v>0</v>
      </c>
    </row>
    <row r="42" spans="1:9" ht="12.75">
      <c r="A42" s="37" t="s">
        <v>2882</v>
      </c>
      <c r="B42" s="92" t="s">
        <v>772</v>
      </c>
      <c r="C42" s="133" t="s">
        <v>2419</v>
      </c>
      <c r="D42" s="109"/>
      <c r="E42" s="29">
        <f>'Stavební rozpočet'!J535</f>
        <v>0</v>
      </c>
      <c r="F42" s="29">
        <f>'Stavební rozpočet'!K535</f>
        <v>0</v>
      </c>
      <c r="G42" s="29">
        <f>'Stavební rozpočet'!L535</f>
        <v>0</v>
      </c>
      <c r="H42" s="29" t="s">
        <v>2979</v>
      </c>
      <c r="I42" s="29">
        <f t="shared" si="0"/>
        <v>0</v>
      </c>
    </row>
    <row r="43" spans="1:9" ht="12.75">
      <c r="A43" s="37" t="s">
        <v>2882</v>
      </c>
      <c r="B43" s="92" t="s">
        <v>773</v>
      </c>
      <c r="C43" s="133" t="s">
        <v>2448</v>
      </c>
      <c r="D43" s="109"/>
      <c r="E43" s="29">
        <f>'Stavební rozpočet'!J564</f>
        <v>0</v>
      </c>
      <c r="F43" s="29">
        <f>'Stavební rozpočet'!K564</f>
        <v>0</v>
      </c>
      <c r="G43" s="29">
        <f>'Stavební rozpočet'!L564</f>
        <v>0</v>
      </c>
      <c r="H43" s="29" t="s">
        <v>2979</v>
      </c>
      <c r="I43" s="29">
        <f aca="true" t="shared" si="1" ref="I43:I70">IF(H43="F",0,G43)</f>
        <v>0</v>
      </c>
    </row>
    <row r="44" spans="1:9" ht="12.75">
      <c r="A44" s="37" t="s">
        <v>2882</v>
      </c>
      <c r="B44" s="92" t="s">
        <v>777</v>
      </c>
      <c r="C44" s="133" t="s">
        <v>2477</v>
      </c>
      <c r="D44" s="109"/>
      <c r="E44" s="29">
        <f>'Stavební rozpočet'!J593</f>
        <v>0</v>
      </c>
      <c r="F44" s="29">
        <f>'Stavební rozpočet'!K593</f>
        <v>0</v>
      </c>
      <c r="G44" s="29">
        <f>'Stavební rozpočet'!L593</f>
        <v>0</v>
      </c>
      <c r="H44" s="29" t="s">
        <v>2979</v>
      </c>
      <c r="I44" s="29">
        <f t="shared" si="1"/>
        <v>0</v>
      </c>
    </row>
    <row r="45" spans="1:9" ht="12.75">
      <c r="A45" s="37" t="s">
        <v>2882</v>
      </c>
      <c r="B45" s="92" t="s">
        <v>782</v>
      </c>
      <c r="C45" s="133" t="s">
        <v>2492</v>
      </c>
      <c r="D45" s="109"/>
      <c r="E45" s="29">
        <f>'Stavební rozpočet'!J608</f>
        <v>0</v>
      </c>
      <c r="F45" s="29">
        <f>'Stavební rozpočet'!K608</f>
        <v>0</v>
      </c>
      <c r="G45" s="29">
        <f>'Stavební rozpočet'!L608</f>
        <v>0</v>
      </c>
      <c r="H45" s="29" t="s">
        <v>2979</v>
      </c>
      <c r="I45" s="29">
        <f t="shared" si="1"/>
        <v>0</v>
      </c>
    </row>
    <row r="46" spans="1:9" ht="12.75">
      <c r="A46" s="37" t="s">
        <v>2882</v>
      </c>
      <c r="B46" s="92" t="s">
        <v>787</v>
      </c>
      <c r="C46" s="133" t="s">
        <v>2502</v>
      </c>
      <c r="D46" s="109"/>
      <c r="E46" s="29">
        <f>'Stavební rozpočet'!J618</f>
        <v>0</v>
      </c>
      <c r="F46" s="29">
        <f>'Stavební rozpočet'!K618</f>
        <v>0</v>
      </c>
      <c r="G46" s="29">
        <f>'Stavební rozpočet'!L618</f>
        <v>0</v>
      </c>
      <c r="H46" s="29" t="s">
        <v>2979</v>
      </c>
      <c r="I46" s="29">
        <f t="shared" si="1"/>
        <v>0</v>
      </c>
    </row>
    <row r="47" spans="1:9" ht="12.75">
      <c r="A47" s="37" t="s">
        <v>2882</v>
      </c>
      <c r="B47" s="92" t="s">
        <v>789</v>
      </c>
      <c r="C47" s="133" t="s">
        <v>2516</v>
      </c>
      <c r="D47" s="109"/>
      <c r="E47" s="29">
        <f>'Stavební rozpočet'!J633</f>
        <v>0</v>
      </c>
      <c r="F47" s="29">
        <f>'Stavební rozpočet'!K633</f>
        <v>0</v>
      </c>
      <c r="G47" s="29">
        <f>'Stavební rozpočet'!L633</f>
        <v>0</v>
      </c>
      <c r="H47" s="29" t="s">
        <v>2979</v>
      </c>
      <c r="I47" s="29">
        <f t="shared" si="1"/>
        <v>0</v>
      </c>
    </row>
    <row r="48" spans="1:9" ht="12.75">
      <c r="A48" s="37" t="s">
        <v>2882</v>
      </c>
      <c r="B48" s="92" t="s">
        <v>790</v>
      </c>
      <c r="C48" s="133" t="s">
        <v>2521</v>
      </c>
      <c r="D48" s="109"/>
      <c r="E48" s="29">
        <f>'Stavební rozpočet'!J638</f>
        <v>0</v>
      </c>
      <c r="F48" s="29">
        <f>'Stavební rozpočet'!K638</f>
        <v>0</v>
      </c>
      <c r="G48" s="29">
        <f>'Stavební rozpočet'!L638</f>
        <v>0</v>
      </c>
      <c r="H48" s="29" t="s">
        <v>2979</v>
      </c>
      <c r="I48" s="29">
        <f t="shared" si="1"/>
        <v>0</v>
      </c>
    </row>
    <row r="49" spans="1:9" ht="12.75">
      <c r="A49" s="37" t="s">
        <v>2882</v>
      </c>
      <c r="B49" s="92" t="s">
        <v>1585</v>
      </c>
      <c r="C49" s="133" t="s">
        <v>2531</v>
      </c>
      <c r="D49" s="109"/>
      <c r="E49" s="29">
        <f>'Stavební rozpočet'!J648</f>
        <v>0</v>
      </c>
      <c r="F49" s="29">
        <f>'Stavební rozpočet'!K648</f>
        <v>0</v>
      </c>
      <c r="G49" s="29">
        <f>'Stavební rozpočet'!L648</f>
        <v>0</v>
      </c>
      <c r="H49" s="29" t="s">
        <v>2979</v>
      </c>
      <c r="I49" s="29">
        <f t="shared" si="1"/>
        <v>0</v>
      </c>
    </row>
    <row r="50" spans="1:9" ht="12.75">
      <c r="A50" s="37" t="s">
        <v>2882</v>
      </c>
      <c r="B50" s="92" t="s">
        <v>1711</v>
      </c>
      <c r="C50" s="133" t="s">
        <v>2645</v>
      </c>
      <c r="D50" s="109"/>
      <c r="E50" s="29">
        <f>'Stavební rozpočet'!J780</f>
        <v>0</v>
      </c>
      <c r="F50" s="29">
        <f>'Stavební rozpočet'!K780</f>
        <v>0</v>
      </c>
      <c r="G50" s="29">
        <f>'Stavební rozpočet'!L780</f>
        <v>0</v>
      </c>
      <c r="H50" s="29" t="s">
        <v>2979</v>
      </c>
      <c r="I50" s="29">
        <f t="shared" si="1"/>
        <v>0</v>
      </c>
    </row>
    <row r="51" spans="1:9" ht="12.75">
      <c r="A51" s="90" t="s">
        <v>2883</v>
      </c>
      <c r="B51" s="93"/>
      <c r="C51" s="147" t="s">
        <v>2677</v>
      </c>
      <c r="D51" s="148"/>
      <c r="E51" s="91">
        <f>'Stavební rozpočet'!J846</f>
        <v>0</v>
      </c>
      <c r="F51" s="91">
        <f>'Stavební rozpočet'!K846</f>
        <v>0</v>
      </c>
      <c r="G51" s="91">
        <f>'Stavební rozpočet'!L846</f>
        <v>0</v>
      </c>
      <c r="H51" s="29" t="s">
        <v>2978</v>
      </c>
      <c r="I51" s="29">
        <f t="shared" si="1"/>
        <v>0</v>
      </c>
    </row>
    <row r="52" spans="1:9" ht="12.75">
      <c r="A52" s="37" t="s">
        <v>2883</v>
      </c>
      <c r="B52" s="92" t="s">
        <v>17</v>
      </c>
      <c r="C52" s="133" t="s">
        <v>2678</v>
      </c>
      <c r="D52" s="109"/>
      <c r="E52" s="29">
        <f>'Stavební rozpočet'!J847</f>
        <v>0</v>
      </c>
      <c r="F52" s="29">
        <f>'Stavební rozpočet'!K847</f>
        <v>0</v>
      </c>
      <c r="G52" s="29">
        <f>'Stavební rozpočet'!L847</f>
        <v>0</v>
      </c>
      <c r="H52" s="29" t="s">
        <v>2979</v>
      </c>
      <c r="I52" s="29">
        <f t="shared" si="1"/>
        <v>0</v>
      </c>
    </row>
    <row r="53" spans="1:9" ht="12.75">
      <c r="A53" s="37" t="s">
        <v>2883</v>
      </c>
      <c r="B53" s="92" t="s">
        <v>18</v>
      </c>
      <c r="C53" s="133" t="s">
        <v>1935</v>
      </c>
      <c r="D53" s="109"/>
      <c r="E53" s="29">
        <f>'Stavební rozpočet'!J850</f>
        <v>0</v>
      </c>
      <c r="F53" s="29">
        <f>'Stavební rozpočet'!K850</f>
        <v>0</v>
      </c>
      <c r="G53" s="29">
        <f>'Stavební rozpočet'!L850</f>
        <v>0</v>
      </c>
      <c r="H53" s="29" t="s">
        <v>2979</v>
      </c>
      <c r="I53" s="29">
        <f t="shared" si="1"/>
        <v>0</v>
      </c>
    </row>
    <row r="54" spans="1:9" ht="12.75">
      <c r="A54" s="37" t="s">
        <v>2883</v>
      </c>
      <c r="B54" s="92" t="s">
        <v>62</v>
      </c>
      <c r="C54" s="133" t="s">
        <v>2682</v>
      </c>
      <c r="D54" s="109"/>
      <c r="E54" s="29">
        <f>'Stavební rozpočet'!J852</f>
        <v>0</v>
      </c>
      <c r="F54" s="29">
        <f>'Stavební rozpočet'!K852</f>
        <v>0</v>
      </c>
      <c r="G54" s="29">
        <f>'Stavební rozpočet'!L852</f>
        <v>0</v>
      </c>
      <c r="H54" s="29" t="s">
        <v>2979</v>
      </c>
      <c r="I54" s="29">
        <f t="shared" si="1"/>
        <v>0</v>
      </c>
    </row>
    <row r="55" spans="1:9" ht="12.75">
      <c r="A55" s="37" t="s">
        <v>2883</v>
      </c>
      <c r="B55" s="92" t="s">
        <v>65</v>
      </c>
      <c r="C55" s="133" t="s">
        <v>2016</v>
      </c>
      <c r="D55" s="109"/>
      <c r="E55" s="29">
        <f>'Stavební rozpočet'!J857</f>
        <v>0</v>
      </c>
      <c r="F55" s="29">
        <f>'Stavební rozpočet'!K857</f>
        <v>0</v>
      </c>
      <c r="G55" s="29">
        <f>'Stavební rozpočet'!L857</f>
        <v>0</v>
      </c>
      <c r="H55" s="29" t="s">
        <v>2979</v>
      </c>
      <c r="I55" s="29">
        <f t="shared" si="1"/>
        <v>0</v>
      </c>
    </row>
    <row r="56" spans="1:9" ht="12.75">
      <c r="A56" s="37" t="s">
        <v>2883</v>
      </c>
      <c r="B56" s="92" t="s">
        <v>97</v>
      </c>
      <c r="C56" s="133" t="s">
        <v>2072</v>
      </c>
      <c r="D56" s="109"/>
      <c r="E56" s="29">
        <f>'Stavební rozpočet'!J867</f>
        <v>0</v>
      </c>
      <c r="F56" s="29">
        <f>'Stavební rozpočet'!K867</f>
        <v>0</v>
      </c>
      <c r="G56" s="29">
        <f>'Stavební rozpočet'!L867</f>
        <v>0</v>
      </c>
      <c r="H56" s="29" t="s">
        <v>2979</v>
      </c>
      <c r="I56" s="29">
        <f t="shared" si="1"/>
        <v>0</v>
      </c>
    </row>
    <row r="57" spans="1:9" ht="12.75">
      <c r="A57" s="37" t="s">
        <v>2883</v>
      </c>
      <c r="B57" s="92" t="s">
        <v>103</v>
      </c>
      <c r="C57" s="133" t="s">
        <v>2711</v>
      </c>
      <c r="D57" s="109"/>
      <c r="E57" s="29">
        <f>'Stavební rozpočet'!J883</f>
        <v>0</v>
      </c>
      <c r="F57" s="29">
        <f>'Stavební rozpočet'!K883</f>
        <v>0</v>
      </c>
      <c r="G57" s="29">
        <f>'Stavební rozpočet'!L883</f>
        <v>0</v>
      </c>
      <c r="H57" s="29" t="s">
        <v>2979</v>
      </c>
      <c r="I57" s="29">
        <f t="shared" si="1"/>
        <v>0</v>
      </c>
    </row>
    <row r="58" spans="1:9" ht="12.75">
      <c r="A58" s="37" t="s">
        <v>2883</v>
      </c>
      <c r="B58" s="92" t="s">
        <v>1777</v>
      </c>
      <c r="C58" s="133" t="s">
        <v>2713</v>
      </c>
      <c r="D58" s="109"/>
      <c r="E58" s="29">
        <f>'Stavební rozpočet'!J885</f>
        <v>0</v>
      </c>
      <c r="F58" s="29">
        <f>'Stavební rozpočet'!K885</f>
        <v>0</v>
      </c>
      <c r="G58" s="29">
        <f>'Stavební rozpočet'!L885</f>
        <v>0</v>
      </c>
      <c r="H58" s="29" t="s">
        <v>2979</v>
      </c>
      <c r="I58" s="29">
        <f t="shared" si="1"/>
        <v>0</v>
      </c>
    </row>
    <row r="59" spans="1:9" ht="12.75">
      <c r="A59" s="90" t="s">
        <v>2884</v>
      </c>
      <c r="B59" s="93"/>
      <c r="C59" s="147" t="s">
        <v>2715</v>
      </c>
      <c r="D59" s="148"/>
      <c r="E59" s="91">
        <f>'Stavební rozpočet'!J887</f>
        <v>0</v>
      </c>
      <c r="F59" s="91">
        <f>'Stavební rozpočet'!K887</f>
        <v>0</v>
      </c>
      <c r="G59" s="91">
        <f>'Stavební rozpočet'!L887</f>
        <v>0</v>
      </c>
      <c r="H59" s="29" t="s">
        <v>2978</v>
      </c>
      <c r="I59" s="29">
        <f t="shared" si="1"/>
        <v>0</v>
      </c>
    </row>
    <row r="60" spans="1:9" ht="12.75">
      <c r="A60" s="37" t="s">
        <v>2884</v>
      </c>
      <c r="B60" s="92" t="s">
        <v>14</v>
      </c>
      <c r="C60" s="133" t="s">
        <v>2716</v>
      </c>
      <c r="D60" s="109"/>
      <c r="E60" s="29">
        <f>'Stavební rozpočet'!J888</f>
        <v>0</v>
      </c>
      <c r="F60" s="29">
        <f>'Stavební rozpočet'!K888</f>
        <v>0</v>
      </c>
      <c r="G60" s="29">
        <f>'Stavební rozpočet'!L888</f>
        <v>0</v>
      </c>
      <c r="H60" s="29" t="s">
        <v>2979</v>
      </c>
      <c r="I60" s="29">
        <f t="shared" si="1"/>
        <v>0</v>
      </c>
    </row>
    <row r="61" spans="1:9" ht="12.75">
      <c r="A61" s="90" t="s">
        <v>2885</v>
      </c>
      <c r="B61" s="93"/>
      <c r="C61" s="147" t="s">
        <v>2746</v>
      </c>
      <c r="D61" s="148"/>
      <c r="E61" s="91">
        <f>'Stavební rozpočet'!J922</f>
        <v>0</v>
      </c>
      <c r="F61" s="91">
        <f>'Stavební rozpočet'!K922</f>
        <v>0</v>
      </c>
      <c r="G61" s="91">
        <f>'Stavební rozpočet'!L922</f>
        <v>0</v>
      </c>
      <c r="H61" s="29" t="s">
        <v>2978</v>
      </c>
      <c r="I61" s="29">
        <f t="shared" si="1"/>
        <v>0</v>
      </c>
    </row>
    <row r="62" spans="1:9" ht="12.75">
      <c r="A62" s="37" t="s">
        <v>2885</v>
      </c>
      <c r="B62" s="92" t="s">
        <v>14</v>
      </c>
      <c r="C62" s="133" t="s">
        <v>2716</v>
      </c>
      <c r="D62" s="109"/>
      <c r="E62" s="29">
        <f>'Stavební rozpočet'!J923</f>
        <v>0</v>
      </c>
      <c r="F62" s="29">
        <f>'Stavební rozpočet'!K923</f>
        <v>0</v>
      </c>
      <c r="G62" s="29">
        <f>'Stavební rozpočet'!L923</f>
        <v>0</v>
      </c>
      <c r="H62" s="29" t="s">
        <v>2979</v>
      </c>
      <c r="I62" s="29">
        <f t="shared" si="1"/>
        <v>0</v>
      </c>
    </row>
    <row r="63" spans="1:9" ht="12.75">
      <c r="A63" s="90" t="s">
        <v>2886</v>
      </c>
      <c r="B63" s="93"/>
      <c r="C63" s="147" t="s">
        <v>2759</v>
      </c>
      <c r="D63" s="148"/>
      <c r="E63" s="91">
        <f>'Stavební rozpočet'!J945</f>
        <v>0</v>
      </c>
      <c r="F63" s="91">
        <f>'Stavební rozpočet'!K945</f>
        <v>0</v>
      </c>
      <c r="G63" s="91">
        <f>'Stavební rozpočet'!L945</f>
        <v>0</v>
      </c>
      <c r="H63" s="29" t="s">
        <v>2978</v>
      </c>
      <c r="I63" s="29">
        <f t="shared" si="1"/>
        <v>0</v>
      </c>
    </row>
    <row r="64" spans="1:9" ht="12.75">
      <c r="A64" s="37" t="s">
        <v>2886</v>
      </c>
      <c r="B64" s="92" t="s">
        <v>14</v>
      </c>
      <c r="C64" s="133" t="s">
        <v>2716</v>
      </c>
      <c r="D64" s="109"/>
      <c r="E64" s="29">
        <f>'Stavební rozpočet'!J946</f>
        <v>0</v>
      </c>
      <c r="F64" s="29">
        <f>'Stavební rozpočet'!K946</f>
        <v>0</v>
      </c>
      <c r="G64" s="29">
        <f>'Stavební rozpočet'!L946</f>
        <v>0</v>
      </c>
      <c r="H64" s="29" t="s">
        <v>2979</v>
      </c>
      <c r="I64" s="29">
        <f t="shared" si="1"/>
        <v>0</v>
      </c>
    </row>
    <row r="65" spans="1:9" ht="12.75">
      <c r="A65" s="90" t="s">
        <v>2887</v>
      </c>
      <c r="B65" s="93"/>
      <c r="C65" s="147" t="s">
        <v>2784</v>
      </c>
      <c r="D65" s="148"/>
      <c r="E65" s="91">
        <f>'Stavební rozpočet'!J987</f>
        <v>0</v>
      </c>
      <c r="F65" s="91">
        <f>'Stavební rozpočet'!K987</f>
        <v>0</v>
      </c>
      <c r="G65" s="91">
        <f>'Stavební rozpočet'!L987</f>
        <v>0</v>
      </c>
      <c r="H65" s="29" t="s">
        <v>2978</v>
      </c>
      <c r="I65" s="29">
        <f t="shared" si="1"/>
        <v>0</v>
      </c>
    </row>
    <row r="66" spans="1:9" ht="12.75">
      <c r="A66" s="37" t="s">
        <v>2887</v>
      </c>
      <c r="B66" s="92" t="s">
        <v>1585</v>
      </c>
      <c r="C66" s="133" t="s">
        <v>2785</v>
      </c>
      <c r="D66" s="109"/>
      <c r="E66" s="29">
        <f>'Stavební rozpočet'!J988</f>
        <v>0</v>
      </c>
      <c r="F66" s="29">
        <f>'Stavební rozpočet'!K988</f>
        <v>0</v>
      </c>
      <c r="G66" s="29">
        <f>'Stavební rozpočet'!L988</f>
        <v>0</v>
      </c>
      <c r="H66" s="29" t="s">
        <v>2979</v>
      </c>
      <c r="I66" s="29">
        <f t="shared" si="1"/>
        <v>0</v>
      </c>
    </row>
    <row r="67" spans="1:9" ht="12.75">
      <c r="A67" s="90" t="s">
        <v>2888</v>
      </c>
      <c r="B67" s="93"/>
      <c r="C67" s="147" t="s">
        <v>2801</v>
      </c>
      <c r="D67" s="148"/>
      <c r="E67" s="91">
        <f>'Stavební rozpočet'!J1028</f>
        <v>0</v>
      </c>
      <c r="F67" s="91">
        <f>'Stavební rozpočet'!K1028</f>
        <v>0</v>
      </c>
      <c r="G67" s="91">
        <f>'Stavební rozpočet'!L1028</f>
        <v>0</v>
      </c>
      <c r="H67" s="29" t="s">
        <v>2978</v>
      </c>
      <c r="I67" s="29">
        <f t="shared" si="1"/>
        <v>0</v>
      </c>
    </row>
    <row r="68" spans="1:9" ht="12.75">
      <c r="A68" s="37" t="s">
        <v>2888</v>
      </c>
      <c r="B68" s="92" t="s">
        <v>14</v>
      </c>
      <c r="C68" s="133" t="s">
        <v>2716</v>
      </c>
      <c r="D68" s="109"/>
      <c r="E68" s="29">
        <f>'Stavební rozpočet'!J1029</f>
        <v>0</v>
      </c>
      <c r="F68" s="29">
        <f>'Stavební rozpočet'!K1029</f>
        <v>0</v>
      </c>
      <c r="G68" s="29">
        <f>'Stavební rozpočet'!L1029</f>
        <v>0</v>
      </c>
      <c r="H68" s="29" t="s">
        <v>2979</v>
      </c>
      <c r="I68" s="29">
        <f t="shared" si="1"/>
        <v>0</v>
      </c>
    </row>
    <row r="69" spans="1:9" ht="12.75">
      <c r="A69" s="90" t="s">
        <v>2889</v>
      </c>
      <c r="B69" s="93"/>
      <c r="C69" s="147" t="s">
        <v>2828</v>
      </c>
      <c r="D69" s="148"/>
      <c r="E69" s="91">
        <f>'Stavební rozpočet'!J1071</f>
        <v>0</v>
      </c>
      <c r="F69" s="91">
        <f>'Stavební rozpočet'!K1071</f>
        <v>0</v>
      </c>
      <c r="G69" s="91">
        <f>'Stavební rozpočet'!L1071</f>
        <v>0</v>
      </c>
      <c r="H69" s="29" t="s">
        <v>2978</v>
      </c>
      <c r="I69" s="29">
        <f t="shared" si="1"/>
        <v>0</v>
      </c>
    </row>
    <row r="70" spans="1:9" ht="12.75">
      <c r="A70" s="37" t="s">
        <v>2889</v>
      </c>
      <c r="B70" s="92"/>
      <c r="C70" s="133" t="s">
        <v>2829</v>
      </c>
      <c r="D70" s="109"/>
      <c r="E70" s="29">
        <f>'Stavební rozpočet'!J1072</f>
        <v>0</v>
      </c>
      <c r="F70" s="29">
        <f>'Stavební rozpočet'!K1072</f>
        <v>0</v>
      </c>
      <c r="G70" s="29">
        <f>'Stavební rozpočet'!L1072</f>
        <v>0</v>
      </c>
      <c r="H70" s="29" t="s">
        <v>2979</v>
      </c>
      <c r="I70" s="29">
        <f t="shared" si="1"/>
        <v>0</v>
      </c>
    </row>
    <row r="71" spans="6:7" ht="12.75">
      <c r="F71" s="41" t="s">
        <v>2867</v>
      </c>
      <c r="G71" s="42">
        <f>SUM(I11:I70)</f>
        <v>0</v>
      </c>
    </row>
  </sheetData>
  <sheetProtection algorithmName="SHA-512" hashValue="7QZDDuJ7M6lUnAiVTxHRNqt+ThNGnSpxtoTjpNRLFc4YGTT1IgHPrzVXhkfUex1HffSGHaXnhyjkIcpnqLqzGA==" saltValue="ZVmthaYoSNmXc54KM2P+pg==" spinCount="100000" sheet="1" objects="1" scenarios="1"/>
  <mergeCells count="85">
    <mergeCell ref="G4:G5"/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8:G9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C22:D2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34:D3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6:D46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70:D7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L1088"/>
  <sheetViews>
    <sheetView workbookViewId="0" topLeftCell="A1">
      <pane ySplit="11" topLeftCell="A974" activePane="bottomLeft" state="frozen"/>
      <selection pane="topLeft" activeCell="A1" sqref="A1:I1"/>
      <selection pane="bottomLeft" activeCell="O1062" sqref="O1062"/>
    </sheetView>
  </sheetViews>
  <sheetFormatPr defaultColWidth="11.57421875" defaultRowHeight="12.75"/>
  <cols>
    <col min="1" max="1" width="5.00390625" style="0" customWidth="1"/>
    <col min="2" max="2" width="14.28125" style="0" customWidth="1"/>
    <col min="3" max="3" width="1.421875" style="0" customWidth="1"/>
    <col min="4" max="4" width="130.00390625" style="0" customWidth="1"/>
    <col min="7" max="7" width="7.421875" style="0" customWidth="1"/>
    <col min="8" max="8" width="12.8515625" style="0" customWidth="1"/>
    <col min="9" max="9" width="12.00390625" style="0" customWidth="1"/>
    <col min="10" max="11" width="14.28125" style="0" hidden="1" customWidth="1"/>
    <col min="12" max="12" width="14.28125" style="0" customWidth="1"/>
    <col min="13" max="13" width="11.7109375" style="0" customWidth="1"/>
    <col min="25" max="64" width="12.140625" style="0" hidden="1" customWidth="1"/>
  </cols>
  <sheetData>
    <row r="1" spans="1:13" ht="72.95" customHeight="1">
      <c r="A1" s="14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4" ht="12.75">
      <c r="A2" s="140" t="s">
        <v>1</v>
      </c>
      <c r="B2" s="141"/>
      <c r="C2" s="142" t="s">
        <v>1929</v>
      </c>
      <c r="D2" s="143"/>
      <c r="E2" s="150" t="s">
        <v>2842</v>
      </c>
      <c r="F2" s="141"/>
      <c r="G2" s="185" t="s">
        <v>6</v>
      </c>
      <c r="H2" s="186"/>
      <c r="I2" s="145" t="s">
        <v>2858</v>
      </c>
      <c r="J2" s="185" t="s">
        <v>2864</v>
      </c>
      <c r="K2" s="186"/>
      <c r="L2" s="186"/>
      <c r="M2" s="187"/>
      <c r="N2" s="5"/>
    </row>
    <row r="3" spans="1:14" ht="12.75">
      <c r="A3" s="132"/>
      <c r="B3" s="109"/>
      <c r="C3" s="144"/>
      <c r="D3" s="144"/>
      <c r="E3" s="109"/>
      <c r="F3" s="109"/>
      <c r="G3" s="158"/>
      <c r="H3" s="158"/>
      <c r="I3" s="109"/>
      <c r="J3" s="158"/>
      <c r="K3" s="158"/>
      <c r="L3" s="158"/>
      <c r="M3" s="183"/>
      <c r="N3" s="5"/>
    </row>
    <row r="4" spans="1:14" ht="12.75">
      <c r="A4" s="131" t="s">
        <v>2</v>
      </c>
      <c r="B4" s="109"/>
      <c r="C4" s="108" t="s">
        <v>6</v>
      </c>
      <c r="D4" s="109"/>
      <c r="E4" s="133" t="s">
        <v>2843</v>
      </c>
      <c r="F4" s="109"/>
      <c r="G4" s="181"/>
      <c r="H4" s="158"/>
      <c r="I4" s="108" t="s">
        <v>2859</v>
      </c>
      <c r="J4" s="181" t="s">
        <v>2864</v>
      </c>
      <c r="K4" s="158"/>
      <c r="L4" s="158"/>
      <c r="M4" s="183"/>
      <c r="N4" s="5"/>
    </row>
    <row r="5" spans="1:14" ht="12.75">
      <c r="A5" s="132"/>
      <c r="B5" s="109"/>
      <c r="C5" s="109"/>
      <c r="D5" s="109"/>
      <c r="E5" s="109"/>
      <c r="F5" s="109"/>
      <c r="G5" s="158"/>
      <c r="H5" s="158"/>
      <c r="I5" s="109"/>
      <c r="J5" s="158"/>
      <c r="K5" s="158"/>
      <c r="L5" s="158"/>
      <c r="M5" s="183"/>
      <c r="N5" s="5"/>
    </row>
    <row r="6" spans="1:14" ht="12.75">
      <c r="A6" s="131" t="s">
        <v>3</v>
      </c>
      <c r="B6" s="109"/>
      <c r="C6" s="108" t="s">
        <v>1930</v>
      </c>
      <c r="D6" s="109"/>
      <c r="E6" s="133" t="s">
        <v>2844</v>
      </c>
      <c r="F6" s="109"/>
      <c r="G6" s="181"/>
      <c r="H6" s="158"/>
      <c r="I6" s="108" t="s">
        <v>2860</v>
      </c>
      <c r="J6" s="181" t="s">
        <v>2864</v>
      </c>
      <c r="K6" s="158"/>
      <c r="L6" s="158"/>
      <c r="M6" s="183"/>
      <c r="N6" s="5"/>
    </row>
    <row r="7" spans="1:14" ht="12.75">
      <c r="A7" s="132"/>
      <c r="B7" s="109"/>
      <c r="C7" s="109"/>
      <c r="D7" s="109"/>
      <c r="E7" s="109"/>
      <c r="F7" s="109"/>
      <c r="G7" s="158"/>
      <c r="H7" s="158"/>
      <c r="I7" s="109"/>
      <c r="J7" s="158"/>
      <c r="K7" s="158"/>
      <c r="L7" s="158"/>
      <c r="M7" s="183"/>
      <c r="N7" s="5"/>
    </row>
    <row r="8" spans="1:14" ht="12.75">
      <c r="A8" s="131" t="s">
        <v>4</v>
      </c>
      <c r="B8" s="109"/>
      <c r="C8" s="108" t="s">
        <v>1931</v>
      </c>
      <c r="D8" s="109"/>
      <c r="E8" s="133" t="s">
        <v>2845</v>
      </c>
      <c r="F8" s="109"/>
      <c r="G8" s="181"/>
      <c r="H8" s="158"/>
      <c r="I8" s="108" t="s">
        <v>2861</v>
      </c>
      <c r="J8" s="181" t="s">
        <v>2864</v>
      </c>
      <c r="K8" s="158"/>
      <c r="L8" s="158"/>
      <c r="M8" s="183"/>
      <c r="N8" s="5"/>
    </row>
    <row r="9" spans="1:14" ht="12.75">
      <c r="A9" s="179"/>
      <c r="B9" s="180"/>
      <c r="C9" s="180"/>
      <c r="D9" s="180"/>
      <c r="E9" s="180"/>
      <c r="F9" s="180"/>
      <c r="G9" s="182"/>
      <c r="H9" s="182"/>
      <c r="I9" s="180"/>
      <c r="J9" s="182"/>
      <c r="K9" s="182"/>
      <c r="L9" s="182"/>
      <c r="M9" s="184"/>
      <c r="N9" s="5"/>
    </row>
    <row r="10" spans="1:64" ht="12.75">
      <c r="A10" s="1" t="s">
        <v>5</v>
      </c>
      <c r="B10" s="10" t="s">
        <v>1011</v>
      </c>
      <c r="C10" s="168" t="s">
        <v>1932</v>
      </c>
      <c r="D10" s="169"/>
      <c r="E10" s="169"/>
      <c r="F10" s="170"/>
      <c r="G10" s="10" t="s">
        <v>2846</v>
      </c>
      <c r="H10" s="14" t="s">
        <v>2857</v>
      </c>
      <c r="I10" s="17" t="s">
        <v>2862</v>
      </c>
      <c r="J10" s="171" t="s">
        <v>2865</v>
      </c>
      <c r="K10" s="172"/>
      <c r="L10" s="173"/>
      <c r="M10" s="22" t="s">
        <v>2870</v>
      </c>
      <c r="N10" s="27"/>
      <c r="BK10" s="28" t="s">
        <v>2968</v>
      </c>
      <c r="BL10" s="33" t="s">
        <v>2971</v>
      </c>
    </row>
    <row r="11" spans="1:62" ht="12.75">
      <c r="A11" s="2" t="s">
        <v>6</v>
      </c>
      <c r="B11" s="11" t="s">
        <v>6</v>
      </c>
      <c r="C11" s="174" t="s">
        <v>1933</v>
      </c>
      <c r="D11" s="175"/>
      <c r="E11" s="175"/>
      <c r="F11" s="176"/>
      <c r="G11" s="11" t="s">
        <v>6</v>
      </c>
      <c r="H11" s="11" t="s">
        <v>6</v>
      </c>
      <c r="I11" s="18" t="s">
        <v>2863</v>
      </c>
      <c r="J11" s="19" t="s">
        <v>2866</v>
      </c>
      <c r="K11" s="20" t="s">
        <v>2868</v>
      </c>
      <c r="L11" s="21" t="s">
        <v>2869</v>
      </c>
      <c r="M11" s="23" t="s">
        <v>2871</v>
      </c>
      <c r="N11" s="27"/>
      <c r="Z11" s="28" t="s">
        <v>2873</v>
      </c>
      <c r="AA11" s="28" t="s">
        <v>2874</v>
      </c>
      <c r="AB11" s="28" t="s">
        <v>2875</v>
      </c>
      <c r="AC11" s="28" t="s">
        <v>2876</v>
      </c>
      <c r="AD11" s="28" t="s">
        <v>2877</v>
      </c>
      <c r="AE11" s="28" t="s">
        <v>2878</v>
      </c>
      <c r="AF11" s="28" t="s">
        <v>2879</v>
      </c>
      <c r="AG11" s="28" t="s">
        <v>2880</v>
      </c>
      <c r="AH11" s="28" t="s">
        <v>2881</v>
      </c>
      <c r="BH11" s="28" t="s">
        <v>2965</v>
      </c>
      <c r="BI11" s="28" t="s">
        <v>2966</v>
      </c>
      <c r="BJ11" s="28" t="s">
        <v>2967</v>
      </c>
    </row>
    <row r="12" spans="1:14" ht="12.75">
      <c r="A12" s="79"/>
      <c r="B12" s="99"/>
      <c r="C12" s="177" t="s">
        <v>1934</v>
      </c>
      <c r="D12" s="178"/>
      <c r="E12" s="178"/>
      <c r="F12" s="178"/>
      <c r="G12" s="80" t="s">
        <v>6</v>
      </c>
      <c r="H12" s="80" t="s">
        <v>6</v>
      </c>
      <c r="I12" s="80" t="s">
        <v>6</v>
      </c>
      <c r="J12" s="81">
        <f>J13+J16+J22+J26+J28+J30+J50+J64+J73+J93+J96+J101+J104+J119+J136+J142+J152+J155+J164+J177+J179+J189+J199+J224+J278+J344+J365+J422+J520+J528+J535+J564+J593+J608+J618+J633+J638+J648+J780</f>
        <v>0</v>
      </c>
      <c r="K12" s="81">
        <f>K13+K16+K22+K26+K28+K30+K50+K64+K73+K93+K96+K101+K104+K119+K136+K142+K152+K155+K164+K177+K179+K189+K199+K224+K278+K344+K365+K422+K520+K528+K535+K564+K593+K608+K618+K633+K638+K648+K780</f>
        <v>0</v>
      </c>
      <c r="L12" s="81">
        <f>L13+L16+L22+L26+L28+L30+L50+L64+L73+L93+L96+L101+L104+L119+L136+L142+L152+L155+L164+L177+L179+L189+L199+L224+L278+L344+L365+L422+L520+L528+L535+L564+L593+L608+L618+L633+L638+L648+L780</f>
        <v>0</v>
      </c>
      <c r="M12" s="82"/>
      <c r="N12" s="5"/>
    </row>
    <row r="13" spans="1:47" ht="12.75">
      <c r="A13" s="3"/>
      <c r="B13" s="97" t="s">
        <v>18</v>
      </c>
      <c r="C13" s="161" t="s">
        <v>1935</v>
      </c>
      <c r="D13" s="162"/>
      <c r="E13" s="162"/>
      <c r="F13" s="162"/>
      <c r="G13" s="13" t="s">
        <v>6</v>
      </c>
      <c r="H13" s="13" t="s">
        <v>6</v>
      </c>
      <c r="I13" s="13" t="s">
        <v>6</v>
      </c>
      <c r="J13" s="34">
        <f>SUM(J14:J15)</f>
        <v>0</v>
      </c>
      <c r="K13" s="34">
        <f>SUM(K14:K15)</f>
        <v>0</v>
      </c>
      <c r="L13" s="34">
        <f>SUM(L14:L15)</f>
        <v>0</v>
      </c>
      <c r="M13" s="24"/>
      <c r="N13" s="5"/>
      <c r="AI13" s="28" t="s">
        <v>2882</v>
      </c>
      <c r="AS13" s="34">
        <f>SUM(AJ14:AJ15)</f>
        <v>0</v>
      </c>
      <c r="AT13" s="34">
        <f>SUM(AK14:AK15)</f>
        <v>0</v>
      </c>
      <c r="AU13" s="34">
        <f>SUM(AL14:AL15)</f>
        <v>0</v>
      </c>
    </row>
    <row r="14" spans="1:64" ht="12.75">
      <c r="A14" s="4" t="s">
        <v>7</v>
      </c>
      <c r="B14" s="94" t="s">
        <v>1012</v>
      </c>
      <c r="C14" s="152" t="s">
        <v>1936</v>
      </c>
      <c r="D14" s="153"/>
      <c r="E14" s="153"/>
      <c r="F14" s="153"/>
      <c r="G14" s="94" t="s">
        <v>2847</v>
      </c>
      <c r="H14" s="73">
        <v>79.071</v>
      </c>
      <c r="I14" s="105">
        <v>0</v>
      </c>
      <c r="J14" s="15">
        <f>H14*AO14</f>
        <v>0</v>
      </c>
      <c r="K14" s="15">
        <f>H14*AP14</f>
        <v>0</v>
      </c>
      <c r="L14" s="15">
        <f>H14*I14</f>
        <v>0</v>
      </c>
      <c r="M14" s="25" t="s">
        <v>2872</v>
      </c>
      <c r="N14" s="5"/>
      <c r="Z14" s="29">
        <f>IF(AQ14="5",BJ14,0)</f>
        <v>0</v>
      </c>
      <c r="AB14" s="29">
        <f>IF(AQ14="1",BH14,0)</f>
        <v>0</v>
      </c>
      <c r="AC14" s="29">
        <f>IF(AQ14="1",BI14,0)</f>
        <v>0</v>
      </c>
      <c r="AD14" s="29">
        <f>IF(AQ14="7",BH14,0)</f>
        <v>0</v>
      </c>
      <c r="AE14" s="29">
        <f>IF(AQ14="7",BI14,0)</f>
        <v>0</v>
      </c>
      <c r="AF14" s="29">
        <f>IF(AQ14="2",BH14,0)</f>
        <v>0</v>
      </c>
      <c r="AG14" s="29">
        <f>IF(AQ14="2",BI14,0)</f>
        <v>0</v>
      </c>
      <c r="AH14" s="29">
        <f>IF(AQ14="0",BJ14,0)</f>
        <v>0</v>
      </c>
      <c r="AI14" s="28" t="s">
        <v>2882</v>
      </c>
      <c r="AJ14" s="15">
        <f>IF(AN14=0,L14,0)</f>
        <v>0</v>
      </c>
      <c r="AK14" s="15">
        <f>IF(AN14=15,L14,0)</f>
        <v>0</v>
      </c>
      <c r="AL14" s="15">
        <f>IF(AN14=21,L14,0)</f>
        <v>0</v>
      </c>
      <c r="AN14" s="29">
        <v>15</v>
      </c>
      <c r="AO14" s="29">
        <f>I14*0</f>
        <v>0</v>
      </c>
      <c r="AP14" s="29">
        <f>I14*(1-0)</f>
        <v>0</v>
      </c>
      <c r="AQ14" s="30" t="s">
        <v>7</v>
      </c>
      <c r="AV14" s="29">
        <f>AW14+AX14</f>
        <v>0</v>
      </c>
      <c r="AW14" s="29">
        <f>H14*AO14</f>
        <v>0</v>
      </c>
      <c r="AX14" s="29">
        <f>H14*AP14</f>
        <v>0</v>
      </c>
      <c r="AY14" s="32" t="s">
        <v>2890</v>
      </c>
      <c r="AZ14" s="32" t="s">
        <v>2935</v>
      </c>
      <c r="BA14" s="28" t="s">
        <v>2957</v>
      </c>
      <c r="BC14" s="29">
        <f>AW14+AX14</f>
        <v>0</v>
      </c>
      <c r="BD14" s="29">
        <f>I14/(100-BE14)*100</f>
        <v>0</v>
      </c>
      <c r="BE14" s="29">
        <v>0</v>
      </c>
      <c r="BF14" s="29">
        <f>14</f>
        <v>14</v>
      </c>
      <c r="BH14" s="15">
        <f>H14*AO14</f>
        <v>0</v>
      </c>
      <c r="BI14" s="15">
        <f>H14*AP14</f>
        <v>0</v>
      </c>
      <c r="BJ14" s="15">
        <f>H14*I14</f>
        <v>0</v>
      </c>
      <c r="BK14" s="15" t="s">
        <v>2969</v>
      </c>
      <c r="BL14" s="29">
        <v>12</v>
      </c>
    </row>
    <row r="15" spans="1:64" ht="12.75">
      <c r="A15" s="4" t="s">
        <v>8</v>
      </c>
      <c r="B15" s="94" t="s">
        <v>1013</v>
      </c>
      <c r="C15" s="152" t="s">
        <v>1937</v>
      </c>
      <c r="D15" s="153"/>
      <c r="E15" s="153"/>
      <c r="F15" s="153"/>
      <c r="G15" s="94" t="s">
        <v>2847</v>
      </c>
      <c r="H15" s="73">
        <v>143.556</v>
      </c>
      <c r="I15" s="105">
        <v>0</v>
      </c>
      <c r="J15" s="15">
        <f>H15*AO15</f>
        <v>0</v>
      </c>
      <c r="K15" s="15">
        <f>H15*AP15</f>
        <v>0</v>
      </c>
      <c r="L15" s="15">
        <f>H15*I15</f>
        <v>0</v>
      </c>
      <c r="M15" s="25" t="s">
        <v>2872</v>
      </c>
      <c r="N15" s="5"/>
      <c r="Z15" s="29">
        <f>IF(AQ15="5",BJ15,0)</f>
        <v>0</v>
      </c>
      <c r="AB15" s="29">
        <f>IF(AQ15="1",BH15,0)</f>
        <v>0</v>
      </c>
      <c r="AC15" s="29">
        <f>IF(AQ15="1",BI15,0)</f>
        <v>0</v>
      </c>
      <c r="AD15" s="29">
        <f>IF(AQ15="7",BH15,0)</f>
        <v>0</v>
      </c>
      <c r="AE15" s="29">
        <f>IF(AQ15="7",BI15,0)</f>
        <v>0</v>
      </c>
      <c r="AF15" s="29">
        <f>IF(AQ15="2",BH15,0)</f>
        <v>0</v>
      </c>
      <c r="AG15" s="29">
        <f>IF(AQ15="2",BI15,0)</f>
        <v>0</v>
      </c>
      <c r="AH15" s="29">
        <f>IF(AQ15="0",BJ15,0)</f>
        <v>0</v>
      </c>
      <c r="AI15" s="28" t="s">
        <v>2882</v>
      </c>
      <c r="AJ15" s="15">
        <f>IF(AN15=0,L15,0)</f>
        <v>0</v>
      </c>
      <c r="AK15" s="15">
        <f>IF(AN15=15,L15,0)</f>
        <v>0</v>
      </c>
      <c r="AL15" s="15">
        <f>IF(AN15=21,L15,0)</f>
        <v>0</v>
      </c>
      <c r="AN15" s="29">
        <v>15</v>
      </c>
      <c r="AO15" s="29">
        <f>I15*0</f>
        <v>0</v>
      </c>
      <c r="AP15" s="29">
        <f>I15*(1-0)</f>
        <v>0</v>
      </c>
      <c r="AQ15" s="30" t="s">
        <v>7</v>
      </c>
      <c r="AV15" s="29">
        <f>AW15+AX15</f>
        <v>0</v>
      </c>
      <c r="AW15" s="29">
        <f>H15*AO15</f>
        <v>0</v>
      </c>
      <c r="AX15" s="29">
        <f>H15*AP15</f>
        <v>0</v>
      </c>
      <c r="AY15" s="32" t="s">
        <v>2890</v>
      </c>
      <c r="AZ15" s="32" t="s">
        <v>2935</v>
      </c>
      <c r="BA15" s="28" t="s">
        <v>2957</v>
      </c>
      <c r="BC15" s="29">
        <f>AW15+AX15</f>
        <v>0</v>
      </c>
      <c r="BD15" s="29">
        <f>I15/(100-BE15)*100</f>
        <v>0</v>
      </c>
      <c r="BE15" s="29">
        <v>0</v>
      </c>
      <c r="BF15" s="29">
        <f>15</f>
        <v>15</v>
      </c>
      <c r="BH15" s="15">
        <f>H15*AO15</f>
        <v>0</v>
      </c>
      <c r="BI15" s="15">
        <f>H15*AP15</f>
        <v>0</v>
      </c>
      <c r="BJ15" s="15">
        <f>H15*I15</f>
        <v>0</v>
      </c>
      <c r="BK15" s="15" t="s">
        <v>2969</v>
      </c>
      <c r="BL15" s="29">
        <v>12</v>
      </c>
    </row>
    <row r="16" spans="1:47" ht="12.75">
      <c r="A16" s="3"/>
      <c r="B16" s="97" t="s">
        <v>19</v>
      </c>
      <c r="C16" s="161" t="s">
        <v>1938</v>
      </c>
      <c r="D16" s="162"/>
      <c r="E16" s="162"/>
      <c r="F16" s="162"/>
      <c r="G16" s="13" t="s">
        <v>6</v>
      </c>
      <c r="H16" s="13" t="s">
        <v>6</v>
      </c>
      <c r="I16" s="13" t="s">
        <v>6</v>
      </c>
      <c r="J16" s="34">
        <f>SUM(J17:J21)</f>
        <v>0</v>
      </c>
      <c r="K16" s="34">
        <f>SUM(K17:K21)</f>
        <v>0</v>
      </c>
      <c r="L16" s="34">
        <f>SUM(L17:L21)</f>
        <v>0</v>
      </c>
      <c r="M16" s="24"/>
      <c r="N16" s="5"/>
      <c r="AI16" s="28" t="s">
        <v>2882</v>
      </c>
      <c r="AS16" s="34">
        <f>SUM(AJ17:AJ21)</f>
        <v>0</v>
      </c>
      <c r="AT16" s="34">
        <f>SUM(AK17:AK21)</f>
        <v>0</v>
      </c>
      <c r="AU16" s="34">
        <f>SUM(AL17:AL21)</f>
        <v>0</v>
      </c>
    </row>
    <row r="17" spans="1:64" ht="12.75">
      <c r="A17" s="4" t="s">
        <v>9</v>
      </c>
      <c r="B17" s="94" t="s">
        <v>1014</v>
      </c>
      <c r="C17" s="152" t="s">
        <v>1939</v>
      </c>
      <c r="D17" s="153"/>
      <c r="E17" s="153"/>
      <c r="F17" s="153"/>
      <c r="G17" s="94" t="s">
        <v>2847</v>
      </c>
      <c r="H17" s="73">
        <v>6</v>
      </c>
      <c r="I17" s="105">
        <v>0</v>
      </c>
      <c r="J17" s="15">
        <f>H17*AO17</f>
        <v>0</v>
      </c>
      <c r="K17" s="15">
        <f>H17*AP17</f>
        <v>0</v>
      </c>
      <c r="L17" s="15">
        <f>H17*I17</f>
        <v>0</v>
      </c>
      <c r="M17" s="25" t="s">
        <v>2872</v>
      </c>
      <c r="N17" s="5"/>
      <c r="Z17" s="29">
        <f>IF(AQ17="5",BJ17,0)</f>
        <v>0</v>
      </c>
      <c r="AB17" s="29">
        <f>IF(AQ17="1",BH17,0)</f>
        <v>0</v>
      </c>
      <c r="AC17" s="29">
        <f>IF(AQ17="1",BI17,0)</f>
        <v>0</v>
      </c>
      <c r="AD17" s="29">
        <f>IF(AQ17="7",BH17,0)</f>
        <v>0</v>
      </c>
      <c r="AE17" s="29">
        <f>IF(AQ17="7",BI17,0)</f>
        <v>0</v>
      </c>
      <c r="AF17" s="29">
        <f>IF(AQ17="2",BH17,0)</f>
        <v>0</v>
      </c>
      <c r="AG17" s="29">
        <f>IF(AQ17="2",BI17,0)</f>
        <v>0</v>
      </c>
      <c r="AH17" s="29">
        <f>IF(AQ17="0",BJ17,0)</f>
        <v>0</v>
      </c>
      <c r="AI17" s="28" t="s">
        <v>2882</v>
      </c>
      <c r="AJ17" s="15">
        <f>IF(AN17=0,L17,0)</f>
        <v>0</v>
      </c>
      <c r="AK17" s="15">
        <f>IF(AN17=15,L17,0)</f>
        <v>0</v>
      </c>
      <c r="AL17" s="15">
        <f>IF(AN17=21,L17,0)</f>
        <v>0</v>
      </c>
      <c r="AN17" s="29">
        <v>15</v>
      </c>
      <c r="AO17" s="29">
        <f>I17*0</f>
        <v>0</v>
      </c>
      <c r="AP17" s="29">
        <f>I17*(1-0)</f>
        <v>0</v>
      </c>
      <c r="AQ17" s="30" t="s">
        <v>7</v>
      </c>
      <c r="AV17" s="29">
        <f>AW17+AX17</f>
        <v>0</v>
      </c>
      <c r="AW17" s="29">
        <f>H17*AO17</f>
        <v>0</v>
      </c>
      <c r="AX17" s="29">
        <f>H17*AP17</f>
        <v>0</v>
      </c>
      <c r="AY17" s="32" t="s">
        <v>2891</v>
      </c>
      <c r="AZ17" s="32" t="s">
        <v>2935</v>
      </c>
      <c r="BA17" s="28" t="s">
        <v>2957</v>
      </c>
      <c r="BC17" s="29">
        <f>AW17+AX17</f>
        <v>0</v>
      </c>
      <c r="BD17" s="29">
        <f>I17/(100-BE17)*100</f>
        <v>0</v>
      </c>
      <c r="BE17" s="29">
        <v>0</v>
      </c>
      <c r="BF17" s="29">
        <f>17</f>
        <v>17</v>
      </c>
      <c r="BH17" s="15">
        <f>H17*AO17</f>
        <v>0</v>
      </c>
      <c r="BI17" s="15">
        <f>H17*AP17</f>
        <v>0</v>
      </c>
      <c r="BJ17" s="15">
        <f>H17*I17</f>
        <v>0</v>
      </c>
      <c r="BK17" s="15" t="s">
        <v>2969</v>
      </c>
      <c r="BL17" s="29">
        <v>13</v>
      </c>
    </row>
    <row r="18" spans="1:14" ht="12.75">
      <c r="A18" s="5"/>
      <c r="B18" s="12" t="s">
        <v>1015</v>
      </c>
      <c r="C18" s="165" t="s">
        <v>1940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7"/>
      <c r="N18" s="5"/>
    </row>
    <row r="19" spans="1:64" ht="12.75">
      <c r="A19" s="4" t="s">
        <v>10</v>
      </c>
      <c r="B19" s="94" t="s">
        <v>1016</v>
      </c>
      <c r="C19" s="152" t="s">
        <v>1941</v>
      </c>
      <c r="D19" s="153"/>
      <c r="E19" s="153"/>
      <c r="F19" s="153"/>
      <c r="G19" s="94" t="s">
        <v>2847</v>
      </c>
      <c r="H19" s="73">
        <v>15.392</v>
      </c>
      <c r="I19" s="105">
        <v>0</v>
      </c>
      <c r="J19" s="15">
        <f>H19*AO19</f>
        <v>0</v>
      </c>
      <c r="K19" s="15">
        <f>H19*AP19</f>
        <v>0</v>
      </c>
      <c r="L19" s="15">
        <f>H19*I19</f>
        <v>0</v>
      </c>
      <c r="M19" s="25" t="s">
        <v>2872</v>
      </c>
      <c r="N19" s="5"/>
      <c r="Z19" s="29">
        <f>IF(AQ19="5",BJ19,0)</f>
        <v>0</v>
      </c>
      <c r="AB19" s="29">
        <f>IF(AQ19="1",BH19,0)</f>
        <v>0</v>
      </c>
      <c r="AC19" s="29">
        <f>IF(AQ19="1",BI19,0)</f>
        <v>0</v>
      </c>
      <c r="AD19" s="29">
        <f>IF(AQ19="7",BH19,0)</f>
        <v>0</v>
      </c>
      <c r="AE19" s="29">
        <f>IF(AQ19="7",BI19,0)</f>
        <v>0</v>
      </c>
      <c r="AF19" s="29">
        <f>IF(AQ19="2",BH19,0)</f>
        <v>0</v>
      </c>
      <c r="AG19" s="29">
        <f>IF(AQ19="2",BI19,0)</f>
        <v>0</v>
      </c>
      <c r="AH19" s="29">
        <f>IF(AQ19="0",BJ19,0)</f>
        <v>0</v>
      </c>
      <c r="AI19" s="28" t="s">
        <v>2882</v>
      </c>
      <c r="AJ19" s="15">
        <f>IF(AN19=0,L19,0)</f>
        <v>0</v>
      </c>
      <c r="AK19" s="15">
        <f>IF(AN19=15,L19,0)</f>
        <v>0</v>
      </c>
      <c r="AL19" s="15">
        <f>IF(AN19=21,L19,0)</f>
        <v>0</v>
      </c>
      <c r="AN19" s="29">
        <v>15</v>
      </c>
      <c r="AO19" s="29">
        <f>I19*0</f>
        <v>0</v>
      </c>
      <c r="AP19" s="29">
        <f>I19*(1-0)</f>
        <v>0</v>
      </c>
      <c r="AQ19" s="30" t="s">
        <v>7</v>
      </c>
      <c r="AV19" s="29">
        <f>AW19+AX19</f>
        <v>0</v>
      </c>
      <c r="AW19" s="29">
        <f>H19*AO19</f>
        <v>0</v>
      </c>
      <c r="AX19" s="29">
        <f>H19*AP19</f>
        <v>0</v>
      </c>
      <c r="AY19" s="32" t="s">
        <v>2891</v>
      </c>
      <c r="AZ19" s="32" t="s">
        <v>2935</v>
      </c>
      <c r="BA19" s="28" t="s">
        <v>2957</v>
      </c>
      <c r="BC19" s="29">
        <f>AW19+AX19</f>
        <v>0</v>
      </c>
      <c r="BD19" s="29">
        <f>I19/(100-BE19)*100</f>
        <v>0</v>
      </c>
      <c r="BE19" s="29">
        <v>0</v>
      </c>
      <c r="BF19" s="29">
        <f>19</f>
        <v>19</v>
      </c>
      <c r="BH19" s="15">
        <f>H19*AO19</f>
        <v>0</v>
      </c>
      <c r="BI19" s="15">
        <f>H19*AP19</f>
        <v>0</v>
      </c>
      <c r="BJ19" s="15">
        <f>H19*I19</f>
        <v>0</v>
      </c>
      <c r="BK19" s="15" t="s">
        <v>2969</v>
      </c>
      <c r="BL19" s="29">
        <v>13</v>
      </c>
    </row>
    <row r="20" spans="1:64" ht="12.75">
      <c r="A20" s="4" t="s">
        <v>11</v>
      </c>
      <c r="B20" s="94" t="s">
        <v>1017</v>
      </c>
      <c r="C20" s="152" t="s">
        <v>1942</v>
      </c>
      <c r="D20" s="153"/>
      <c r="E20" s="153"/>
      <c r="F20" s="153"/>
      <c r="G20" s="94" t="s">
        <v>2847</v>
      </c>
      <c r="H20" s="73">
        <v>53.684</v>
      </c>
      <c r="I20" s="105">
        <v>0</v>
      </c>
      <c r="J20" s="15">
        <f>H20*AO20</f>
        <v>0</v>
      </c>
      <c r="K20" s="15">
        <f>H20*AP20</f>
        <v>0</v>
      </c>
      <c r="L20" s="15">
        <f>H20*I20</f>
        <v>0</v>
      </c>
      <c r="M20" s="25" t="s">
        <v>2872</v>
      </c>
      <c r="N20" s="5"/>
      <c r="Z20" s="29">
        <f>IF(AQ20="5",BJ20,0)</f>
        <v>0</v>
      </c>
      <c r="AB20" s="29">
        <f>IF(AQ20="1",BH20,0)</f>
        <v>0</v>
      </c>
      <c r="AC20" s="29">
        <f>IF(AQ20="1",BI20,0)</f>
        <v>0</v>
      </c>
      <c r="AD20" s="29">
        <f>IF(AQ20="7",BH20,0)</f>
        <v>0</v>
      </c>
      <c r="AE20" s="29">
        <f>IF(AQ20="7",BI20,0)</f>
        <v>0</v>
      </c>
      <c r="AF20" s="29">
        <f>IF(AQ20="2",BH20,0)</f>
        <v>0</v>
      </c>
      <c r="AG20" s="29">
        <f>IF(AQ20="2",BI20,0)</f>
        <v>0</v>
      </c>
      <c r="AH20" s="29">
        <f>IF(AQ20="0",BJ20,0)</f>
        <v>0</v>
      </c>
      <c r="AI20" s="28" t="s">
        <v>2882</v>
      </c>
      <c r="AJ20" s="15">
        <f>IF(AN20=0,L20,0)</f>
        <v>0</v>
      </c>
      <c r="AK20" s="15">
        <f>IF(AN20=15,L20,0)</f>
        <v>0</v>
      </c>
      <c r="AL20" s="15">
        <f>IF(AN20=21,L20,0)</f>
        <v>0</v>
      </c>
      <c r="AN20" s="29">
        <v>15</v>
      </c>
      <c r="AO20" s="29">
        <f>I20*0</f>
        <v>0</v>
      </c>
      <c r="AP20" s="29">
        <f>I20*(1-0)</f>
        <v>0</v>
      </c>
      <c r="AQ20" s="30" t="s">
        <v>7</v>
      </c>
      <c r="AV20" s="29">
        <f>AW20+AX20</f>
        <v>0</v>
      </c>
      <c r="AW20" s="29">
        <f>H20*AO20</f>
        <v>0</v>
      </c>
      <c r="AX20" s="29">
        <f>H20*AP20</f>
        <v>0</v>
      </c>
      <c r="AY20" s="32" t="s">
        <v>2891</v>
      </c>
      <c r="AZ20" s="32" t="s">
        <v>2935</v>
      </c>
      <c r="BA20" s="28" t="s">
        <v>2957</v>
      </c>
      <c r="BC20" s="29">
        <f>AW20+AX20</f>
        <v>0</v>
      </c>
      <c r="BD20" s="29">
        <f>I20/(100-BE20)*100</f>
        <v>0</v>
      </c>
      <c r="BE20" s="29">
        <v>0</v>
      </c>
      <c r="BF20" s="29">
        <f>20</f>
        <v>20</v>
      </c>
      <c r="BH20" s="15">
        <f>H20*AO20</f>
        <v>0</v>
      </c>
      <c r="BI20" s="15">
        <f>H20*AP20</f>
        <v>0</v>
      </c>
      <c r="BJ20" s="15">
        <f>H20*I20</f>
        <v>0</v>
      </c>
      <c r="BK20" s="15" t="s">
        <v>2969</v>
      </c>
      <c r="BL20" s="29">
        <v>13</v>
      </c>
    </row>
    <row r="21" spans="1:64" ht="12.75">
      <c r="A21" s="4" t="s">
        <v>12</v>
      </c>
      <c r="B21" s="94" t="s">
        <v>1018</v>
      </c>
      <c r="C21" s="152" t="s">
        <v>1943</v>
      </c>
      <c r="D21" s="153"/>
      <c r="E21" s="153"/>
      <c r="F21" s="153"/>
      <c r="G21" s="94" t="s">
        <v>2847</v>
      </c>
      <c r="H21" s="73">
        <v>13.816</v>
      </c>
      <c r="I21" s="105">
        <v>0</v>
      </c>
      <c r="J21" s="15">
        <f>H21*AO21</f>
        <v>0</v>
      </c>
      <c r="K21" s="15">
        <f>H21*AP21</f>
        <v>0</v>
      </c>
      <c r="L21" s="15">
        <f>H21*I21</f>
        <v>0</v>
      </c>
      <c r="M21" s="25" t="s">
        <v>2872</v>
      </c>
      <c r="N21" s="5"/>
      <c r="Z21" s="29">
        <f>IF(AQ21="5",BJ21,0)</f>
        <v>0</v>
      </c>
      <c r="AB21" s="29">
        <f>IF(AQ21="1",BH21,0)</f>
        <v>0</v>
      </c>
      <c r="AC21" s="29">
        <f>IF(AQ21="1",BI21,0)</f>
        <v>0</v>
      </c>
      <c r="AD21" s="29">
        <f>IF(AQ21="7",BH21,0)</f>
        <v>0</v>
      </c>
      <c r="AE21" s="29">
        <f>IF(AQ21="7",BI21,0)</f>
        <v>0</v>
      </c>
      <c r="AF21" s="29">
        <f>IF(AQ21="2",BH21,0)</f>
        <v>0</v>
      </c>
      <c r="AG21" s="29">
        <f>IF(AQ21="2",BI21,0)</f>
        <v>0</v>
      </c>
      <c r="AH21" s="29">
        <f>IF(AQ21="0",BJ21,0)</f>
        <v>0</v>
      </c>
      <c r="AI21" s="28" t="s">
        <v>2882</v>
      </c>
      <c r="AJ21" s="15">
        <f>IF(AN21=0,L21,0)</f>
        <v>0</v>
      </c>
      <c r="AK21" s="15">
        <f>IF(AN21=15,L21,0)</f>
        <v>0</v>
      </c>
      <c r="AL21" s="15">
        <f>IF(AN21=21,L21,0)</f>
        <v>0</v>
      </c>
      <c r="AN21" s="29">
        <v>15</v>
      </c>
      <c r="AO21" s="29">
        <f>I21*0</f>
        <v>0</v>
      </c>
      <c r="AP21" s="29">
        <f>I21*(1-0)</f>
        <v>0</v>
      </c>
      <c r="AQ21" s="30" t="s">
        <v>7</v>
      </c>
      <c r="AV21" s="29">
        <f>AW21+AX21</f>
        <v>0</v>
      </c>
      <c r="AW21" s="29">
        <f>H21*AO21</f>
        <v>0</v>
      </c>
      <c r="AX21" s="29">
        <f>H21*AP21</f>
        <v>0</v>
      </c>
      <c r="AY21" s="32" t="s">
        <v>2891</v>
      </c>
      <c r="AZ21" s="32" t="s">
        <v>2935</v>
      </c>
      <c r="BA21" s="28" t="s">
        <v>2957</v>
      </c>
      <c r="BC21" s="29">
        <f>AW21+AX21</f>
        <v>0</v>
      </c>
      <c r="BD21" s="29">
        <f>I21/(100-BE21)*100</f>
        <v>0</v>
      </c>
      <c r="BE21" s="29">
        <v>0</v>
      </c>
      <c r="BF21" s="29">
        <f>21</f>
        <v>21</v>
      </c>
      <c r="BH21" s="15">
        <f>H21*AO21</f>
        <v>0</v>
      </c>
      <c r="BI21" s="15">
        <f>H21*AP21</f>
        <v>0</v>
      </c>
      <c r="BJ21" s="15">
        <f>H21*I21</f>
        <v>0</v>
      </c>
      <c r="BK21" s="15" t="s">
        <v>2969</v>
      </c>
      <c r="BL21" s="29">
        <v>13</v>
      </c>
    </row>
    <row r="22" spans="1:47" ht="12.75">
      <c r="A22" s="3"/>
      <c r="B22" s="97" t="s">
        <v>22</v>
      </c>
      <c r="C22" s="161" t="s">
        <v>1944</v>
      </c>
      <c r="D22" s="162"/>
      <c r="E22" s="162"/>
      <c r="F22" s="162"/>
      <c r="G22" s="13" t="s">
        <v>6</v>
      </c>
      <c r="H22" s="13" t="s">
        <v>6</v>
      </c>
      <c r="I22" s="13" t="s">
        <v>6</v>
      </c>
      <c r="J22" s="34">
        <f>SUM(J23:J25)</f>
        <v>0</v>
      </c>
      <c r="K22" s="34">
        <f>SUM(K23:K25)</f>
        <v>0</v>
      </c>
      <c r="L22" s="34">
        <f>SUM(L23:L25)</f>
        <v>0</v>
      </c>
      <c r="M22" s="24"/>
      <c r="N22" s="5"/>
      <c r="AI22" s="28" t="s">
        <v>2882</v>
      </c>
      <c r="AS22" s="34">
        <f>SUM(AJ23:AJ25)</f>
        <v>0</v>
      </c>
      <c r="AT22" s="34">
        <f>SUM(AK23:AK25)</f>
        <v>0</v>
      </c>
      <c r="AU22" s="34">
        <f>SUM(AL23:AL25)</f>
        <v>0</v>
      </c>
    </row>
    <row r="23" spans="1:64" ht="12.75">
      <c r="A23" s="4" t="s">
        <v>13</v>
      </c>
      <c r="B23" s="94" t="s">
        <v>1019</v>
      </c>
      <c r="C23" s="152" t="s">
        <v>1945</v>
      </c>
      <c r="D23" s="153"/>
      <c r="E23" s="153"/>
      <c r="F23" s="153"/>
      <c r="G23" s="94" t="s">
        <v>2847</v>
      </c>
      <c r="H23" s="73">
        <v>203.802</v>
      </c>
      <c r="I23" s="105">
        <v>0</v>
      </c>
      <c r="J23" s="15">
        <f>H23*AO23</f>
        <v>0</v>
      </c>
      <c r="K23" s="15">
        <f>H23*AP23</f>
        <v>0</v>
      </c>
      <c r="L23" s="15">
        <f>H23*I23</f>
        <v>0</v>
      </c>
      <c r="M23" s="25" t="s">
        <v>2872</v>
      </c>
      <c r="N23" s="5"/>
      <c r="Z23" s="29">
        <f>IF(AQ23="5",BJ23,0)</f>
        <v>0</v>
      </c>
      <c r="AB23" s="29">
        <f>IF(AQ23="1",BH23,0)</f>
        <v>0</v>
      </c>
      <c r="AC23" s="29">
        <f>IF(AQ23="1",BI23,0)</f>
        <v>0</v>
      </c>
      <c r="AD23" s="29">
        <f>IF(AQ23="7",BH23,0)</f>
        <v>0</v>
      </c>
      <c r="AE23" s="29">
        <f>IF(AQ23="7",BI23,0)</f>
        <v>0</v>
      </c>
      <c r="AF23" s="29">
        <f>IF(AQ23="2",BH23,0)</f>
        <v>0</v>
      </c>
      <c r="AG23" s="29">
        <f>IF(AQ23="2",BI23,0)</f>
        <v>0</v>
      </c>
      <c r="AH23" s="29">
        <f>IF(AQ23="0",BJ23,0)</f>
        <v>0</v>
      </c>
      <c r="AI23" s="28" t="s">
        <v>2882</v>
      </c>
      <c r="AJ23" s="15">
        <f>IF(AN23=0,L23,0)</f>
        <v>0</v>
      </c>
      <c r="AK23" s="15">
        <f>IF(AN23=15,L23,0)</f>
        <v>0</v>
      </c>
      <c r="AL23" s="15">
        <f>IF(AN23=21,L23,0)</f>
        <v>0</v>
      </c>
      <c r="AN23" s="29">
        <v>15</v>
      </c>
      <c r="AO23" s="29">
        <f>I23*0</f>
        <v>0</v>
      </c>
      <c r="AP23" s="29">
        <f>I23*(1-0)</f>
        <v>0</v>
      </c>
      <c r="AQ23" s="30" t="s">
        <v>7</v>
      </c>
      <c r="AV23" s="29">
        <f>AW23+AX23</f>
        <v>0</v>
      </c>
      <c r="AW23" s="29">
        <f>H23*AO23</f>
        <v>0</v>
      </c>
      <c r="AX23" s="29">
        <f>H23*AP23</f>
        <v>0</v>
      </c>
      <c r="AY23" s="32" t="s">
        <v>2892</v>
      </c>
      <c r="AZ23" s="32" t="s">
        <v>2935</v>
      </c>
      <c r="BA23" s="28" t="s">
        <v>2957</v>
      </c>
      <c r="BC23" s="29">
        <f>AW23+AX23</f>
        <v>0</v>
      </c>
      <c r="BD23" s="29">
        <f>I23/(100-BE23)*100</f>
        <v>0</v>
      </c>
      <c r="BE23" s="29">
        <v>0</v>
      </c>
      <c r="BF23" s="29">
        <f>23</f>
        <v>23</v>
      </c>
      <c r="BH23" s="15">
        <f>H23*AO23</f>
        <v>0</v>
      </c>
      <c r="BI23" s="15">
        <f>H23*AP23</f>
        <v>0</v>
      </c>
      <c r="BJ23" s="15">
        <f>H23*I23</f>
        <v>0</v>
      </c>
      <c r="BK23" s="15" t="s">
        <v>2969</v>
      </c>
      <c r="BL23" s="29">
        <v>16</v>
      </c>
    </row>
    <row r="24" spans="1:64" ht="12.75">
      <c r="A24" s="4" t="s">
        <v>14</v>
      </c>
      <c r="B24" s="94" t="s">
        <v>1020</v>
      </c>
      <c r="C24" s="152" t="s">
        <v>1946</v>
      </c>
      <c r="D24" s="153"/>
      <c r="E24" s="153"/>
      <c r="F24" s="153"/>
      <c r="G24" s="94" t="s">
        <v>2847</v>
      </c>
      <c r="H24" s="73">
        <v>22.645</v>
      </c>
      <c r="I24" s="105">
        <v>0</v>
      </c>
      <c r="J24" s="15">
        <f>H24*AO24</f>
        <v>0</v>
      </c>
      <c r="K24" s="15">
        <f>H24*AP24</f>
        <v>0</v>
      </c>
      <c r="L24" s="15">
        <f>H24*I24</f>
        <v>0</v>
      </c>
      <c r="M24" s="25" t="s">
        <v>2872</v>
      </c>
      <c r="N24" s="5"/>
      <c r="Z24" s="29">
        <f>IF(AQ24="5",BJ24,0)</f>
        <v>0</v>
      </c>
      <c r="AB24" s="29">
        <f>IF(AQ24="1",BH24,0)</f>
        <v>0</v>
      </c>
      <c r="AC24" s="29">
        <f>IF(AQ24="1",BI24,0)</f>
        <v>0</v>
      </c>
      <c r="AD24" s="29">
        <f>IF(AQ24="7",BH24,0)</f>
        <v>0</v>
      </c>
      <c r="AE24" s="29">
        <f>IF(AQ24="7",BI24,0)</f>
        <v>0</v>
      </c>
      <c r="AF24" s="29">
        <f>IF(AQ24="2",BH24,0)</f>
        <v>0</v>
      </c>
      <c r="AG24" s="29">
        <f>IF(AQ24="2",BI24,0)</f>
        <v>0</v>
      </c>
      <c r="AH24" s="29">
        <f>IF(AQ24="0",BJ24,0)</f>
        <v>0</v>
      </c>
      <c r="AI24" s="28" t="s">
        <v>2882</v>
      </c>
      <c r="AJ24" s="15">
        <f>IF(AN24=0,L24,0)</f>
        <v>0</v>
      </c>
      <c r="AK24" s="15">
        <f>IF(AN24=15,L24,0)</f>
        <v>0</v>
      </c>
      <c r="AL24" s="15">
        <f>IF(AN24=21,L24,0)</f>
        <v>0</v>
      </c>
      <c r="AN24" s="29">
        <v>15</v>
      </c>
      <c r="AO24" s="29">
        <f>I24*0</f>
        <v>0</v>
      </c>
      <c r="AP24" s="29">
        <f>I24*(1-0)</f>
        <v>0</v>
      </c>
      <c r="AQ24" s="30" t="s">
        <v>7</v>
      </c>
      <c r="AV24" s="29">
        <f>AW24+AX24</f>
        <v>0</v>
      </c>
      <c r="AW24" s="29">
        <f>H24*AO24</f>
        <v>0</v>
      </c>
      <c r="AX24" s="29">
        <f>H24*AP24</f>
        <v>0</v>
      </c>
      <c r="AY24" s="32" t="s">
        <v>2892</v>
      </c>
      <c r="AZ24" s="32" t="s">
        <v>2935</v>
      </c>
      <c r="BA24" s="28" t="s">
        <v>2957</v>
      </c>
      <c r="BC24" s="29">
        <f>AW24+AX24</f>
        <v>0</v>
      </c>
      <c r="BD24" s="29">
        <f>I24/(100-BE24)*100</f>
        <v>0</v>
      </c>
      <c r="BE24" s="29">
        <v>0</v>
      </c>
      <c r="BF24" s="29">
        <f>24</f>
        <v>24</v>
      </c>
      <c r="BH24" s="15">
        <f>H24*AO24</f>
        <v>0</v>
      </c>
      <c r="BI24" s="15">
        <f>H24*AP24</f>
        <v>0</v>
      </c>
      <c r="BJ24" s="15">
        <f>H24*I24</f>
        <v>0</v>
      </c>
      <c r="BK24" s="15" t="s">
        <v>2969</v>
      </c>
      <c r="BL24" s="29">
        <v>16</v>
      </c>
    </row>
    <row r="25" spans="1:64" ht="12.75">
      <c r="A25" s="4" t="s">
        <v>15</v>
      </c>
      <c r="B25" s="94" t="s">
        <v>1021</v>
      </c>
      <c r="C25" s="152" t="s">
        <v>1947</v>
      </c>
      <c r="D25" s="153"/>
      <c r="E25" s="153"/>
      <c r="F25" s="153"/>
      <c r="G25" s="94" t="s">
        <v>2847</v>
      </c>
      <c r="H25" s="73">
        <v>203.802</v>
      </c>
      <c r="I25" s="105">
        <v>0</v>
      </c>
      <c r="J25" s="15">
        <f>H25*AO25</f>
        <v>0</v>
      </c>
      <c r="K25" s="15">
        <f>H25*AP25</f>
        <v>0</v>
      </c>
      <c r="L25" s="15">
        <f>H25*I25</f>
        <v>0</v>
      </c>
      <c r="M25" s="25" t="s">
        <v>2872</v>
      </c>
      <c r="N25" s="5"/>
      <c r="Z25" s="29">
        <f>IF(AQ25="5",BJ25,0)</f>
        <v>0</v>
      </c>
      <c r="AB25" s="29">
        <f>IF(AQ25="1",BH25,0)</f>
        <v>0</v>
      </c>
      <c r="AC25" s="29">
        <f>IF(AQ25="1",BI25,0)</f>
        <v>0</v>
      </c>
      <c r="AD25" s="29">
        <f>IF(AQ25="7",BH25,0)</f>
        <v>0</v>
      </c>
      <c r="AE25" s="29">
        <f>IF(AQ25="7",BI25,0)</f>
        <v>0</v>
      </c>
      <c r="AF25" s="29">
        <f>IF(AQ25="2",BH25,0)</f>
        <v>0</v>
      </c>
      <c r="AG25" s="29">
        <f>IF(AQ25="2",BI25,0)</f>
        <v>0</v>
      </c>
      <c r="AH25" s="29">
        <f>IF(AQ25="0",BJ25,0)</f>
        <v>0</v>
      </c>
      <c r="AI25" s="28" t="s">
        <v>2882</v>
      </c>
      <c r="AJ25" s="15">
        <f>IF(AN25=0,L25,0)</f>
        <v>0</v>
      </c>
      <c r="AK25" s="15">
        <f>IF(AN25=15,L25,0)</f>
        <v>0</v>
      </c>
      <c r="AL25" s="15">
        <f>IF(AN25=21,L25,0)</f>
        <v>0</v>
      </c>
      <c r="AN25" s="29">
        <v>15</v>
      </c>
      <c r="AO25" s="29">
        <f>I25*0</f>
        <v>0</v>
      </c>
      <c r="AP25" s="29">
        <f>I25*(1-0)</f>
        <v>0</v>
      </c>
      <c r="AQ25" s="30" t="s">
        <v>7</v>
      </c>
      <c r="AV25" s="29">
        <f>AW25+AX25</f>
        <v>0</v>
      </c>
      <c r="AW25" s="29">
        <f>H25*AO25</f>
        <v>0</v>
      </c>
      <c r="AX25" s="29">
        <f>H25*AP25</f>
        <v>0</v>
      </c>
      <c r="AY25" s="32" t="s">
        <v>2892</v>
      </c>
      <c r="AZ25" s="32" t="s">
        <v>2935</v>
      </c>
      <c r="BA25" s="28" t="s">
        <v>2957</v>
      </c>
      <c r="BC25" s="29">
        <f>AW25+AX25</f>
        <v>0</v>
      </c>
      <c r="BD25" s="29">
        <f>I25/(100-BE25)*100</f>
        <v>0</v>
      </c>
      <c r="BE25" s="29">
        <v>0</v>
      </c>
      <c r="BF25" s="29">
        <f>25</f>
        <v>25</v>
      </c>
      <c r="BH25" s="15">
        <f>H25*AO25</f>
        <v>0</v>
      </c>
      <c r="BI25" s="15">
        <f>H25*AP25</f>
        <v>0</v>
      </c>
      <c r="BJ25" s="15">
        <f>H25*I25</f>
        <v>0</v>
      </c>
      <c r="BK25" s="15" t="s">
        <v>2969</v>
      </c>
      <c r="BL25" s="29">
        <v>16</v>
      </c>
    </row>
    <row r="26" spans="1:47" ht="12.75">
      <c r="A26" s="3"/>
      <c r="B26" s="97" t="s">
        <v>23</v>
      </c>
      <c r="C26" s="161" t="s">
        <v>1948</v>
      </c>
      <c r="D26" s="162"/>
      <c r="E26" s="162"/>
      <c r="F26" s="162"/>
      <c r="G26" s="13" t="s">
        <v>6</v>
      </c>
      <c r="H26" s="13" t="s">
        <v>6</v>
      </c>
      <c r="I26" s="13" t="s">
        <v>6</v>
      </c>
      <c r="J26" s="34">
        <f>SUM(J27:J27)</f>
        <v>0</v>
      </c>
      <c r="K26" s="34">
        <f>SUM(K27:K27)</f>
        <v>0</v>
      </c>
      <c r="L26" s="34">
        <f>SUM(L27:L27)</f>
        <v>0</v>
      </c>
      <c r="M26" s="24"/>
      <c r="N26" s="5"/>
      <c r="AI26" s="28" t="s">
        <v>2882</v>
      </c>
      <c r="AS26" s="34">
        <f>SUM(AJ27:AJ27)</f>
        <v>0</v>
      </c>
      <c r="AT26" s="34">
        <f>SUM(AK27:AK27)</f>
        <v>0</v>
      </c>
      <c r="AU26" s="34">
        <f>SUM(AL27:AL27)</f>
        <v>0</v>
      </c>
    </row>
    <row r="27" spans="1:64" ht="12.75">
      <c r="A27" s="4" t="s">
        <v>16</v>
      </c>
      <c r="B27" s="94" t="s">
        <v>1022</v>
      </c>
      <c r="C27" s="152" t="s">
        <v>1949</v>
      </c>
      <c r="D27" s="153"/>
      <c r="E27" s="153"/>
      <c r="F27" s="153"/>
      <c r="G27" s="94" t="s">
        <v>2847</v>
      </c>
      <c r="H27" s="73">
        <v>22.645</v>
      </c>
      <c r="I27" s="105">
        <v>0</v>
      </c>
      <c r="J27" s="15">
        <f>H27*AO27</f>
        <v>0</v>
      </c>
      <c r="K27" s="15">
        <f>H27*AP27</f>
        <v>0</v>
      </c>
      <c r="L27" s="15">
        <f>H27*I27</f>
        <v>0</v>
      </c>
      <c r="M27" s="25" t="s">
        <v>2872</v>
      </c>
      <c r="N27" s="5"/>
      <c r="Z27" s="29">
        <f>IF(AQ27="5",BJ27,0)</f>
        <v>0</v>
      </c>
      <c r="AB27" s="29">
        <f>IF(AQ27="1",BH27,0)</f>
        <v>0</v>
      </c>
      <c r="AC27" s="29">
        <f>IF(AQ27="1",BI27,0)</f>
        <v>0</v>
      </c>
      <c r="AD27" s="29">
        <f>IF(AQ27="7",BH27,0)</f>
        <v>0</v>
      </c>
      <c r="AE27" s="29">
        <f>IF(AQ27="7",BI27,0)</f>
        <v>0</v>
      </c>
      <c r="AF27" s="29">
        <f>IF(AQ27="2",BH27,0)</f>
        <v>0</v>
      </c>
      <c r="AG27" s="29">
        <f>IF(AQ27="2",BI27,0)</f>
        <v>0</v>
      </c>
      <c r="AH27" s="29">
        <f>IF(AQ27="0",BJ27,0)</f>
        <v>0</v>
      </c>
      <c r="AI27" s="28" t="s">
        <v>2882</v>
      </c>
      <c r="AJ27" s="15">
        <f>IF(AN27=0,L27,0)</f>
        <v>0</v>
      </c>
      <c r="AK27" s="15">
        <f>IF(AN27=15,L27,0)</f>
        <v>0</v>
      </c>
      <c r="AL27" s="15">
        <f>IF(AN27=21,L27,0)</f>
        <v>0</v>
      </c>
      <c r="AN27" s="29">
        <v>15</v>
      </c>
      <c r="AO27" s="29">
        <f>I27*0</f>
        <v>0</v>
      </c>
      <c r="AP27" s="29">
        <f>I27*(1-0)</f>
        <v>0</v>
      </c>
      <c r="AQ27" s="30" t="s">
        <v>7</v>
      </c>
      <c r="AV27" s="29">
        <f>AW27+AX27</f>
        <v>0</v>
      </c>
      <c r="AW27" s="29">
        <f>H27*AO27</f>
        <v>0</v>
      </c>
      <c r="AX27" s="29">
        <f>H27*AP27</f>
        <v>0</v>
      </c>
      <c r="AY27" s="32" t="s">
        <v>2893</v>
      </c>
      <c r="AZ27" s="32" t="s">
        <v>2935</v>
      </c>
      <c r="BA27" s="28" t="s">
        <v>2957</v>
      </c>
      <c r="BC27" s="29">
        <f>AW27+AX27</f>
        <v>0</v>
      </c>
      <c r="BD27" s="29">
        <f>I27/(100-BE27)*100</f>
        <v>0</v>
      </c>
      <c r="BE27" s="29">
        <v>0</v>
      </c>
      <c r="BF27" s="29">
        <f>27</f>
        <v>27</v>
      </c>
      <c r="BH27" s="15">
        <f>H27*AO27</f>
        <v>0</v>
      </c>
      <c r="BI27" s="15">
        <f>H27*AP27</f>
        <v>0</v>
      </c>
      <c r="BJ27" s="15">
        <f>H27*I27</f>
        <v>0</v>
      </c>
      <c r="BK27" s="15" t="s">
        <v>2969</v>
      </c>
      <c r="BL27" s="29">
        <v>17</v>
      </c>
    </row>
    <row r="28" spans="1:47" ht="12.75">
      <c r="A28" s="3"/>
      <c r="B28" s="97" t="s">
        <v>25</v>
      </c>
      <c r="C28" s="161" t="s">
        <v>1950</v>
      </c>
      <c r="D28" s="162"/>
      <c r="E28" s="162"/>
      <c r="F28" s="162"/>
      <c r="G28" s="13" t="s">
        <v>6</v>
      </c>
      <c r="H28" s="13" t="s">
        <v>6</v>
      </c>
      <c r="I28" s="13" t="s">
        <v>6</v>
      </c>
      <c r="J28" s="34">
        <f>SUM(J29:J29)</f>
        <v>0</v>
      </c>
      <c r="K28" s="34">
        <f>SUM(K29:K29)</f>
        <v>0</v>
      </c>
      <c r="L28" s="34">
        <f>SUM(L29:L29)</f>
        <v>0</v>
      </c>
      <c r="M28" s="24"/>
      <c r="N28" s="5"/>
      <c r="AI28" s="28" t="s">
        <v>2882</v>
      </c>
      <c r="AS28" s="34">
        <f>SUM(AJ29:AJ29)</f>
        <v>0</v>
      </c>
      <c r="AT28" s="34">
        <f>SUM(AK29:AK29)</f>
        <v>0</v>
      </c>
      <c r="AU28" s="34">
        <f>SUM(AL29:AL29)</f>
        <v>0</v>
      </c>
    </row>
    <row r="29" spans="1:64" ht="12.75">
      <c r="A29" s="4" t="s">
        <v>17</v>
      </c>
      <c r="B29" s="94" t="s">
        <v>1023</v>
      </c>
      <c r="C29" s="152" t="s">
        <v>1951</v>
      </c>
      <c r="D29" s="153"/>
      <c r="E29" s="153"/>
      <c r="F29" s="153"/>
      <c r="G29" s="94" t="s">
        <v>2848</v>
      </c>
      <c r="H29" s="73">
        <v>269.035</v>
      </c>
      <c r="I29" s="105">
        <v>0</v>
      </c>
      <c r="J29" s="15">
        <f>H29*AO29</f>
        <v>0</v>
      </c>
      <c r="K29" s="15">
        <f>H29*AP29</f>
        <v>0</v>
      </c>
      <c r="L29" s="15">
        <f>H29*I29</f>
        <v>0</v>
      </c>
      <c r="M29" s="25" t="s">
        <v>2872</v>
      </c>
      <c r="N29" s="5"/>
      <c r="Z29" s="29">
        <f>IF(AQ29="5",BJ29,0)</f>
        <v>0</v>
      </c>
      <c r="AB29" s="29">
        <f>IF(AQ29="1",BH29,0)</f>
        <v>0</v>
      </c>
      <c r="AC29" s="29">
        <f>IF(AQ29="1",BI29,0)</f>
        <v>0</v>
      </c>
      <c r="AD29" s="29">
        <f>IF(AQ29="7",BH29,0)</f>
        <v>0</v>
      </c>
      <c r="AE29" s="29">
        <f>IF(AQ29="7",BI29,0)</f>
        <v>0</v>
      </c>
      <c r="AF29" s="29">
        <f>IF(AQ29="2",BH29,0)</f>
        <v>0</v>
      </c>
      <c r="AG29" s="29">
        <f>IF(AQ29="2",BI29,0)</f>
        <v>0</v>
      </c>
      <c r="AH29" s="29">
        <f>IF(AQ29="0",BJ29,0)</f>
        <v>0</v>
      </c>
      <c r="AI29" s="28" t="s">
        <v>2882</v>
      </c>
      <c r="AJ29" s="15">
        <f>IF(AN29=0,L29,0)</f>
        <v>0</v>
      </c>
      <c r="AK29" s="15">
        <f>IF(AN29=15,L29,0)</f>
        <v>0</v>
      </c>
      <c r="AL29" s="15">
        <f>IF(AN29=21,L29,0)</f>
        <v>0</v>
      </c>
      <c r="AN29" s="29">
        <v>15</v>
      </c>
      <c r="AO29" s="29">
        <f>I29*0</f>
        <v>0</v>
      </c>
      <c r="AP29" s="29">
        <f>I29*(1-0)</f>
        <v>0</v>
      </c>
      <c r="AQ29" s="30" t="s">
        <v>7</v>
      </c>
      <c r="AV29" s="29">
        <f>AW29+AX29</f>
        <v>0</v>
      </c>
      <c r="AW29" s="29">
        <f>H29*AO29</f>
        <v>0</v>
      </c>
      <c r="AX29" s="29">
        <f>H29*AP29</f>
        <v>0</v>
      </c>
      <c r="AY29" s="32" t="s">
        <v>2894</v>
      </c>
      <c r="AZ29" s="32" t="s">
        <v>2935</v>
      </c>
      <c r="BA29" s="28" t="s">
        <v>2957</v>
      </c>
      <c r="BC29" s="29">
        <f>AW29+AX29</f>
        <v>0</v>
      </c>
      <c r="BD29" s="29">
        <f>I29/(100-BE29)*100</f>
        <v>0</v>
      </c>
      <c r="BE29" s="29">
        <v>0</v>
      </c>
      <c r="BF29" s="29">
        <f>29</f>
        <v>29</v>
      </c>
      <c r="BH29" s="15">
        <f>H29*AO29</f>
        <v>0</v>
      </c>
      <c r="BI29" s="15">
        <f>H29*AP29</f>
        <v>0</v>
      </c>
      <c r="BJ29" s="15">
        <f>H29*I29</f>
        <v>0</v>
      </c>
      <c r="BK29" s="15" t="s">
        <v>2969</v>
      </c>
      <c r="BL29" s="29">
        <v>19</v>
      </c>
    </row>
    <row r="30" spans="1:47" ht="12.75">
      <c r="A30" s="3"/>
      <c r="B30" s="97" t="s">
        <v>33</v>
      </c>
      <c r="C30" s="161" t="s">
        <v>1952</v>
      </c>
      <c r="D30" s="162"/>
      <c r="E30" s="162"/>
      <c r="F30" s="162"/>
      <c r="G30" s="13" t="s">
        <v>6</v>
      </c>
      <c r="H30" s="13" t="s">
        <v>6</v>
      </c>
      <c r="I30" s="13" t="s">
        <v>6</v>
      </c>
      <c r="J30" s="34">
        <f>SUM(J31:J48)</f>
        <v>0</v>
      </c>
      <c r="K30" s="34">
        <f>SUM(K31:K48)</f>
        <v>0</v>
      </c>
      <c r="L30" s="34">
        <f>SUM(L31:L48)</f>
        <v>0</v>
      </c>
      <c r="M30" s="24"/>
      <c r="N30" s="5"/>
      <c r="AI30" s="28" t="s">
        <v>2882</v>
      </c>
      <c r="AS30" s="34">
        <f>SUM(AJ31:AJ48)</f>
        <v>0</v>
      </c>
      <c r="AT30" s="34">
        <f>SUM(AK31:AK48)</f>
        <v>0</v>
      </c>
      <c r="AU30" s="34">
        <f>SUM(AL31:AL48)</f>
        <v>0</v>
      </c>
    </row>
    <row r="31" spans="1:64" ht="12.75">
      <c r="A31" s="4" t="s">
        <v>18</v>
      </c>
      <c r="B31" s="94" t="s">
        <v>1024</v>
      </c>
      <c r="C31" s="152" t="s">
        <v>1953</v>
      </c>
      <c r="D31" s="153"/>
      <c r="E31" s="153"/>
      <c r="F31" s="153"/>
      <c r="G31" s="94" t="s">
        <v>2849</v>
      </c>
      <c r="H31" s="73">
        <v>119.332</v>
      </c>
      <c r="I31" s="105">
        <v>0</v>
      </c>
      <c r="J31" s="15">
        <f>H31*AO31</f>
        <v>0</v>
      </c>
      <c r="K31" s="15">
        <f>H31*AP31</f>
        <v>0</v>
      </c>
      <c r="L31" s="15">
        <f>H31*I31</f>
        <v>0</v>
      </c>
      <c r="M31" s="25" t="s">
        <v>2872</v>
      </c>
      <c r="N31" s="5"/>
      <c r="Z31" s="29">
        <f>IF(AQ31="5",BJ31,0)</f>
        <v>0</v>
      </c>
      <c r="AB31" s="29">
        <f>IF(AQ31="1",BH31,0)</f>
        <v>0</v>
      </c>
      <c r="AC31" s="29">
        <f>IF(AQ31="1",BI31,0)</f>
        <v>0</v>
      </c>
      <c r="AD31" s="29">
        <f>IF(AQ31="7",BH31,0)</f>
        <v>0</v>
      </c>
      <c r="AE31" s="29">
        <f>IF(AQ31="7",BI31,0)</f>
        <v>0</v>
      </c>
      <c r="AF31" s="29">
        <f>IF(AQ31="2",BH31,0)</f>
        <v>0</v>
      </c>
      <c r="AG31" s="29">
        <f>IF(AQ31="2",BI31,0)</f>
        <v>0</v>
      </c>
      <c r="AH31" s="29">
        <f>IF(AQ31="0",BJ31,0)</f>
        <v>0</v>
      </c>
      <c r="AI31" s="28" t="s">
        <v>2882</v>
      </c>
      <c r="AJ31" s="15">
        <f>IF(AN31=0,L31,0)</f>
        <v>0</v>
      </c>
      <c r="AK31" s="15">
        <f>IF(AN31=15,L31,0)</f>
        <v>0</v>
      </c>
      <c r="AL31" s="15">
        <f>IF(AN31=21,L31,0)</f>
        <v>0</v>
      </c>
      <c r="AN31" s="29">
        <v>15</v>
      </c>
      <c r="AO31" s="29">
        <f>I31*0.328143448312928</f>
        <v>0</v>
      </c>
      <c r="AP31" s="29">
        <f>I31*(1-0.328143448312928)</f>
        <v>0</v>
      </c>
      <c r="AQ31" s="30" t="s">
        <v>7</v>
      </c>
      <c r="AV31" s="29">
        <f>AW31+AX31</f>
        <v>0</v>
      </c>
      <c r="AW31" s="29">
        <f>H31*AO31</f>
        <v>0</v>
      </c>
      <c r="AX31" s="29">
        <f>H31*AP31</f>
        <v>0</v>
      </c>
      <c r="AY31" s="32" t="s">
        <v>2895</v>
      </c>
      <c r="AZ31" s="32" t="s">
        <v>2936</v>
      </c>
      <c r="BA31" s="28" t="s">
        <v>2957</v>
      </c>
      <c r="BC31" s="29">
        <f>AW31+AX31</f>
        <v>0</v>
      </c>
      <c r="BD31" s="29">
        <f>I31/(100-BE31)*100</f>
        <v>0</v>
      </c>
      <c r="BE31" s="29">
        <v>0</v>
      </c>
      <c r="BF31" s="29">
        <f>31</f>
        <v>31</v>
      </c>
      <c r="BH31" s="15">
        <f>H31*AO31</f>
        <v>0</v>
      </c>
      <c r="BI31" s="15">
        <f>H31*AP31</f>
        <v>0</v>
      </c>
      <c r="BJ31" s="15">
        <f>H31*I31</f>
        <v>0</v>
      </c>
      <c r="BK31" s="15" t="s">
        <v>2969</v>
      </c>
      <c r="BL31" s="29">
        <v>27</v>
      </c>
    </row>
    <row r="32" spans="1:14" ht="12.75">
      <c r="A32" s="5"/>
      <c r="B32" s="12" t="s">
        <v>1015</v>
      </c>
      <c r="C32" s="165" t="s">
        <v>1954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7"/>
      <c r="N32" s="5"/>
    </row>
    <row r="33" spans="1:64" ht="12.75">
      <c r="A33" s="4" t="s">
        <v>19</v>
      </c>
      <c r="B33" s="94" t="s">
        <v>1025</v>
      </c>
      <c r="C33" s="152" t="s">
        <v>1955</v>
      </c>
      <c r="D33" s="153"/>
      <c r="E33" s="153"/>
      <c r="F33" s="153"/>
      <c r="G33" s="94" t="s">
        <v>2849</v>
      </c>
      <c r="H33" s="73">
        <v>229.018</v>
      </c>
      <c r="I33" s="105">
        <v>0</v>
      </c>
      <c r="J33" s="15">
        <f>H33*AO33</f>
        <v>0</v>
      </c>
      <c r="K33" s="15">
        <f>H33*AP33</f>
        <v>0</v>
      </c>
      <c r="L33" s="15">
        <f>H33*I33</f>
        <v>0</v>
      </c>
      <c r="M33" s="25" t="s">
        <v>2872</v>
      </c>
      <c r="N33" s="5"/>
      <c r="Z33" s="29">
        <f>IF(AQ33="5",BJ33,0)</f>
        <v>0</v>
      </c>
      <c r="AB33" s="29">
        <f>IF(AQ33="1",BH33,0)</f>
        <v>0</v>
      </c>
      <c r="AC33" s="29">
        <f>IF(AQ33="1",BI33,0)</f>
        <v>0</v>
      </c>
      <c r="AD33" s="29">
        <f>IF(AQ33="7",BH33,0)</f>
        <v>0</v>
      </c>
      <c r="AE33" s="29">
        <f>IF(AQ33="7",BI33,0)</f>
        <v>0</v>
      </c>
      <c r="AF33" s="29">
        <f>IF(AQ33="2",BH33,0)</f>
        <v>0</v>
      </c>
      <c r="AG33" s="29">
        <f>IF(AQ33="2",BI33,0)</f>
        <v>0</v>
      </c>
      <c r="AH33" s="29">
        <f>IF(AQ33="0",BJ33,0)</f>
        <v>0</v>
      </c>
      <c r="AI33" s="28" t="s">
        <v>2882</v>
      </c>
      <c r="AJ33" s="15">
        <f>IF(AN33=0,L33,0)</f>
        <v>0</v>
      </c>
      <c r="AK33" s="15">
        <f>IF(AN33=15,L33,0)</f>
        <v>0</v>
      </c>
      <c r="AL33" s="15">
        <f>IF(AN33=21,L33,0)</f>
        <v>0</v>
      </c>
      <c r="AN33" s="29">
        <v>15</v>
      </c>
      <c r="AO33" s="29">
        <f>I33*0.407849090136422</f>
        <v>0</v>
      </c>
      <c r="AP33" s="29">
        <f>I33*(1-0.407849090136422)</f>
        <v>0</v>
      </c>
      <c r="AQ33" s="30" t="s">
        <v>7</v>
      </c>
      <c r="AV33" s="29">
        <f>AW33+AX33</f>
        <v>0</v>
      </c>
      <c r="AW33" s="29">
        <f>H33*AO33</f>
        <v>0</v>
      </c>
      <c r="AX33" s="29">
        <f>H33*AP33</f>
        <v>0</v>
      </c>
      <c r="AY33" s="32" t="s">
        <v>2895</v>
      </c>
      <c r="AZ33" s="32" t="s">
        <v>2936</v>
      </c>
      <c r="BA33" s="28" t="s">
        <v>2957</v>
      </c>
      <c r="BC33" s="29">
        <f>AW33+AX33</f>
        <v>0</v>
      </c>
      <c r="BD33" s="29">
        <f>I33/(100-BE33)*100</f>
        <v>0</v>
      </c>
      <c r="BE33" s="29">
        <v>0</v>
      </c>
      <c r="BF33" s="29">
        <f>33</f>
        <v>33</v>
      </c>
      <c r="BH33" s="15">
        <f>H33*AO33</f>
        <v>0</v>
      </c>
      <c r="BI33" s="15">
        <f>H33*AP33</f>
        <v>0</v>
      </c>
      <c r="BJ33" s="15">
        <f>H33*I33</f>
        <v>0</v>
      </c>
      <c r="BK33" s="15" t="s">
        <v>2969</v>
      </c>
      <c r="BL33" s="29">
        <v>27</v>
      </c>
    </row>
    <row r="34" spans="1:14" ht="12.75">
      <c r="A34" s="5"/>
      <c r="B34" s="12" t="s">
        <v>1015</v>
      </c>
      <c r="C34" s="165" t="s">
        <v>1954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7"/>
      <c r="N34" s="5"/>
    </row>
    <row r="35" spans="1:64" ht="12.75">
      <c r="A35" s="4" t="s">
        <v>20</v>
      </c>
      <c r="B35" s="94" t="s">
        <v>1026</v>
      </c>
      <c r="C35" s="152" t="s">
        <v>1956</v>
      </c>
      <c r="D35" s="153"/>
      <c r="E35" s="153"/>
      <c r="F35" s="153"/>
      <c r="G35" s="94" t="s">
        <v>2847</v>
      </c>
      <c r="H35" s="73">
        <v>39.058</v>
      </c>
      <c r="I35" s="105">
        <v>0</v>
      </c>
      <c r="J35" s="15">
        <f aca="true" t="shared" si="0" ref="J35:J48">H35*AO35</f>
        <v>0</v>
      </c>
      <c r="K35" s="15">
        <f aca="true" t="shared" si="1" ref="K35:K48">H35*AP35</f>
        <v>0</v>
      </c>
      <c r="L35" s="15">
        <f aca="true" t="shared" si="2" ref="L35:L48">H35*I35</f>
        <v>0</v>
      </c>
      <c r="M35" s="25" t="s">
        <v>2872</v>
      </c>
      <c r="N35" s="5"/>
      <c r="Z35" s="29">
        <f aca="true" t="shared" si="3" ref="Z35:Z48">IF(AQ35="5",BJ35,0)</f>
        <v>0</v>
      </c>
      <c r="AB35" s="29">
        <f aca="true" t="shared" si="4" ref="AB35:AB48">IF(AQ35="1",BH35,0)</f>
        <v>0</v>
      </c>
      <c r="AC35" s="29">
        <f aca="true" t="shared" si="5" ref="AC35:AC48">IF(AQ35="1",BI35,0)</f>
        <v>0</v>
      </c>
      <c r="AD35" s="29">
        <f aca="true" t="shared" si="6" ref="AD35:AD48">IF(AQ35="7",BH35,0)</f>
        <v>0</v>
      </c>
      <c r="AE35" s="29">
        <f aca="true" t="shared" si="7" ref="AE35:AE48">IF(AQ35="7",BI35,0)</f>
        <v>0</v>
      </c>
      <c r="AF35" s="29">
        <f aca="true" t="shared" si="8" ref="AF35:AF48">IF(AQ35="2",BH35,0)</f>
        <v>0</v>
      </c>
      <c r="AG35" s="29">
        <f aca="true" t="shared" si="9" ref="AG35:AG48">IF(AQ35="2",BI35,0)</f>
        <v>0</v>
      </c>
      <c r="AH35" s="29">
        <f aca="true" t="shared" si="10" ref="AH35:AH48">IF(AQ35="0",BJ35,0)</f>
        <v>0</v>
      </c>
      <c r="AI35" s="28" t="s">
        <v>2882</v>
      </c>
      <c r="AJ35" s="15">
        <f aca="true" t="shared" si="11" ref="AJ35:AJ48">IF(AN35=0,L35,0)</f>
        <v>0</v>
      </c>
      <c r="AK35" s="15">
        <f aca="true" t="shared" si="12" ref="AK35:AK48">IF(AN35=15,L35,0)</f>
        <v>0</v>
      </c>
      <c r="AL35" s="15">
        <f aca="true" t="shared" si="13" ref="AL35:AL48">IF(AN35=21,L35,0)</f>
        <v>0</v>
      </c>
      <c r="AN35" s="29">
        <v>15</v>
      </c>
      <c r="AO35" s="29">
        <f>I35*0.916208102270228</f>
        <v>0</v>
      </c>
      <c r="AP35" s="29">
        <f>I35*(1-0.916208102270228)</f>
        <v>0</v>
      </c>
      <c r="AQ35" s="30" t="s">
        <v>7</v>
      </c>
      <c r="AV35" s="29">
        <f aca="true" t="shared" si="14" ref="AV35:AV48">AW35+AX35</f>
        <v>0</v>
      </c>
      <c r="AW35" s="29">
        <f aca="true" t="shared" si="15" ref="AW35:AW48">H35*AO35</f>
        <v>0</v>
      </c>
      <c r="AX35" s="29">
        <f aca="true" t="shared" si="16" ref="AX35:AX48">H35*AP35</f>
        <v>0</v>
      </c>
      <c r="AY35" s="32" t="s">
        <v>2895</v>
      </c>
      <c r="AZ35" s="32" t="s">
        <v>2936</v>
      </c>
      <c r="BA35" s="28" t="s">
        <v>2957</v>
      </c>
      <c r="BC35" s="29">
        <f aca="true" t="shared" si="17" ref="BC35:BC48">AW35+AX35</f>
        <v>0</v>
      </c>
      <c r="BD35" s="29">
        <f aca="true" t="shared" si="18" ref="BD35:BD48">I35/(100-BE35)*100</f>
        <v>0</v>
      </c>
      <c r="BE35" s="29">
        <v>0</v>
      </c>
      <c r="BF35" s="29">
        <f>35</f>
        <v>35</v>
      </c>
      <c r="BH35" s="15">
        <f aca="true" t="shared" si="19" ref="BH35:BH48">H35*AO35</f>
        <v>0</v>
      </c>
      <c r="BI35" s="15">
        <f aca="true" t="shared" si="20" ref="BI35:BI48">H35*AP35</f>
        <v>0</v>
      </c>
      <c r="BJ35" s="15">
        <f aca="true" t="shared" si="21" ref="BJ35:BJ48">H35*I35</f>
        <v>0</v>
      </c>
      <c r="BK35" s="15" t="s">
        <v>2969</v>
      </c>
      <c r="BL35" s="29">
        <v>27</v>
      </c>
    </row>
    <row r="36" spans="1:64" ht="12.75">
      <c r="A36" s="4" t="s">
        <v>21</v>
      </c>
      <c r="B36" s="94" t="s">
        <v>1027</v>
      </c>
      <c r="C36" s="152" t="s">
        <v>1957</v>
      </c>
      <c r="D36" s="153"/>
      <c r="E36" s="153"/>
      <c r="F36" s="153"/>
      <c r="G36" s="94" t="s">
        <v>2849</v>
      </c>
      <c r="H36" s="73">
        <v>28.672</v>
      </c>
      <c r="I36" s="105">
        <v>0</v>
      </c>
      <c r="J36" s="15">
        <f t="shared" si="0"/>
        <v>0</v>
      </c>
      <c r="K36" s="15">
        <f t="shared" si="1"/>
        <v>0</v>
      </c>
      <c r="L36" s="15">
        <f t="shared" si="2"/>
        <v>0</v>
      </c>
      <c r="M36" s="25" t="s">
        <v>2872</v>
      </c>
      <c r="N36" s="5"/>
      <c r="Z36" s="29">
        <f t="shared" si="3"/>
        <v>0</v>
      </c>
      <c r="AB36" s="29">
        <f t="shared" si="4"/>
        <v>0</v>
      </c>
      <c r="AC36" s="29">
        <f t="shared" si="5"/>
        <v>0</v>
      </c>
      <c r="AD36" s="29">
        <f t="shared" si="6"/>
        <v>0</v>
      </c>
      <c r="AE36" s="29">
        <f t="shared" si="7"/>
        <v>0</v>
      </c>
      <c r="AF36" s="29">
        <f t="shared" si="8"/>
        <v>0</v>
      </c>
      <c r="AG36" s="29">
        <f t="shared" si="9"/>
        <v>0</v>
      </c>
      <c r="AH36" s="29">
        <f t="shared" si="10"/>
        <v>0</v>
      </c>
      <c r="AI36" s="28" t="s">
        <v>2882</v>
      </c>
      <c r="AJ36" s="15">
        <f t="shared" si="11"/>
        <v>0</v>
      </c>
      <c r="AK36" s="15">
        <f t="shared" si="12"/>
        <v>0</v>
      </c>
      <c r="AL36" s="15">
        <f t="shared" si="13"/>
        <v>0</v>
      </c>
      <c r="AN36" s="29">
        <v>15</v>
      </c>
      <c r="AO36" s="29">
        <f>I36*0.205438340395401</f>
        <v>0</v>
      </c>
      <c r="AP36" s="29">
        <f>I36*(1-0.205438340395401)</f>
        <v>0</v>
      </c>
      <c r="AQ36" s="30" t="s">
        <v>7</v>
      </c>
      <c r="AV36" s="29">
        <f t="shared" si="14"/>
        <v>0</v>
      </c>
      <c r="AW36" s="29">
        <f t="shared" si="15"/>
        <v>0</v>
      </c>
      <c r="AX36" s="29">
        <f t="shared" si="16"/>
        <v>0</v>
      </c>
      <c r="AY36" s="32" t="s">
        <v>2895</v>
      </c>
      <c r="AZ36" s="32" t="s">
        <v>2936</v>
      </c>
      <c r="BA36" s="28" t="s">
        <v>2957</v>
      </c>
      <c r="BC36" s="29">
        <f t="shared" si="17"/>
        <v>0</v>
      </c>
      <c r="BD36" s="29">
        <f t="shared" si="18"/>
        <v>0</v>
      </c>
      <c r="BE36" s="29">
        <v>0</v>
      </c>
      <c r="BF36" s="29">
        <f>36</f>
        <v>36</v>
      </c>
      <c r="BH36" s="15">
        <f t="shared" si="19"/>
        <v>0</v>
      </c>
      <c r="BI36" s="15">
        <f t="shared" si="20"/>
        <v>0</v>
      </c>
      <c r="BJ36" s="15">
        <f t="shared" si="21"/>
        <v>0</v>
      </c>
      <c r="BK36" s="15" t="s">
        <v>2969</v>
      </c>
      <c r="BL36" s="29">
        <v>27</v>
      </c>
    </row>
    <row r="37" spans="1:64" ht="12.75">
      <c r="A37" s="4" t="s">
        <v>22</v>
      </c>
      <c r="B37" s="94" t="s">
        <v>1028</v>
      </c>
      <c r="C37" s="152" t="s">
        <v>1958</v>
      </c>
      <c r="D37" s="153"/>
      <c r="E37" s="153"/>
      <c r="F37" s="153"/>
      <c r="G37" s="94" t="s">
        <v>2849</v>
      </c>
      <c r="H37" s="73">
        <v>28.672</v>
      </c>
      <c r="I37" s="105">
        <v>0</v>
      </c>
      <c r="J37" s="15">
        <f t="shared" si="0"/>
        <v>0</v>
      </c>
      <c r="K37" s="15">
        <f t="shared" si="1"/>
        <v>0</v>
      </c>
      <c r="L37" s="15">
        <f t="shared" si="2"/>
        <v>0</v>
      </c>
      <c r="M37" s="25" t="s">
        <v>2872</v>
      </c>
      <c r="N37" s="5"/>
      <c r="Z37" s="29">
        <f t="shared" si="3"/>
        <v>0</v>
      </c>
      <c r="AB37" s="29">
        <f t="shared" si="4"/>
        <v>0</v>
      </c>
      <c r="AC37" s="29">
        <f t="shared" si="5"/>
        <v>0</v>
      </c>
      <c r="AD37" s="29">
        <f t="shared" si="6"/>
        <v>0</v>
      </c>
      <c r="AE37" s="29">
        <f t="shared" si="7"/>
        <v>0</v>
      </c>
      <c r="AF37" s="29">
        <f t="shared" si="8"/>
        <v>0</v>
      </c>
      <c r="AG37" s="29">
        <f t="shared" si="9"/>
        <v>0</v>
      </c>
      <c r="AH37" s="29">
        <f t="shared" si="10"/>
        <v>0</v>
      </c>
      <c r="AI37" s="28" t="s">
        <v>2882</v>
      </c>
      <c r="AJ37" s="15">
        <f t="shared" si="11"/>
        <v>0</v>
      </c>
      <c r="AK37" s="15">
        <f t="shared" si="12"/>
        <v>0</v>
      </c>
      <c r="AL37" s="15">
        <f t="shared" si="13"/>
        <v>0</v>
      </c>
      <c r="AN37" s="29">
        <v>15</v>
      </c>
      <c r="AO37" s="29">
        <f>I37*0</f>
        <v>0</v>
      </c>
      <c r="AP37" s="29">
        <f>I37*(1-0)</f>
        <v>0</v>
      </c>
      <c r="AQ37" s="30" t="s">
        <v>7</v>
      </c>
      <c r="AV37" s="29">
        <f t="shared" si="14"/>
        <v>0</v>
      </c>
      <c r="AW37" s="29">
        <f t="shared" si="15"/>
        <v>0</v>
      </c>
      <c r="AX37" s="29">
        <f t="shared" si="16"/>
        <v>0</v>
      </c>
      <c r="AY37" s="32" t="s">
        <v>2895</v>
      </c>
      <c r="AZ37" s="32" t="s">
        <v>2936</v>
      </c>
      <c r="BA37" s="28" t="s">
        <v>2957</v>
      </c>
      <c r="BC37" s="29">
        <f t="shared" si="17"/>
        <v>0</v>
      </c>
      <c r="BD37" s="29">
        <f t="shared" si="18"/>
        <v>0</v>
      </c>
      <c r="BE37" s="29">
        <v>0</v>
      </c>
      <c r="BF37" s="29">
        <f>37</f>
        <v>37</v>
      </c>
      <c r="BH37" s="15">
        <f t="shared" si="19"/>
        <v>0</v>
      </c>
      <c r="BI37" s="15">
        <f t="shared" si="20"/>
        <v>0</v>
      </c>
      <c r="BJ37" s="15">
        <f t="shared" si="21"/>
        <v>0</v>
      </c>
      <c r="BK37" s="15" t="s">
        <v>2969</v>
      </c>
      <c r="BL37" s="29">
        <v>27</v>
      </c>
    </row>
    <row r="38" spans="1:64" ht="12.75">
      <c r="A38" s="4" t="s">
        <v>23</v>
      </c>
      <c r="B38" s="94" t="s">
        <v>1029</v>
      </c>
      <c r="C38" s="152" t="s">
        <v>1959</v>
      </c>
      <c r="D38" s="153"/>
      <c r="E38" s="153"/>
      <c r="F38" s="153"/>
      <c r="G38" s="94" t="s">
        <v>2848</v>
      </c>
      <c r="H38" s="73">
        <v>3.313</v>
      </c>
      <c r="I38" s="105">
        <v>0</v>
      </c>
      <c r="J38" s="15">
        <f t="shared" si="0"/>
        <v>0</v>
      </c>
      <c r="K38" s="15">
        <f t="shared" si="1"/>
        <v>0</v>
      </c>
      <c r="L38" s="15">
        <f t="shared" si="2"/>
        <v>0</v>
      </c>
      <c r="M38" s="25" t="s">
        <v>2872</v>
      </c>
      <c r="N38" s="5"/>
      <c r="Z38" s="29">
        <f t="shared" si="3"/>
        <v>0</v>
      </c>
      <c r="AB38" s="29">
        <f t="shared" si="4"/>
        <v>0</v>
      </c>
      <c r="AC38" s="29">
        <f t="shared" si="5"/>
        <v>0</v>
      </c>
      <c r="AD38" s="29">
        <f t="shared" si="6"/>
        <v>0</v>
      </c>
      <c r="AE38" s="29">
        <f t="shared" si="7"/>
        <v>0</v>
      </c>
      <c r="AF38" s="29">
        <f t="shared" si="8"/>
        <v>0</v>
      </c>
      <c r="AG38" s="29">
        <f t="shared" si="9"/>
        <v>0</v>
      </c>
      <c r="AH38" s="29">
        <f t="shared" si="10"/>
        <v>0</v>
      </c>
      <c r="AI38" s="28" t="s">
        <v>2882</v>
      </c>
      <c r="AJ38" s="15">
        <f t="shared" si="11"/>
        <v>0</v>
      </c>
      <c r="AK38" s="15">
        <f t="shared" si="12"/>
        <v>0</v>
      </c>
      <c r="AL38" s="15">
        <f t="shared" si="13"/>
        <v>0</v>
      </c>
      <c r="AN38" s="29">
        <v>15</v>
      </c>
      <c r="AO38" s="29">
        <f>I38*0.879227705913262</f>
        <v>0</v>
      </c>
      <c r="AP38" s="29">
        <f>I38*(1-0.879227705913262)</f>
        <v>0</v>
      </c>
      <c r="AQ38" s="30" t="s">
        <v>7</v>
      </c>
      <c r="AV38" s="29">
        <f t="shared" si="14"/>
        <v>0</v>
      </c>
      <c r="AW38" s="29">
        <f t="shared" si="15"/>
        <v>0</v>
      </c>
      <c r="AX38" s="29">
        <f t="shared" si="16"/>
        <v>0</v>
      </c>
      <c r="AY38" s="32" t="s">
        <v>2895</v>
      </c>
      <c r="AZ38" s="32" t="s">
        <v>2936</v>
      </c>
      <c r="BA38" s="28" t="s">
        <v>2957</v>
      </c>
      <c r="BC38" s="29">
        <f t="shared" si="17"/>
        <v>0</v>
      </c>
      <c r="BD38" s="29">
        <f t="shared" si="18"/>
        <v>0</v>
      </c>
      <c r="BE38" s="29">
        <v>0</v>
      </c>
      <c r="BF38" s="29">
        <f>38</f>
        <v>38</v>
      </c>
      <c r="BH38" s="15">
        <f t="shared" si="19"/>
        <v>0</v>
      </c>
      <c r="BI38" s="15">
        <f t="shared" si="20"/>
        <v>0</v>
      </c>
      <c r="BJ38" s="15">
        <f t="shared" si="21"/>
        <v>0</v>
      </c>
      <c r="BK38" s="15" t="s">
        <v>2969</v>
      </c>
      <c r="BL38" s="29">
        <v>27</v>
      </c>
    </row>
    <row r="39" spans="1:64" ht="12.75">
      <c r="A39" s="4" t="s">
        <v>24</v>
      </c>
      <c r="B39" s="94" t="s">
        <v>1030</v>
      </c>
      <c r="C39" s="152" t="s">
        <v>1960</v>
      </c>
      <c r="D39" s="153"/>
      <c r="E39" s="153"/>
      <c r="F39" s="153"/>
      <c r="G39" s="94" t="s">
        <v>2849</v>
      </c>
      <c r="H39" s="73">
        <v>44.806</v>
      </c>
      <c r="I39" s="105">
        <v>0</v>
      </c>
      <c r="J39" s="15">
        <f t="shared" si="0"/>
        <v>0</v>
      </c>
      <c r="K39" s="15">
        <f t="shared" si="1"/>
        <v>0</v>
      </c>
      <c r="L39" s="15">
        <f t="shared" si="2"/>
        <v>0</v>
      </c>
      <c r="M39" s="25" t="s">
        <v>2872</v>
      </c>
      <c r="N39" s="5"/>
      <c r="Z39" s="29">
        <f t="shared" si="3"/>
        <v>0</v>
      </c>
      <c r="AB39" s="29">
        <f t="shared" si="4"/>
        <v>0</v>
      </c>
      <c r="AC39" s="29">
        <f t="shared" si="5"/>
        <v>0</v>
      </c>
      <c r="AD39" s="29">
        <f t="shared" si="6"/>
        <v>0</v>
      </c>
      <c r="AE39" s="29">
        <f t="shared" si="7"/>
        <v>0</v>
      </c>
      <c r="AF39" s="29">
        <f t="shared" si="8"/>
        <v>0</v>
      </c>
      <c r="AG39" s="29">
        <f t="shared" si="9"/>
        <v>0</v>
      </c>
      <c r="AH39" s="29">
        <f t="shared" si="10"/>
        <v>0</v>
      </c>
      <c r="AI39" s="28" t="s">
        <v>2882</v>
      </c>
      <c r="AJ39" s="15">
        <f t="shared" si="11"/>
        <v>0</v>
      </c>
      <c r="AK39" s="15">
        <f t="shared" si="12"/>
        <v>0</v>
      </c>
      <c r="AL39" s="15">
        <f t="shared" si="13"/>
        <v>0</v>
      </c>
      <c r="AN39" s="29">
        <v>15</v>
      </c>
      <c r="AO39" s="29">
        <f>I39*0.643047948281705</f>
        <v>0</v>
      </c>
      <c r="AP39" s="29">
        <f>I39*(1-0.643047948281705)</f>
        <v>0</v>
      </c>
      <c r="AQ39" s="30" t="s">
        <v>7</v>
      </c>
      <c r="AV39" s="29">
        <f t="shared" si="14"/>
        <v>0</v>
      </c>
      <c r="AW39" s="29">
        <f t="shared" si="15"/>
        <v>0</v>
      </c>
      <c r="AX39" s="29">
        <f t="shared" si="16"/>
        <v>0</v>
      </c>
      <c r="AY39" s="32" t="s">
        <v>2895</v>
      </c>
      <c r="AZ39" s="32" t="s">
        <v>2936</v>
      </c>
      <c r="BA39" s="28" t="s">
        <v>2957</v>
      </c>
      <c r="BC39" s="29">
        <f t="shared" si="17"/>
        <v>0</v>
      </c>
      <c r="BD39" s="29">
        <f t="shared" si="18"/>
        <v>0</v>
      </c>
      <c r="BE39" s="29">
        <v>0</v>
      </c>
      <c r="BF39" s="29">
        <f>39</f>
        <v>39</v>
      </c>
      <c r="BH39" s="15">
        <f t="shared" si="19"/>
        <v>0</v>
      </c>
      <c r="BI39" s="15">
        <f t="shared" si="20"/>
        <v>0</v>
      </c>
      <c r="BJ39" s="15">
        <f t="shared" si="21"/>
        <v>0</v>
      </c>
      <c r="BK39" s="15" t="s">
        <v>2969</v>
      </c>
      <c r="BL39" s="29">
        <v>27</v>
      </c>
    </row>
    <row r="40" spans="1:64" ht="12.75">
      <c r="A40" s="4" t="s">
        <v>25</v>
      </c>
      <c r="B40" s="94" t="s">
        <v>1031</v>
      </c>
      <c r="C40" s="152" t="s">
        <v>1961</v>
      </c>
      <c r="D40" s="153"/>
      <c r="E40" s="153"/>
      <c r="F40" s="153"/>
      <c r="G40" s="94" t="s">
        <v>2849</v>
      </c>
      <c r="H40" s="73">
        <v>69.323</v>
      </c>
      <c r="I40" s="105">
        <v>0</v>
      </c>
      <c r="J40" s="15">
        <f t="shared" si="0"/>
        <v>0</v>
      </c>
      <c r="K40" s="15">
        <f t="shared" si="1"/>
        <v>0</v>
      </c>
      <c r="L40" s="15">
        <f t="shared" si="2"/>
        <v>0</v>
      </c>
      <c r="M40" s="25" t="s">
        <v>2872</v>
      </c>
      <c r="N40" s="5"/>
      <c r="Z40" s="29">
        <f t="shared" si="3"/>
        <v>0</v>
      </c>
      <c r="AB40" s="29">
        <f t="shared" si="4"/>
        <v>0</v>
      </c>
      <c r="AC40" s="29">
        <f t="shared" si="5"/>
        <v>0</v>
      </c>
      <c r="AD40" s="29">
        <f t="shared" si="6"/>
        <v>0</v>
      </c>
      <c r="AE40" s="29">
        <f t="shared" si="7"/>
        <v>0</v>
      </c>
      <c r="AF40" s="29">
        <f t="shared" si="8"/>
        <v>0</v>
      </c>
      <c r="AG40" s="29">
        <f t="shared" si="9"/>
        <v>0</v>
      </c>
      <c r="AH40" s="29">
        <f t="shared" si="10"/>
        <v>0</v>
      </c>
      <c r="AI40" s="28" t="s">
        <v>2882</v>
      </c>
      <c r="AJ40" s="15">
        <f t="shared" si="11"/>
        <v>0</v>
      </c>
      <c r="AK40" s="15">
        <f t="shared" si="12"/>
        <v>0</v>
      </c>
      <c r="AL40" s="15">
        <f t="shared" si="13"/>
        <v>0</v>
      </c>
      <c r="AN40" s="29">
        <v>15</v>
      </c>
      <c r="AO40" s="29">
        <f>I40*0.667964893938194</f>
        <v>0</v>
      </c>
      <c r="AP40" s="29">
        <f>I40*(1-0.667964893938194)</f>
        <v>0</v>
      </c>
      <c r="AQ40" s="30" t="s">
        <v>7</v>
      </c>
      <c r="AV40" s="29">
        <f t="shared" si="14"/>
        <v>0</v>
      </c>
      <c r="AW40" s="29">
        <f t="shared" si="15"/>
        <v>0</v>
      </c>
      <c r="AX40" s="29">
        <f t="shared" si="16"/>
        <v>0</v>
      </c>
      <c r="AY40" s="32" t="s">
        <v>2895</v>
      </c>
      <c r="AZ40" s="32" t="s">
        <v>2936</v>
      </c>
      <c r="BA40" s="28" t="s">
        <v>2957</v>
      </c>
      <c r="BC40" s="29">
        <f t="shared" si="17"/>
        <v>0</v>
      </c>
      <c r="BD40" s="29">
        <f t="shared" si="18"/>
        <v>0</v>
      </c>
      <c r="BE40" s="29">
        <v>0</v>
      </c>
      <c r="BF40" s="29">
        <f>40</f>
        <v>40</v>
      </c>
      <c r="BH40" s="15">
        <f t="shared" si="19"/>
        <v>0</v>
      </c>
      <c r="BI40" s="15">
        <f t="shared" si="20"/>
        <v>0</v>
      </c>
      <c r="BJ40" s="15">
        <f t="shared" si="21"/>
        <v>0</v>
      </c>
      <c r="BK40" s="15" t="s">
        <v>2969</v>
      </c>
      <c r="BL40" s="29">
        <v>27</v>
      </c>
    </row>
    <row r="41" spans="1:64" ht="12.75">
      <c r="A41" s="4" t="s">
        <v>26</v>
      </c>
      <c r="B41" s="94" t="s">
        <v>1032</v>
      </c>
      <c r="C41" s="152" t="s">
        <v>1962</v>
      </c>
      <c r="D41" s="153"/>
      <c r="E41" s="153"/>
      <c r="F41" s="153"/>
      <c r="G41" s="94" t="s">
        <v>2847</v>
      </c>
      <c r="H41" s="73">
        <v>55.261</v>
      </c>
      <c r="I41" s="105">
        <v>0</v>
      </c>
      <c r="J41" s="15">
        <f t="shared" si="0"/>
        <v>0</v>
      </c>
      <c r="K41" s="15">
        <f t="shared" si="1"/>
        <v>0</v>
      </c>
      <c r="L41" s="15">
        <f t="shared" si="2"/>
        <v>0</v>
      </c>
      <c r="M41" s="25" t="s">
        <v>2872</v>
      </c>
      <c r="N41" s="5"/>
      <c r="Z41" s="29">
        <f t="shared" si="3"/>
        <v>0</v>
      </c>
      <c r="AB41" s="29">
        <f t="shared" si="4"/>
        <v>0</v>
      </c>
      <c r="AC41" s="29">
        <f t="shared" si="5"/>
        <v>0</v>
      </c>
      <c r="AD41" s="29">
        <f t="shared" si="6"/>
        <v>0</v>
      </c>
      <c r="AE41" s="29">
        <f t="shared" si="7"/>
        <v>0</v>
      </c>
      <c r="AF41" s="29">
        <f t="shared" si="8"/>
        <v>0</v>
      </c>
      <c r="AG41" s="29">
        <f t="shared" si="9"/>
        <v>0</v>
      </c>
      <c r="AH41" s="29">
        <f t="shared" si="10"/>
        <v>0</v>
      </c>
      <c r="AI41" s="28" t="s">
        <v>2882</v>
      </c>
      <c r="AJ41" s="15">
        <f t="shared" si="11"/>
        <v>0</v>
      </c>
      <c r="AK41" s="15">
        <f t="shared" si="12"/>
        <v>0</v>
      </c>
      <c r="AL41" s="15">
        <f t="shared" si="13"/>
        <v>0</v>
      </c>
      <c r="AN41" s="29">
        <v>15</v>
      </c>
      <c r="AO41" s="29">
        <f>I41*0.906593806524263</f>
        <v>0</v>
      </c>
      <c r="AP41" s="29">
        <f>I41*(1-0.906593806524263)</f>
        <v>0</v>
      </c>
      <c r="AQ41" s="30" t="s">
        <v>7</v>
      </c>
      <c r="AV41" s="29">
        <f t="shared" si="14"/>
        <v>0</v>
      </c>
      <c r="AW41" s="29">
        <f t="shared" si="15"/>
        <v>0</v>
      </c>
      <c r="AX41" s="29">
        <f t="shared" si="16"/>
        <v>0</v>
      </c>
      <c r="AY41" s="32" t="s">
        <v>2895</v>
      </c>
      <c r="AZ41" s="32" t="s">
        <v>2936</v>
      </c>
      <c r="BA41" s="28" t="s">
        <v>2957</v>
      </c>
      <c r="BC41" s="29">
        <f t="shared" si="17"/>
        <v>0</v>
      </c>
      <c r="BD41" s="29">
        <f t="shared" si="18"/>
        <v>0</v>
      </c>
      <c r="BE41" s="29">
        <v>0</v>
      </c>
      <c r="BF41" s="29">
        <f>41</f>
        <v>41</v>
      </c>
      <c r="BH41" s="15">
        <f t="shared" si="19"/>
        <v>0</v>
      </c>
      <c r="BI41" s="15">
        <f t="shared" si="20"/>
        <v>0</v>
      </c>
      <c r="BJ41" s="15">
        <f t="shared" si="21"/>
        <v>0</v>
      </c>
      <c r="BK41" s="15" t="s">
        <v>2969</v>
      </c>
      <c r="BL41" s="29">
        <v>27</v>
      </c>
    </row>
    <row r="42" spans="1:64" ht="12.75">
      <c r="A42" s="4" t="s">
        <v>27</v>
      </c>
      <c r="B42" s="94" t="s">
        <v>1033</v>
      </c>
      <c r="C42" s="152" t="s">
        <v>1963</v>
      </c>
      <c r="D42" s="153"/>
      <c r="E42" s="153"/>
      <c r="F42" s="153"/>
      <c r="G42" s="94" t="s">
        <v>2850</v>
      </c>
      <c r="H42" s="73">
        <v>10</v>
      </c>
      <c r="I42" s="105">
        <v>0</v>
      </c>
      <c r="J42" s="15">
        <f t="shared" si="0"/>
        <v>0</v>
      </c>
      <c r="K42" s="15">
        <f t="shared" si="1"/>
        <v>0</v>
      </c>
      <c r="L42" s="15">
        <f t="shared" si="2"/>
        <v>0</v>
      </c>
      <c r="M42" s="25" t="s">
        <v>2872</v>
      </c>
      <c r="N42" s="5"/>
      <c r="Z42" s="29">
        <f t="shared" si="3"/>
        <v>0</v>
      </c>
      <c r="AB42" s="29">
        <f t="shared" si="4"/>
        <v>0</v>
      </c>
      <c r="AC42" s="29">
        <f t="shared" si="5"/>
        <v>0</v>
      </c>
      <c r="AD42" s="29">
        <f t="shared" si="6"/>
        <v>0</v>
      </c>
      <c r="AE42" s="29">
        <f t="shared" si="7"/>
        <v>0</v>
      </c>
      <c r="AF42" s="29">
        <f t="shared" si="8"/>
        <v>0</v>
      </c>
      <c r="AG42" s="29">
        <f t="shared" si="9"/>
        <v>0</v>
      </c>
      <c r="AH42" s="29">
        <f t="shared" si="10"/>
        <v>0</v>
      </c>
      <c r="AI42" s="28" t="s">
        <v>2882</v>
      </c>
      <c r="AJ42" s="15">
        <f t="shared" si="11"/>
        <v>0</v>
      </c>
      <c r="AK42" s="15">
        <f t="shared" si="12"/>
        <v>0</v>
      </c>
      <c r="AL42" s="15">
        <f t="shared" si="13"/>
        <v>0</v>
      </c>
      <c r="AN42" s="29">
        <v>15</v>
      </c>
      <c r="AO42" s="29">
        <f>I42*0.0751170731707317</f>
        <v>0</v>
      </c>
      <c r="AP42" s="29">
        <f>I42*(1-0.0751170731707317)</f>
        <v>0</v>
      </c>
      <c r="AQ42" s="30" t="s">
        <v>7</v>
      </c>
      <c r="AV42" s="29">
        <f t="shared" si="14"/>
        <v>0</v>
      </c>
      <c r="AW42" s="29">
        <f t="shared" si="15"/>
        <v>0</v>
      </c>
      <c r="AX42" s="29">
        <f t="shared" si="16"/>
        <v>0</v>
      </c>
      <c r="AY42" s="32" t="s">
        <v>2895</v>
      </c>
      <c r="AZ42" s="32" t="s">
        <v>2936</v>
      </c>
      <c r="BA42" s="28" t="s">
        <v>2957</v>
      </c>
      <c r="BC42" s="29">
        <f t="shared" si="17"/>
        <v>0</v>
      </c>
      <c r="BD42" s="29">
        <f t="shared" si="18"/>
        <v>0</v>
      </c>
      <c r="BE42" s="29">
        <v>0</v>
      </c>
      <c r="BF42" s="29">
        <f>42</f>
        <v>42</v>
      </c>
      <c r="BH42" s="15">
        <f t="shared" si="19"/>
        <v>0</v>
      </c>
      <c r="BI42" s="15">
        <f t="shared" si="20"/>
        <v>0</v>
      </c>
      <c r="BJ42" s="15">
        <f t="shared" si="21"/>
        <v>0</v>
      </c>
      <c r="BK42" s="15" t="s">
        <v>2969</v>
      </c>
      <c r="BL42" s="29">
        <v>27</v>
      </c>
    </row>
    <row r="43" spans="1:64" ht="12.75">
      <c r="A43" s="4" t="s">
        <v>28</v>
      </c>
      <c r="B43" s="94" t="s">
        <v>1034</v>
      </c>
      <c r="C43" s="152" t="s">
        <v>1964</v>
      </c>
      <c r="D43" s="153"/>
      <c r="E43" s="153"/>
      <c r="F43" s="153"/>
      <c r="G43" s="94" t="s">
        <v>2850</v>
      </c>
      <c r="H43" s="73">
        <v>1</v>
      </c>
      <c r="I43" s="105">
        <v>0</v>
      </c>
      <c r="J43" s="15">
        <f t="shared" si="0"/>
        <v>0</v>
      </c>
      <c r="K43" s="15">
        <f t="shared" si="1"/>
        <v>0</v>
      </c>
      <c r="L43" s="15">
        <f t="shared" si="2"/>
        <v>0</v>
      </c>
      <c r="M43" s="25" t="s">
        <v>2872</v>
      </c>
      <c r="N43" s="5"/>
      <c r="Z43" s="29">
        <f t="shared" si="3"/>
        <v>0</v>
      </c>
      <c r="AB43" s="29">
        <f t="shared" si="4"/>
        <v>0</v>
      </c>
      <c r="AC43" s="29">
        <f t="shared" si="5"/>
        <v>0</v>
      </c>
      <c r="AD43" s="29">
        <f t="shared" si="6"/>
        <v>0</v>
      </c>
      <c r="AE43" s="29">
        <f t="shared" si="7"/>
        <v>0</v>
      </c>
      <c r="AF43" s="29">
        <f t="shared" si="8"/>
        <v>0</v>
      </c>
      <c r="AG43" s="29">
        <f t="shared" si="9"/>
        <v>0</v>
      </c>
      <c r="AH43" s="29">
        <f t="shared" si="10"/>
        <v>0</v>
      </c>
      <c r="AI43" s="28" t="s">
        <v>2882</v>
      </c>
      <c r="AJ43" s="15">
        <f t="shared" si="11"/>
        <v>0</v>
      </c>
      <c r="AK43" s="15">
        <f t="shared" si="12"/>
        <v>0</v>
      </c>
      <c r="AL43" s="15">
        <f t="shared" si="13"/>
        <v>0</v>
      </c>
      <c r="AN43" s="29">
        <v>15</v>
      </c>
      <c r="AO43" s="29">
        <f>I43*0.572281553398058</f>
        <v>0</v>
      </c>
      <c r="AP43" s="29">
        <f>I43*(1-0.572281553398058)</f>
        <v>0</v>
      </c>
      <c r="AQ43" s="30" t="s">
        <v>7</v>
      </c>
      <c r="AV43" s="29">
        <f t="shared" si="14"/>
        <v>0</v>
      </c>
      <c r="AW43" s="29">
        <f t="shared" si="15"/>
        <v>0</v>
      </c>
      <c r="AX43" s="29">
        <f t="shared" si="16"/>
        <v>0</v>
      </c>
      <c r="AY43" s="32" t="s">
        <v>2895</v>
      </c>
      <c r="AZ43" s="32" t="s">
        <v>2936</v>
      </c>
      <c r="BA43" s="28" t="s">
        <v>2957</v>
      </c>
      <c r="BC43" s="29">
        <f t="shared" si="17"/>
        <v>0</v>
      </c>
      <c r="BD43" s="29">
        <f t="shared" si="18"/>
        <v>0</v>
      </c>
      <c r="BE43" s="29">
        <v>0</v>
      </c>
      <c r="BF43" s="29">
        <f>43</f>
        <v>43</v>
      </c>
      <c r="BH43" s="15">
        <f t="shared" si="19"/>
        <v>0</v>
      </c>
      <c r="BI43" s="15">
        <f t="shared" si="20"/>
        <v>0</v>
      </c>
      <c r="BJ43" s="15">
        <f t="shared" si="21"/>
        <v>0</v>
      </c>
      <c r="BK43" s="15" t="s">
        <v>2969</v>
      </c>
      <c r="BL43" s="29">
        <v>27</v>
      </c>
    </row>
    <row r="44" spans="1:64" ht="12.75">
      <c r="A44" s="4" t="s">
        <v>29</v>
      </c>
      <c r="B44" s="94" t="s">
        <v>1035</v>
      </c>
      <c r="C44" s="152" t="s">
        <v>1965</v>
      </c>
      <c r="D44" s="153"/>
      <c r="E44" s="153"/>
      <c r="F44" s="153"/>
      <c r="G44" s="94" t="s">
        <v>2850</v>
      </c>
      <c r="H44" s="73">
        <v>2</v>
      </c>
      <c r="I44" s="105">
        <v>0</v>
      </c>
      <c r="J44" s="15">
        <f t="shared" si="0"/>
        <v>0</v>
      </c>
      <c r="K44" s="15">
        <f t="shared" si="1"/>
        <v>0</v>
      </c>
      <c r="L44" s="15">
        <f t="shared" si="2"/>
        <v>0</v>
      </c>
      <c r="M44" s="25" t="s">
        <v>2872</v>
      </c>
      <c r="N44" s="5"/>
      <c r="Z44" s="29">
        <f t="shared" si="3"/>
        <v>0</v>
      </c>
      <c r="AB44" s="29">
        <f t="shared" si="4"/>
        <v>0</v>
      </c>
      <c r="AC44" s="29">
        <f t="shared" si="5"/>
        <v>0</v>
      </c>
      <c r="AD44" s="29">
        <f t="shared" si="6"/>
        <v>0</v>
      </c>
      <c r="AE44" s="29">
        <f t="shared" si="7"/>
        <v>0</v>
      </c>
      <c r="AF44" s="29">
        <f t="shared" si="8"/>
        <v>0</v>
      </c>
      <c r="AG44" s="29">
        <f t="shared" si="9"/>
        <v>0</v>
      </c>
      <c r="AH44" s="29">
        <f t="shared" si="10"/>
        <v>0</v>
      </c>
      <c r="AI44" s="28" t="s">
        <v>2882</v>
      </c>
      <c r="AJ44" s="15">
        <f t="shared" si="11"/>
        <v>0</v>
      </c>
      <c r="AK44" s="15">
        <f t="shared" si="12"/>
        <v>0</v>
      </c>
      <c r="AL44" s="15">
        <f t="shared" si="13"/>
        <v>0</v>
      </c>
      <c r="AN44" s="29">
        <v>15</v>
      </c>
      <c r="AO44" s="29">
        <f>I44*0.719394904458599</f>
        <v>0</v>
      </c>
      <c r="AP44" s="29">
        <f>I44*(1-0.719394904458599)</f>
        <v>0</v>
      </c>
      <c r="AQ44" s="30" t="s">
        <v>7</v>
      </c>
      <c r="AV44" s="29">
        <f t="shared" si="14"/>
        <v>0</v>
      </c>
      <c r="AW44" s="29">
        <f t="shared" si="15"/>
        <v>0</v>
      </c>
      <c r="AX44" s="29">
        <f t="shared" si="16"/>
        <v>0</v>
      </c>
      <c r="AY44" s="32" t="s">
        <v>2895</v>
      </c>
      <c r="AZ44" s="32" t="s">
        <v>2936</v>
      </c>
      <c r="BA44" s="28" t="s">
        <v>2957</v>
      </c>
      <c r="BC44" s="29">
        <f t="shared" si="17"/>
        <v>0</v>
      </c>
      <c r="BD44" s="29">
        <f t="shared" si="18"/>
        <v>0</v>
      </c>
      <c r="BE44" s="29">
        <v>0</v>
      </c>
      <c r="BF44" s="29">
        <f>44</f>
        <v>44</v>
      </c>
      <c r="BH44" s="15">
        <f t="shared" si="19"/>
        <v>0</v>
      </c>
      <c r="BI44" s="15">
        <f t="shared" si="20"/>
        <v>0</v>
      </c>
      <c r="BJ44" s="15">
        <f t="shared" si="21"/>
        <v>0</v>
      </c>
      <c r="BK44" s="15" t="s">
        <v>2969</v>
      </c>
      <c r="BL44" s="29">
        <v>27</v>
      </c>
    </row>
    <row r="45" spans="1:64" ht="12.75">
      <c r="A45" s="4" t="s">
        <v>30</v>
      </c>
      <c r="B45" s="94" t="s">
        <v>1036</v>
      </c>
      <c r="C45" s="152" t="s">
        <v>1966</v>
      </c>
      <c r="D45" s="153"/>
      <c r="E45" s="153"/>
      <c r="F45" s="153"/>
      <c r="G45" s="94" t="s">
        <v>2850</v>
      </c>
      <c r="H45" s="73">
        <v>1</v>
      </c>
      <c r="I45" s="105">
        <v>0</v>
      </c>
      <c r="J45" s="15">
        <f t="shared" si="0"/>
        <v>0</v>
      </c>
      <c r="K45" s="15">
        <f t="shared" si="1"/>
        <v>0</v>
      </c>
      <c r="L45" s="15">
        <f t="shared" si="2"/>
        <v>0</v>
      </c>
      <c r="M45" s="25" t="s">
        <v>2872</v>
      </c>
      <c r="N45" s="5"/>
      <c r="Z45" s="29">
        <f t="shared" si="3"/>
        <v>0</v>
      </c>
      <c r="AB45" s="29">
        <f t="shared" si="4"/>
        <v>0</v>
      </c>
      <c r="AC45" s="29">
        <f t="shared" si="5"/>
        <v>0</v>
      </c>
      <c r="AD45" s="29">
        <f t="shared" si="6"/>
        <v>0</v>
      </c>
      <c r="AE45" s="29">
        <f t="shared" si="7"/>
        <v>0</v>
      </c>
      <c r="AF45" s="29">
        <f t="shared" si="8"/>
        <v>0</v>
      </c>
      <c r="AG45" s="29">
        <f t="shared" si="9"/>
        <v>0</v>
      </c>
      <c r="AH45" s="29">
        <f t="shared" si="10"/>
        <v>0</v>
      </c>
      <c r="AI45" s="28" t="s">
        <v>2882</v>
      </c>
      <c r="AJ45" s="15">
        <f t="shared" si="11"/>
        <v>0</v>
      </c>
      <c r="AK45" s="15">
        <f t="shared" si="12"/>
        <v>0</v>
      </c>
      <c r="AL45" s="15">
        <f t="shared" si="13"/>
        <v>0</v>
      </c>
      <c r="AN45" s="29">
        <v>15</v>
      </c>
      <c r="AO45" s="29">
        <f>I45*0.778060453400504</f>
        <v>0</v>
      </c>
      <c r="AP45" s="29">
        <f>I45*(1-0.778060453400504)</f>
        <v>0</v>
      </c>
      <c r="AQ45" s="30" t="s">
        <v>7</v>
      </c>
      <c r="AV45" s="29">
        <f t="shared" si="14"/>
        <v>0</v>
      </c>
      <c r="AW45" s="29">
        <f t="shared" si="15"/>
        <v>0</v>
      </c>
      <c r="AX45" s="29">
        <f t="shared" si="16"/>
        <v>0</v>
      </c>
      <c r="AY45" s="32" t="s">
        <v>2895</v>
      </c>
      <c r="AZ45" s="32" t="s">
        <v>2936</v>
      </c>
      <c r="BA45" s="28" t="s">
        <v>2957</v>
      </c>
      <c r="BC45" s="29">
        <f t="shared" si="17"/>
        <v>0</v>
      </c>
      <c r="BD45" s="29">
        <f t="shared" si="18"/>
        <v>0</v>
      </c>
      <c r="BE45" s="29">
        <v>0</v>
      </c>
      <c r="BF45" s="29">
        <f>45</f>
        <v>45</v>
      </c>
      <c r="BH45" s="15">
        <f t="shared" si="19"/>
        <v>0</v>
      </c>
      <c r="BI45" s="15">
        <f t="shared" si="20"/>
        <v>0</v>
      </c>
      <c r="BJ45" s="15">
        <f t="shared" si="21"/>
        <v>0</v>
      </c>
      <c r="BK45" s="15" t="s">
        <v>2969</v>
      </c>
      <c r="BL45" s="29">
        <v>27</v>
      </c>
    </row>
    <row r="46" spans="1:64" ht="12.75">
      <c r="A46" s="4" t="s">
        <v>31</v>
      </c>
      <c r="B46" s="94" t="s">
        <v>1036</v>
      </c>
      <c r="C46" s="152" t="s">
        <v>1967</v>
      </c>
      <c r="D46" s="153"/>
      <c r="E46" s="153"/>
      <c r="F46" s="153"/>
      <c r="G46" s="94" t="s">
        <v>2850</v>
      </c>
      <c r="H46" s="73">
        <v>1</v>
      </c>
      <c r="I46" s="105">
        <v>0</v>
      </c>
      <c r="J46" s="15">
        <f t="shared" si="0"/>
        <v>0</v>
      </c>
      <c r="K46" s="15">
        <f t="shared" si="1"/>
        <v>0</v>
      </c>
      <c r="L46" s="15">
        <f t="shared" si="2"/>
        <v>0</v>
      </c>
      <c r="M46" s="25" t="s">
        <v>2872</v>
      </c>
      <c r="N46" s="5"/>
      <c r="Z46" s="29">
        <f t="shared" si="3"/>
        <v>0</v>
      </c>
      <c r="AB46" s="29">
        <f t="shared" si="4"/>
        <v>0</v>
      </c>
      <c r="AC46" s="29">
        <f t="shared" si="5"/>
        <v>0</v>
      </c>
      <c r="AD46" s="29">
        <f t="shared" si="6"/>
        <v>0</v>
      </c>
      <c r="AE46" s="29">
        <f t="shared" si="7"/>
        <v>0</v>
      </c>
      <c r="AF46" s="29">
        <f t="shared" si="8"/>
        <v>0</v>
      </c>
      <c r="AG46" s="29">
        <f t="shared" si="9"/>
        <v>0</v>
      </c>
      <c r="AH46" s="29">
        <f t="shared" si="10"/>
        <v>0</v>
      </c>
      <c r="AI46" s="28" t="s">
        <v>2882</v>
      </c>
      <c r="AJ46" s="15">
        <f t="shared" si="11"/>
        <v>0</v>
      </c>
      <c r="AK46" s="15">
        <f t="shared" si="12"/>
        <v>0</v>
      </c>
      <c r="AL46" s="15">
        <f t="shared" si="13"/>
        <v>0</v>
      </c>
      <c r="AN46" s="29">
        <v>15</v>
      </c>
      <c r="AO46" s="29">
        <f>I46*0.778060453400504</f>
        <v>0</v>
      </c>
      <c r="AP46" s="29">
        <f>I46*(1-0.778060453400504)</f>
        <v>0</v>
      </c>
      <c r="AQ46" s="30" t="s">
        <v>7</v>
      </c>
      <c r="AV46" s="29">
        <f t="shared" si="14"/>
        <v>0</v>
      </c>
      <c r="AW46" s="29">
        <f t="shared" si="15"/>
        <v>0</v>
      </c>
      <c r="AX46" s="29">
        <f t="shared" si="16"/>
        <v>0</v>
      </c>
      <c r="AY46" s="32" t="s">
        <v>2895</v>
      </c>
      <c r="AZ46" s="32" t="s">
        <v>2936</v>
      </c>
      <c r="BA46" s="28" t="s">
        <v>2957</v>
      </c>
      <c r="BC46" s="29">
        <f t="shared" si="17"/>
        <v>0</v>
      </c>
      <c r="BD46" s="29">
        <f t="shared" si="18"/>
        <v>0</v>
      </c>
      <c r="BE46" s="29">
        <v>0</v>
      </c>
      <c r="BF46" s="29">
        <f>46</f>
        <v>46</v>
      </c>
      <c r="BH46" s="15">
        <f t="shared" si="19"/>
        <v>0</v>
      </c>
      <c r="BI46" s="15">
        <f t="shared" si="20"/>
        <v>0</v>
      </c>
      <c r="BJ46" s="15">
        <f t="shared" si="21"/>
        <v>0</v>
      </c>
      <c r="BK46" s="15" t="s">
        <v>2969</v>
      </c>
      <c r="BL46" s="29">
        <v>27</v>
      </c>
    </row>
    <row r="47" spans="1:64" ht="12.75">
      <c r="A47" s="4" t="s">
        <v>32</v>
      </c>
      <c r="B47" s="94" t="s">
        <v>1036</v>
      </c>
      <c r="C47" s="152" t="s">
        <v>1968</v>
      </c>
      <c r="D47" s="153"/>
      <c r="E47" s="153"/>
      <c r="F47" s="153"/>
      <c r="G47" s="94" t="s">
        <v>2850</v>
      </c>
      <c r="H47" s="73">
        <v>2</v>
      </c>
      <c r="I47" s="105">
        <v>0</v>
      </c>
      <c r="J47" s="15">
        <f t="shared" si="0"/>
        <v>0</v>
      </c>
      <c r="K47" s="15">
        <f t="shared" si="1"/>
        <v>0</v>
      </c>
      <c r="L47" s="15">
        <f t="shared" si="2"/>
        <v>0</v>
      </c>
      <c r="M47" s="25" t="s">
        <v>2872</v>
      </c>
      <c r="N47" s="5"/>
      <c r="Z47" s="29">
        <f t="shared" si="3"/>
        <v>0</v>
      </c>
      <c r="AB47" s="29">
        <f t="shared" si="4"/>
        <v>0</v>
      </c>
      <c r="AC47" s="29">
        <f t="shared" si="5"/>
        <v>0</v>
      </c>
      <c r="AD47" s="29">
        <f t="shared" si="6"/>
        <v>0</v>
      </c>
      <c r="AE47" s="29">
        <f t="shared" si="7"/>
        <v>0</v>
      </c>
      <c r="AF47" s="29">
        <f t="shared" si="8"/>
        <v>0</v>
      </c>
      <c r="AG47" s="29">
        <f t="shared" si="9"/>
        <v>0</v>
      </c>
      <c r="AH47" s="29">
        <f t="shared" si="10"/>
        <v>0</v>
      </c>
      <c r="AI47" s="28" t="s">
        <v>2882</v>
      </c>
      <c r="AJ47" s="15">
        <f t="shared" si="11"/>
        <v>0</v>
      </c>
      <c r="AK47" s="15">
        <f t="shared" si="12"/>
        <v>0</v>
      </c>
      <c r="AL47" s="15">
        <f t="shared" si="13"/>
        <v>0</v>
      </c>
      <c r="AN47" s="29">
        <v>15</v>
      </c>
      <c r="AO47" s="29">
        <f>I47*0.778060453400504</f>
        <v>0</v>
      </c>
      <c r="AP47" s="29">
        <f>I47*(1-0.778060453400504)</f>
        <v>0</v>
      </c>
      <c r="AQ47" s="30" t="s">
        <v>7</v>
      </c>
      <c r="AV47" s="29">
        <f t="shared" si="14"/>
        <v>0</v>
      </c>
      <c r="AW47" s="29">
        <f t="shared" si="15"/>
        <v>0</v>
      </c>
      <c r="AX47" s="29">
        <f t="shared" si="16"/>
        <v>0</v>
      </c>
      <c r="AY47" s="32" t="s">
        <v>2895</v>
      </c>
      <c r="AZ47" s="32" t="s">
        <v>2936</v>
      </c>
      <c r="BA47" s="28" t="s">
        <v>2957</v>
      </c>
      <c r="BC47" s="29">
        <f t="shared" si="17"/>
        <v>0</v>
      </c>
      <c r="BD47" s="29">
        <f t="shared" si="18"/>
        <v>0</v>
      </c>
      <c r="BE47" s="29">
        <v>0</v>
      </c>
      <c r="BF47" s="29">
        <f>47</f>
        <v>47</v>
      </c>
      <c r="BH47" s="15">
        <f t="shared" si="19"/>
        <v>0</v>
      </c>
      <c r="BI47" s="15">
        <f t="shared" si="20"/>
        <v>0</v>
      </c>
      <c r="BJ47" s="15">
        <f t="shared" si="21"/>
        <v>0</v>
      </c>
      <c r="BK47" s="15" t="s">
        <v>2969</v>
      </c>
      <c r="BL47" s="29">
        <v>27</v>
      </c>
    </row>
    <row r="48" spans="1:64" ht="12.75">
      <c r="A48" s="4" t="s">
        <v>33</v>
      </c>
      <c r="B48" s="94" t="s">
        <v>1037</v>
      </c>
      <c r="C48" s="152" t="s">
        <v>1969</v>
      </c>
      <c r="D48" s="153"/>
      <c r="E48" s="153"/>
      <c r="F48" s="153"/>
      <c r="G48" s="94" t="s">
        <v>2848</v>
      </c>
      <c r="H48" s="73">
        <v>0.55</v>
      </c>
      <c r="I48" s="105">
        <v>0</v>
      </c>
      <c r="J48" s="15">
        <f t="shared" si="0"/>
        <v>0</v>
      </c>
      <c r="K48" s="15">
        <f t="shared" si="1"/>
        <v>0</v>
      </c>
      <c r="L48" s="15">
        <f t="shared" si="2"/>
        <v>0</v>
      </c>
      <c r="M48" s="25" t="s">
        <v>2872</v>
      </c>
      <c r="N48" s="5"/>
      <c r="Z48" s="29">
        <f t="shared" si="3"/>
        <v>0</v>
      </c>
      <c r="AB48" s="29">
        <f t="shared" si="4"/>
        <v>0</v>
      </c>
      <c r="AC48" s="29">
        <f t="shared" si="5"/>
        <v>0</v>
      </c>
      <c r="AD48" s="29">
        <f t="shared" si="6"/>
        <v>0</v>
      </c>
      <c r="AE48" s="29">
        <f t="shared" si="7"/>
        <v>0</v>
      </c>
      <c r="AF48" s="29">
        <f t="shared" si="8"/>
        <v>0</v>
      </c>
      <c r="AG48" s="29">
        <f t="shared" si="9"/>
        <v>0</v>
      </c>
      <c r="AH48" s="29">
        <f t="shared" si="10"/>
        <v>0</v>
      </c>
      <c r="AI48" s="28" t="s">
        <v>2882</v>
      </c>
      <c r="AJ48" s="15">
        <f t="shared" si="11"/>
        <v>0</v>
      </c>
      <c r="AK48" s="15">
        <f t="shared" si="12"/>
        <v>0</v>
      </c>
      <c r="AL48" s="15">
        <f t="shared" si="13"/>
        <v>0</v>
      </c>
      <c r="AN48" s="29">
        <v>15</v>
      </c>
      <c r="AO48" s="29">
        <f>I48*0.777649620006182</f>
        <v>0</v>
      </c>
      <c r="AP48" s="29">
        <f>I48*(1-0.777649620006182)</f>
        <v>0</v>
      </c>
      <c r="AQ48" s="30" t="s">
        <v>7</v>
      </c>
      <c r="AV48" s="29">
        <f t="shared" si="14"/>
        <v>0</v>
      </c>
      <c r="AW48" s="29">
        <f t="shared" si="15"/>
        <v>0</v>
      </c>
      <c r="AX48" s="29">
        <f t="shared" si="16"/>
        <v>0</v>
      </c>
      <c r="AY48" s="32" t="s">
        <v>2895</v>
      </c>
      <c r="AZ48" s="32" t="s">
        <v>2936</v>
      </c>
      <c r="BA48" s="28" t="s">
        <v>2957</v>
      </c>
      <c r="BC48" s="29">
        <f t="shared" si="17"/>
        <v>0</v>
      </c>
      <c r="BD48" s="29">
        <f t="shared" si="18"/>
        <v>0</v>
      </c>
      <c r="BE48" s="29">
        <v>0</v>
      </c>
      <c r="BF48" s="29">
        <f>48</f>
        <v>48</v>
      </c>
      <c r="BH48" s="15">
        <f t="shared" si="19"/>
        <v>0</v>
      </c>
      <c r="BI48" s="15">
        <f t="shared" si="20"/>
        <v>0</v>
      </c>
      <c r="BJ48" s="15">
        <f t="shared" si="21"/>
        <v>0</v>
      </c>
      <c r="BK48" s="15" t="s">
        <v>2969</v>
      </c>
      <c r="BL48" s="29">
        <v>27</v>
      </c>
    </row>
    <row r="49" spans="1:14" ht="12.75">
      <c r="A49" s="5"/>
      <c r="B49" s="12" t="s">
        <v>1015</v>
      </c>
      <c r="C49" s="165" t="s">
        <v>1970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5"/>
    </row>
    <row r="50" spans="1:47" ht="12.75">
      <c r="A50" s="3"/>
      <c r="B50" s="97" t="s">
        <v>37</v>
      </c>
      <c r="C50" s="161" t="s">
        <v>1971</v>
      </c>
      <c r="D50" s="162"/>
      <c r="E50" s="162"/>
      <c r="F50" s="162"/>
      <c r="G50" s="13" t="s">
        <v>6</v>
      </c>
      <c r="H50" s="13" t="s">
        <v>6</v>
      </c>
      <c r="I50" s="13" t="s">
        <v>6</v>
      </c>
      <c r="J50" s="34">
        <f>SUM(J51:J63)</f>
        <v>0</v>
      </c>
      <c r="K50" s="34">
        <f>SUM(K51:K63)</f>
        <v>0</v>
      </c>
      <c r="L50" s="34">
        <f>SUM(L51:L63)</f>
        <v>0</v>
      </c>
      <c r="M50" s="24"/>
      <c r="N50" s="5"/>
      <c r="AI50" s="28" t="s">
        <v>2882</v>
      </c>
      <c r="AS50" s="34">
        <f>SUM(AJ51:AJ63)</f>
        <v>0</v>
      </c>
      <c r="AT50" s="34">
        <f>SUM(AK51:AK63)</f>
        <v>0</v>
      </c>
      <c r="AU50" s="34">
        <f>SUM(AL51:AL63)</f>
        <v>0</v>
      </c>
    </row>
    <row r="51" spans="1:64" ht="12.75">
      <c r="A51" s="4" t="s">
        <v>34</v>
      </c>
      <c r="B51" s="94" t="s">
        <v>1038</v>
      </c>
      <c r="C51" s="152" t="s">
        <v>1972</v>
      </c>
      <c r="D51" s="153"/>
      <c r="E51" s="153"/>
      <c r="F51" s="153"/>
      <c r="G51" s="94" t="s">
        <v>2849</v>
      </c>
      <c r="H51" s="73">
        <v>317.96</v>
      </c>
      <c r="I51" s="105">
        <v>0</v>
      </c>
      <c r="J51" s="15">
        <f aca="true" t="shared" si="22" ref="J51:J63">H51*AO51</f>
        <v>0</v>
      </c>
      <c r="K51" s="15">
        <f aca="true" t="shared" si="23" ref="K51:K63">H51*AP51</f>
        <v>0</v>
      </c>
      <c r="L51" s="15">
        <f aca="true" t="shared" si="24" ref="L51:L63">H51*I51</f>
        <v>0</v>
      </c>
      <c r="M51" s="25" t="s">
        <v>2872</v>
      </c>
      <c r="N51" s="5"/>
      <c r="Z51" s="29">
        <f aca="true" t="shared" si="25" ref="Z51:Z63">IF(AQ51="5",BJ51,0)</f>
        <v>0</v>
      </c>
      <c r="AB51" s="29">
        <f aca="true" t="shared" si="26" ref="AB51:AB63">IF(AQ51="1",BH51,0)</f>
        <v>0</v>
      </c>
      <c r="AC51" s="29">
        <f aca="true" t="shared" si="27" ref="AC51:AC63">IF(AQ51="1",BI51,0)</f>
        <v>0</v>
      </c>
      <c r="AD51" s="29">
        <f aca="true" t="shared" si="28" ref="AD51:AD63">IF(AQ51="7",BH51,0)</f>
        <v>0</v>
      </c>
      <c r="AE51" s="29">
        <f aca="true" t="shared" si="29" ref="AE51:AE63">IF(AQ51="7",BI51,0)</f>
        <v>0</v>
      </c>
      <c r="AF51" s="29">
        <f aca="true" t="shared" si="30" ref="AF51:AF63">IF(AQ51="2",BH51,0)</f>
        <v>0</v>
      </c>
      <c r="AG51" s="29">
        <f aca="true" t="shared" si="31" ref="AG51:AG63">IF(AQ51="2",BI51,0)</f>
        <v>0</v>
      </c>
      <c r="AH51" s="29">
        <f aca="true" t="shared" si="32" ref="AH51:AH63">IF(AQ51="0",BJ51,0)</f>
        <v>0</v>
      </c>
      <c r="AI51" s="28" t="s">
        <v>2882</v>
      </c>
      <c r="AJ51" s="15">
        <f aca="true" t="shared" si="33" ref="AJ51:AJ63">IF(AN51=0,L51,0)</f>
        <v>0</v>
      </c>
      <c r="AK51" s="15">
        <f aca="true" t="shared" si="34" ref="AK51:AK63">IF(AN51=15,L51,0)</f>
        <v>0</v>
      </c>
      <c r="AL51" s="15">
        <f aca="true" t="shared" si="35" ref="AL51:AL63">IF(AN51=21,L51,0)</f>
        <v>0</v>
      </c>
      <c r="AN51" s="29">
        <v>15</v>
      </c>
      <c r="AO51" s="29">
        <f>I51*0.811322032581767</f>
        <v>0</v>
      </c>
      <c r="AP51" s="29">
        <f>I51*(1-0.811322032581767)</f>
        <v>0</v>
      </c>
      <c r="AQ51" s="30" t="s">
        <v>7</v>
      </c>
      <c r="AV51" s="29">
        <f aca="true" t="shared" si="36" ref="AV51:AV63">AW51+AX51</f>
        <v>0</v>
      </c>
      <c r="AW51" s="29">
        <f aca="true" t="shared" si="37" ref="AW51:AW63">H51*AO51</f>
        <v>0</v>
      </c>
      <c r="AX51" s="29">
        <f aca="true" t="shared" si="38" ref="AX51:AX63">H51*AP51</f>
        <v>0</v>
      </c>
      <c r="AY51" s="32" t="s">
        <v>2896</v>
      </c>
      <c r="AZ51" s="32" t="s">
        <v>2937</v>
      </c>
      <c r="BA51" s="28" t="s">
        <v>2957</v>
      </c>
      <c r="BC51" s="29">
        <f aca="true" t="shared" si="39" ref="BC51:BC63">AW51+AX51</f>
        <v>0</v>
      </c>
      <c r="BD51" s="29">
        <f aca="true" t="shared" si="40" ref="BD51:BD63">I51/(100-BE51)*100</f>
        <v>0</v>
      </c>
      <c r="BE51" s="29">
        <v>0</v>
      </c>
      <c r="BF51" s="29">
        <f>51</f>
        <v>51</v>
      </c>
      <c r="BH51" s="15">
        <f aca="true" t="shared" si="41" ref="BH51:BH63">H51*AO51</f>
        <v>0</v>
      </c>
      <c r="BI51" s="15">
        <f aca="true" t="shared" si="42" ref="BI51:BI63">H51*AP51</f>
        <v>0</v>
      </c>
      <c r="BJ51" s="15">
        <f aca="true" t="shared" si="43" ref="BJ51:BJ63">H51*I51</f>
        <v>0</v>
      </c>
      <c r="BK51" s="15" t="s">
        <v>2969</v>
      </c>
      <c r="BL51" s="29">
        <v>31</v>
      </c>
    </row>
    <row r="52" spans="1:64" ht="12.75">
      <c r="A52" s="4" t="s">
        <v>35</v>
      </c>
      <c r="B52" s="94" t="s">
        <v>1038</v>
      </c>
      <c r="C52" s="152" t="s">
        <v>1973</v>
      </c>
      <c r="D52" s="153"/>
      <c r="E52" s="153"/>
      <c r="F52" s="153"/>
      <c r="G52" s="94" t="s">
        <v>2849</v>
      </c>
      <c r="H52" s="73">
        <v>18.606</v>
      </c>
      <c r="I52" s="105">
        <v>0</v>
      </c>
      <c r="J52" s="15">
        <f t="shared" si="22"/>
        <v>0</v>
      </c>
      <c r="K52" s="15">
        <f t="shared" si="23"/>
        <v>0</v>
      </c>
      <c r="L52" s="15">
        <f t="shared" si="24"/>
        <v>0</v>
      </c>
      <c r="M52" s="25" t="s">
        <v>2872</v>
      </c>
      <c r="N52" s="5"/>
      <c r="Z52" s="29">
        <f t="shared" si="25"/>
        <v>0</v>
      </c>
      <c r="AB52" s="29">
        <f t="shared" si="26"/>
        <v>0</v>
      </c>
      <c r="AC52" s="29">
        <f t="shared" si="27"/>
        <v>0</v>
      </c>
      <c r="AD52" s="29">
        <f t="shared" si="28"/>
        <v>0</v>
      </c>
      <c r="AE52" s="29">
        <f t="shared" si="29"/>
        <v>0</v>
      </c>
      <c r="AF52" s="29">
        <f t="shared" si="30"/>
        <v>0</v>
      </c>
      <c r="AG52" s="29">
        <f t="shared" si="31"/>
        <v>0</v>
      </c>
      <c r="AH52" s="29">
        <f t="shared" si="32"/>
        <v>0</v>
      </c>
      <c r="AI52" s="28" t="s">
        <v>2882</v>
      </c>
      <c r="AJ52" s="15">
        <f t="shared" si="33"/>
        <v>0</v>
      </c>
      <c r="AK52" s="15">
        <f t="shared" si="34"/>
        <v>0</v>
      </c>
      <c r="AL52" s="15">
        <f t="shared" si="35"/>
        <v>0</v>
      </c>
      <c r="AN52" s="29">
        <v>15</v>
      </c>
      <c r="AO52" s="29">
        <f>I52*0.811322009149996</f>
        <v>0</v>
      </c>
      <c r="AP52" s="29">
        <f>I52*(1-0.811322009149996)</f>
        <v>0</v>
      </c>
      <c r="AQ52" s="30" t="s">
        <v>7</v>
      </c>
      <c r="AV52" s="29">
        <f t="shared" si="36"/>
        <v>0</v>
      </c>
      <c r="AW52" s="29">
        <f t="shared" si="37"/>
        <v>0</v>
      </c>
      <c r="AX52" s="29">
        <f t="shared" si="38"/>
        <v>0</v>
      </c>
      <c r="AY52" s="32" t="s">
        <v>2896</v>
      </c>
      <c r="AZ52" s="32" t="s">
        <v>2937</v>
      </c>
      <c r="BA52" s="28" t="s">
        <v>2957</v>
      </c>
      <c r="BC52" s="29">
        <f t="shared" si="39"/>
        <v>0</v>
      </c>
      <c r="BD52" s="29">
        <f t="shared" si="40"/>
        <v>0</v>
      </c>
      <c r="BE52" s="29">
        <v>0</v>
      </c>
      <c r="BF52" s="29">
        <f>52</f>
        <v>52</v>
      </c>
      <c r="BH52" s="15">
        <f t="shared" si="41"/>
        <v>0</v>
      </c>
      <c r="BI52" s="15">
        <f t="shared" si="42"/>
        <v>0</v>
      </c>
      <c r="BJ52" s="15">
        <f t="shared" si="43"/>
        <v>0</v>
      </c>
      <c r="BK52" s="15" t="s">
        <v>2969</v>
      </c>
      <c r="BL52" s="29">
        <v>31</v>
      </c>
    </row>
    <row r="53" spans="1:64" ht="12.75">
      <c r="A53" s="4" t="s">
        <v>36</v>
      </c>
      <c r="B53" s="94" t="s">
        <v>1039</v>
      </c>
      <c r="C53" s="152" t="s">
        <v>1974</v>
      </c>
      <c r="D53" s="153"/>
      <c r="E53" s="153"/>
      <c r="F53" s="153"/>
      <c r="G53" s="94" t="s">
        <v>2850</v>
      </c>
      <c r="H53" s="73">
        <v>15</v>
      </c>
      <c r="I53" s="105">
        <v>0</v>
      </c>
      <c r="J53" s="15">
        <f t="shared" si="22"/>
        <v>0</v>
      </c>
      <c r="K53" s="15">
        <f t="shared" si="23"/>
        <v>0</v>
      </c>
      <c r="L53" s="15">
        <f t="shared" si="24"/>
        <v>0</v>
      </c>
      <c r="M53" s="25" t="s">
        <v>2872</v>
      </c>
      <c r="N53" s="5"/>
      <c r="Z53" s="29">
        <f t="shared" si="25"/>
        <v>0</v>
      </c>
      <c r="AB53" s="29">
        <f t="shared" si="26"/>
        <v>0</v>
      </c>
      <c r="AC53" s="29">
        <f t="shared" si="27"/>
        <v>0</v>
      </c>
      <c r="AD53" s="29">
        <f t="shared" si="28"/>
        <v>0</v>
      </c>
      <c r="AE53" s="29">
        <f t="shared" si="29"/>
        <v>0</v>
      </c>
      <c r="AF53" s="29">
        <f t="shared" si="30"/>
        <v>0</v>
      </c>
      <c r="AG53" s="29">
        <f t="shared" si="31"/>
        <v>0</v>
      </c>
      <c r="AH53" s="29">
        <f t="shared" si="32"/>
        <v>0</v>
      </c>
      <c r="AI53" s="28" t="s">
        <v>2882</v>
      </c>
      <c r="AJ53" s="15">
        <f t="shared" si="33"/>
        <v>0</v>
      </c>
      <c r="AK53" s="15">
        <f t="shared" si="34"/>
        <v>0</v>
      </c>
      <c r="AL53" s="15">
        <f t="shared" si="35"/>
        <v>0</v>
      </c>
      <c r="AN53" s="29">
        <v>15</v>
      </c>
      <c r="AO53" s="29">
        <f>I53*0.74863539445629</f>
        <v>0</v>
      </c>
      <c r="AP53" s="29">
        <f>I53*(1-0.74863539445629)</f>
        <v>0</v>
      </c>
      <c r="AQ53" s="30" t="s">
        <v>7</v>
      </c>
      <c r="AV53" s="29">
        <f t="shared" si="36"/>
        <v>0</v>
      </c>
      <c r="AW53" s="29">
        <f t="shared" si="37"/>
        <v>0</v>
      </c>
      <c r="AX53" s="29">
        <f t="shared" si="38"/>
        <v>0</v>
      </c>
      <c r="AY53" s="32" t="s">
        <v>2896</v>
      </c>
      <c r="AZ53" s="32" t="s">
        <v>2937</v>
      </c>
      <c r="BA53" s="28" t="s">
        <v>2957</v>
      </c>
      <c r="BC53" s="29">
        <f t="shared" si="39"/>
        <v>0</v>
      </c>
      <c r="BD53" s="29">
        <f t="shared" si="40"/>
        <v>0</v>
      </c>
      <c r="BE53" s="29">
        <v>0</v>
      </c>
      <c r="BF53" s="29">
        <f>53</f>
        <v>53</v>
      </c>
      <c r="BH53" s="15">
        <f t="shared" si="41"/>
        <v>0</v>
      </c>
      <c r="BI53" s="15">
        <f t="shared" si="42"/>
        <v>0</v>
      </c>
      <c r="BJ53" s="15">
        <f t="shared" si="43"/>
        <v>0</v>
      </c>
      <c r="BK53" s="15" t="s">
        <v>2969</v>
      </c>
      <c r="BL53" s="29">
        <v>31</v>
      </c>
    </row>
    <row r="54" spans="1:64" ht="12.75">
      <c r="A54" s="4" t="s">
        <v>37</v>
      </c>
      <c r="B54" s="94" t="s">
        <v>1039</v>
      </c>
      <c r="C54" s="152" t="s">
        <v>1975</v>
      </c>
      <c r="D54" s="153"/>
      <c r="E54" s="153"/>
      <c r="F54" s="153"/>
      <c r="G54" s="94" t="s">
        <v>2850</v>
      </c>
      <c r="H54" s="73">
        <v>36</v>
      </c>
      <c r="I54" s="105">
        <v>0</v>
      </c>
      <c r="J54" s="15">
        <f t="shared" si="22"/>
        <v>0</v>
      </c>
      <c r="K54" s="15">
        <f t="shared" si="23"/>
        <v>0</v>
      </c>
      <c r="L54" s="15">
        <f t="shared" si="24"/>
        <v>0</v>
      </c>
      <c r="M54" s="25" t="s">
        <v>2872</v>
      </c>
      <c r="N54" s="5"/>
      <c r="Z54" s="29">
        <f t="shared" si="25"/>
        <v>0</v>
      </c>
      <c r="AB54" s="29">
        <f t="shared" si="26"/>
        <v>0</v>
      </c>
      <c r="AC54" s="29">
        <f t="shared" si="27"/>
        <v>0</v>
      </c>
      <c r="AD54" s="29">
        <f t="shared" si="28"/>
        <v>0</v>
      </c>
      <c r="AE54" s="29">
        <f t="shared" si="29"/>
        <v>0</v>
      </c>
      <c r="AF54" s="29">
        <f t="shared" si="30"/>
        <v>0</v>
      </c>
      <c r="AG54" s="29">
        <f t="shared" si="31"/>
        <v>0</v>
      </c>
      <c r="AH54" s="29">
        <f t="shared" si="32"/>
        <v>0</v>
      </c>
      <c r="AI54" s="28" t="s">
        <v>2882</v>
      </c>
      <c r="AJ54" s="15">
        <f t="shared" si="33"/>
        <v>0</v>
      </c>
      <c r="AK54" s="15">
        <f t="shared" si="34"/>
        <v>0</v>
      </c>
      <c r="AL54" s="15">
        <f t="shared" si="35"/>
        <v>0</v>
      </c>
      <c r="AN54" s="29">
        <v>15</v>
      </c>
      <c r="AO54" s="29">
        <f>I54*0.74863539445629</f>
        <v>0</v>
      </c>
      <c r="AP54" s="29">
        <f>I54*(1-0.74863539445629)</f>
        <v>0</v>
      </c>
      <c r="AQ54" s="30" t="s">
        <v>7</v>
      </c>
      <c r="AV54" s="29">
        <f t="shared" si="36"/>
        <v>0</v>
      </c>
      <c r="AW54" s="29">
        <f t="shared" si="37"/>
        <v>0</v>
      </c>
      <c r="AX54" s="29">
        <f t="shared" si="38"/>
        <v>0</v>
      </c>
      <c r="AY54" s="32" t="s">
        <v>2896</v>
      </c>
      <c r="AZ54" s="32" t="s">
        <v>2937</v>
      </c>
      <c r="BA54" s="28" t="s">
        <v>2957</v>
      </c>
      <c r="BC54" s="29">
        <f t="shared" si="39"/>
        <v>0</v>
      </c>
      <c r="BD54" s="29">
        <f t="shared" si="40"/>
        <v>0</v>
      </c>
      <c r="BE54" s="29">
        <v>0</v>
      </c>
      <c r="BF54" s="29">
        <f>54</f>
        <v>54</v>
      </c>
      <c r="BH54" s="15">
        <f t="shared" si="41"/>
        <v>0</v>
      </c>
      <c r="BI54" s="15">
        <f t="shared" si="42"/>
        <v>0</v>
      </c>
      <c r="BJ54" s="15">
        <f t="shared" si="43"/>
        <v>0</v>
      </c>
      <c r="BK54" s="15" t="s">
        <v>2969</v>
      </c>
      <c r="BL54" s="29">
        <v>31</v>
      </c>
    </row>
    <row r="55" spans="1:64" ht="12.75">
      <c r="A55" s="4" t="s">
        <v>38</v>
      </c>
      <c r="B55" s="94" t="s">
        <v>1040</v>
      </c>
      <c r="C55" s="152" t="s">
        <v>1976</v>
      </c>
      <c r="D55" s="153"/>
      <c r="E55" s="153"/>
      <c r="F55" s="153"/>
      <c r="G55" s="94" t="s">
        <v>2850</v>
      </c>
      <c r="H55" s="73">
        <v>1</v>
      </c>
      <c r="I55" s="105">
        <v>0</v>
      </c>
      <c r="J55" s="15">
        <f t="shared" si="22"/>
        <v>0</v>
      </c>
      <c r="K55" s="15">
        <f t="shared" si="23"/>
        <v>0</v>
      </c>
      <c r="L55" s="15">
        <f t="shared" si="24"/>
        <v>0</v>
      </c>
      <c r="M55" s="25" t="s">
        <v>2872</v>
      </c>
      <c r="N55" s="5"/>
      <c r="Z55" s="29">
        <f t="shared" si="25"/>
        <v>0</v>
      </c>
      <c r="AB55" s="29">
        <f t="shared" si="26"/>
        <v>0</v>
      </c>
      <c r="AC55" s="29">
        <f t="shared" si="27"/>
        <v>0</v>
      </c>
      <c r="AD55" s="29">
        <f t="shared" si="28"/>
        <v>0</v>
      </c>
      <c r="AE55" s="29">
        <f t="shared" si="29"/>
        <v>0</v>
      </c>
      <c r="AF55" s="29">
        <f t="shared" si="30"/>
        <v>0</v>
      </c>
      <c r="AG55" s="29">
        <f t="shared" si="31"/>
        <v>0</v>
      </c>
      <c r="AH55" s="29">
        <f t="shared" si="32"/>
        <v>0</v>
      </c>
      <c r="AI55" s="28" t="s">
        <v>2882</v>
      </c>
      <c r="AJ55" s="15">
        <f t="shared" si="33"/>
        <v>0</v>
      </c>
      <c r="AK55" s="15">
        <f t="shared" si="34"/>
        <v>0</v>
      </c>
      <c r="AL55" s="15">
        <f t="shared" si="35"/>
        <v>0</v>
      </c>
      <c r="AN55" s="29">
        <v>15</v>
      </c>
      <c r="AO55" s="29">
        <f>I55*0.794973913043478</f>
        <v>0</v>
      </c>
      <c r="AP55" s="29">
        <f>I55*(1-0.794973913043478)</f>
        <v>0</v>
      </c>
      <c r="AQ55" s="30" t="s">
        <v>7</v>
      </c>
      <c r="AV55" s="29">
        <f t="shared" si="36"/>
        <v>0</v>
      </c>
      <c r="AW55" s="29">
        <f t="shared" si="37"/>
        <v>0</v>
      </c>
      <c r="AX55" s="29">
        <f t="shared" si="38"/>
        <v>0</v>
      </c>
      <c r="AY55" s="32" t="s">
        <v>2896</v>
      </c>
      <c r="AZ55" s="32" t="s">
        <v>2937</v>
      </c>
      <c r="BA55" s="28" t="s">
        <v>2957</v>
      </c>
      <c r="BC55" s="29">
        <f t="shared" si="39"/>
        <v>0</v>
      </c>
      <c r="BD55" s="29">
        <f t="shared" si="40"/>
        <v>0</v>
      </c>
      <c r="BE55" s="29">
        <v>0</v>
      </c>
      <c r="BF55" s="29">
        <f>55</f>
        <v>55</v>
      </c>
      <c r="BH55" s="15">
        <f t="shared" si="41"/>
        <v>0</v>
      </c>
      <c r="BI55" s="15">
        <f t="shared" si="42"/>
        <v>0</v>
      </c>
      <c r="BJ55" s="15">
        <f t="shared" si="43"/>
        <v>0</v>
      </c>
      <c r="BK55" s="15" t="s">
        <v>2969</v>
      </c>
      <c r="BL55" s="29">
        <v>31</v>
      </c>
    </row>
    <row r="56" spans="1:64" ht="12.75">
      <c r="A56" s="4" t="s">
        <v>39</v>
      </c>
      <c r="B56" s="94" t="s">
        <v>1040</v>
      </c>
      <c r="C56" s="152" t="s">
        <v>1977</v>
      </c>
      <c r="D56" s="153"/>
      <c r="E56" s="153"/>
      <c r="F56" s="153"/>
      <c r="G56" s="94" t="s">
        <v>2850</v>
      </c>
      <c r="H56" s="73">
        <v>2</v>
      </c>
      <c r="I56" s="105">
        <v>0</v>
      </c>
      <c r="J56" s="15">
        <f t="shared" si="22"/>
        <v>0</v>
      </c>
      <c r="K56" s="15">
        <f t="shared" si="23"/>
        <v>0</v>
      </c>
      <c r="L56" s="15">
        <f t="shared" si="24"/>
        <v>0</v>
      </c>
      <c r="M56" s="25" t="s">
        <v>2872</v>
      </c>
      <c r="N56" s="5"/>
      <c r="Z56" s="29">
        <f t="shared" si="25"/>
        <v>0</v>
      </c>
      <c r="AB56" s="29">
        <f t="shared" si="26"/>
        <v>0</v>
      </c>
      <c r="AC56" s="29">
        <f t="shared" si="27"/>
        <v>0</v>
      </c>
      <c r="AD56" s="29">
        <f t="shared" si="28"/>
        <v>0</v>
      </c>
      <c r="AE56" s="29">
        <f t="shared" si="29"/>
        <v>0</v>
      </c>
      <c r="AF56" s="29">
        <f t="shared" si="30"/>
        <v>0</v>
      </c>
      <c r="AG56" s="29">
        <f t="shared" si="31"/>
        <v>0</v>
      </c>
      <c r="AH56" s="29">
        <f t="shared" si="32"/>
        <v>0</v>
      </c>
      <c r="AI56" s="28" t="s">
        <v>2882</v>
      </c>
      <c r="AJ56" s="15">
        <f t="shared" si="33"/>
        <v>0</v>
      </c>
      <c r="AK56" s="15">
        <f t="shared" si="34"/>
        <v>0</v>
      </c>
      <c r="AL56" s="15">
        <f t="shared" si="35"/>
        <v>0</v>
      </c>
      <c r="AN56" s="29">
        <v>15</v>
      </c>
      <c r="AO56" s="29">
        <f>I56*0.794973913043478</f>
        <v>0</v>
      </c>
      <c r="AP56" s="29">
        <f>I56*(1-0.794973913043478)</f>
        <v>0</v>
      </c>
      <c r="AQ56" s="30" t="s">
        <v>7</v>
      </c>
      <c r="AV56" s="29">
        <f t="shared" si="36"/>
        <v>0</v>
      </c>
      <c r="AW56" s="29">
        <f t="shared" si="37"/>
        <v>0</v>
      </c>
      <c r="AX56" s="29">
        <f t="shared" si="38"/>
        <v>0</v>
      </c>
      <c r="AY56" s="32" t="s">
        <v>2896</v>
      </c>
      <c r="AZ56" s="32" t="s">
        <v>2937</v>
      </c>
      <c r="BA56" s="28" t="s">
        <v>2957</v>
      </c>
      <c r="BC56" s="29">
        <f t="shared" si="39"/>
        <v>0</v>
      </c>
      <c r="BD56" s="29">
        <f t="shared" si="40"/>
        <v>0</v>
      </c>
      <c r="BE56" s="29">
        <v>0</v>
      </c>
      <c r="BF56" s="29">
        <f>56</f>
        <v>56</v>
      </c>
      <c r="BH56" s="15">
        <f t="shared" si="41"/>
        <v>0</v>
      </c>
      <c r="BI56" s="15">
        <f t="shared" si="42"/>
        <v>0</v>
      </c>
      <c r="BJ56" s="15">
        <f t="shared" si="43"/>
        <v>0</v>
      </c>
      <c r="BK56" s="15" t="s">
        <v>2969</v>
      </c>
      <c r="BL56" s="29">
        <v>31</v>
      </c>
    </row>
    <row r="57" spans="1:64" ht="12.75">
      <c r="A57" s="4" t="s">
        <v>40</v>
      </c>
      <c r="B57" s="94" t="s">
        <v>1041</v>
      </c>
      <c r="C57" s="152" t="s">
        <v>1978</v>
      </c>
      <c r="D57" s="153"/>
      <c r="E57" s="153"/>
      <c r="F57" s="153"/>
      <c r="G57" s="94" t="s">
        <v>2850</v>
      </c>
      <c r="H57" s="73">
        <v>1</v>
      </c>
      <c r="I57" s="105">
        <v>0</v>
      </c>
      <c r="J57" s="15">
        <f t="shared" si="22"/>
        <v>0</v>
      </c>
      <c r="K57" s="15">
        <f t="shared" si="23"/>
        <v>0</v>
      </c>
      <c r="L57" s="15">
        <f t="shared" si="24"/>
        <v>0</v>
      </c>
      <c r="M57" s="25" t="s">
        <v>2872</v>
      </c>
      <c r="N57" s="5"/>
      <c r="Z57" s="29">
        <f t="shared" si="25"/>
        <v>0</v>
      </c>
      <c r="AB57" s="29">
        <f t="shared" si="26"/>
        <v>0</v>
      </c>
      <c r="AC57" s="29">
        <f t="shared" si="27"/>
        <v>0</v>
      </c>
      <c r="AD57" s="29">
        <f t="shared" si="28"/>
        <v>0</v>
      </c>
      <c r="AE57" s="29">
        <f t="shared" si="29"/>
        <v>0</v>
      </c>
      <c r="AF57" s="29">
        <f t="shared" si="30"/>
        <v>0</v>
      </c>
      <c r="AG57" s="29">
        <f t="shared" si="31"/>
        <v>0</v>
      </c>
      <c r="AH57" s="29">
        <f t="shared" si="32"/>
        <v>0</v>
      </c>
      <c r="AI57" s="28" t="s">
        <v>2882</v>
      </c>
      <c r="AJ57" s="15">
        <f t="shared" si="33"/>
        <v>0</v>
      </c>
      <c r="AK57" s="15">
        <f t="shared" si="34"/>
        <v>0</v>
      </c>
      <c r="AL57" s="15">
        <f t="shared" si="35"/>
        <v>0</v>
      </c>
      <c r="AN57" s="29">
        <v>15</v>
      </c>
      <c r="AO57" s="29">
        <f>I57*0.810770465489567</f>
        <v>0</v>
      </c>
      <c r="AP57" s="29">
        <f>I57*(1-0.810770465489567)</f>
        <v>0</v>
      </c>
      <c r="AQ57" s="30" t="s">
        <v>7</v>
      </c>
      <c r="AV57" s="29">
        <f t="shared" si="36"/>
        <v>0</v>
      </c>
      <c r="AW57" s="29">
        <f t="shared" si="37"/>
        <v>0</v>
      </c>
      <c r="AX57" s="29">
        <f t="shared" si="38"/>
        <v>0</v>
      </c>
      <c r="AY57" s="32" t="s">
        <v>2896</v>
      </c>
      <c r="AZ57" s="32" t="s">
        <v>2937</v>
      </c>
      <c r="BA57" s="28" t="s">
        <v>2957</v>
      </c>
      <c r="BC57" s="29">
        <f t="shared" si="39"/>
        <v>0</v>
      </c>
      <c r="BD57" s="29">
        <f t="shared" si="40"/>
        <v>0</v>
      </c>
      <c r="BE57" s="29">
        <v>0</v>
      </c>
      <c r="BF57" s="29">
        <f>57</f>
        <v>57</v>
      </c>
      <c r="BH57" s="15">
        <f t="shared" si="41"/>
        <v>0</v>
      </c>
      <c r="BI57" s="15">
        <f t="shared" si="42"/>
        <v>0</v>
      </c>
      <c r="BJ57" s="15">
        <f t="shared" si="43"/>
        <v>0</v>
      </c>
      <c r="BK57" s="15" t="s">
        <v>2969</v>
      </c>
      <c r="BL57" s="29">
        <v>31</v>
      </c>
    </row>
    <row r="58" spans="1:64" ht="12.75">
      <c r="A58" s="4" t="s">
        <v>41</v>
      </c>
      <c r="B58" s="94" t="s">
        <v>1042</v>
      </c>
      <c r="C58" s="152" t="s">
        <v>1979</v>
      </c>
      <c r="D58" s="153"/>
      <c r="E58" s="153"/>
      <c r="F58" s="153"/>
      <c r="G58" s="94" t="s">
        <v>2850</v>
      </c>
      <c r="H58" s="73">
        <v>2</v>
      </c>
      <c r="I58" s="105">
        <v>0</v>
      </c>
      <c r="J58" s="15">
        <f t="shared" si="22"/>
        <v>0</v>
      </c>
      <c r="K58" s="15">
        <f t="shared" si="23"/>
        <v>0</v>
      </c>
      <c r="L58" s="15">
        <f t="shared" si="24"/>
        <v>0</v>
      </c>
      <c r="M58" s="25" t="s">
        <v>2872</v>
      </c>
      <c r="N58" s="5"/>
      <c r="Z58" s="29">
        <f t="shared" si="25"/>
        <v>0</v>
      </c>
      <c r="AB58" s="29">
        <f t="shared" si="26"/>
        <v>0</v>
      </c>
      <c r="AC58" s="29">
        <f t="shared" si="27"/>
        <v>0</v>
      </c>
      <c r="AD58" s="29">
        <f t="shared" si="28"/>
        <v>0</v>
      </c>
      <c r="AE58" s="29">
        <f t="shared" si="29"/>
        <v>0</v>
      </c>
      <c r="AF58" s="29">
        <f t="shared" si="30"/>
        <v>0</v>
      </c>
      <c r="AG58" s="29">
        <f t="shared" si="31"/>
        <v>0</v>
      </c>
      <c r="AH58" s="29">
        <f t="shared" si="32"/>
        <v>0</v>
      </c>
      <c r="AI58" s="28" t="s">
        <v>2882</v>
      </c>
      <c r="AJ58" s="15">
        <f t="shared" si="33"/>
        <v>0</v>
      </c>
      <c r="AK58" s="15">
        <f t="shared" si="34"/>
        <v>0</v>
      </c>
      <c r="AL58" s="15">
        <f t="shared" si="35"/>
        <v>0</v>
      </c>
      <c r="AN58" s="29">
        <v>15</v>
      </c>
      <c r="AO58" s="29">
        <f>I58*0.80862012987013</f>
        <v>0</v>
      </c>
      <c r="AP58" s="29">
        <f>I58*(1-0.80862012987013)</f>
        <v>0</v>
      </c>
      <c r="AQ58" s="30" t="s">
        <v>7</v>
      </c>
      <c r="AV58" s="29">
        <f t="shared" si="36"/>
        <v>0</v>
      </c>
      <c r="AW58" s="29">
        <f t="shared" si="37"/>
        <v>0</v>
      </c>
      <c r="AX58" s="29">
        <f t="shared" si="38"/>
        <v>0</v>
      </c>
      <c r="AY58" s="32" t="s">
        <v>2896</v>
      </c>
      <c r="AZ58" s="32" t="s">
        <v>2937</v>
      </c>
      <c r="BA58" s="28" t="s">
        <v>2957</v>
      </c>
      <c r="BC58" s="29">
        <f t="shared" si="39"/>
        <v>0</v>
      </c>
      <c r="BD58" s="29">
        <f t="shared" si="40"/>
        <v>0</v>
      </c>
      <c r="BE58" s="29">
        <v>0</v>
      </c>
      <c r="BF58" s="29">
        <f>58</f>
        <v>58</v>
      </c>
      <c r="BH58" s="15">
        <f t="shared" si="41"/>
        <v>0</v>
      </c>
      <c r="BI58" s="15">
        <f t="shared" si="42"/>
        <v>0</v>
      </c>
      <c r="BJ58" s="15">
        <f t="shared" si="43"/>
        <v>0</v>
      </c>
      <c r="BK58" s="15" t="s">
        <v>2969</v>
      </c>
      <c r="BL58" s="29">
        <v>31</v>
      </c>
    </row>
    <row r="59" spans="1:64" ht="12.75">
      <c r="A59" s="4" t="s">
        <v>42</v>
      </c>
      <c r="B59" s="94" t="s">
        <v>1043</v>
      </c>
      <c r="C59" s="152" t="s">
        <v>1980</v>
      </c>
      <c r="D59" s="153"/>
      <c r="E59" s="153"/>
      <c r="F59" s="153"/>
      <c r="G59" s="94" t="s">
        <v>2850</v>
      </c>
      <c r="H59" s="73">
        <v>22</v>
      </c>
      <c r="I59" s="105">
        <v>0</v>
      </c>
      <c r="J59" s="15">
        <f t="shared" si="22"/>
        <v>0</v>
      </c>
      <c r="K59" s="15">
        <f t="shared" si="23"/>
        <v>0</v>
      </c>
      <c r="L59" s="15">
        <f t="shared" si="24"/>
        <v>0</v>
      </c>
      <c r="M59" s="25" t="s">
        <v>2872</v>
      </c>
      <c r="N59" s="5"/>
      <c r="Z59" s="29">
        <f t="shared" si="25"/>
        <v>0</v>
      </c>
      <c r="AB59" s="29">
        <f t="shared" si="26"/>
        <v>0</v>
      </c>
      <c r="AC59" s="29">
        <f t="shared" si="27"/>
        <v>0</v>
      </c>
      <c r="AD59" s="29">
        <f t="shared" si="28"/>
        <v>0</v>
      </c>
      <c r="AE59" s="29">
        <f t="shared" si="29"/>
        <v>0</v>
      </c>
      <c r="AF59" s="29">
        <f t="shared" si="30"/>
        <v>0</v>
      </c>
      <c r="AG59" s="29">
        <f t="shared" si="31"/>
        <v>0</v>
      </c>
      <c r="AH59" s="29">
        <f t="shared" si="32"/>
        <v>0</v>
      </c>
      <c r="AI59" s="28" t="s">
        <v>2882</v>
      </c>
      <c r="AJ59" s="15">
        <f t="shared" si="33"/>
        <v>0</v>
      </c>
      <c r="AK59" s="15">
        <f t="shared" si="34"/>
        <v>0</v>
      </c>
      <c r="AL59" s="15">
        <f t="shared" si="35"/>
        <v>0</v>
      </c>
      <c r="AN59" s="29">
        <v>15</v>
      </c>
      <c r="AO59" s="29">
        <f>I59*0.841118598382749</f>
        <v>0</v>
      </c>
      <c r="AP59" s="29">
        <f>I59*(1-0.841118598382749)</f>
        <v>0</v>
      </c>
      <c r="AQ59" s="30" t="s">
        <v>7</v>
      </c>
      <c r="AV59" s="29">
        <f t="shared" si="36"/>
        <v>0</v>
      </c>
      <c r="AW59" s="29">
        <f t="shared" si="37"/>
        <v>0</v>
      </c>
      <c r="AX59" s="29">
        <f t="shared" si="38"/>
        <v>0</v>
      </c>
      <c r="AY59" s="32" t="s">
        <v>2896</v>
      </c>
      <c r="AZ59" s="32" t="s">
        <v>2937</v>
      </c>
      <c r="BA59" s="28" t="s">
        <v>2957</v>
      </c>
      <c r="BC59" s="29">
        <f t="shared" si="39"/>
        <v>0</v>
      </c>
      <c r="BD59" s="29">
        <f t="shared" si="40"/>
        <v>0</v>
      </c>
      <c r="BE59" s="29">
        <v>0</v>
      </c>
      <c r="BF59" s="29">
        <f>59</f>
        <v>59</v>
      </c>
      <c r="BH59" s="15">
        <f t="shared" si="41"/>
        <v>0</v>
      </c>
      <c r="BI59" s="15">
        <f t="shared" si="42"/>
        <v>0</v>
      </c>
      <c r="BJ59" s="15">
        <f t="shared" si="43"/>
        <v>0</v>
      </c>
      <c r="BK59" s="15" t="s">
        <v>2969</v>
      </c>
      <c r="BL59" s="29">
        <v>31</v>
      </c>
    </row>
    <row r="60" spans="1:64" ht="12.75">
      <c r="A60" s="4" t="s">
        <v>43</v>
      </c>
      <c r="B60" s="94" t="s">
        <v>1044</v>
      </c>
      <c r="C60" s="152" t="s">
        <v>1981</v>
      </c>
      <c r="D60" s="153"/>
      <c r="E60" s="153"/>
      <c r="F60" s="153"/>
      <c r="G60" s="94" t="s">
        <v>2850</v>
      </c>
      <c r="H60" s="73">
        <v>20</v>
      </c>
      <c r="I60" s="105">
        <v>0</v>
      </c>
      <c r="J60" s="15">
        <f t="shared" si="22"/>
        <v>0</v>
      </c>
      <c r="K60" s="15">
        <f t="shared" si="23"/>
        <v>0</v>
      </c>
      <c r="L60" s="15">
        <f t="shared" si="24"/>
        <v>0</v>
      </c>
      <c r="M60" s="25" t="s">
        <v>2872</v>
      </c>
      <c r="N60" s="5"/>
      <c r="Z60" s="29">
        <f t="shared" si="25"/>
        <v>0</v>
      </c>
      <c r="AB60" s="29">
        <f t="shared" si="26"/>
        <v>0</v>
      </c>
      <c r="AC60" s="29">
        <f t="shared" si="27"/>
        <v>0</v>
      </c>
      <c r="AD60" s="29">
        <f t="shared" si="28"/>
        <v>0</v>
      </c>
      <c r="AE60" s="29">
        <f t="shared" si="29"/>
        <v>0</v>
      </c>
      <c r="AF60" s="29">
        <f t="shared" si="30"/>
        <v>0</v>
      </c>
      <c r="AG60" s="29">
        <f t="shared" si="31"/>
        <v>0</v>
      </c>
      <c r="AH60" s="29">
        <f t="shared" si="32"/>
        <v>0</v>
      </c>
      <c r="AI60" s="28" t="s">
        <v>2882</v>
      </c>
      <c r="AJ60" s="15">
        <f t="shared" si="33"/>
        <v>0</v>
      </c>
      <c r="AK60" s="15">
        <f t="shared" si="34"/>
        <v>0</v>
      </c>
      <c r="AL60" s="15">
        <f t="shared" si="35"/>
        <v>0</v>
      </c>
      <c r="AN60" s="29">
        <v>15</v>
      </c>
      <c r="AO60" s="29">
        <f>I60*0.865422374429224</f>
        <v>0</v>
      </c>
      <c r="AP60" s="29">
        <f>I60*(1-0.865422374429224)</f>
        <v>0</v>
      </c>
      <c r="AQ60" s="30" t="s">
        <v>7</v>
      </c>
      <c r="AV60" s="29">
        <f t="shared" si="36"/>
        <v>0</v>
      </c>
      <c r="AW60" s="29">
        <f t="shared" si="37"/>
        <v>0</v>
      </c>
      <c r="AX60" s="29">
        <f t="shared" si="38"/>
        <v>0</v>
      </c>
      <c r="AY60" s="32" t="s">
        <v>2896</v>
      </c>
      <c r="AZ60" s="32" t="s">
        <v>2937</v>
      </c>
      <c r="BA60" s="28" t="s">
        <v>2957</v>
      </c>
      <c r="BC60" s="29">
        <f t="shared" si="39"/>
        <v>0</v>
      </c>
      <c r="BD60" s="29">
        <f t="shared" si="40"/>
        <v>0</v>
      </c>
      <c r="BE60" s="29">
        <v>0</v>
      </c>
      <c r="BF60" s="29">
        <f>60</f>
        <v>60</v>
      </c>
      <c r="BH60" s="15">
        <f t="shared" si="41"/>
        <v>0</v>
      </c>
      <c r="BI60" s="15">
        <f t="shared" si="42"/>
        <v>0</v>
      </c>
      <c r="BJ60" s="15">
        <f t="shared" si="43"/>
        <v>0</v>
      </c>
      <c r="BK60" s="15" t="s">
        <v>2969</v>
      </c>
      <c r="BL60" s="29">
        <v>31</v>
      </c>
    </row>
    <row r="61" spans="1:64" ht="12.75">
      <c r="A61" s="4" t="s">
        <v>44</v>
      </c>
      <c r="B61" s="94" t="s">
        <v>1045</v>
      </c>
      <c r="C61" s="152" t="s">
        <v>1982</v>
      </c>
      <c r="D61" s="153"/>
      <c r="E61" s="153"/>
      <c r="F61" s="153"/>
      <c r="G61" s="94" t="s">
        <v>2850</v>
      </c>
      <c r="H61" s="73">
        <v>2</v>
      </c>
      <c r="I61" s="105">
        <v>0</v>
      </c>
      <c r="J61" s="15">
        <f t="shared" si="22"/>
        <v>0</v>
      </c>
      <c r="K61" s="15">
        <f t="shared" si="23"/>
        <v>0</v>
      </c>
      <c r="L61" s="15">
        <f t="shared" si="24"/>
        <v>0</v>
      </c>
      <c r="M61" s="25" t="s">
        <v>2872</v>
      </c>
      <c r="N61" s="5"/>
      <c r="Z61" s="29">
        <f t="shared" si="25"/>
        <v>0</v>
      </c>
      <c r="AB61" s="29">
        <f t="shared" si="26"/>
        <v>0</v>
      </c>
      <c r="AC61" s="29">
        <f t="shared" si="27"/>
        <v>0</v>
      </c>
      <c r="AD61" s="29">
        <f t="shared" si="28"/>
        <v>0</v>
      </c>
      <c r="AE61" s="29">
        <f t="shared" si="29"/>
        <v>0</v>
      </c>
      <c r="AF61" s="29">
        <f t="shared" si="30"/>
        <v>0</v>
      </c>
      <c r="AG61" s="29">
        <f t="shared" si="31"/>
        <v>0</v>
      </c>
      <c r="AH61" s="29">
        <f t="shared" si="32"/>
        <v>0</v>
      </c>
      <c r="AI61" s="28" t="s">
        <v>2882</v>
      </c>
      <c r="AJ61" s="15">
        <f t="shared" si="33"/>
        <v>0</v>
      </c>
      <c r="AK61" s="15">
        <f t="shared" si="34"/>
        <v>0</v>
      </c>
      <c r="AL61" s="15">
        <f t="shared" si="35"/>
        <v>0</v>
      </c>
      <c r="AN61" s="29">
        <v>15</v>
      </c>
      <c r="AO61" s="29">
        <f>I61*0.867240990990991</f>
        <v>0</v>
      </c>
      <c r="AP61" s="29">
        <f>I61*(1-0.867240990990991)</f>
        <v>0</v>
      </c>
      <c r="AQ61" s="30" t="s">
        <v>7</v>
      </c>
      <c r="AV61" s="29">
        <f t="shared" si="36"/>
        <v>0</v>
      </c>
      <c r="AW61" s="29">
        <f t="shared" si="37"/>
        <v>0</v>
      </c>
      <c r="AX61" s="29">
        <f t="shared" si="38"/>
        <v>0</v>
      </c>
      <c r="AY61" s="32" t="s">
        <v>2896</v>
      </c>
      <c r="AZ61" s="32" t="s">
        <v>2937</v>
      </c>
      <c r="BA61" s="28" t="s">
        <v>2957</v>
      </c>
      <c r="BC61" s="29">
        <f t="shared" si="39"/>
        <v>0</v>
      </c>
      <c r="BD61" s="29">
        <f t="shared" si="40"/>
        <v>0</v>
      </c>
      <c r="BE61" s="29">
        <v>0</v>
      </c>
      <c r="BF61" s="29">
        <f>61</f>
        <v>61</v>
      </c>
      <c r="BH61" s="15">
        <f t="shared" si="41"/>
        <v>0</v>
      </c>
      <c r="BI61" s="15">
        <f t="shared" si="42"/>
        <v>0</v>
      </c>
      <c r="BJ61" s="15">
        <f t="shared" si="43"/>
        <v>0</v>
      </c>
      <c r="BK61" s="15" t="s">
        <v>2969</v>
      </c>
      <c r="BL61" s="29">
        <v>31</v>
      </c>
    </row>
    <row r="62" spans="1:64" ht="12.75">
      <c r="A62" s="4" t="s">
        <v>45</v>
      </c>
      <c r="B62" s="94" t="s">
        <v>1046</v>
      </c>
      <c r="C62" s="152" t="s">
        <v>1983</v>
      </c>
      <c r="D62" s="153"/>
      <c r="E62" s="153"/>
      <c r="F62" s="153"/>
      <c r="G62" s="94" t="s">
        <v>2850</v>
      </c>
      <c r="H62" s="73">
        <v>22</v>
      </c>
      <c r="I62" s="105">
        <v>0</v>
      </c>
      <c r="J62" s="15">
        <f t="shared" si="22"/>
        <v>0</v>
      </c>
      <c r="K62" s="15">
        <f t="shared" si="23"/>
        <v>0</v>
      </c>
      <c r="L62" s="15">
        <f t="shared" si="24"/>
        <v>0</v>
      </c>
      <c r="M62" s="25" t="s">
        <v>2872</v>
      </c>
      <c r="N62" s="5"/>
      <c r="Z62" s="29">
        <f t="shared" si="25"/>
        <v>0</v>
      </c>
      <c r="AB62" s="29">
        <f t="shared" si="26"/>
        <v>0</v>
      </c>
      <c r="AC62" s="29">
        <f t="shared" si="27"/>
        <v>0</v>
      </c>
      <c r="AD62" s="29">
        <f t="shared" si="28"/>
        <v>0</v>
      </c>
      <c r="AE62" s="29">
        <f t="shared" si="29"/>
        <v>0</v>
      </c>
      <c r="AF62" s="29">
        <f t="shared" si="30"/>
        <v>0</v>
      </c>
      <c r="AG62" s="29">
        <f t="shared" si="31"/>
        <v>0</v>
      </c>
      <c r="AH62" s="29">
        <f t="shared" si="32"/>
        <v>0</v>
      </c>
      <c r="AI62" s="28" t="s">
        <v>2882</v>
      </c>
      <c r="AJ62" s="15">
        <f t="shared" si="33"/>
        <v>0</v>
      </c>
      <c r="AK62" s="15">
        <f t="shared" si="34"/>
        <v>0</v>
      </c>
      <c r="AL62" s="15">
        <f t="shared" si="35"/>
        <v>0</v>
      </c>
      <c r="AN62" s="29">
        <v>15</v>
      </c>
      <c r="AO62" s="29">
        <f>I62*0.888149905123339</f>
        <v>0</v>
      </c>
      <c r="AP62" s="29">
        <f>I62*(1-0.888149905123339)</f>
        <v>0</v>
      </c>
      <c r="AQ62" s="30" t="s">
        <v>7</v>
      </c>
      <c r="AV62" s="29">
        <f t="shared" si="36"/>
        <v>0</v>
      </c>
      <c r="AW62" s="29">
        <f t="shared" si="37"/>
        <v>0</v>
      </c>
      <c r="AX62" s="29">
        <f t="shared" si="38"/>
        <v>0</v>
      </c>
      <c r="AY62" s="32" t="s">
        <v>2896</v>
      </c>
      <c r="AZ62" s="32" t="s">
        <v>2937</v>
      </c>
      <c r="BA62" s="28" t="s">
        <v>2957</v>
      </c>
      <c r="BC62" s="29">
        <f t="shared" si="39"/>
        <v>0</v>
      </c>
      <c r="BD62" s="29">
        <f t="shared" si="40"/>
        <v>0</v>
      </c>
      <c r="BE62" s="29">
        <v>0</v>
      </c>
      <c r="BF62" s="29">
        <f>62</f>
        <v>62</v>
      </c>
      <c r="BH62" s="15">
        <f t="shared" si="41"/>
        <v>0</v>
      </c>
      <c r="BI62" s="15">
        <f t="shared" si="42"/>
        <v>0</v>
      </c>
      <c r="BJ62" s="15">
        <f t="shared" si="43"/>
        <v>0</v>
      </c>
      <c r="BK62" s="15" t="s">
        <v>2969</v>
      </c>
      <c r="BL62" s="29">
        <v>31</v>
      </c>
    </row>
    <row r="63" spans="1:64" ht="12.75">
      <c r="A63" s="4" t="s">
        <v>46</v>
      </c>
      <c r="B63" s="94" t="s">
        <v>1047</v>
      </c>
      <c r="C63" s="152" t="s">
        <v>1984</v>
      </c>
      <c r="D63" s="153"/>
      <c r="E63" s="153"/>
      <c r="F63" s="153"/>
      <c r="G63" s="94" t="s">
        <v>2850</v>
      </c>
      <c r="H63" s="73">
        <v>20</v>
      </c>
      <c r="I63" s="105">
        <v>0</v>
      </c>
      <c r="J63" s="15">
        <f t="shared" si="22"/>
        <v>0</v>
      </c>
      <c r="K63" s="15">
        <f t="shared" si="23"/>
        <v>0</v>
      </c>
      <c r="L63" s="15">
        <f t="shared" si="24"/>
        <v>0</v>
      </c>
      <c r="M63" s="25" t="s">
        <v>2872</v>
      </c>
      <c r="N63" s="5"/>
      <c r="Z63" s="29">
        <f t="shared" si="25"/>
        <v>0</v>
      </c>
      <c r="AB63" s="29">
        <f t="shared" si="26"/>
        <v>0</v>
      </c>
      <c r="AC63" s="29">
        <f t="shared" si="27"/>
        <v>0</v>
      </c>
      <c r="AD63" s="29">
        <f t="shared" si="28"/>
        <v>0</v>
      </c>
      <c r="AE63" s="29">
        <f t="shared" si="29"/>
        <v>0</v>
      </c>
      <c r="AF63" s="29">
        <f t="shared" si="30"/>
        <v>0</v>
      </c>
      <c r="AG63" s="29">
        <f t="shared" si="31"/>
        <v>0</v>
      </c>
      <c r="AH63" s="29">
        <f t="shared" si="32"/>
        <v>0</v>
      </c>
      <c r="AI63" s="28" t="s">
        <v>2882</v>
      </c>
      <c r="AJ63" s="15">
        <f t="shared" si="33"/>
        <v>0</v>
      </c>
      <c r="AK63" s="15">
        <f t="shared" si="34"/>
        <v>0</v>
      </c>
      <c r="AL63" s="15">
        <f t="shared" si="35"/>
        <v>0</v>
      </c>
      <c r="AN63" s="29">
        <v>15</v>
      </c>
      <c r="AO63" s="29">
        <f>I63*0.88445232466509</f>
        <v>0</v>
      </c>
      <c r="AP63" s="29">
        <f>I63*(1-0.88445232466509)</f>
        <v>0</v>
      </c>
      <c r="AQ63" s="30" t="s">
        <v>7</v>
      </c>
      <c r="AV63" s="29">
        <f t="shared" si="36"/>
        <v>0</v>
      </c>
      <c r="AW63" s="29">
        <f t="shared" si="37"/>
        <v>0</v>
      </c>
      <c r="AX63" s="29">
        <f t="shared" si="38"/>
        <v>0</v>
      </c>
      <c r="AY63" s="32" t="s">
        <v>2896</v>
      </c>
      <c r="AZ63" s="32" t="s">
        <v>2937</v>
      </c>
      <c r="BA63" s="28" t="s">
        <v>2957</v>
      </c>
      <c r="BC63" s="29">
        <f t="shared" si="39"/>
        <v>0</v>
      </c>
      <c r="BD63" s="29">
        <f t="shared" si="40"/>
        <v>0</v>
      </c>
      <c r="BE63" s="29">
        <v>0</v>
      </c>
      <c r="BF63" s="29">
        <f>63</f>
        <v>63</v>
      </c>
      <c r="BH63" s="15">
        <f t="shared" si="41"/>
        <v>0</v>
      </c>
      <c r="BI63" s="15">
        <f t="shared" si="42"/>
        <v>0</v>
      </c>
      <c r="BJ63" s="15">
        <f t="shared" si="43"/>
        <v>0</v>
      </c>
      <c r="BK63" s="15" t="s">
        <v>2969</v>
      </c>
      <c r="BL63" s="29">
        <v>31</v>
      </c>
    </row>
    <row r="64" spans="1:47" ht="12.75">
      <c r="A64" s="3"/>
      <c r="B64" s="97" t="s">
        <v>40</v>
      </c>
      <c r="C64" s="161" t="s">
        <v>1985</v>
      </c>
      <c r="D64" s="162"/>
      <c r="E64" s="162"/>
      <c r="F64" s="162"/>
      <c r="G64" s="13" t="s">
        <v>6</v>
      </c>
      <c r="H64" s="13" t="s">
        <v>6</v>
      </c>
      <c r="I64" s="13" t="s">
        <v>6</v>
      </c>
      <c r="J64" s="34">
        <f>SUM(J65:J72)</f>
        <v>0</v>
      </c>
      <c r="K64" s="34">
        <f>SUM(K65:K72)</f>
        <v>0</v>
      </c>
      <c r="L64" s="34">
        <f>SUM(L65:L72)</f>
        <v>0</v>
      </c>
      <c r="M64" s="24"/>
      <c r="N64" s="5"/>
      <c r="AI64" s="28" t="s">
        <v>2882</v>
      </c>
      <c r="AS64" s="34">
        <f>SUM(AJ65:AJ72)</f>
        <v>0</v>
      </c>
      <c r="AT64" s="34">
        <f>SUM(AK65:AK72)</f>
        <v>0</v>
      </c>
      <c r="AU64" s="34">
        <f>SUM(AL65:AL72)</f>
        <v>0</v>
      </c>
    </row>
    <row r="65" spans="1:64" ht="12.75">
      <c r="A65" s="4" t="s">
        <v>47</v>
      </c>
      <c r="B65" s="94" t="s">
        <v>1048</v>
      </c>
      <c r="C65" s="152" t="s">
        <v>1986</v>
      </c>
      <c r="D65" s="153"/>
      <c r="E65" s="153"/>
      <c r="F65" s="153"/>
      <c r="G65" s="94" t="s">
        <v>2849</v>
      </c>
      <c r="H65" s="73">
        <v>6.288</v>
      </c>
      <c r="I65" s="105">
        <v>0</v>
      </c>
      <c r="J65" s="15">
        <f aca="true" t="shared" si="44" ref="J65:J72">H65*AO65</f>
        <v>0</v>
      </c>
      <c r="K65" s="15">
        <f aca="true" t="shared" si="45" ref="K65:K72">H65*AP65</f>
        <v>0</v>
      </c>
      <c r="L65" s="15">
        <f aca="true" t="shared" si="46" ref="L65:L72">H65*I65</f>
        <v>0</v>
      </c>
      <c r="M65" s="25" t="s">
        <v>2872</v>
      </c>
      <c r="N65" s="5"/>
      <c r="Z65" s="29">
        <f aca="true" t="shared" si="47" ref="Z65:Z72">IF(AQ65="5",BJ65,0)</f>
        <v>0</v>
      </c>
      <c r="AB65" s="29">
        <f aca="true" t="shared" si="48" ref="AB65:AB72">IF(AQ65="1",BH65,0)</f>
        <v>0</v>
      </c>
      <c r="AC65" s="29">
        <f aca="true" t="shared" si="49" ref="AC65:AC72">IF(AQ65="1",BI65,0)</f>
        <v>0</v>
      </c>
      <c r="AD65" s="29">
        <f aca="true" t="shared" si="50" ref="AD65:AD72">IF(AQ65="7",BH65,0)</f>
        <v>0</v>
      </c>
      <c r="AE65" s="29">
        <f aca="true" t="shared" si="51" ref="AE65:AE72">IF(AQ65="7",BI65,0)</f>
        <v>0</v>
      </c>
      <c r="AF65" s="29">
        <f aca="true" t="shared" si="52" ref="AF65:AF72">IF(AQ65="2",BH65,0)</f>
        <v>0</v>
      </c>
      <c r="AG65" s="29">
        <f aca="true" t="shared" si="53" ref="AG65:AG72">IF(AQ65="2",BI65,0)</f>
        <v>0</v>
      </c>
      <c r="AH65" s="29">
        <f aca="true" t="shared" si="54" ref="AH65:AH72">IF(AQ65="0",BJ65,0)</f>
        <v>0</v>
      </c>
      <c r="AI65" s="28" t="s">
        <v>2882</v>
      </c>
      <c r="AJ65" s="15">
        <f aca="true" t="shared" si="55" ref="AJ65:AJ72">IF(AN65=0,L65,0)</f>
        <v>0</v>
      </c>
      <c r="AK65" s="15">
        <f aca="true" t="shared" si="56" ref="AK65:AK72">IF(AN65=15,L65,0)</f>
        <v>0</v>
      </c>
      <c r="AL65" s="15">
        <f aca="true" t="shared" si="57" ref="AL65:AL72">IF(AN65=21,L65,0)</f>
        <v>0</v>
      </c>
      <c r="AN65" s="29">
        <v>15</v>
      </c>
      <c r="AO65" s="29">
        <f>I65*0.595111268740932</f>
        <v>0</v>
      </c>
      <c r="AP65" s="29">
        <f>I65*(1-0.595111268740932)</f>
        <v>0</v>
      </c>
      <c r="AQ65" s="30" t="s">
        <v>7</v>
      </c>
      <c r="AV65" s="29">
        <f aca="true" t="shared" si="58" ref="AV65:AV72">AW65+AX65</f>
        <v>0</v>
      </c>
      <c r="AW65" s="29">
        <f aca="true" t="shared" si="59" ref="AW65:AW72">H65*AO65</f>
        <v>0</v>
      </c>
      <c r="AX65" s="29">
        <f aca="true" t="shared" si="60" ref="AX65:AX72">H65*AP65</f>
        <v>0</v>
      </c>
      <c r="AY65" s="32" t="s">
        <v>2897</v>
      </c>
      <c r="AZ65" s="32" t="s">
        <v>2937</v>
      </c>
      <c r="BA65" s="28" t="s">
        <v>2957</v>
      </c>
      <c r="BC65" s="29">
        <f aca="true" t="shared" si="61" ref="BC65:BC72">AW65+AX65</f>
        <v>0</v>
      </c>
      <c r="BD65" s="29">
        <f aca="true" t="shared" si="62" ref="BD65:BD72">I65/(100-BE65)*100</f>
        <v>0</v>
      </c>
      <c r="BE65" s="29">
        <v>0</v>
      </c>
      <c r="BF65" s="29">
        <f>65</f>
        <v>65</v>
      </c>
      <c r="BH65" s="15">
        <f aca="true" t="shared" si="63" ref="BH65:BH72">H65*AO65</f>
        <v>0</v>
      </c>
      <c r="BI65" s="15">
        <f aca="true" t="shared" si="64" ref="BI65:BI72">H65*AP65</f>
        <v>0</v>
      </c>
      <c r="BJ65" s="15">
        <f aca="true" t="shared" si="65" ref="BJ65:BJ72">H65*I65</f>
        <v>0</v>
      </c>
      <c r="BK65" s="15" t="s">
        <v>2969</v>
      </c>
      <c r="BL65" s="29">
        <v>34</v>
      </c>
    </row>
    <row r="66" spans="1:64" ht="12.75">
      <c r="A66" s="4" t="s">
        <v>48</v>
      </c>
      <c r="B66" s="94" t="s">
        <v>1049</v>
      </c>
      <c r="C66" s="152" t="s">
        <v>1987</v>
      </c>
      <c r="D66" s="153"/>
      <c r="E66" s="153"/>
      <c r="F66" s="153"/>
      <c r="G66" s="94" t="s">
        <v>2849</v>
      </c>
      <c r="H66" s="73">
        <v>12.27</v>
      </c>
      <c r="I66" s="105">
        <v>0</v>
      </c>
      <c r="J66" s="15">
        <f t="shared" si="44"/>
        <v>0</v>
      </c>
      <c r="K66" s="15">
        <f t="shared" si="45"/>
        <v>0</v>
      </c>
      <c r="L66" s="15">
        <f t="shared" si="46"/>
        <v>0</v>
      </c>
      <c r="M66" s="25" t="s">
        <v>2872</v>
      </c>
      <c r="N66" s="5"/>
      <c r="Z66" s="29">
        <f t="shared" si="47"/>
        <v>0</v>
      </c>
      <c r="AB66" s="29">
        <f t="shared" si="48"/>
        <v>0</v>
      </c>
      <c r="AC66" s="29">
        <f t="shared" si="49"/>
        <v>0</v>
      </c>
      <c r="AD66" s="29">
        <f t="shared" si="50"/>
        <v>0</v>
      </c>
      <c r="AE66" s="29">
        <f t="shared" si="51"/>
        <v>0</v>
      </c>
      <c r="AF66" s="29">
        <f t="shared" si="52"/>
        <v>0</v>
      </c>
      <c r="AG66" s="29">
        <f t="shared" si="53"/>
        <v>0</v>
      </c>
      <c r="AH66" s="29">
        <f t="shared" si="54"/>
        <v>0</v>
      </c>
      <c r="AI66" s="28" t="s">
        <v>2882</v>
      </c>
      <c r="AJ66" s="15">
        <f t="shared" si="55"/>
        <v>0</v>
      </c>
      <c r="AK66" s="15">
        <f t="shared" si="56"/>
        <v>0</v>
      </c>
      <c r="AL66" s="15">
        <f t="shared" si="57"/>
        <v>0</v>
      </c>
      <c r="AN66" s="29">
        <v>15</v>
      </c>
      <c r="AO66" s="29">
        <f>I66*0.665807039259948</f>
        <v>0</v>
      </c>
      <c r="AP66" s="29">
        <f>I66*(1-0.665807039259948)</f>
        <v>0</v>
      </c>
      <c r="AQ66" s="30" t="s">
        <v>7</v>
      </c>
      <c r="AV66" s="29">
        <f t="shared" si="58"/>
        <v>0</v>
      </c>
      <c r="AW66" s="29">
        <f t="shared" si="59"/>
        <v>0</v>
      </c>
      <c r="AX66" s="29">
        <f t="shared" si="60"/>
        <v>0</v>
      </c>
      <c r="AY66" s="32" t="s">
        <v>2897</v>
      </c>
      <c r="AZ66" s="32" t="s">
        <v>2937</v>
      </c>
      <c r="BA66" s="28" t="s">
        <v>2957</v>
      </c>
      <c r="BC66" s="29">
        <f t="shared" si="61"/>
        <v>0</v>
      </c>
      <c r="BD66" s="29">
        <f t="shared" si="62"/>
        <v>0</v>
      </c>
      <c r="BE66" s="29">
        <v>0</v>
      </c>
      <c r="BF66" s="29">
        <f>66</f>
        <v>66</v>
      </c>
      <c r="BH66" s="15">
        <f t="shared" si="63"/>
        <v>0</v>
      </c>
      <c r="BI66" s="15">
        <f t="shared" si="64"/>
        <v>0</v>
      </c>
      <c r="BJ66" s="15">
        <f t="shared" si="65"/>
        <v>0</v>
      </c>
      <c r="BK66" s="15" t="s">
        <v>2969</v>
      </c>
      <c r="BL66" s="29">
        <v>34</v>
      </c>
    </row>
    <row r="67" spans="1:64" ht="12.75">
      <c r="A67" s="4" t="s">
        <v>49</v>
      </c>
      <c r="B67" s="94" t="s">
        <v>1050</v>
      </c>
      <c r="C67" s="152" t="s">
        <v>1988</v>
      </c>
      <c r="D67" s="153"/>
      <c r="E67" s="153"/>
      <c r="F67" s="153"/>
      <c r="G67" s="94" t="s">
        <v>2849</v>
      </c>
      <c r="H67" s="73">
        <v>345.874</v>
      </c>
      <c r="I67" s="105">
        <v>0</v>
      </c>
      <c r="J67" s="15">
        <f t="shared" si="44"/>
        <v>0</v>
      </c>
      <c r="K67" s="15">
        <f t="shared" si="45"/>
        <v>0</v>
      </c>
      <c r="L67" s="15">
        <f t="shared" si="46"/>
        <v>0</v>
      </c>
      <c r="M67" s="25" t="s">
        <v>2872</v>
      </c>
      <c r="N67" s="5"/>
      <c r="Z67" s="29">
        <f t="shared" si="47"/>
        <v>0</v>
      </c>
      <c r="AB67" s="29">
        <f t="shared" si="48"/>
        <v>0</v>
      </c>
      <c r="AC67" s="29">
        <f t="shared" si="49"/>
        <v>0</v>
      </c>
      <c r="AD67" s="29">
        <f t="shared" si="50"/>
        <v>0</v>
      </c>
      <c r="AE67" s="29">
        <f t="shared" si="51"/>
        <v>0</v>
      </c>
      <c r="AF67" s="29">
        <f t="shared" si="52"/>
        <v>0</v>
      </c>
      <c r="AG67" s="29">
        <f t="shared" si="53"/>
        <v>0</v>
      </c>
      <c r="AH67" s="29">
        <f t="shared" si="54"/>
        <v>0</v>
      </c>
      <c r="AI67" s="28" t="s">
        <v>2882</v>
      </c>
      <c r="AJ67" s="15">
        <f t="shared" si="55"/>
        <v>0</v>
      </c>
      <c r="AK67" s="15">
        <f t="shared" si="56"/>
        <v>0</v>
      </c>
      <c r="AL67" s="15">
        <f t="shared" si="57"/>
        <v>0</v>
      </c>
      <c r="AN67" s="29">
        <v>15</v>
      </c>
      <c r="AO67" s="29">
        <f>I67*0.795691167429693</f>
        <v>0</v>
      </c>
      <c r="AP67" s="29">
        <f>I67*(1-0.795691167429693)</f>
        <v>0</v>
      </c>
      <c r="AQ67" s="30" t="s">
        <v>7</v>
      </c>
      <c r="AV67" s="29">
        <f t="shared" si="58"/>
        <v>0</v>
      </c>
      <c r="AW67" s="29">
        <f t="shared" si="59"/>
        <v>0</v>
      </c>
      <c r="AX67" s="29">
        <f t="shared" si="60"/>
        <v>0</v>
      </c>
      <c r="AY67" s="32" t="s">
        <v>2897</v>
      </c>
      <c r="AZ67" s="32" t="s">
        <v>2937</v>
      </c>
      <c r="BA67" s="28" t="s">
        <v>2957</v>
      </c>
      <c r="BC67" s="29">
        <f t="shared" si="61"/>
        <v>0</v>
      </c>
      <c r="BD67" s="29">
        <f t="shared" si="62"/>
        <v>0</v>
      </c>
      <c r="BE67" s="29">
        <v>0</v>
      </c>
      <c r="BF67" s="29">
        <f>67</f>
        <v>67</v>
      </c>
      <c r="BH67" s="15">
        <f t="shared" si="63"/>
        <v>0</v>
      </c>
      <c r="BI67" s="15">
        <f t="shared" si="64"/>
        <v>0</v>
      </c>
      <c r="BJ67" s="15">
        <f t="shared" si="65"/>
        <v>0</v>
      </c>
      <c r="BK67" s="15" t="s">
        <v>2969</v>
      </c>
      <c r="BL67" s="29">
        <v>34</v>
      </c>
    </row>
    <row r="68" spans="1:64" ht="12.75">
      <c r="A68" s="4" t="s">
        <v>50</v>
      </c>
      <c r="B68" s="94" t="s">
        <v>1051</v>
      </c>
      <c r="C68" s="152" t="s">
        <v>1989</v>
      </c>
      <c r="D68" s="153"/>
      <c r="E68" s="153"/>
      <c r="F68" s="153"/>
      <c r="G68" s="94" t="s">
        <v>2849</v>
      </c>
      <c r="H68" s="73">
        <v>131.49</v>
      </c>
      <c r="I68" s="105">
        <v>0</v>
      </c>
      <c r="J68" s="15">
        <f t="shared" si="44"/>
        <v>0</v>
      </c>
      <c r="K68" s="15">
        <f t="shared" si="45"/>
        <v>0</v>
      </c>
      <c r="L68" s="15">
        <f t="shared" si="46"/>
        <v>0</v>
      </c>
      <c r="M68" s="25" t="s">
        <v>2872</v>
      </c>
      <c r="N68" s="5"/>
      <c r="Z68" s="29">
        <f t="shared" si="47"/>
        <v>0</v>
      </c>
      <c r="AB68" s="29">
        <f t="shared" si="48"/>
        <v>0</v>
      </c>
      <c r="AC68" s="29">
        <f t="shared" si="49"/>
        <v>0</v>
      </c>
      <c r="AD68" s="29">
        <f t="shared" si="50"/>
        <v>0</v>
      </c>
      <c r="AE68" s="29">
        <f t="shared" si="51"/>
        <v>0</v>
      </c>
      <c r="AF68" s="29">
        <f t="shared" si="52"/>
        <v>0</v>
      </c>
      <c r="AG68" s="29">
        <f t="shared" si="53"/>
        <v>0</v>
      </c>
      <c r="AH68" s="29">
        <f t="shared" si="54"/>
        <v>0</v>
      </c>
      <c r="AI68" s="28" t="s">
        <v>2882</v>
      </c>
      <c r="AJ68" s="15">
        <f t="shared" si="55"/>
        <v>0</v>
      </c>
      <c r="AK68" s="15">
        <f t="shared" si="56"/>
        <v>0</v>
      </c>
      <c r="AL68" s="15">
        <f t="shared" si="57"/>
        <v>0</v>
      </c>
      <c r="AN68" s="29">
        <v>15</v>
      </c>
      <c r="AO68" s="29">
        <f>I68*0.687008986594594</f>
        <v>0</v>
      </c>
      <c r="AP68" s="29">
        <f>I68*(1-0.687008986594594)</f>
        <v>0</v>
      </c>
      <c r="AQ68" s="30" t="s">
        <v>7</v>
      </c>
      <c r="AV68" s="29">
        <f t="shared" si="58"/>
        <v>0</v>
      </c>
      <c r="AW68" s="29">
        <f t="shared" si="59"/>
        <v>0</v>
      </c>
      <c r="AX68" s="29">
        <f t="shared" si="60"/>
        <v>0</v>
      </c>
      <c r="AY68" s="32" t="s">
        <v>2897</v>
      </c>
      <c r="AZ68" s="32" t="s">
        <v>2937</v>
      </c>
      <c r="BA68" s="28" t="s">
        <v>2957</v>
      </c>
      <c r="BC68" s="29">
        <f t="shared" si="61"/>
        <v>0</v>
      </c>
      <c r="BD68" s="29">
        <f t="shared" si="62"/>
        <v>0</v>
      </c>
      <c r="BE68" s="29">
        <v>0</v>
      </c>
      <c r="BF68" s="29">
        <f>68</f>
        <v>68</v>
      </c>
      <c r="BH68" s="15">
        <f t="shared" si="63"/>
        <v>0</v>
      </c>
      <c r="BI68" s="15">
        <f t="shared" si="64"/>
        <v>0</v>
      </c>
      <c r="BJ68" s="15">
        <f t="shared" si="65"/>
        <v>0</v>
      </c>
      <c r="BK68" s="15" t="s">
        <v>2969</v>
      </c>
      <c r="BL68" s="29">
        <v>34</v>
      </c>
    </row>
    <row r="69" spans="1:64" ht="12.75">
      <c r="A69" s="4" t="s">
        <v>51</v>
      </c>
      <c r="B69" s="94" t="s">
        <v>1052</v>
      </c>
      <c r="C69" s="152" t="s">
        <v>1990</v>
      </c>
      <c r="D69" s="153"/>
      <c r="E69" s="153"/>
      <c r="F69" s="153"/>
      <c r="G69" s="94" t="s">
        <v>2851</v>
      </c>
      <c r="H69" s="73">
        <v>175.11</v>
      </c>
      <c r="I69" s="105">
        <v>0</v>
      </c>
      <c r="J69" s="15">
        <f t="shared" si="44"/>
        <v>0</v>
      </c>
      <c r="K69" s="15">
        <f t="shared" si="45"/>
        <v>0</v>
      </c>
      <c r="L69" s="15">
        <f t="shared" si="46"/>
        <v>0</v>
      </c>
      <c r="M69" s="25" t="s">
        <v>2872</v>
      </c>
      <c r="N69" s="5"/>
      <c r="Z69" s="29">
        <f t="shared" si="47"/>
        <v>0</v>
      </c>
      <c r="AB69" s="29">
        <f t="shared" si="48"/>
        <v>0</v>
      </c>
      <c r="AC69" s="29">
        <f t="shared" si="49"/>
        <v>0</v>
      </c>
      <c r="AD69" s="29">
        <f t="shared" si="50"/>
        <v>0</v>
      </c>
      <c r="AE69" s="29">
        <f t="shared" si="51"/>
        <v>0</v>
      </c>
      <c r="AF69" s="29">
        <f t="shared" si="52"/>
        <v>0</v>
      </c>
      <c r="AG69" s="29">
        <f t="shared" si="53"/>
        <v>0</v>
      </c>
      <c r="AH69" s="29">
        <f t="shared" si="54"/>
        <v>0</v>
      </c>
      <c r="AI69" s="28" t="s">
        <v>2882</v>
      </c>
      <c r="AJ69" s="15">
        <f t="shared" si="55"/>
        <v>0</v>
      </c>
      <c r="AK69" s="15">
        <f t="shared" si="56"/>
        <v>0</v>
      </c>
      <c r="AL69" s="15">
        <f t="shared" si="57"/>
        <v>0</v>
      </c>
      <c r="AN69" s="29">
        <v>15</v>
      </c>
      <c r="AO69" s="29">
        <f>I69*0.190616628491591</f>
        <v>0</v>
      </c>
      <c r="AP69" s="29">
        <f>I69*(1-0.190616628491591)</f>
        <v>0</v>
      </c>
      <c r="AQ69" s="30" t="s">
        <v>7</v>
      </c>
      <c r="AV69" s="29">
        <f t="shared" si="58"/>
        <v>0</v>
      </c>
      <c r="AW69" s="29">
        <f t="shared" si="59"/>
        <v>0</v>
      </c>
      <c r="AX69" s="29">
        <f t="shared" si="60"/>
        <v>0</v>
      </c>
      <c r="AY69" s="32" t="s">
        <v>2897</v>
      </c>
      <c r="AZ69" s="32" t="s">
        <v>2937</v>
      </c>
      <c r="BA69" s="28" t="s">
        <v>2957</v>
      </c>
      <c r="BC69" s="29">
        <f t="shared" si="61"/>
        <v>0</v>
      </c>
      <c r="BD69" s="29">
        <f t="shared" si="62"/>
        <v>0</v>
      </c>
      <c r="BE69" s="29">
        <v>0</v>
      </c>
      <c r="BF69" s="29">
        <f>69</f>
        <v>69</v>
      </c>
      <c r="BH69" s="15">
        <f t="shared" si="63"/>
        <v>0</v>
      </c>
      <c r="BI69" s="15">
        <f t="shared" si="64"/>
        <v>0</v>
      </c>
      <c r="BJ69" s="15">
        <f t="shared" si="65"/>
        <v>0</v>
      </c>
      <c r="BK69" s="15" t="s">
        <v>2969</v>
      </c>
      <c r="BL69" s="29">
        <v>34</v>
      </c>
    </row>
    <row r="70" spans="1:64" ht="12.75">
      <c r="A70" s="4" t="s">
        <v>52</v>
      </c>
      <c r="B70" s="94" t="s">
        <v>1053</v>
      </c>
      <c r="C70" s="152" t="s">
        <v>1991</v>
      </c>
      <c r="D70" s="153"/>
      <c r="E70" s="153"/>
      <c r="F70" s="153"/>
      <c r="G70" s="94" t="s">
        <v>2851</v>
      </c>
      <c r="H70" s="73">
        <v>204.58</v>
      </c>
      <c r="I70" s="105">
        <v>0</v>
      </c>
      <c r="J70" s="15">
        <f t="shared" si="44"/>
        <v>0</v>
      </c>
      <c r="K70" s="15">
        <f t="shared" si="45"/>
        <v>0</v>
      </c>
      <c r="L70" s="15">
        <f t="shared" si="46"/>
        <v>0</v>
      </c>
      <c r="M70" s="25" t="s">
        <v>2872</v>
      </c>
      <c r="N70" s="5"/>
      <c r="Z70" s="29">
        <f t="shared" si="47"/>
        <v>0</v>
      </c>
      <c r="AB70" s="29">
        <f t="shared" si="48"/>
        <v>0</v>
      </c>
      <c r="AC70" s="29">
        <f t="shared" si="49"/>
        <v>0</v>
      </c>
      <c r="AD70" s="29">
        <f t="shared" si="50"/>
        <v>0</v>
      </c>
      <c r="AE70" s="29">
        <f t="shared" si="51"/>
        <v>0</v>
      </c>
      <c r="AF70" s="29">
        <f t="shared" si="52"/>
        <v>0</v>
      </c>
      <c r="AG70" s="29">
        <f t="shared" si="53"/>
        <v>0</v>
      </c>
      <c r="AH70" s="29">
        <f t="shared" si="54"/>
        <v>0</v>
      </c>
      <c r="AI70" s="28" t="s">
        <v>2882</v>
      </c>
      <c r="AJ70" s="15">
        <f t="shared" si="55"/>
        <v>0</v>
      </c>
      <c r="AK70" s="15">
        <f t="shared" si="56"/>
        <v>0</v>
      </c>
      <c r="AL70" s="15">
        <f t="shared" si="57"/>
        <v>0</v>
      </c>
      <c r="AN70" s="29">
        <v>15</v>
      </c>
      <c r="AO70" s="29">
        <f>I70*0.187191021027304</f>
        <v>0</v>
      </c>
      <c r="AP70" s="29">
        <f>I70*(1-0.187191021027304)</f>
        <v>0</v>
      </c>
      <c r="AQ70" s="30" t="s">
        <v>7</v>
      </c>
      <c r="AV70" s="29">
        <f t="shared" si="58"/>
        <v>0</v>
      </c>
      <c r="AW70" s="29">
        <f t="shared" si="59"/>
        <v>0</v>
      </c>
      <c r="AX70" s="29">
        <f t="shared" si="60"/>
        <v>0</v>
      </c>
      <c r="AY70" s="32" t="s">
        <v>2897</v>
      </c>
      <c r="AZ70" s="32" t="s">
        <v>2937</v>
      </c>
      <c r="BA70" s="28" t="s">
        <v>2957</v>
      </c>
      <c r="BC70" s="29">
        <f t="shared" si="61"/>
        <v>0</v>
      </c>
      <c r="BD70" s="29">
        <f t="shared" si="62"/>
        <v>0</v>
      </c>
      <c r="BE70" s="29">
        <v>0</v>
      </c>
      <c r="BF70" s="29">
        <f>70</f>
        <v>70</v>
      </c>
      <c r="BH70" s="15">
        <f t="shared" si="63"/>
        <v>0</v>
      </c>
      <c r="BI70" s="15">
        <f t="shared" si="64"/>
        <v>0</v>
      </c>
      <c r="BJ70" s="15">
        <f t="shared" si="65"/>
        <v>0</v>
      </c>
      <c r="BK70" s="15" t="s">
        <v>2969</v>
      </c>
      <c r="BL70" s="29">
        <v>34</v>
      </c>
    </row>
    <row r="71" spans="1:64" ht="12.75">
      <c r="A71" s="4" t="s">
        <v>53</v>
      </c>
      <c r="B71" s="94" t="s">
        <v>1054</v>
      </c>
      <c r="C71" s="152" t="s">
        <v>1992</v>
      </c>
      <c r="D71" s="153"/>
      <c r="E71" s="153"/>
      <c r="F71" s="153"/>
      <c r="G71" s="94" t="s">
        <v>2849</v>
      </c>
      <c r="H71" s="73">
        <v>131.43</v>
      </c>
      <c r="I71" s="105">
        <v>0</v>
      </c>
      <c r="J71" s="15">
        <f t="shared" si="44"/>
        <v>0</v>
      </c>
      <c r="K71" s="15">
        <f t="shared" si="45"/>
        <v>0</v>
      </c>
      <c r="L71" s="15">
        <f t="shared" si="46"/>
        <v>0</v>
      </c>
      <c r="M71" s="25" t="s">
        <v>2872</v>
      </c>
      <c r="N71" s="5"/>
      <c r="Z71" s="29">
        <f t="shared" si="47"/>
        <v>0</v>
      </c>
      <c r="AB71" s="29">
        <f t="shared" si="48"/>
        <v>0</v>
      </c>
      <c r="AC71" s="29">
        <f t="shared" si="49"/>
        <v>0</v>
      </c>
      <c r="AD71" s="29">
        <f t="shared" si="50"/>
        <v>0</v>
      </c>
      <c r="AE71" s="29">
        <f t="shared" si="51"/>
        <v>0</v>
      </c>
      <c r="AF71" s="29">
        <f t="shared" si="52"/>
        <v>0</v>
      </c>
      <c r="AG71" s="29">
        <f t="shared" si="53"/>
        <v>0</v>
      </c>
      <c r="AH71" s="29">
        <f t="shared" si="54"/>
        <v>0</v>
      </c>
      <c r="AI71" s="28" t="s">
        <v>2882</v>
      </c>
      <c r="AJ71" s="15">
        <f t="shared" si="55"/>
        <v>0</v>
      </c>
      <c r="AK71" s="15">
        <f t="shared" si="56"/>
        <v>0</v>
      </c>
      <c r="AL71" s="15">
        <f t="shared" si="57"/>
        <v>0</v>
      </c>
      <c r="AN71" s="29">
        <v>15</v>
      </c>
      <c r="AO71" s="29">
        <f>I71*0.247787036719673</f>
        <v>0</v>
      </c>
      <c r="AP71" s="29">
        <f>I71*(1-0.247787036719673)</f>
        <v>0</v>
      </c>
      <c r="AQ71" s="30" t="s">
        <v>7</v>
      </c>
      <c r="AV71" s="29">
        <f t="shared" si="58"/>
        <v>0</v>
      </c>
      <c r="AW71" s="29">
        <f t="shared" si="59"/>
        <v>0</v>
      </c>
      <c r="AX71" s="29">
        <f t="shared" si="60"/>
        <v>0</v>
      </c>
      <c r="AY71" s="32" t="s">
        <v>2897</v>
      </c>
      <c r="AZ71" s="32" t="s">
        <v>2937</v>
      </c>
      <c r="BA71" s="28" t="s">
        <v>2957</v>
      </c>
      <c r="BC71" s="29">
        <f t="shared" si="61"/>
        <v>0</v>
      </c>
      <c r="BD71" s="29">
        <f t="shared" si="62"/>
        <v>0</v>
      </c>
      <c r="BE71" s="29">
        <v>0</v>
      </c>
      <c r="BF71" s="29">
        <f>71</f>
        <v>71</v>
      </c>
      <c r="BH71" s="15">
        <f t="shared" si="63"/>
        <v>0</v>
      </c>
      <c r="BI71" s="15">
        <f t="shared" si="64"/>
        <v>0</v>
      </c>
      <c r="BJ71" s="15">
        <f t="shared" si="65"/>
        <v>0</v>
      </c>
      <c r="BK71" s="15" t="s">
        <v>2969</v>
      </c>
      <c r="BL71" s="29">
        <v>34</v>
      </c>
    </row>
    <row r="72" spans="1:64" ht="12.75">
      <c r="A72" s="4" t="s">
        <v>54</v>
      </c>
      <c r="B72" s="94" t="s">
        <v>1055</v>
      </c>
      <c r="C72" s="152" t="s">
        <v>1993</v>
      </c>
      <c r="D72" s="153"/>
      <c r="E72" s="153"/>
      <c r="F72" s="153"/>
      <c r="G72" s="94" t="s">
        <v>2851</v>
      </c>
      <c r="H72" s="73">
        <v>145.71</v>
      </c>
      <c r="I72" s="105">
        <v>0</v>
      </c>
      <c r="J72" s="15">
        <f t="shared" si="44"/>
        <v>0</v>
      </c>
      <c r="K72" s="15">
        <f t="shared" si="45"/>
        <v>0</v>
      </c>
      <c r="L72" s="15">
        <f t="shared" si="46"/>
        <v>0</v>
      </c>
      <c r="M72" s="25" t="s">
        <v>2872</v>
      </c>
      <c r="N72" s="5"/>
      <c r="Z72" s="29">
        <f t="shared" si="47"/>
        <v>0</v>
      </c>
      <c r="AB72" s="29">
        <f t="shared" si="48"/>
        <v>0</v>
      </c>
      <c r="AC72" s="29">
        <f t="shared" si="49"/>
        <v>0</v>
      </c>
      <c r="AD72" s="29">
        <f t="shared" si="50"/>
        <v>0</v>
      </c>
      <c r="AE72" s="29">
        <f t="shared" si="51"/>
        <v>0</v>
      </c>
      <c r="AF72" s="29">
        <f t="shared" si="52"/>
        <v>0</v>
      </c>
      <c r="AG72" s="29">
        <f t="shared" si="53"/>
        <v>0</v>
      </c>
      <c r="AH72" s="29">
        <f t="shared" si="54"/>
        <v>0</v>
      </c>
      <c r="AI72" s="28" t="s">
        <v>2882</v>
      </c>
      <c r="AJ72" s="15">
        <f t="shared" si="55"/>
        <v>0</v>
      </c>
      <c r="AK72" s="15">
        <f t="shared" si="56"/>
        <v>0</v>
      </c>
      <c r="AL72" s="15">
        <f t="shared" si="57"/>
        <v>0</v>
      </c>
      <c r="AN72" s="29">
        <v>15</v>
      </c>
      <c r="AO72" s="29">
        <f>I72*0.829825351358098</f>
        <v>0</v>
      </c>
      <c r="AP72" s="29">
        <f>I72*(1-0.829825351358098)</f>
        <v>0</v>
      </c>
      <c r="AQ72" s="30" t="s">
        <v>7</v>
      </c>
      <c r="AV72" s="29">
        <f t="shared" si="58"/>
        <v>0</v>
      </c>
      <c r="AW72" s="29">
        <f t="shared" si="59"/>
        <v>0</v>
      </c>
      <c r="AX72" s="29">
        <f t="shared" si="60"/>
        <v>0</v>
      </c>
      <c r="AY72" s="32" t="s">
        <v>2897</v>
      </c>
      <c r="AZ72" s="32" t="s">
        <v>2937</v>
      </c>
      <c r="BA72" s="28" t="s">
        <v>2957</v>
      </c>
      <c r="BC72" s="29">
        <f t="shared" si="61"/>
        <v>0</v>
      </c>
      <c r="BD72" s="29">
        <f t="shared" si="62"/>
        <v>0</v>
      </c>
      <c r="BE72" s="29">
        <v>0</v>
      </c>
      <c r="BF72" s="29">
        <f>72</f>
        <v>72</v>
      </c>
      <c r="BH72" s="15">
        <f t="shared" si="63"/>
        <v>0</v>
      </c>
      <c r="BI72" s="15">
        <f t="shared" si="64"/>
        <v>0</v>
      </c>
      <c r="BJ72" s="15">
        <f t="shared" si="65"/>
        <v>0</v>
      </c>
      <c r="BK72" s="15" t="s">
        <v>2969</v>
      </c>
      <c r="BL72" s="29">
        <v>34</v>
      </c>
    </row>
    <row r="73" spans="1:47" ht="12.75">
      <c r="A73" s="3"/>
      <c r="B73" s="97" t="s">
        <v>47</v>
      </c>
      <c r="C73" s="161" t="s">
        <v>1994</v>
      </c>
      <c r="D73" s="162"/>
      <c r="E73" s="162"/>
      <c r="F73" s="162"/>
      <c r="G73" s="13" t="s">
        <v>6</v>
      </c>
      <c r="H73" s="13" t="s">
        <v>6</v>
      </c>
      <c r="I73" s="13" t="s">
        <v>6</v>
      </c>
      <c r="J73" s="34">
        <f>SUM(J74:J92)</f>
        <v>0</v>
      </c>
      <c r="K73" s="34">
        <f>SUM(K74:K92)</f>
        <v>0</v>
      </c>
      <c r="L73" s="34">
        <f>SUM(L74:L92)</f>
        <v>0</v>
      </c>
      <c r="M73" s="24"/>
      <c r="N73" s="5"/>
      <c r="AI73" s="28" t="s">
        <v>2882</v>
      </c>
      <c r="AS73" s="34">
        <f>SUM(AJ74:AJ92)</f>
        <v>0</v>
      </c>
      <c r="AT73" s="34">
        <f>SUM(AK74:AK92)</f>
        <v>0</v>
      </c>
      <c r="AU73" s="34">
        <f>SUM(AL74:AL92)</f>
        <v>0</v>
      </c>
    </row>
    <row r="74" spans="1:64" ht="12.75">
      <c r="A74" s="198" t="s">
        <v>55</v>
      </c>
      <c r="B74" s="199" t="s">
        <v>3301</v>
      </c>
      <c r="C74" s="200" t="s">
        <v>3302</v>
      </c>
      <c r="D74" s="201"/>
      <c r="E74" s="201"/>
      <c r="F74" s="201"/>
      <c r="G74" s="199" t="s">
        <v>2849</v>
      </c>
      <c r="H74" s="202">
        <v>370.034</v>
      </c>
      <c r="I74" s="203">
        <v>0</v>
      </c>
      <c r="J74" s="204">
        <f aca="true" t="shared" si="66" ref="J74:J92">H74*AO74</f>
        <v>0</v>
      </c>
      <c r="K74" s="204">
        <f aca="true" t="shared" si="67" ref="K74:K92">H74*AP74</f>
        <v>0</v>
      </c>
      <c r="L74" s="204">
        <f aca="true" t="shared" si="68" ref="L74:L92">H74*I74</f>
        <v>0</v>
      </c>
      <c r="M74" s="205"/>
      <c r="N74" s="5"/>
      <c r="Z74" s="29">
        <f aca="true" t="shared" si="69" ref="Z74:Z92">IF(AQ74="5",BJ74,0)</f>
        <v>0</v>
      </c>
      <c r="AB74" s="29">
        <f aca="true" t="shared" si="70" ref="AB74:AB92">IF(AQ74="1",BH74,0)</f>
        <v>0</v>
      </c>
      <c r="AC74" s="29">
        <f aca="true" t="shared" si="71" ref="AC74:AC92">IF(AQ74="1",BI74,0)</f>
        <v>0</v>
      </c>
      <c r="AD74" s="29">
        <f aca="true" t="shared" si="72" ref="AD74:AD92">IF(AQ74="7",BH74,0)</f>
        <v>0</v>
      </c>
      <c r="AE74" s="29">
        <f aca="true" t="shared" si="73" ref="AE74:AE92">IF(AQ74="7",BI74,0)</f>
        <v>0</v>
      </c>
      <c r="AF74" s="29">
        <f aca="true" t="shared" si="74" ref="AF74:AF92">IF(AQ74="2",BH74,0)</f>
        <v>0</v>
      </c>
      <c r="AG74" s="29">
        <f aca="true" t="shared" si="75" ref="AG74:AG92">IF(AQ74="2",BI74,0)</f>
        <v>0</v>
      </c>
      <c r="AH74" s="29">
        <f aca="true" t="shared" si="76" ref="AH74:AH92">IF(AQ74="0",BJ74,0)</f>
        <v>0</v>
      </c>
      <c r="AI74" s="28" t="s">
        <v>2882</v>
      </c>
      <c r="AJ74" s="15">
        <f aca="true" t="shared" si="77" ref="AJ74:AJ92">IF(AN74=0,L74,0)</f>
        <v>0</v>
      </c>
      <c r="AK74" s="15">
        <f aca="true" t="shared" si="78" ref="AK74:AK92">IF(AN74=15,L74,0)</f>
        <v>0</v>
      </c>
      <c r="AL74" s="15">
        <f aca="true" t="shared" si="79" ref="AL74:AL92">IF(AN74=21,L74,0)</f>
        <v>0</v>
      </c>
      <c r="AN74" s="29">
        <v>15</v>
      </c>
      <c r="AO74" s="29">
        <f>I74*0.846061144229059</f>
        <v>0</v>
      </c>
      <c r="AP74" s="29">
        <f>I74*(1-0.846061144229059)</f>
        <v>0</v>
      </c>
      <c r="AQ74" s="30" t="s">
        <v>7</v>
      </c>
      <c r="AV74" s="29">
        <f aca="true" t="shared" si="80" ref="AV74:AV92">AW74+AX74</f>
        <v>0</v>
      </c>
      <c r="AW74" s="29">
        <f aca="true" t="shared" si="81" ref="AW74:AW92">H74*AO74</f>
        <v>0</v>
      </c>
      <c r="AX74" s="29">
        <f aca="true" t="shared" si="82" ref="AX74:AX92">H74*AP74</f>
        <v>0</v>
      </c>
      <c r="AY74" s="32" t="s">
        <v>2898</v>
      </c>
      <c r="AZ74" s="32" t="s">
        <v>2938</v>
      </c>
      <c r="BA74" s="28" t="s">
        <v>2957</v>
      </c>
      <c r="BC74" s="29">
        <f aca="true" t="shared" si="83" ref="BC74:BC92">AW74+AX74</f>
        <v>0</v>
      </c>
      <c r="BD74" s="29">
        <f aca="true" t="shared" si="84" ref="BD74:BD92">I74/(100-BE74)*100</f>
        <v>0</v>
      </c>
      <c r="BE74" s="29">
        <v>0</v>
      </c>
      <c r="BF74" s="29">
        <f>74</f>
        <v>74</v>
      </c>
      <c r="BH74" s="15">
        <f aca="true" t="shared" si="85" ref="BH74:BH92">H74*AO74</f>
        <v>0</v>
      </c>
      <c r="BI74" s="15">
        <f aca="true" t="shared" si="86" ref="BI74:BI92">H74*AP74</f>
        <v>0</v>
      </c>
      <c r="BJ74" s="15">
        <f aca="true" t="shared" si="87" ref="BJ74:BJ92">H74*I74</f>
        <v>0</v>
      </c>
      <c r="BK74" s="15" t="s">
        <v>2969</v>
      </c>
      <c r="BL74" s="29">
        <v>41</v>
      </c>
    </row>
    <row r="75" spans="1:64" ht="12.75">
      <c r="A75" s="4" t="s">
        <v>56</v>
      </c>
      <c r="B75" s="94" t="s">
        <v>1056</v>
      </c>
      <c r="C75" s="152" t="s">
        <v>1995</v>
      </c>
      <c r="D75" s="153"/>
      <c r="E75" s="153"/>
      <c r="F75" s="153"/>
      <c r="G75" s="94" t="s">
        <v>2847</v>
      </c>
      <c r="H75" s="73">
        <v>13.573</v>
      </c>
      <c r="I75" s="105">
        <v>0</v>
      </c>
      <c r="J75" s="15">
        <f t="shared" si="66"/>
        <v>0</v>
      </c>
      <c r="K75" s="15">
        <f t="shared" si="67"/>
        <v>0</v>
      </c>
      <c r="L75" s="15">
        <f t="shared" si="68"/>
        <v>0</v>
      </c>
      <c r="M75" s="25" t="s">
        <v>2872</v>
      </c>
      <c r="N75" s="5"/>
      <c r="Z75" s="29">
        <f t="shared" si="69"/>
        <v>0</v>
      </c>
      <c r="AB75" s="29">
        <f t="shared" si="70"/>
        <v>0</v>
      </c>
      <c r="AC75" s="29">
        <f t="shared" si="71"/>
        <v>0</v>
      </c>
      <c r="AD75" s="29">
        <f t="shared" si="72"/>
        <v>0</v>
      </c>
      <c r="AE75" s="29">
        <f t="shared" si="73"/>
        <v>0</v>
      </c>
      <c r="AF75" s="29">
        <f t="shared" si="74"/>
        <v>0</v>
      </c>
      <c r="AG75" s="29">
        <f t="shared" si="75"/>
        <v>0</v>
      </c>
      <c r="AH75" s="29">
        <f t="shared" si="76"/>
        <v>0</v>
      </c>
      <c r="AI75" s="28" t="s">
        <v>2882</v>
      </c>
      <c r="AJ75" s="15">
        <f t="shared" si="77"/>
        <v>0</v>
      </c>
      <c r="AK75" s="15">
        <f t="shared" si="78"/>
        <v>0</v>
      </c>
      <c r="AL75" s="15">
        <f t="shared" si="79"/>
        <v>0</v>
      </c>
      <c r="AN75" s="29">
        <v>15</v>
      </c>
      <c r="AO75" s="29">
        <f>I75*0.84551210420593</f>
        <v>0</v>
      </c>
      <c r="AP75" s="29">
        <f>I75*(1-0.84551210420593)</f>
        <v>0</v>
      </c>
      <c r="AQ75" s="30" t="s">
        <v>7</v>
      </c>
      <c r="AV75" s="29">
        <f t="shared" si="80"/>
        <v>0</v>
      </c>
      <c r="AW75" s="29">
        <f t="shared" si="81"/>
        <v>0</v>
      </c>
      <c r="AX75" s="29">
        <f t="shared" si="82"/>
        <v>0</v>
      </c>
      <c r="AY75" s="32" t="s">
        <v>2898</v>
      </c>
      <c r="AZ75" s="32" t="s">
        <v>2938</v>
      </c>
      <c r="BA75" s="28" t="s">
        <v>2957</v>
      </c>
      <c r="BC75" s="29">
        <f t="shared" si="83"/>
        <v>0</v>
      </c>
      <c r="BD75" s="29">
        <f t="shared" si="84"/>
        <v>0</v>
      </c>
      <c r="BE75" s="29">
        <v>0</v>
      </c>
      <c r="BF75" s="29">
        <f>75</f>
        <v>75</v>
      </c>
      <c r="BH75" s="15">
        <f t="shared" si="85"/>
        <v>0</v>
      </c>
      <c r="BI75" s="15">
        <f t="shared" si="86"/>
        <v>0</v>
      </c>
      <c r="BJ75" s="15">
        <f t="shared" si="87"/>
        <v>0</v>
      </c>
      <c r="BK75" s="15" t="s">
        <v>2969</v>
      </c>
      <c r="BL75" s="29">
        <v>41</v>
      </c>
    </row>
    <row r="76" spans="1:64" ht="12.75">
      <c r="A76" s="4" t="s">
        <v>57</v>
      </c>
      <c r="B76" s="94" t="s">
        <v>1057</v>
      </c>
      <c r="C76" s="152" t="s">
        <v>1996</v>
      </c>
      <c r="D76" s="153"/>
      <c r="E76" s="153"/>
      <c r="F76" s="153"/>
      <c r="G76" s="94" t="s">
        <v>2849</v>
      </c>
      <c r="H76" s="73">
        <v>72.615</v>
      </c>
      <c r="I76" s="105">
        <v>0</v>
      </c>
      <c r="J76" s="15">
        <f t="shared" si="66"/>
        <v>0</v>
      </c>
      <c r="K76" s="15">
        <f t="shared" si="67"/>
        <v>0</v>
      </c>
      <c r="L76" s="15">
        <f t="shared" si="68"/>
        <v>0</v>
      </c>
      <c r="M76" s="25" t="s">
        <v>2872</v>
      </c>
      <c r="N76" s="5"/>
      <c r="Z76" s="29">
        <f t="shared" si="69"/>
        <v>0</v>
      </c>
      <c r="AB76" s="29">
        <f t="shared" si="70"/>
        <v>0</v>
      </c>
      <c r="AC76" s="29">
        <f t="shared" si="71"/>
        <v>0</v>
      </c>
      <c r="AD76" s="29">
        <f t="shared" si="72"/>
        <v>0</v>
      </c>
      <c r="AE76" s="29">
        <f t="shared" si="73"/>
        <v>0</v>
      </c>
      <c r="AF76" s="29">
        <f t="shared" si="74"/>
        <v>0</v>
      </c>
      <c r="AG76" s="29">
        <f t="shared" si="75"/>
        <v>0</v>
      </c>
      <c r="AH76" s="29">
        <f t="shared" si="76"/>
        <v>0</v>
      </c>
      <c r="AI76" s="28" t="s">
        <v>2882</v>
      </c>
      <c r="AJ76" s="15">
        <f t="shared" si="77"/>
        <v>0</v>
      </c>
      <c r="AK76" s="15">
        <f t="shared" si="78"/>
        <v>0</v>
      </c>
      <c r="AL76" s="15">
        <f t="shared" si="79"/>
        <v>0</v>
      </c>
      <c r="AN76" s="29">
        <v>15</v>
      </c>
      <c r="AO76" s="29">
        <f>I76*0.371139631666862</f>
        <v>0</v>
      </c>
      <c r="AP76" s="29">
        <f>I76*(1-0.371139631666862)</f>
        <v>0</v>
      </c>
      <c r="AQ76" s="30" t="s">
        <v>7</v>
      </c>
      <c r="AV76" s="29">
        <f t="shared" si="80"/>
        <v>0</v>
      </c>
      <c r="AW76" s="29">
        <f t="shared" si="81"/>
        <v>0</v>
      </c>
      <c r="AX76" s="29">
        <f t="shared" si="82"/>
        <v>0</v>
      </c>
      <c r="AY76" s="32" t="s">
        <v>2898</v>
      </c>
      <c r="AZ76" s="32" t="s">
        <v>2938</v>
      </c>
      <c r="BA76" s="28" t="s">
        <v>2957</v>
      </c>
      <c r="BC76" s="29">
        <f t="shared" si="83"/>
        <v>0</v>
      </c>
      <c r="BD76" s="29">
        <f t="shared" si="84"/>
        <v>0</v>
      </c>
      <c r="BE76" s="29">
        <v>0</v>
      </c>
      <c r="BF76" s="29">
        <f>76</f>
        <v>76</v>
      </c>
      <c r="BH76" s="15">
        <f t="shared" si="85"/>
        <v>0</v>
      </c>
      <c r="BI76" s="15">
        <f t="shared" si="86"/>
        <v>0</v>
      </c>
      <c r="BJ76" s="15">
        <f t="shared" si="87"/>
        <v>0</v>
      </c>
      <c r="BK76" s="15" t="s">
        <v>2969</v>
      </c>
      <c r="BL76" s="29">
        <v>41</v>
      </c>
    </row>
    <row r="77" spans="1:64" ht="12.75">
      <c r="A77" s="4" t="s">
        <v>58</v>
      </c>
      <c r="B77" s="94" t="s">
        <v>1058</v>
      </c>
      <c r="C77" s="152" t="s">
        <v>1997</v>
      </c>
      <c r="D77" s="153"/>
      <c r="E77" s="153"/>
      <c r="F77" s="153"/>
      <c r="G77" s="94" t="s">
        <v>2849</v>
      </c>
      <c r="H77" s="73">
        <v>72.615</v>
      </c>
      <c r="I77" s="105">
        <v>0</v>
      </c>
      <c r="J77" s="15">
        <f t="shared" si="66"/>
        <v>0</v>
      </c>
      <c r="K77" s="15">
        <f t="shared" si="67"/>
        <v>0</v>
      </c>
      <c r="L77" s="15">
        <f t="shared" si="68"/>
        <v>0</v>
      </c>
      <c r="M77" s="25" t="s">
        <v>2872</v>
      </c>
      <c r="N77" s="5"/>
      <c r="Z77" s="29">
        <f t="shared" si="69"/>
        <v>0</v>
      </c>
      <c r="AB77" s="29">
        <f t="shared" si="70"/>
        <v>0</v>
      </c>
      <c r="AC77" s="29">
        <f t="shared" si="71"/>
        <v>0</v>
      </c>
      <c r="AD77" s="29">
        <f t="shared" si="72"/>
        <v>0</v>
      </c>
      <c r="AE77" s="29">
        <f t="shared" si="73"/>
        <v>0</v>
      </c>
      <c r="AF77" s="29">
        <f t="shared" si="74"/>
        <v>0</v>
      </c>
      <c r="AG77" s="29">
        <f t="shared" si="75"/>
        <v>0</v>
      </c>
      <c r="AH77" s="29">
        <f t="shared" si="76"/>
        <v>0</v>
      </c>
      <c r="AI77" s="28" t="s">
        <v>2882</v>
      </c>
      <c r="AJ77" s="15">
        <f t="shared" si="77"/>
        <v>0</v>
      </c>
      <c r="AK77" s="15">
        <f t="shared" si="78"/>
        <v>0</v>
      </c>
      <c r="AL77" s="15">
        <f t="shared" si="79"/>
        <v>0</v>
      </c>
      <c r="AN77" s="29">
        <v>15</v>
      </c>
      <c r="AO77" s="29">
        <f>I77*0</f>
        <v>0</v>
      </c>
      <c r="AP77" s="29">
        <f>I77*(1-0)</f>
        <v>0</v>
      </c>
      <c r="AQ77" s="30" t="s">
        <v>7</v>
      </c>
      <c r="AV77" s="29">
        <f t="shared" si="80"/>
        <v>0</v>
      </c>
      <c r="AW77" s="29">
        <f t="shared" si="81"/>
        <v>0</v>
      </c>
      <c r="AX77" s="29">
        <f t="shared" si="82"/>
        <v>0</v>
      </c>
      <c r="AY77" s="32" t="s">
        <v>2898</v>
      </c>
      <c r="AZ77" s="32" t="s">
        <v>2938</v>
      </c>
      <c r="BA77" s="28" t="s">
        <v>2957</v>
      </c>
      <c r="BC77" s="29">
        <f t="shared" si="83"/>
        <v>0</v>
      </c>
      <c r="BD77" s="29">
        <f t="shared" si="84"/>
        <v>0</v>
      </c>
      <c r="BE77" s="29">
        <v>0</v>
      </c>
      <c r="BF77" s="29">
        <f>77</f>
        <v>77</v>
      </c>
      <c r="BH77" s="15">
        <f t="shared" si="85"/>
        <v>0</v>
      </c>
      <c r="BI77" s="15">
        <f t="shared" si="86"/>
        <v>0</v>
      </c>
      <c r="BJ77" s="15">
        <f t="shared" si="87"/>
        <v>0</v>
      </c>
      <c r="BK77" s="15" t="s">
        <v>2969</v>
      </c>
      <c r="BL77" s="29">
        <v>41</v>
      </c>
    </row>
    <row r="78" spans="1:64" ht="12.75">
      <c r="A78" s="4" t="s">
        <v>59</v>
      </c>
      <c r="B78" s="94" t="s">
        <v>1059</v>
      </c>
      <c r="C78" s="152" t="s">
        <v>1998</v>
      </c>
      <c r="D78" s="153"/>
      <c r="E78" s="153"/>
      <c r="F78" s="153"/>
      <c r="G78" s="94" t="s">
        <v>2849</v>
      </c>
      <c r="H78" s="73">
        <v>54.293</v>
      </c>
      <c r="I78" s="105">
        <v>0</v>
      </c>
      <c r="J78" s="15">
        <f t="shared" si="66"/>
        <v>0</v>
      </c>
      <c r="K78" s="15">
        <f t="shared" si="67"/>
        <v>0</v>
      </c>
      <c r="L78" s="15">
        <f t="shared" si="68"/>
        <v>0</v>
      </c>
      <c r="M78" s="25" t="s">
        <v>2872</v>
      </c>
      <c r="N78" s="5"/>
      <c r="Z78" s="29">
        <f t="shared" si="69"/>
        <v>0</v>
      </c>
      <c r="AB78" s="29">
        <f t="shared" si="70"/>
        <v>0</v>
      </c>
      <c r="AC78" s="29">
        <f t="shared" si="71"/>
        <v>0</v>
      </c>
      <c r="AD78" s="29">
        <f t="shared" si="72"/>
        <v>0</v>
      </c>
      <c r="AE78" s="29">
        <f t="shared" si="73"/>
        <v>0</v>
      </c>
      <c r="AF78" s="29">
        <f t="shared" si="74"/>
        <v>0</v>
      </c>
      <c r="AG78" s="29">
        <f t="shared" si="75"/>
        <v>0</v>
      </c>
      <c r="AH78" s="29">
        <f t="shared" si="76"/>
        <v>0</v>
      </c>
      <c r="AI78" s="28" t="s">
        <v>2882</v>
      </c>
      <c r="AJ78" s="15">
        <f t="shared" si="77"/>
        <v>0</v>
      </c>
      <c r="AK78" s="15">
        <f t="shared" si="78"/>
        <v>0</v>
      </c>
      <c r="AL78" s="15">
        <f t="shared" si="79"/>
        <v>0</v>
      </c>
      <c r="AN78" s="29">
        <v>15</v>
      </c>
      <c r="AO78" s="29">
        <f>I78*0.135738316613244</f>
        <v>0</v>
      </c>
      <c r="AP78" s="29">
        <f>I78*(1-0.135738316613244)</f>
        <v>0</v>
      </c>
      <c r="AQ78" s="30" t="s">
        <v>7</v>
      </c>
      <c r="AV78" s="29">
        <f t="shared" si="80"/>
        <v>0</v>
      </c>
      <c r="AW78" s="29">
        <f t="shared" si="81"/>
        <v>0</v>
      </c>
      <c r="AX78" s="29">
        <f t="shared" si="82"/>
        <v>0</v>
      </c>
      <c r="AY78" s="32" t="s">
        <v>2898</v>
      </c>
      <c r="AZ78" s="32" t="s">
        <v>2938</v>
      </c>
      <c r="BA78" s="28" t="s">
        <v>2957</v>
      </c>
      <c r="BC78" s="29">
        <f t="shared" si="83"/>
        <v>0</v>
      </c>
      <c r="BD78" s="29">
        <f t="shared" si="84"/>
        <v>0</v>
      </c>
      <c r="BE78" s="29">
        <v>0</v>
      </c>
      <c r="BF78" s="29">
        <f>78</f>
        <v>78</v>
      </c>
      <c r="BH78" s="15">
        <f t="shared" si="85"/>
        <v>0</v>
      </c>
      <c r="BI78" s="15">
        <f t="shared" si="86"/>
        <v>0</v>
      </c>
      <c r="BJ78" s="15">
        <f t="shared" si="87"/>
        <v>0</v>
      </c>
      <c r="BK78" s="15" t="s">
        <v>2969</v>
      </c>
      <c r="BL78" s="29">
        <v>41</v>
      </c>
    </row>
    <row r="79" spans="1:64" ht="12.75">
      <c r="A79" s="4" t="s">
        <v>60</v>
      </c>
      <c r="B79" s="94" t="s">
        <v>1060</v>
      </c>
      <c r="C79" s="152" t="s">
        <v>1999</v>
      </c>
      <c r="D79" s="153"/>
      <c r="E79" s="153"/>
      <c r="F79" s="153"/>
      <c r="G79" s="94" t="s">
        <v>2849</v>
      </c>
      <c r="H79" s="73">
        <v>54.293</v>
      </c>
      <c r="I79" s="105">
        <v>0</v>
      </c>
      <c r="J79" s="15">
        <f t="shared" si="66"/>
        <v>0</v>
      </c>
      <c r="K79" s="15">
        <f t="shared" si="67"/>
        <v>0</v>
      </c>
      <c r="L79" s="15">
        <f t="shared" si="68"/>
        <v>0</v>
      </c>
      <c r="M79" s="25" t="s">
        <v>2872</v>
      </c>
      <c r="N79" s="5"/>
      <c r="Z79" s="29">
        <f t="shared" si="69"/>
        <v>0</v>
      </c>
      <c r="AB79" s="29">
        <f t="shared" si="70"/>
        <v>0</v>
      </c>
      <c r="AC79" s="29">
        <f t="shared" si="71"/>
        <v>0</v>
      </c>
      <c r="AD79" s="29">
        <f t="shared" si="72"/>
        <v>0</v>
      </c>
      <c r="AE79" s="29">
        <f t="shared" si="73"/>
        <v>0</v>
      </c>
      <c r="AF79" s="29">
        <f t="shared" si="74"/>
        <v>0</v>
      </c>
      <c r="AG79" s="29">
        <f t="shared" si="75"/>
        <v>0</v>
      </c>
      <c r="AH79" s="29">
        <f t="shared" si="76"/>
        <v>0</v>
      </c>
      <c r="AI79" s="28" t="s">
        <v>2882</v>
      </c>
      <c r="AJ79" s="15">
        <f t="shared" si="77"/>
        <v>0</v>
      </c>
      <c r="AK79" s="15">
        <f t="shared" si="78"/>
        <v>0</v>
      </c>
      <c r="AL79" s="15">
        <f t="shared" si="79"/>
        <v>0</v>
      </c>
      <c r="AN79" s="29">
        <v>15</v>
      </c>
      <c r="AO79" s="29">
        <f>I79*0</f>
        <v>0</v>
      </c>
      <c r="AP79" s="29">
        <f>I79*(1-0)</f>
        <v>0</v>
      </c>
      <c r="AQ79" s="30" t="s">
        <v>7</v>
      </c>
      <c r="AV79" s="29">
        <f t="shared" si="80"/>
        <v>0</v>
      </c>
      <c r="AW79" s="29">
        <f t="shared" si="81"/>
        <v>0</v>
      </c>
      <c r="AX79" s="29">
        <f t="shared" si="82"/>
        <v>0</v>
      </c>
      <c r="AY79" s="32" t="s">
        <v>2898</v>
      </c>
      <c r="AZ79" s="32" t="s">
        <v>2938</v>
      </c>
      <c r="BA79" s="28" t="s">
        <v>2957</v>
      </c>
      <c r="BC79" s="29">
        <f t="shared" si="83"/>
        <v>0</v>
      </c>
      <c r="BD79" s="29">
        <f t="shared" si="84"/>
        <v>0</v>
      </c>
      <c r="BE79" s="29">
        <v>0</v>
      </c>
      <c r="BF79" s="29">
        <f>79</f>
        <v>79</v>
      </c>
      <c r="BH79" s="15">
        <f t="shared" si="85"/>
        <v>0</v>
      </c>
      <c r="BI79" s="15">
        <f t="shared" si="86"/>
        <v>0</v>
      </c>
      <c r="BJ79" s="15">
        <f t="shared" si="87"/>
        <v>0</v>
      </c>
      <c r="BK79" s="15" t="s">
        <v>2969</v>
      </c>
      <c r="BL79" s="29">
        <v>41</v>
      </c>
    </row>
    <row r="80" spans="1:64" ht="12.75">
      <c r="A80" s="4" t="s">
        <v>61</v>
      </c>
      <c r="B80" s="94" t="s">
        <v>1061</v>
      </c>
      <c r="C80" s="152" t="s">
        <v>2000</v>
      </c>
      <c r="D80" s="153"/>
      <c r="E80" s="153"/>
      <c r="F80" s="153"/>
      <c r="G80" s="94" t="s">
        <v>2848</v>
      </c>
      <c r="H80" s="73">
        <v>3.394</v>
      </c>
      <c r="I80" s="105">
        <v>0</v>
      </c>
      <c r="J80" s="15">
        <f t="shared" si="66"/>
        <v>0</v>
      </c>
      <c r="K80" s="15">
        <f t="shared" si="67"/>
        <v>0</v>
      </c>
      <c r="L80" s="15">
        <f t="shared" si="68"/>
        <v>0</v>
      </c>
      <c r="M80" s="25" t="s">
        <v>2872</v>
      </c>
      <c r="N80" s="5"/>
      <c r="Z80" s="29">
        <f t="shared" si="69"/>
        <v>0</v>
      </c>
      <c r="AB80" s="29">
        <f t="shared" si="70"/>
        <v>0</v>
      </c>
      <c r="AC80" s="29">
        <f t="shared" si="71"/>
        <v>0</v>
      </c>
      <c r="AD80" s="29">
        <f t="shared" si="72"/>
        <v>0</v>
      </c>
      <c r="AE80" s="29">
        <f t="shared" si="73"/>
        <v>0</v>
      </c>
      <c r="AF80" s="29">
        <f t="shared" si="74"/>
        <v>0</v>
      </c>
      <c r="AG80" s="29">
        <f t="shared" si="75"/>
        <v>0</v>
      </c>
      <c r="AH80" s="29">
        <f t="shared" si="76"/>
        <v>0</v>
      </c>
      <c r="AI80" s="28" t="s">
        <v>2882</v>
      </c>
      <c r="AJ80" s="15">
        <f t="shared" si="77"/>
        <v>0</v>
      </c>
      <c r="AK80" s="15">
        <f t="shared" si="78"/>
        <v>0</v>
      </c>
      <c r="AL80" s="15">
        <f t="shared" si="79"/>
        <v>0</v>
      </c>
      <c r="AN80" s="29">
        <v>15</v>
      </c>
      <c r="AO80" s="29">
        <f>I80*0.758253418783168</f>
        <v>0</v>
      </c>
      <c r="AP80" s="29">
        <f>I80*(1-0.758253418783168)</f>
        <v>0</v>
      </c>
      <c r="AQ80" s="30" t="s">
        <v>7</v>
      </c>
      <c r="AV80" s="29">
        <f t="shared" si="80"/>
        <v>0</v>
      </c>
      <c r="AW80" s="29">
        <f t="shared" si="81"/>
        <v>0</v>
      </c>
      <c r="AX80" s="29">
        <f t="shared" si="82"/>
        <v>0</v>
      </c>
      <c r="AY80" s="32" t="s">
        <v>2898</v>
      </c>
      <c r="AZ80" s="32" t="s">
        <v>2938</v>
      </c>
      <c r="BA80" s="28" t="s">
        <v>2957</v>
      </c>
      <c r="BC80" s="29">
        <f t="shared" si="83"/>
        <v>0</v>
      </c>
      <c r="BD80" s="29">
        <f t="shared" si="84"/>
        <v>0</v>
      </c>
      <c r="BE80" s="29">
        <v>0</v>
      </c>
      <c r="BF80" s="29">
        <f>80</f>
        <v>80</v>
      </c>
      <c r="BH80" s="15">
        <f t="shared" si="85"/>
        <v>0</v>
      </c>
      <c r="BI80" s="15">
        <f t="shared" si="86"/>
        <v>0</v>
      </c>
      <c r="BJ80" s="15">
        <f t="shared" si="87"/>
        <v>0</v>
      </c>
      <c r="BK80" s="15" t="s">
        <v>2969</v>
      </c>
      <c r="BL80" s="29">
        <v>41</v>
      </c>
    </row>
    <row r="81" spans="1:64" ht="12.75">
      <c r="A81" s="4" t="s">
        <v>62</v>
      </c>
      <c r="B81" s="94" t="s">
        <v>1062</v>
      </c>
      <c r="C81" s="152" t="s">
        <v>2001</v>
      </c>
      <c r="D81" s="153"/>
      <c r="E81" s="153"/>
      <c r="F81" s="153"/>
      <c r="G81" s="94" t="s">
        <v>2850</v>
      </c>
      <c r="H81" s="73">
        <v>8</v>
      </c>
      <c r="I81" s="105">
        <v>0</v>
      </c>
      <c r="J81" s="15">
        <f t="shared" si="66"/>
        <v>0</v>
      </c>
      <c r="K81" s="15">
        <f t="shared" si="67"/>
        <v>0</v>
      </c>
      <c r="L81" s="15">
        <f t="shared" si="68"/>
        <v>0</v>
      </c>
      <c r="M81" s="25" t="s">
        <v>2872</v>
      </c>
      <c r="N81" s="5"/>
      <c r="Z81" s="29">
        <f t="shared" si="69"/>
        <v>0</v>
      </c>
      <c r="AB81" s="29">
        <f t="shared" si="70"/>
        <v>0</v>
      </c>
      <c r="AC81" s="29">
        <f t="shared" si="71"/>
        <v>0</v>
      </c>
      <c r="AD81" s="29">
        <f t="shared" si="72"/>
        <v>0</v>
      </c>
      <c r="AE81" s="29">
        <f t="shared" si="73"/>
        <v>0</v>
      </c>
      <c r="AF81" s="29">
        <f t="shared" si="74"/>
        <v>0</v>
      </c>
      <c r="AG81" s="29">
        <f t="shared" si="75"/>
        <v>0</v>
      </c>
      <c r="AH81" s="29">
        <f t="shared" si="76"/>
        <v>0</v>
      </c>
      <c r="AI81" s="28" t="s">
        <v>2882</v>
      </c>
      <c r="AJ81" s="15">
        <f t="shared" si="77"/>
        <v>0</v>
      </c>
      <c r="AK81" s="15">
        <f t="shared" si="78"/>
        <v>0</v>
      </c>
      <c r="AL81" s="15">
        <f t="shared" si="79"/>
        <v>0</v>
      </c>
      <c r="AN81" s="29">
        <v>15</v>
      </c>
      <c r="AO81" s="29">
        <f>I81*0.973757069572743</f>
        <v>0</v>
      </c>
      <c r="AP81" s="29">
        <f>I81*(1-0.973757069572743)</f>
        <v>0</v>
      </c>
      <c r="AQ81" s="30" t="s">
        <v>7</v>
      </c>
      <c r="AV81" s="29">
        <f t="shared" si="80"/>
        <v>0</v>
      </c>
      <c r="AW81" s="29">
        <f t="shared" si="81"/>
        <v>0</v>
      </c>
      <c r="AX81" s="29">
        <f t="shared" si="82"/>
        <v>0</v>
      </c>
      <c r="AY81" s="32" t="s">
        <v>2898</v>
      </c>
      <c r="AZ81" s="32" t="s">
        <v>2938</v>
      </c>
      <c r="BA81" s="28" t="s">
        <v>2957</v>
      </c>
      <c r="BC81" s="29">
        <f t="shared" si="83"/>
        <v>0</v>
      </c>
      <c r="BD81" s="29">
        <f t="shared" si="84"/>
        <v>0</v>
      </c>
      <c r="BE81" s="29">
        <v>0</v>
      </c>
      <c r="BF81" s="29">
        <f>81</f>
        <v>81</v>
      </c>
      <c r="BH81" s="15">
        <f t="shared" si="85"/>
        <v>0</v>
      </c>
      <c r="BI81" s="15">
        <f t="shared" si="86"/>
        <v>0</v>
      </c>
      <c r="BJ81" s="15">
        <f t="shared" si="87"/>
        <v>0</v>
      </c>
      <c r="BK81" s="15" t="s">
        <v>2969</v>
      </c>
      <c r="BL81" s="29">
        <v>41</v>
      </c>
    </row>
    <row r="82" spans="1:64" ht="12.75">
      <c r="A82" s="4" t="s">
        <v>63</v>
      </c>
      <c r="B82" s="94" t="s">
        <v>1063</v>
      </c>
      <c r="C82" s="152" t="s">
        <v>2002</v>
      </c>
      <c r="D82" s="153"/>
      <c r="E82" s="153"/>
      <c r="F82" s="153"/>
      <c r="G82" s="94" t="s">
        <v>2850</v>
      </c>
      <c r="H82" s="73">
        <v>12</v>
      </c>
      <c r="I82" s="105">
        <v>0</v>
      </c>
      <c r="J82" s="15">
        <f t="shared" si="66"/>
        <v>0</v>
      </c>
      <c r="K82" s="15">
        <f t="shared" si="67"/>
        <v>0</v>
      </c>
      <c r="L82" s="15">
        <f t="shared" si="68"/>
        <v>0</v>
      </c>
      <c r="M82" s="25" t="s">
        <v>2872</v>
      </c>
      <c r="N82" s="5"/>
      <c r="Z82" s="29">
        <f t="shared" si="69"/>
        <v>0</v>
      </c>
      <c r="AB82" s="29">
        <f t="shared" si="70"/>
        <v>0</v>
      </c>
      <c r="AC82" s="29">
        <f t="shared" si="71"/>
        <v>0</v>
      </c>
      <c r="AD82" s="29">
        <f t="shared" si="72"/>
        <v>0</v>
      </c>
      <c r="AE82" s="29">
        <f t="shared" si="73"/>
        <v>0</v>
      </c>
      <c r="AF82" s="29">
        <f t="shared" si="74"/>
        <v>0</v>
      </c>
      <c r="AG82" s="29">
        <f t="shared" si="75"/>
        <v>0</v>
      </c>
      <c r="AH82" s="29">
        <f t="shared" si="76"/>
        <v>0</v>
      </c>
      <c r="AI82" s="28" t="s">
        <v>2882</v>
      </c>
      <c r="AJ82" s="15">
        <f t="shared" si="77"/>
        <v>0</v>
      </c>
      <c r="AK82" s="15">
        <f t="shared" si="78"/>
        <v>0</v>
      </c>
      <c r="AL82" s="15">
        <f t="shared" si="79"/>
        <v>0</v>
      </c>
      <c r="AN82" s="29">
        <v>15</v>
      </c>
      <c r="AO82" s="29">
        <f>I82*0.117938299820284</f>
        <v>0</v>
      </c>
      <c r="AP82" s="29">
        <f>I82*(1-0.117938299820284)</f>
        <v>0</v>
      </c>
      <c r="AQ82" s="30" t="s">
        <v>7</v>
      </c>
      <c r="AV82" s="29">
        <f t="shared" si="80"/>
        <v>0</v>
      </c>
      <c r="AW82" s="29">
        <f t="shared" si="81"/>
        <v>0</v>
      </c>
      <c r="AX82" s="29">
        <f t="shared" si="82"/>
        <v>0</v>
      </c>
      <c r="AY82" s="32" t="s">
        <v>2898</v>
      </c>
      <c r="AZ82" s="32" t="s">
        <v>2938</v>
      </c>
      <c r="BA82" s="28" t="s">
        <v>2957</v>
      </c>
      <c r="BC82" s="29">
        <f t="shared" si="83"/>
        <v>0</v>
      </c>
      <c r="BD82" s="29">
        <f t="shared" si="84"/>
        <v>0</v>
      </c>
      <c r="BE82" s="29">
        <v>0</v>
      </c>
      <c r="BF82" s="29">
        <f>82</f>
        <v>82</v>
      </c>
      <c r="BH82" s="15">
        <f t="shared" si="85"/>
        <v>0</v>
      </c>
      <c r="BI82" s="15">
        <f t="shared" si="86"/>
        <v>0</v>
      </c>
      <c r="BJ82" s="15">
        <f t="shared" si="87"/>
        <v>0</v>
      </c>
      <c r="BK82" s="15" t="s">
        <v>2969</v>
      </c>
      <c r="BL82" s="29">
        <v>41</v>
      </c>
    </row>
    <row r="83" spans="1:64" ht="12.75">
      <c r="A83" s="4" t="s">
        <v>64</v>
      </c>
      <c r="B83" s="94" t="s">
        <v>1064</v>
      </c>
      <c r="C83" s="152" t="s">
        <v>2003</v>
      </c>
      <c r="D83" s="153"/>
      <c r="E83" s="153"/>
      <c r="F83" s="153"/>
      <c r="G83" s="94" t="s">
        <v>2849</v>
      </c>
      <c r="H83" s="73">
        <v>6</v>
      </c>
      <c r="I83" s="105">
        <v>0</v>
      </c>
      <c r="J83" s="15">
        <f t="shared" si="66"/>
        <v>0</v>
      </c>
      <c r="K83" s="15">
        <f t="shared" si="67"/>
        <v>0</v>
      </c>
      <c r="L83" s="15">
        <f t="shared" si="68"/>
        <v>0</v>
      </c>
      <c r="M83" s="25" t="s">
        <v>2872</v>
      </c>
      <c r="N83" s="5"/>
      <c r="Z83" s="29">
        <f t="shared" si="69"/>
        <v>0</v>
      </c>
      <c r="AB83" s="29">
        <f t="shared" si="70"/>
        <v>0</v>
      </c>
      <c r="AC83" s="29">
        <f t="shared" si="71"/>
        <v>0</v>
      </c>
      <c r="AD83" s="29">
        <f t="shared" si="72"/>
        <v>0</v>
      </c>
      <c r="AE83" s="29">
        <f t="shared" si="73"/>
        <v>0</v>
      </c>
      <c r="AF83" s="29">
        <f t="shared" si="74"/>
        <v>0</v>
      </c>
      <c r="AG83" s="29">
        <f t="shared" si="75"/>
        <v>0</v>
      </c>
      <c r="AH83" s="29">
        <f t="shared" si="76"/>
        <v>0</v>
      </c>
      <c r="AI83" s="28" t="s">
        <v>2882</v>
      </c>
      <c r="AJ83" s="15">
        <f t="shared" si="77"/>
        <v>0</v>
      </c>
      <c r="AK83" s="15">
        <f t="shared" si="78"/>
        <v>0</v>
      </c>
      <c r="AL83" s="15">
        <f t="shared" si="79"/>
        <v>0</v>
      </c>
      <c r="AN83" s="29">
        <v>15</v>
      </c>
      <c r="AO83" s="29">
        <f>I83*0.117935483870968</f>
        <v>0</v>
      </c>
      <c r="AP83" s="29">
        <f>I83*(1-0.117935483870968)</f>
        <v>0</v>
      </c>
      <c r="AQ83" s="30" t="s">
        <v>7</v>
      </c>
      <c r="AV83" s="29">
        <f t="shared" si="80"/>
        <v>0</v>
      </c>
      <c r="AW83" s="29">
        <f t="shared" si="81"/>
        <v>0</v>
      </c>
      <c r="AX83" s="29">
        <f t="shared" si="82"/>
        <v>0</v>
      </c>
      <c r="AY83" s="32" t="s">
        <v>2898</v>
      </c>
      <c r="AZ83" s="32" t="s">
        <v>2938</v>
      </c>
      <c r="BA83" s="28" t="s">
        <v>2957</v>
      </c>
      <c r="BC83" s="29">
        <f t="shared" si="83"/>
        <v>0</v>
      </c>
      <c r="BD83" s="29">
        <f t="shared" si="84"/>
        <v>0</v>
      </c>
      <c r="BE83" s="29">
        <v>0</v>
      </c>
      <c r="BF83" s="29">
        <f>83</f>
        <v>83</v>
      </c>
      <c r="BH83" s="15">
        <f t="shared" si="85"/>
        <v>0</v>
      </c>
      <c r="BI83" s="15">
        <f t="shared" si="86"/>
        <v>0</v>
      </c>
      <c r="BJ83" s="15">
        <f t="shared" si="87"/>
        <v>0</v>
      </c>
      <c r="BK83" s="15" t="s">
        <v>2969</v>
      </c>
      <c r="BL83" s="29">
        <v>41</v>
      </c>
    </row>
    <row r="84" spans="1:64" ht="12.75">
      <c r="A84" s="4" t="s">
        <v>65</v>
      </c>
      <c r="B84" s="94" t="s">
        <v>1065</v>
      </c>
      <c r="C84" s="152" t="s">
        <v>2004</v>
      </c>
      <c r="D84" s="153"/>
      <c r="E84" s="153"/>
      <c r="F84" s="153"/>
      <c r="G84" s="94" t="s">
        <v>2849</v>
      </c>
      <c r="H84" s="73">
        <v>214.47</v>
      </c>
      <c r="I84" s="105">
        <v>0</v>
      </c>
      <c r="J84" s="15">
        <f t="shared" si="66"/>
        <v>0</v>
      </c>
      <c r="K84" s="15">
        <f t="shared" si="67"/>
        <v>0</v>
      </c>
      <c r="L84" s="15">
        <f t="shared" si="68"/>
        <v>0</v>
      </c>
      <c r="M84" s="25" t="s">
        <v>2872</v>
      </c>
      <c r="N84" s="5"/>
      <c r="Z84" s="29">
        <f t="shared" si="69"/>
        <v>0</v>
      </c>
      <c r="AB84" s="29">
        <f t="shared" si="70"/>
        <v>0</v>
      </c>
      <c r="AC84" s="29">
        <f t="shared" si="71"/>
        <v>0</v>
      </c>
      <c r="AD84" s="29">
        <f t="shared" si="72"/>
        <v>0</v>
      </c>
      <c r="AE84" s="29">
        <f t="shared" si="73"/>
        <v>0</v>
      </c>
      <c r="AF84" s="29">
        <f t="shared" si="74"/>
        <v>0</v>
      </c>
      <c r="AG84" s="29">
        <f t="shared" si="75"/>
        <v>0</v>
      </c>
      <c r="AH84" s="29">
        <f t="shared" si="76"/>
        <v>0</v>
      </c>
      <c r="AI84" s="28" t="s">
        <v>2882</v>
      </c>
      <c r="AJ84" s="15">
        <f t="shared" si="77"/>
        <v>0</v>
      </c>
      <c r="AK84" s="15">
        <f t="shared" si="78"/>
        <v>0</v>
      </c>
      <c r="AL84" s="15">
        <f t="shared" si="79"/>
        <v>0</v>
      </c>
      <c r="AN84" s="29">
        <v>15</v>
      </c>
      <c r="AO84" s="29">
        <f>I84*0.3692138605531</f>
        <v>0</v>
      </c>
      <c r="AP84" s="29">
        <f>I84*(1-0.3692138605531)</f>
        <v>0</v>
      </c>
      <c r="AQ84" s="30" t="s">
        <v>7</v>
      </c>
      <c r="AV84" s="29">
        <f t="shared" si="80"/>
        <v>0</v>
      </c>
      <c r="AW84" s="29">
        <f t="shared" si="81"/>
        <v>0</v>
      </c>
      <c r="AX84" s="29">
        <f t="shared" si="82"/>
        <v>0</v>
      </c>
      <c r="AY84" s="32" t="s">
        <v>2898</v>
      </c>
      <c r="AZ84" s="32" t="s">
        <v>2938</v>
      </c>
      <c r="BA84" s="28" t="s">
        <v>2957</v>
      </c>
      <c r="BC84" s="29">
        <f t="shared" si="83"/>
        <v>0</v>
      </c>
      <c r="BD84" s="29">
        <f t="shared" si="84"/>
        <v>0</v>
      </c>
      <c r="BE84" s="29">
        <v>0</v>
      </c>
      <c r="BF84" s="29">
        <f>84</f>
        <v>84</v>
      </c>
      <c r="BH84" s="15">
        <f t="shared" si="85"/>
        <v>0</v>
      </c>
      <c r="BI84" s="15">
        <f t="shared" si="86"/>
        <v>0</v>
      </c>
      <c r="BJ84" s="15">
        <f t="shared" si="87"/>
        <v>0</v>
      </c>
      <c r="BK84" s="15" t="s">
        <v>2969</v>
      </c>
      <c r="BL84" s="29">
        <v>41</v>
      </c>
    </row>
    <row r="85" spans="1:64" ht="12.75">
      <c r="A85" s="4" t="s">
        <v>66</v>
      </c>
      <c r="B85" s="94" t="s">
        <v>1066</v>
      </c>
      <c r="C85" s="152" t="s">
        <v>2005</v>
      </c>
      <c r="D85" s="153"/>
      <c r="E85" s="153"/>
      <c r="F85" s="153"/>
      <c r="G85" s="94" t="s">
        <v>2849</v>
      </c>
      <c r="H85" s="73">
        <v>81.32</v>
      </c>
      <c r="I85" s="105">
        <v>0</v>
      </c>
      <c r="J85" s="15">
        <f t="shared" si="66"/>
        <v>0</v>
      </c>
      <c r="K85" s="15">
        <f t="shared" si="67"/>
        <v>0</v>
      </c>
      <c r="L85" s="15">
        <f t="shared" si="68"/>
        <v>0</v>
      </c>
      <c r="M85" s="25" t="s">
        <v>2872</v>
      </c>
      <c r="N85" s="5"/>
      <c r="Z85" s="29">
        <f t="shared" si="69"/>
        <v>0</v>
      </c>
      <c r="AB85" s="29">
        <f t="shared" si="70"/>
        <v>0</v>
      </c>
      <c r="AC85" s="29">
        <f t="shared" si="71"/>
        <v>0</v>
      </c>
      <c r="AD85" s="29">
        <f t="shared" si="72"/>
        <v>0</v>
      </c>
      <c r="AE85" s="29">
        <f t="shared" si="73"/>
        <v>0</v>
      </c>
      <c r="AF85" s="29">
        <f t="shared" si="74"/>
        <v>0</v>
      </c>
      <c r="AG85" s="29">
        <f t="shared" si="75"/>
        <v>0</v>
      </c>
      <c r="AH85" s="29">
        <f t="shared" si="76"/>
        <v>0</v>
      </c>
      <c r="AI85" s="28" t="s">
        <v>2882</v>
      </c>
      <c r="AJ85" s="15">
        <f t="shared" si="77"/>
        <v>0</v>
      </c>
      <c r="AK85" s="15">
        <f t="shared" si="78"/>
        <v>0</v>
      </c>
      <c r="AL85" s="15">
        <f t="shared" si="79"/>
        <v>0</v>
      </c>
      <c r="AN85" s="29">
        <v>15</v>
      </c>
      <c r="AO85" s="29">
        <f>I85*0.705255505704894</f>
        <v>0</v>
      </c>
      <c r="AP85" s="29">
        <f>I85*(1-0.705255505704894)</f>
        <v>0</v>
      </c>
      <c r="AQ85" s="30" t="s">
        <v>7</v>
      </c>
      <c r="AV85" s="29">
        <f t="shared" si="80"/>
        <v>0</v>
      </c>
      <c r="AW85" s="29">
        <f t="shared" si="81"/>
        <v>0</v>
      </c>
      <c r="AX85" s="29">
        <f t="shared" si="82"/>
        <v>0</v>
      </c>
      <c r="AY85" s="32" t="s">
        <v>2898</v>
      </c>
      <c r="AZ85" s="32" t="s">
        <v>2938</v>
      </c>
      <c r="BA85" s="28" t="s">
        <v>2957</v>
      </c>
      <c r="BC85" s="29">
        <f t="shared" si="83"/>
        <v>0</v>
      </c>
      <c r="BD85" s="29">
        <f t="shared" si="84"/>
        <v>0</v>
      </c>
      <c r="BE85" s="29">
        <v>0</v>
      </c>
      <c r="BF85" s="29">
        <f>85</f>
        <v>85</v>
      </c>
      <c r="BH85" s="15">
        <f t="shared" si="85"/>
        <v>0</v>
      </c>
      <c r="BI85" s="15">
        <f t="shared" si="86"/>
        <v>0</v>
      </c>
      <c r="BJ85" s="15">
        <f t="shared" si="87"/>
        <v>0</v>
      </c>
      <c r="BK85" s="15" t="s">
        <v>2969</v>
      </c>
      <c r="BL85" s="29">
        <v>41</v>
      </c>
    </row>
    <row r="86" spans="1:64" ht="12.75">
      <c r="A86" s="4" t="s">
        <v>67</v>
      </c>
      <c r="B86" s="94" t="s">
        <v>1067</v>
      </c>
      <c r="C86" s="152" t="s">
        <v>2006</v>
      </c>
      <c r="D86" s="153"/>
      <c r="E86" s="153"/>
      <c r="F86" s="153"/>
      <c r="G86" s="94" t="s">
        <v>2849</v>
      </c>
      <c r="H86" s="73">
        <v>83.83</v>
      </c>
      <c r="I86" s="105">
        <v>0</v>
      </c>
      <c r="J86" s="15">
        <f t="shared" si="66"/>
        <v>0</v>
      </c>
      <c r="K86" s="15">
        <f t="shared" si="67"/>
        <v>0</v>
      </c>
      <c r="L86" s="15">
        <f t="shared" si="68"/>
        <v>0</v>
      </c>
      <c r="M86" s="25" t="s">
        <v>2872</v>
      </c>
      <c r="N86" s="5"/>
      <c r="Z86" s="29">
        <f t="shared" si="69"/>
        <v>0</v>
      </c>
      <c r="AB86" s="29">
        <f t="shared" si="70"/>
        <v>0</v>
      </c>
      <c r="AC86" s="29">
        <f t="shared" si="71"/>
        <v>0</v>
      </c>
      <c r="AD86" s="29">
        <f t="shared" si="72"/>
        <v>0</v>
      </c>
      <c r="AE86" s="29">
        <f t="shared" si="73"/>
        <v>0</v>
      </c>
      <c r="AF86" s="29">
        <f t="shared" si="74"/>
        <v>0</v>
      </c>
      <c r="AG86" s="29">
        <f t="shared" si="75"/>
        <v>0</v>
      </c>
      <c r="AH86" s="29">
        <f t="shared" si="76"/>
        <v>0</v>
      </c>
      <c r="AI86" s="28" t="s">
        <v>2882</v>
      </c>
      <c r="AJ86" s="15">
        <f t="shared" si="77"/>
        <v>0</v>
      </c>
      <c r="AK86" s="15">
        <f t="shared" si="78"/>
        <v>0</v>
      </c>
      <c r="AL86" s="15">
        <f t="shared" si="79"/>
        <v>0</v>
      </c>
      <c r="AN86" s="29">
        <v>15</v>
      </c>
      <c r="AO86" s="29">
        <f>I86*0.759975890996364</f>
        <v>0</v>
      </c>
      <c r="AP86" s="29">
        <f>I86*(1-0.759975890996364)</f>
        <v>0</v>
      </c>
      <c r="AQ86" s="30" t="s">
        <v>7</v>
      </c>
      <c r="AV86" s="29">
        <f t="shared" si="80"/>
        <v>0</v>
      </c>
      <c r="AW86" s="29">
        <f t="shared" si="81"/>
        <v>0</v>
      </c>
      <c r="AX86" s="29">
        <f t="shared" si="82"/>
        <v>0</v>
      </c>
      <c r="AY86" s="32" t="s">
        <v>2898</v>
      </c>
      <c r="AZ86" s="32" t="s">
        <v>2938</v>
      </c>
      <c r="BA86" s="28" t="s">
        <v>2957</v>
      </c>
      <c r="BC86" s="29">
        <f t="shared" si="83"/>
        <v>0</v>
      </c>
      <c r="BD86" s="29">
        <f t="shared" si="84"/>
        <v>0</v>
      </c>
      <c r="BE86" s="29">
        <v>0</v>
      </c>
      <c r="BF86" s="29">
        <f>86</f>
        <v>86</v>
      </c>
      <c r="BH86" s="15">
        <f t="shared" si="85"/>
        <v>0</v>
      </c>
      <c r="BI86" s="15">
        <f t="shared" si="86"/>
        <v>0</v>
      </c>
      <c r="BJ86" s="15">
        <f t="shared" si="87"/>
        <v>0</v>
      </c>
      <c r="BK86" s="15" t="s">
        <v>2969</v>
      </c>
      <c r="BL86" s="29">
        <v>41</v>
      </c>
    </row>
    <row r="87" spans="1:64" ht="12.75">
      <c r="A87" s="4" t="s">
        <v>68</v>
      </c>
      <c r="B87" s="94" t="s">
        <v>1068</v>
      </c>
      <c r="C87" s="152" t="s">
        <v>2007</v>
      </c>
      <c r="D87" s="153"/>
      <c r="E87" s="153"/>
      <c r="F87" s="153"/>
      <c r="G87" s="94" t="s">
        <v>2849</v>
      </c>
      <c r="H87" s="73">
        <v>214.47</v>
      </c>
      <c r="I87" s="105">
        <v>0</v>
      </c>
      <c r="J87" s="15">
        <f t="shared" si="66"/>
        <v>0</v>
      </c>
      <c r="K87" s="15">
        <f t="shared" si="67"/>
        <v>0</v>
      </c>
      <c r="L87" s="15">
        <f t="shared" si="68"/>
        <v>0</v>
      </c>
      <c r="M87" s="25" t="s">
        <v>2872</v>
      </c>
      <c r="N87" s="5"/>
      <c r="Z87" s="29">
        <f t="shared" si="69"/>
        <v>0</v>
      </c>
      <c r="AB87" s="29">
        <f t="shared" si="70"/>
        <v>0</v>
      </c>
      <c r="AC87" s="29">
        <f t="shared" si="71"/>
        <v>0</v>
      </c>
      <c r="AD87" s="29">
        <f t="shared" si="72"/>
        <v>0</v>
      </c>
      <c r="AE87" s="29">
        <f t="shared" si="73"/>
        <v>0</v>
      </c>
      <c r="AF87" s="29">
        <f t="shared" si="74"/>
        <v>0</v>
      </c>
      <c r="AG87" s="29">
        <f t="shared" si="75"/>
        <v>0</v>
      </c>
      <c r="AH87" s="29">
        <f t="shared" si="76"/>
        <v>0</v>
      </c>
      <c r="AI87" s="28" t="s">
        <v>2882</v>
      </c>
      <c r="AJ87" s="15">
        <f t="shared" si="77"/>
        <v>0</v>
      </c>
      <c r="AK87" s="15">
        <f t="shared" si="78"/>
        <v>0</v>
      </c>
      <c r="AL87" s="15">
        <f t="shared" si="79"/>
        <v>0</v>
      </c>
      <c r="AN87" s="29">
        <v>15</v>
      </c>
      <c r="AO87" s="29">
        <f>I87*0.629999970224221</f>
        <v>0</v>
      </c>
      <c r="AP87" s="29">
        <f>I87*(1-0.629999970224221)</f>
        <v>0</v>
      </c>
      <c r="AQ87" s="30" t="s">
        <v>7</v>
      </c>
      <c r="AV87" s="29">
        <f t="shared" si="80"/>
        <v>0</v>
      </c>
      <c r="AW87" s="29">
        <f t="shared" si="81"/>
        <v>0</v>
      </c>
      <c r="AX87" s="29">
        <f t="shared" si="82"/>
        <v>0</v>
      </c>
      <c r="AY87" s="32" t="s">
        <v>2898</v>
      </c>
      <c r="AZ87" s="32" t="s">
        <v>2938</v>
      </c>
      <c r="BA87" s="28" t="s">
        <v>2957</v>
      </c>
      <c r="BC87" s="29">
        <f t="shared" si="83"/>
        <v>0</v>
      </c>
      <c r="BD87" s="29">
        <f t="shared" si="84"/>
        <v>0</v>
      </c>
      <c r="BE87" s="29">
        <v>0</v>
      </c>
      <c r="BF87" s="29">
        <f>87</f>
        <v>87</v>
      </c>
      <c r="BH87" s="15">
        <f t="shared" si="85"/>
        <v>0</v>
      </c>
      <c r="BI87" s="15">
        <f t="shared" si="86"/>
        <v>0</v>
      </c>
      <c r="BJ87" s="15">
        <f t="shared" si="87"/>
        <v>0</v>
      </c>
      <c r="BK87" s="15" t="s">
        <v>2969</v>
      </c>
      <c r="BL87" s="29">
        <v>41</v>
      </c>
    </row>
    <row r="88" spans="1:64" ht="12.75">
      <c r="A88" s="4" t="s">
        <v>69</v>
      </c>
      <c r="B88" s="94" t="s">
        <v>1069</v>
      </c>
      <c r="C88" s="152" t="s">
        <v>2008</v>
      </c>
      <c r="D88" s="153"/>
      <c r="E88" s="153"/>
      <c r="F88" s="153"/>
      <c r="G88" s="94" t="s">
        <v>2851</v>
      </c>
      <c r="H88" s="73">
        <v>131.43</v>
      </c>
      <c r="I88" s="105">
        <v>0</v>
      </c>
      <c r="J88" s="15">
        <f t="shared" si="66"/>
        <v>0</v>
      </c>
      <c r="K88" s="15">
        <f t="shared" si="67"/>
        <v>0</v>
      </c>
      <c r="L88" s="15">
        <f t="shared" si="68"/>
        <v>0</v>
      </c>
      <c r="M88" s="25" t="s">
        <v>2872</v>
      </c>
      <c r="N88" s="5"/>
      <c r="Z88" s="29">
        <f t="shared" si="69"/>
        <v>0</v>
      </c>
      <c r="AB88" s="29">
        <f t="shared" si="70"/>
        <v>0</v>
      </c>
      <c r="AC88" s="29">
        <f t="shared" si="71"/>
        <v>0</v>
      </c>
      <c r="AD88" s="29">
        <f t="shared" si="72"/>
        <v>0</v>
      </c>
      <c r="AE88" s="29">
        <f t="shared" si="73"/>
        <v>0</v>
      </c>
      <c r="AF88" s="29">
        <f t="shared" si="74"/>
        <v>0</v>
      </c>
      <c r="AG88" s="29">
        <f t="shared" si="75"/>
        <v>0</v>
      </c>
      <c r="AH88" s="29">
        <f t="shared" si="76"/>
        <v>0</v>
      </c>
      <c r="AI88" s="28" t="s">
        <v>2882</v>
      </c>
      <c r="AJ88" s="15">
        <f t="shared" si="77"/>
        <v>0</v>
      </c>
      <c r="AK88" s="15">
        <f t="shared" si="78"/>
        <v>0</v>
      </c>
      <c r="AL88" s="15">
        <f t="shared" si="79"/>
        <v>0</v>
      </c>
      <c r="AN88" s="29">
        <v>15</v>
      </c>
      <c r="AO88" s="29">
        <f>I88*0.744698798527123</f>
        <v>0</v>
      </c>
      <c r="AP88" s="29">
        <f>I88*(1-0.744698798527123)</f>
        <v>0</v>
      </c>
      <c r="AQ88" s="30" t="s">
        <v>7</v>
      </c>
      <c r="AV88" s="29">
        <f t="shared" si="80"/>
        <v>0</v>
      </c>
      <c r="AW88" s="29">
        <f t="shared" si="81"/>
        <v>0</v>
      </c>
      <c r="AX88" s="29">
        <f t="shared" si="82"/>
        <v>0</v>
      </c>
      <c r="AY88" s="32" t="s">
        <v>2898</v>
      </c>
      <c r="AZ88" s="32" t="s">
        <v>2938</v>
      </c>
      <c r="BA88" s="28" t="s">
        <v>2957</v>
      </c>
      <c r="BC88" s="29">
        <f t="shared" si="83"/>
        <v>0</v>
      </c>
      <c r="BD88" s="29">
        <f t="shared" si="84"/>
        <v>0</v>
      </c>
      <c r="BE88" s="29">
        <v>0</v>
      </c>
      <c r="BF88" s="29">
        <f>88</f>
        <v>88</v>
      </c>
      <c r="BH88" s="15">
        <f t="shared" si="85"/>
        <v>0</v>
      </c>
      <c r="BI88" s="15">
        <f t="shared" si="86"/>
        <v>0</v>
      </c>
      <c r="BJ88" s="15">
        <f t="shared" si="87"/>
        <v>0</v>
      </c>
      <c r="BK88" s="15" t="s">
        <v>2969</v>
      </c>
      <c r="BL88" s="29">
        <v>41</v>
      </c>
    </row>
    <row r="89" spans="1:64" ht="12.75">
      <c r="A89" s="4" t="s">
        <v>70</v>
      </c>
      <c r="B89" s="94" t="s">
        <v>1070</v>
      </c>
      <c r="C89" s="152" t="s">
        <v>2009</v>
      </c>
      <c r="D89" s="153"/>
      <c r="E89" s="153"/>
      <c r="F89" s="153"/>
      <c r="G89" s="94" t="s">
        <v>2847</v>
      </c>
      <c r="H89" s="73">
        <v>9.787</v>
      </c>
      <c r="I89" s="105">
        <v>0</v>
      </c>
      <c r="J89" s="15">
        <f t="shared" si="66"/>
        <v>0</v>
      </c>
      <c r="K89" s="15">
        <f t="shared" si="67"/>
        <v>0</v>
      </c>
      <c r="L89" s="15">
        <f t="shared" si="68"/>
        <v>0</v>
      </c>
      <c r="M89" s="25" t="s">
        <v>2872</v>
      </c>
      <c r="N89" s="5"/>
      <c r="Z89" s="29">
        <f t="shared" si="69"/>
        <v>0</v>
      </c>
      <c r="AB89" s="29">
        <f t="shared" si="70"/>
        <v>0</v>
      </c>
      <c r="AC89" s="29">
        <f t="shared" si="71"/>
        <v>0</v>
      </c>
      <c r="AD89" s="29">
        <f t="shared" si="72"/>
        <v>0</v>
      </c>
      <c r="AE89" s="29">
        <f t="shared" si="73"/>
        <v>0</v>
      </c>
      <c r="AF89" s="29">
        <f t="shared" si="74"/>
        <v>0</v>
      </c>
      <c r="AG89" s="29">
        <f t="shared" si="75"/>
        <v>0</v>
      </c>
      <c r="AH89" s="29">
        <f t="shared" si="76"/>
        <v>0</v>
      </c>
      <c r="AI89" s="28" t="s">
        <v>2882</v>
      </c>
      <c r="AJ89" s="15">
        <f t="shared" si="77"/>
        <v>0</v>
      </c>
      <c r="AK89" s="15">
        <f t="shared" si="78"/>
        <v>0</v>
      </c>
      <c r="AL89" s="15">
        <f t="shared" si="79"/>
        <v>0</v>
      </c>
      <c r="AN89" s="29">
        <v>15</v>
      </c>
      <c r="AO89" s="29">
        <f>I89*0.806112760686448</f>
        <v>0</v>
      </c>
      <c r="AP89" s="29">
        <f>I89*(1-0.806112760686448)</f>
        <v>0</v>
      </c>
      <c r="AQ89" s="30" t="s">
        <v>7</v>
      </c>
      <c r="AV89" s="29">
        <f t="shared" si="80"/>
        <v>0</v>
      </c>
      <c r="AW89" s="29">
        <f t="shared" si="81"/>
        <v>0</v>
      </c>
      <c r="AX89" s="29">
        <f t="shared" si="82"/>
        <v>0</v>
      </c>
      <c r="AY89" s="32" t="s">
        <v>2898</v>
      </c>
      <c r="AZ89" s="32" t="s">
        <v>2938</v>
      </c>
      <c r="BA89" s="28" t="s">
        <v>2957</v>
      </c>
      <c r="BC89" s="29">
        <f t="shared" si="83"/>
        <v>0</v>
      </c>
      <c r="BD89" s="29">
        <f t="shared" si="84"/>
        <v>0</v>
      </c>
      <c r="BE89" s="29">
        <v>0</v>
      </c>
      <c r="BF89" s="29">
        <f>89</f>
        <v>89</v>
      </c>
      <c r="BH89" s="15">
        <f t="shared" si="85"/>
        <v>0</v>
      </c>
      <c r="BI89" s="15">
        <f t="shared" si="86"/>
        <v>0</v>
      </c>
      <c r="BJ89" s="15">
        <f t="shared" si="87"/>
        <v>0</v>
      </c>
      <c r="BK89" s="15" t="s">
        <v>2969</v>
      </c>
      <c r="BL89" s="29">
        <v>41</v>
      </c>
    </row>
    <row r="90" spans="1:64" ht="12.75">
      <c r="A90" s="4" t="s">
        <v>71</v>
      </c>
      <c r="B90" s="94" t="s">
        <v>1071</v>
      </c>
      <c r="C90" s="152" t="s">
        <v>2010</v>
      </c>
      <c r="D90" s="153"/>
      <c r="E90" s="153"/>
      <c r="F90" s="153"/>
      <c r="G90" s="94" t="s">
        <v>2851</v>
      </c>
      <c r="H90" s="73">
        <v>55.668</v>
      </c>
      <c r="I90" s="105">
        <v>0</v>
      </c>
      <c r="J90" s="15">
        <f t="shared" si="66"/>
        <v>0</v>
      </c>
      <c r="K90" s="15">
        <f t="shared" si="67"/>
        <v>0</v>
      </c>
      <c r="L90" s="15">
        <f t="shared" si="68"/>
        <v>0</v>
      </c>
      <c r="M90" s="25" t="s">
        <v>2872</v>
      </c>
      <c r="N90" s="5"/>
      <c r="Z90" s="29">
        <f t="shared" si="69"/>
        <v>0</v>
      </c>
      <c r="AB90" s="29">
        <f t="shared" si="70"/>
        <v>0</v>
      </c>
      <c r="AC90" s="29">
        <f t="shared" si="71"/>
        <v>0</v>
      </c>
      <c r="AD90" s="29">
        <f t="shared" si="72"/>
        <v>0</v>
      </c>
      <c r="AE90" s="29">
        <f t="shared" si="73"/>
        <v>0</v>
      </c>
      <c r="AF90" s="29">
        <f t="shared" si="74"/>
        <v>0</v>
      </c>
      <c r="AG90" s="29">
        <f t="shared" si="75"/>
        <v>0</v>
      </c>
      <c r="AH90" s="29">
        <f t="shared" si="76"/>
        <v>0</v>
      </c>
      <c r="AI90" s="28" t="s">
        <v>2882</v>
      </c>
      <c r="AJ90" s="15">
        <f t="shared" si="77"/>
        <v>0</v>
      </c>
      <c r="AK90" s="15">
        <f t="shared" si="78"/>
        <v>0</v>
      </c>
      <c r="AL90" s="15">
        <f t="shared" si="79"/>
        <v>0</v>
      </c>
      <c r="AN90" s="29">
        <v>15</v>
      </c>
      <c r="AO90" s="29">
        <f>I90*0.174318723730111</f>
        <v>0</v>
      </c>
      <c r="AP90" s="29">
        <f>I90*(1-0.174318723730111)</f>
        <v>0</v>
      </c>
      <c r="AQ90" s="30" t="s">
        <v>7</v>
      </c>
      <c r="AV90" s="29">
        <f t="shared" si="80"/>
        <v>0</v>
      </c>
      <c r="AW90" s="29">
        <f t="shared" si="81"/>
        <v>0</v>
      </c>
      <c r="AX90" s="29">
        <f t="shared" si="82"/>
        <v>0</v>
      </c>
      <c r="AY90" s="32" t="s">
        <v>2898</v>
      </c>
      <c r="AZ90" s="32" t="s">
        <v>2938</v>
      </c>
      <c r="BA90" s="28" t="s">
        <v>2957</v>
      </c>
      <c r="BC90" s="29">
        <f t="shared" si="83"/>
        <v>0</v>
      </c>
      <c r="BD90" s="29">
        <f t="shared" si="84"/>
        <v>0</v>
      </c>
      <c r="BE90" s="29">
        <v>0</v>
      </c>
      <c r="BF90" s="29">
        <f>90</f>
        <v>90</v>
      </c>
      <c r="BH90" s="15">
        <f t="shared" si="85"/>
        <v>0</v>
      </c>
      <c r="BI90" s="15">
        <f t="shared" si="86"/>
        <v>0</v>
      </c>
      <c r="BJ90" s="15">
        <f t="shared" si="87"/>
        <v>0</v>
      </c>
      <c r="BK90" s="15" t="s">
        <v>2969</v>
      </c>
      <c r="BL90" s="29">
        <v>41</v>
      </c>
    </row>
    <row r="91" spans="1:64" ht="12.75">
      <c r="A91" s="4" t="s">
        <v>72</v>
      </c>
      <c r="B91" s="94" t="s">
        <v>1072</v>
      </c>
      <c r="C91" s="152" t="s">
        <v>2011</v>
      </c>
      <c r="D91" s="153"/>
      <c r="E91" s="153"/>
      <c r="F91" s="153"/>
      <c r="G91" s="94" t="s">
        <v>2851</v>
      </c>
      <c r="H91" s="73">
        <v>55.668</v>
      </c>
      <c r="I91" s="105">
        <v>0</v>
      </c>
      <c r="J91" s="15">
        <f t="shared" si="66"/>
        <v>0</v>
      </c>
      <c r="K91" s="15">
        <f t="shared" si="67"/>
        <v>0</v>
      </c>
      <c r="L91" s="15">
        <f t="shared" si="68"/>
        <v>0</v>
      </c>
      <c r="M91" s="25" t="s">
        <v>2872</v>
      </c>
      <c r="N91" s="5"/>
      <c r="Z91" s="29">
        <f t="shared" si="69"/>
        <v>0</v>
      </c>
      <c r="AB91" s="29">
        <f t="shared" si="70"/>
        <v>0</v>
      </c>
      <c r="AC91" s="29">
        <f t="shared" si="71"/>
        <v>0</v>
      </c>
      <c r="AD91" s="29">
        <f t="shared" si="72"/>
        <v>0</v>
      </c>
      <c r="AE91" s="29">
        <f t="shared" si="73"/>
        <v>0</v>
      </c>
      <c r="AF91" s="29">
        <f t="shared" si="74"/>
        <v>0</v>
      </c>
      <c r="AG91" s="29">
        <f t="shared" si="75"/>
        <v>0</v>
      </c>
      <c r="AH91" s="29">
        <f t="shared" si="76"/>
        <v>0</v>
      </c>
      <c r="AI91" s="28" t="s">
        <v>2882</v>
      </c>
      <c r="AJ91" s="15">
        <f t="shared" si="77"/>
        <v>0</v>
      </c>
      <c r="AK91" s="15">
        <f t="shared" si="78"/>
        <v>0</v>
      </c>
      <c r="AL91" s="15">
        <f t="shared" si="79"/>
        <v>0</v>
      </c>
      <c r="AN91" s="29">
        <v>15</v>
      </c>
      <c r="AO91" s="29">
        <f>I91*0</f>
        <v>0</v>
      </c>
      <c r="AP91" s="29">
        <f>I91*(1-0)</f>
        <v>0</v>
      </c>
      <c r="AQ91" s="30" t="s">
        <v>7</v>
      </c>
      <c r="AV91" s="29">
        <f t="shared" si="80"/>
        <v>0</v>
      </c>
      <c r="AW91" s="29">
        <f t="shared" si="81"/>
        <v>0</v>
      </c>
      <c r="AX91" s="29">
        <f t="shared" si="82"/>
        <v>0</v>
      </c>
      <c r="AY91" s="32" t="s">
        <v>2898</v>
      </c>
      <c r="AZ91" s="32" t="s">
        <v>2938</v>
      </c>
      <c r="BA91" s="28" t="s">
        <v>2957</v>
      </c>
      <c r="BC91" s="29">
        <f t="shared" si="83"/>
        <v>0</v>
      </c>
      <c r="BD91" s="29">
        <f t="shared" si="84"/>
        <v>0</v>
      </c>
      <c r="BE91" s="29">
        <v>0</v>
      </c>
      <c r="BF91" s="29">
        <f>91</f>
        <v>91</v>
      </c>
      <c r="BH91" s="15">
        <f t="shared" si="85"/>
        <v>0</v>
      </c>
      <c r="BI91" s="15">
        <f t="shared" si="86"/>
        <v>0</v>
      </c>
      <c r="BJ91" s="15">
        <f t="shared" si="87"/>
        <v>0</v>
      </c>
      <c r="BK91" s="15" t="s">
        <v>2969</v>
      </c>
      <c r="BL91" s="29">
        <v>41</v>
      </c>
    </row>
    <row r="92" spans="1:64" ht="12.75">
      <c r="A92" s="4" t="s">
        <v>73</v>
      </c>
      <c r="B92" s="94" t="s">
        <v>1073</v>
      </c>
      <c r="C92" s="152" t="s">
        <v>2012</v>
      </c>
      <c r="D92" s="153"/>
      <c r="E92" s="153"/>
      <c r="F92" s="153"/>
      <c r="G92" s="94" t="s">
        <v>2848</v>
      </c>
      <c r="H92" s="73">
        <v>1.469</v>
      </c>
      <c r="I92" s="105">
        <v>0</v>
      </c>
      <c r="J92" s="15">
        <f t="shared" si="66"/>
        <v>0</v>
      </c>
      <c r="K92" s="15">
        <f t="shared" si="67"/>
        <v>0</v>
      </c>
      <c r="L92" s="15">
        <f t="shared" si="68"/>
        <v>0</v>
      </c>
      <c r="M92" s="25" t="s">
        <v>2872</v>
      </c>
      <c r="N92" s="5"/>
      <c r="Z92" s="29">
        <f t="shared" si="69"/>
        <v>0</v>
      </c>
      <c r="AB92" s="29">
        <f t="shared" si="70"/>
        <v>0</v>
      </c>
      <c r="AC92" s="29">
        <f t="shared" si="71"/>
        <v>0</v>
      </c>
      <c r="AD92" s="29">
        <f t="shared" si="72"/>
        <v>0</v>
      </c>
      <c r="AE92" s="29">
        <f t="shared" si="73"/>
        <v>0</v>
      </c>
      <c r="AF92" s="29">
        <f t="shared" si="74"/>
        <v>0</v>
      </c>
      <c r="AG92" s="29">
        <f t="shared" si="75"/>
        <v>0</v>
      </c>
      <c r="AH92" s="29">
        <f t="shared" si="76"/>
        <v>0</v>
      </c>
      <c r="AI92" s="28" t="s">
        <v>2882</v>
      </c>
      <c r="AJ92" s="15">
        <f t="shared" si="77"/>
        <v>0</v>
      </c>
      <c r="AK92" s="15">
        <f t="shared" si="78"/>
        <v>0</v>
      </c>
      <c r="AL92" s="15">
        <f t="shared" si="79"/>
        <v>0</v>
      </c>
      <c r="AN92" s="29">
        <v>15</v>
      </c>
      <c r="AO92" s="29">
        <f>I92*0.747422246629236</f>
        <v>0</v>
      </c>
      <c r="AP92" s="29">
        <f>I92*(1-0.747422246629236)</f>
        <v>0</v>
      </c>
      <c r="AQ92" s="30" t="s">
        <v>7</v>
      </c>
      <c r="AV92" s="29">
        <f t="shared" si="80"/>
        <v>0</v>
      </c>
      <c r="AW92" s="29">
        <f t="shared" si="81"/>
        <v>0</v>
      </c>
      <c r="AX92" s="29">
        <f t="shared" si="82"/>
        <v>0</v>
      </c>
      <c r="AY92" s="32" t="s">
        <v>2898</v>
      </c>
      <c r="AZ92" s="32" t="s">
        <v>2938</v>
      </c>
      <c r="BA92" s="28" t="s">
        <v>2957</v>
      </c>
      <c r="BC92" s="29">
        <f t="shared" si="83"/>
        <v>0</v>
      </c>
      <c r="BD92" s="29">
        <f t="shared" si="84"/>
        <v>0</v>
      </c>
      <c r="BE92" s="29">
        <v>0</v>
      </c>
      <c r="BF92" s="29">
        <f>92</f>
        <v>92</v>
      </c>
      <c r="BH92" s="15">
        <f t="shared" si="85"/>
        <v>0</v>
      </c>
      <c r="BI92" s="15">
        <f t="shared" si="86"/>
        <v>0</v>
      </c>
      <c r="BJ92" s="15">
        <f t="shared" si="87"/>
        <v>0</v>
      </c>
      <c r="BK92" s="15" t="s">
        <v>2969</v>
      </c>
      <c r="BL92" s="29">
        <v>41</v>
      </c>
    </row>
    <row r="93" spans="1:47" ht="12.75">
      <c r="A93" s="3"/>
      <c r="B93" s="97" t="s">
        <v>49</v>
      </c>
      <c r="C93" s="161" t="s">
        <v>2013</v>
      </c>
      <c r="D93" s="162"/>
      <c r="E93" s="162"/>
      <c r="F93" s="162"/>
      <c r="G93" s="13" t="s">
        <v>6</v>
      </c>
      <c r="H93" s="13" t="s">
        <v>6</v>
      </c>
      <c r="I93" s="13" t="s">
        <v>6</v>
      </c>
      <c r="J93" s="34">
        <f>SUM(J94:J95)</f>
        <v>0</v>
      </c>
      <c r="K93" s="34">
        <f>SUM(K94:K95)</f>
        <v>0</v>
      </c>
      <c r="L93" s="34">
        <f>SUM(L94:L95)</f>
        <v>0</v>
      </c>
      <c r="M93" s="24"/>
      <c r="N93" s="5"/>
      <c r="AI93" s="28" t="s">
        <v>2882</v>
      </c>
      <c r="AS93" s="34">
        <f>SUM(AJ94:AJ95)</f>
        <v>0</v>
      </c>
      <c r="AT93" s="34">
        <f>SUM(AK94:AK95)</f>
        <v>0</v>
      </c>
      <c r="AU93" s="34">
        <f>SUM(AL94:AL95)</f>
        <v>0</v>
      </c>
    </row>
    <row r="94" spans="1:64" ht="12.75">
      <c r="A94" s="4" t="s">
        <v>74</v>
      </c>
      <c r="B94" s="94" t="s">
        <v>1074</v>
      </c>
      <c r="C94" s="152" t="s">
        <v>2014</v>
      </c>
      <c r="D94" s="153"/>
      <c r="E94" s="153"/>
      <c r="F94" s="153"/>
      <c r="G94" s="94" t="s">
        <v>2851</v>
      </c>
      <c r="H94" s="73">
        <v>26.46</v>
      </c>
      <c r="I94" s="105">
        <v>0</v>
      </c>
      <c r="J94" s="15">
        <f>H94*AO94</f>
        <v>0</v>
      </c>
      <c r="K94" s="15">
        <f>H94*AP94</f>
        <v>0</v>
      </c>
      <c r="L94" s="15">
        <f>H94*I94</f>
        <v>0</v>
      </c>
      <c r="M94" s="25" t="s">
        <v>2872</v>
      </c>
      <c r="N94" s="5"/>
      <c r="Z94" s="29">
        <f>IF(AQ94="5",BJ94,0)</f>
        <v>0</v>
      </c>
      <c r="AB94" s="29">
        <f>IF(AQ94="1",BH94,0)</f>
        <v>0</v>
      </c>
      <c r="AC94" s="29">
        <f>IF(AQ94="1",BI94,0)</f>
        <v>0</v>
      </c>
      <c r="AD94" s="29">
        <f>IF(AQ94="7",BH94,0)</f>
        <v>0</v>
      </c>
      <c r="AE94" s="29">
        <f>IF(AQ94="7",BI94,0)</f>
        <v>0</v>
      </c>
      <c r="AF94" s="29">
        <f>IF(AQ94="2",BH94,0)</f>
        <v>0</v>
      </c>
      <c r="AG94" s="29">
        <f>IF(AQ94="2",BI94,0)</f>
        <v>0</v>
      </c>
      <c r="AH94" s="29">
        <f>IF(AQ94="0",BJ94,0)</f>
        <v>0</v>
      </c>
      <c r="AI94" s="28" t="s">
        <v>2882</v>
      </c>
      <c r="AJ94" s="15">
        <f>IF(AN94=0,L94,0)</f>
        <v>0</v>
      </c>
      <c r="AK94" s="15">
        <f>IF(AN94=15,L94,0)</f>
        <v>0</v>
      </c>
      <c r="AL94" s="15">
        <f>IF(AN94=21,L94,0)</f>
        <v>0</v>
      </c>
      <c r="AN94" s="29">
        <v>15</v>
      </c>
      <c r="AO94" s="29">
        <f>I94*0.417920554035508</f>
        <v>0</v>
      </c>
      <c r="AP94" s="29">
        <f>I94*(1-0.417920554035508)</f>
        <v>0</v>
      </c>
      <c r="AQ94" s="30" t="s">
        <v>7</v>
      </c>
      <c r="AV94" s="29">
        <f>AW94+AX94</f>
        <v>0</v>
      </c>
      <c r="AW94" s="29">
        <f>H94*AO94</f>
        <v>0</v>
      </c>
      <c r="AX94" s="29">
        <f>H94*AP94</f>
        <v>0</v>
      </c>
      <c r="AY94" s="32" t="s">
        <v>2899</v>
      </c>
      <c r="AZ94" s="32" t="s">
        <v>2938</v>
      </c>
      <c r="BA94" s="28" t="s">
        <v>2957</v>
      </c>
      <c r="BC94" s="29">
        <f>AW94+AX94</f>
        <v>0</v>
      </c>
      <c r="BD94" s="29">
        <f>I94/(100-BE94)*100</f>
        <v>0</v>
      </c>
      <c r="BE94" s="29">
        <v>0</v>
      </c>
      <c r="BF94" s="29">
        <f>94</f>
        <v>94</v>
      </c>
      <c r="BH94" s="15">
        <f>H94*AO94</f>
        <v>0</v>
      </c>
      <c r="BI94" s="15">
        <f>H94*AP94</f>
        <v>0</v>
      </c>
      <c r="BJ94" s="15">
        <f>H94*I94</f>
        <v>0</v>
      </c>
      <c r="BK94" s="15" t="s">
        <v>2969</v>
      </c>
      <c r="BL94" s="29">
        <v>43</v>
      </c>
    </row>
    <row r="95" spans="1:64" ht="12.75">
      <c r="A95" s="4" t="s">
        <v>75</v>
      </c>
      <c r="B95" s="94" t="s">
        <v>1075</v>
      </c>
      <c r="C95" s="152" t="s">
        <v>2015</v>
      </c>
      <c r="D95" s="153"/>
      <c r="E95" s="153"/>
      <c r="F95" s="153"/>
      <c r="G95" s="94" t="s">
        <v>2847</v>
      </c>
      <c r="H95" s="73">
        <v>2.294</v>
      </c>
      <c r="I95" s="105">
        <v>0</v>
      </c>
      <c r="J95" s="15">
        <f>H95*AO95</f>
        <v>0</v>
      </c>
      <c r="K95" s="15">
        <f>H95*AP95</f>
        <v>0</v>
      </c>
      <c r="L95" s="15">
        <f>H95*I95</f>
        <v>0</v>
      </c>
      <c r="M95" s="25" t="s">
        <v>2872</v>
      </c>
      <c r="N95" s="5"/>
      <c r="Z95" s="29">
        <f>IF(AQ95="5",BJ95,0)</f>
        <v>0</v>
      </c>
      <c r="AB95" s="29">
        <f>IF(AQ95="1",BH95,0)</f>
        <v>0</v>
      </c>
      <c r="AC95" s="29">
        <f>IF(AQ95="1",BI95,0)</f>
        <v>0</v>
      </c>
      <c r="AD95" s="29">
        <f>IF(AQ95="7",BH95,0)</f>
        <v>0</v>
      </c>
      <c r="AE95" s="29">
        <f>IF(AQ95="7",BI95,0)</f>
        <v>0</v>
      </c>
      <c r="AF95" s="29">
        <f>IF(AQ95="2",BH95,0)</f>
        <v>0</v>
      </c>
      <c r="AG95" s="29">
        <f>IF(AQ95="2",BI95,0)</f>
        <v>0</v>
      </c>
      <c r="AH95" s="29">
        <f>IF(AQ95="0",BJ95,0)</f>
        <v>0</v>
      </c>
      <c r="AI95" s="28" t="s">
        <v>2882</v>
      </c>
      <c r="AJ95" s="15">
        <f>IF(AN95=0,L95,0)</f>
        <v>0</v>
      </c>
      <c r="AK95" s="15">
        <f>IF(AN95=15,L95,0)</f>
        <v>0</v>
      </c>
      <c r="AL95" s="15">
        <f>IF(AN95=21,L95,0)</f>
        <v>0</v>
      </c>
      <c r="AN95" s="29">
        <v>15</v>
      </c>
      <c r="AO95" s="29">
        <f>I95*0.491371015156094</f>
        <v>0</v>
      </c>
      <c r="AP95" s="29">
        <f>I95*(1-0.491371015156094)</f>
        <v>0</v>
      </c>
      <c r="AQ95" s="30" t="s">
        <v>7</v>
      </c>
      <c r="AV95" s="29">
        <f>AW95+AX95</f>
        <v>0</v>
      </c>
      <c r="AW95" s="29">
        <f>H95*AO95</f>
        <v>0</v>
      </c>
      <c r="AX95" s="29">
        <f>H95*AP95</f>
        <v>0</v>
      </c>
      <c r="AY95" s="32" t="s">
        <v>2899</v>
      </c>
      <c r="AZ95" s="32" t="s">
        <v>2938</v>
      </c>
      <c r="BA95" s="28" t="s">
        <v>2957</v>
      </c>
      <c r="BC95" s="29">
        <f>AW95+AX95</f>
        <v>0</v>
      </c>
      <c r="BD95" s="29">
        <f>I95/(100-BE95)*100</f>
        <v>0</v>
      </c>
      <c r="BE95" s="29">
        <v>0</v>
      </c>
      <c r="BF95" s="29">
        <f>95</f>
        <v>95</v>
      </c>
      <c r="BH95" s="15">
        <f>H95*AO95</f>
        <v>0</v>
      </c>
      <c r="BI95" s="15">
        <f>H95*AP95</f>
        <v>0</v>
      </c>
      <c r="BJ95" s="15">
        <f>H95*I95</f>
        <v>0</v>
      </c>
      <c r="BK95" s="15" t="s">
        <v>2969</v>
      </c>
      <c r="BL95" s="29">
        <v>43</v>
      </c>
    </row>
    <row r="96" spans="1:47" ht="12.75">
      <c r="A96" s="3"/>
      <c r="B96" s="97" t="s">
        <v>65</v>
      </c>
      <c r="C96" s="161" t="s">
        <v>2016</v>
      </c>
      <c r="D96" s="162"/>
      <c r="E96" s="162"/>
      <c r="F96" s="162"/>
      <c r="G96" s="13" t="s">
        <v>6</v>
      </c>
      <c r="H96" s="13" t="s">
        <v>6</v>
      </c>
      <c r="I96" s="13" t="s">
        <v>6</v>
      </c>
      <c r="J96" s="34">
        <f>SUM(J97:J99)</f>
        <v>0</v>
      </c>
      <c r="K96" s="34">
        <f>SUM(K97:K99)</f>
        <v>0</v>
      </c>
      <c r="L96" s="34">
        <f>SUM(L97:L99)</f>
        <v>0</v>
      </c>
      <c r="M96" s="24"/>
      <c r="N96" s="5"/>
      <c r="AI96" s="28" t="s">
        <v>2882</v>
      </c>
      <c r="AS96" s="34">
        <f>SUM(AJ97:AJ99)</f>
        <v>0</v>
      </c>
      <c r="AT96" s="34">
        <f>SUM(AK97:AK99)</f>
        <v>0</v>
      </c>
      <c r="AU96" s="34">
        <f>SUM(AL97:AL99)</f>
        <v>0</v>
      </c>
    </row>
    <row r="97" spans="1:64" ht="12.75">
      <c r="A97" s="4" t="s">
        <v>76</v>
      </c>
      <c r="B97" s="94" t="s">
        <v>1076</v>
      </c>
      <c r="C97" s="152" t="s">
        <v>2017</v>
      </c>
      <c r="D97" s="153"/>
      <c r="E97" s="153"/>
      <c r="F97" s="153"/>
      <c r="G97" s="94" t="s">
        <v>2849</v>
      </c>
      <c r="H97" s="73">
        <v>12.921</v>
      </c>
      <c r="I97" s="105">
        <v>0</v>
      </c>
      <c r="J97" s="15">
        <f>H97*AO97</f>
        <v>0</v>
      </c>
      <c r="K97" s="15">
        <f>H97*AP97</f>
        <v>0</v>
      </c>
      <c r="L97" s="15">
        <f>H97*I97</f>
        <v>0</v>
      </c>
      <c r="M97" s="25" t="s">
        <v>2872</v>
      </c>
      <c r="N97" s="5"/>
      <c r="Z97" s="29">
        <f>IF(AQ97="5",BJ97,0)</f>
        <v>0</v>
      </c>
      <c r="AB97" s="29">
        <f>IF(AQ97="1",BH97,0)</f>
        <v>0</v>
      </c>
      <c r="AC97" s="29">
        <f>IF(AQ97="1",BI97,0)</f>
        <v>0</v>
      </c>
      <c r="AD97" s="29">
        <f>IF(AQ97="7",BH97,0)</f>
        <v>0</v>
      </c>
      <c r="AE97" s="29">
        <f>IF(AQ97="7",BI97,0)</f>
        <v>0</v>
      </c>
      <c r="AF97" s="29">
        <f>IF(AQ97="2",BH97,0)</f>
        <v>0</v>
      </c>
      <c r="AG97" s="29">
        <f>IF(AQ97="2",BI97,0)</f>
        <v>0</v>
      </c>
      <c r="AH97" s="29">
        <f>IF(AQ97="0",BJ97,0)</f>
        <v>0</v>
      </c>
      <c r="AI97" s="28" t="s">
        <v>2882</v>
      </c>
      <c r="AJ97" s="15">
        <f>IF(AN97=0,L97,0)</f>
        <v>0</v>
      </c>
      <c r="AK97" s="15">
        <f>IF(AN97=15,L97,0)</f>
        <v>0</v>
      </c>
      <c r="AL97" s="15">
        <f>IF(AN97=21,L97,0)</f>
        <v>0</v>
      </c>
      <c r="AN97" s="29">
        <v>15</v>
      </c>
      <c r="AO97" s="29">
        <f>I97*0.57675660248364</f>
        <v>0</v>
      </c>
      <c r="AP97" s="29">
        <f>I97*(1-0.57675660248364)</f>
        <v>0</v>
      </c>
      <c r="AQ97" s="30" t="s">
        <v>7</v>
      </c>
      <c r="AV97" s="29">
        <f>AW97+AX97</f>
        <v>0</v>
      </c>
      <c r="AW97" s="29">
        <f>H97*AO97</f>
        <v>0</v>
      </c>
      <c r="AX97" s="29">
        <f>H97*AP97</f>
        <v>0</v>
      </c>
      <c r="AY97" s="32" t="s">
        <v>2900</v>
      </c>
      <c r="AZ97" s="32" t="s">
        <v>2939</v>
      </c>
      <c r="BA97" s="28" t="s">
        <v>2957</v>
      </c>
      <c r="BC97" s="29">
        <f>AW97+AX97</f>
        <v>0</v>
      </c>
      <c r="BD97" s="29">
        <f>I97/(100-BE97)*100</f>
        <v>0</v>
      </c>
      <c r="BE97" s="29">
        <v>0</v>
      </c>
      <c r="BF97" s="29">
        <f>97</f>
        <v>97</v>
      </c>
      <c r="BH97" s="15">
        <f>H97*AO97</f>
        <v>0</v>
      </c>
      <c r="BI97" s="15">
        <f>H97*AP97</f>
        <v>0</v>
      </c>
      <c r="BJ97" s="15">
        <f>H97*I97</f>
        <v>0</v>
      </c>
      <c r="BK97" s="15" t="s">
        <v>2969</v>
      </c>
      <c r="BL97" s="29">
        <v>59</v>
      </c>
    </row>
    <row r="98" spans="1:14" ht="12.75">
      <c r="A98" s="5"/>
      <c r="B98" s="12" t="s">
        <v>1015</v>
      </c>
      <c r="C98" s="165" t="s">
        <v>2018</v>
      </c>
      <c r="D98" s="166"/>
      <c r="E98" s="166"/>
      <c r="F98" s="166"/>
      <c r="G98" s="166"/>
      <c r="H98" s="166"/>
      <c r="I98" s="166"/>
      <c r="J98" s="166"/>
      <c r="K98" s="166"/>
      <c r="L98" s="166"/>
      <c r="M98" s="167"/>
      <c r="N98" s="5"/>
    </row>
    <row r="99" spans="1:64" ht="12.75">
      <c r="A99" s="4" t="s">
        <v>77</v>
      </c>
      <c r="B99" s="94" t="s">
        <v>1077</v>
      </c>
      <c r="C99" s="152" t="s">
        <v>2019</v>
      </c>
      <c r="D99" s="153"/>
      <c r="E99" s="153"/>
      <c r="F99" s="153"/>
      <c r="G99" s="94" t="s">
        <v>2849</v>
      </c>
      <c r="H99" s="73">
        <v>38.838</v>
      </c>
      <c r="I99" s="105">
        <v>0</v>
      </c>
      <c r="J99" s="15">
        <f>H99*AO99</f>
        <v>0</v>
      </c>
      <c r="K99" s="15">
        <f>H99*AP99</f>
        <v>0</v>
      </c>
      <c r="L99" s="15">
        <f>H99*I99</f>
        <v>0</v>
      </c>
      <c r="M99" s="25" t="s">
        <v>2872</v>
      </c>
      <c r="N99" s="5"/>
      <c r="Z99" s="29">
        <f>IF(AQ99="5",BJ99,0)</f>
        <v>0</v>
      </c>
      <c r="AB99" s="29">
        <f>IF(AQ99="1",BH99,0)</f>
        <v>0</v>
      </c>
      <c r="AC99" s="29">
        <f>IF(AQ99="1",BI99,0)</f>
        <v>0</v>
      </c>
      <c r="AD99" s="29">
        <f>IF(AQ99="7",BH99,0)</f>
        <v>0</v>
      </c>
      <c r="AE99" s="29">
        <f>IF(AQ99="7",BI99,0)</f>
        <v>0</v>
      </c>
      <c r="AF99" s="29">
        <f>IF(AQ99="2",BH99,0)</f>
        <v>0</v>
      </c>
      <c r="AG99" s="29">
        <f>IF(AQ99="2",BI99,0)</f>
        <v>0</v>
      </c>
      <c r="AH99" s="29">
        <f>IF(AQ99="0",BJ99,0)</f>
        <v>0</v>
      </c>
      <c r="AI99" s="28" t="s">
        <v>2882</v>
      </c>
      <c r="AJ99" s="15">
        <f>IF(AN99=0,L99,0)</f>
        <v>0</v>
      </c>
      <c r="AK99" s="15">
        <f>IF(AN99=15,L99,0)</f>
        <v>0</v>
      </c>
      <c r="AL99" s="15">
        <f>IF(AN99=21,L99,0)</f>
        <v>0</v>
      </c>
      <c r="AN99" s="29">
        <v>15</v>
      </c>
      <c r="AO99" s="29">
        <f>I99*0.602101316355172</f>
        <v>0</v>
      </c>
      <c r="AP99" s="29">
        <f>I99*(1-0.602101316355172)</f>
        <v>0</v>
      </c>
      <c r="AQ99" s="30" t="s">
        <v>7</v>
      </c>
      <c r="AV99" s="29">
        <f>AW99+AX99</f>
        <v>0</v>
      </c>
      <c r="AW99" s="29">
        <f>H99*AO99</f>
        <v>0</v>
      </c>
      <c r="AX99" s="29">
        <f>H99*AP99</f>
        <v>0</v>
      </c>
      <c r="AY99" s="32" t="s">
        <v>2900</v>
      </c>
      <c r="AZ99" s="32" t="s">
        <v>2939</v>
      </c>
      <c r="BA99" s="28" t="s">
        <v>2957</v>
      </c>
      <c r="BC99" s="29">
        <f>AW99+AX99</f>
        <v>0</v>
      </c>
      <c r="BD99" s="29">
        <f>I99/(100-BE99)*100</f>
        <v>0</v>
      </c>
      <c r="BE99" s="29">
        <v>0</v>
      </c>
      <c r="BF99" s="29">
        <f>99</f>
        <v>99</v>
      </c>
      <c r="BH99" s="15">
        <f>H99*AO99</f>
        <v>0</v>
      </c>
      <c r="BI99" s="15">
        <f>H99*AP99</f>
        <v>0</v>
      </c>
      <c r="BJ99" s="15">
        <f>H99*I99</f>
        <v>0</v>
      </c>
      <c r="BK99" s="15" t="s">
        <v>2969</v>
      </c>
      <c r="BL99" s="29">
        <v>59</v>
      </c>
    </row>
    <row r="100" spans="1:14" ht="25.7" customHeight="1">
      <c r="A100" s="5"/>
      <c r="B100" s="12" t="s">
        <v>1015</v>
      </c>
      <c r="C100" s="165" t="s">
        <v>2020</v>
      </c>
      <c r="D100" s="166"/>
      <c r="E100" s="166"/>
      <c r="F100" s="166"/>
      <c r="G100" s="166"/>
      <c r="H100" s="166"/>
      <c r="I100" s="166"/>
      <c r="J100" s="166"/>
      <c r="K100" s="166"/>
      <c r="L100" s="166"/>
      <c r="M100" s="167"/>
      <c r="N100" s="5"/>
    </row>
    <row r="101" spans="1:47" ht="12.75">
      <c r="A101" s="3"/>
      <c r="B101" s="97" t="s">
        <v>66</v>
      </c>
      <c r="C101" s="161" t="s">
        <v>2021</v>
      </c>
      <c r="D101" s="162"/>
      <c r="E101" s="162"/>
      <c r="F101" s="162"/>
      <c r="G101" s="13" t="s">
        <v>6</v>
      </c>
      <c r="H101" s="13" t="s">
        <v>6</v>
      </c>
      <c r="I101" s="13" t="s">
        <v>6</v>
      </c>
      <c r="J101" s="34">
        <f>SUM(J102:J103)</f>
        <v>0</v>
      </c>
      <c r="K101" s="34">
        <f>SUM(K102:K103)</f>
        <v>0</v>
      </c>
      <c r="L101" s="34">
        <f>SUM(L102:L103)</f>
        <v>0</v>
      </c>
      <c r="M101" s="24"/>
      <c r="N101" s="5"/>
      <c r="AI101" s="28" t="s">
        <v>2882</v>
      </c>
      <c r="AS101" s="34">
        <f>SUM(AJ102:AJ103)</f>
        <v>0</v>
      </c>
      <c r="AT101" s="34">
        <f>SUM(AK102:AK103)</f>
        <v>0</v>
      </c>
      <c r="AU101" s="34">
        <f>SUM(AL102:AL103)</f>
        <v>0</v>
      </c>
    </row>
    <row r="102" spans="1:64" ht="12.75">
      <c r="A102" s="4" t="s">
        <v>78</v>
      </c>
      <c r="B102" s="94" t="s">
        <v>1078</v>
      </c>
      <c r="C102" s="152" t="s">
        <v>2022</v>
      </c>
      <c r="D102" s="153"/>
      <c r="E102" s="153"/>
      <c r="F102" s="153"/>
      <c r="G102" s="94" t="s">
        <v>2849</v>
      </c>
      <c r="H102" s="73">
        <v>15.296</v>
      </c>
      <c r="I102" s="105">
        <v>0</v>
      </c>
      <c r="J102" s="15">
        <f>H102*AO102</f>
        <v>0</v>
      </c>
      <c r="K102" s="15">
        <f>H102*AP102</f>
        <v>0</v>
      </c>
      <c r="L102" s="15">
        <f>H102*I102</f>
        <v>0</v>
      </c>
      <c r="M102" s="25" t="s">
        <v>2872</v>
      </c>
      <c r="N102" s="5"/>
      <c r="Z102" s="29">
        <f>IF(AQ102="5",BJ102,0)</f>
        <v>0</v>
      </c>
      <c r="AB102" s="29">
        <f>IF(AQ102="1",BH102,0)</f>
        <v>0</v>
      </c>
      <c r="AC102" s="29">
        <f>IF(AQ102="1",BI102,0)</f>
        <v>0</v>
      </c>
      <c r="AD102" s="29">
        <f>IF(AQ102="7",BH102,0)</f>
        <v>0</v>
      </c>
      <c r="AE102" s="29">
        <f>IF(AQ102="7",BI102,0)</f>
        <v>0</v>
      </c>
      <c r="AF102" s="29">
        <f>IF(AQ102="2",BH102,0)</f>
        <v>0</v>
      </c>
      <c r="AG102" s="29">
        <f>IF(AQ102="2",BI102,0)</f>
        <v>0</v>
      </c>
      <c r="AH102" s="29">
        <f>IF(AQ102="0",BJ102,0)</f>
        <v>0</v>
      </c>
      <c r="AI102" s="28" t="s">
        <v>2882</v>
      </c>
      <c r="AJ102" s="15">
        <f>IF(AN102=0,L102,0)</f>
        <v>0</v>
      </c>
      <c r="AK102" s="15">
        <f>IF(AN102=15,L102,0)</f>
        <v>0</v>
      </c>
      <c r="AL102" s="15">
        <f>IF(AN102=21,L102,0)</f>
        <v>0</v>
      </c>
      <c r="AN102" s="29">
        <v>15</v>
      </c>
      <c r="AO102" s="29">
        <f>I102*0.291702531729156</f>
        <v>0</v>
      </c>
      <c r="AP102" s="29">
        <f>I102*(1-0.291702531729156)</f>
        <v>0</v>
      </c>
      <c r="AQ102" s="30" t="s">
        <v>7</v>
      </c>
      <c r="AV102" s="29">
        <f>AW102+AX102</f>
        <v>0</v>
      </c>
      <c r="AW102" s="29">
        <f>H102*AO102</f>
        <v>0</v>
      </c>
      <c r="AX102" s="29">
        <f>H102*AP102</f>
        <v>0</v>
      </c>
      <c r="AY102" s="32" t="s">
        <v>2901</v>
      </c>
      <c r="AZ102" s="32" t="s">
        <v>2940</v>
      </c>
      <c r="BA102" s="28" t="s">
        <v>2957</v>
      </c>
      <c r="BC102" s="29">
        <f>AW102+AX102</f>
        <v>0</v>
      </c>
      <c r="BD102" s="29">
        <f>I102/(100-BE102)*100</f>
        <v>0</v>
      </c>
      <c r="BE102" s="29">
        <v>0</v>
      </c>
      <c r="BF102" s="29">
        <f>102</f>
        <v>102</v>
      </c>
      <c r="BH102" s="15">
        <f>H102*AO102</f>
        <v>0</v>
      </c>
      <c r="BI102" s="15">
        <f>H102*AP102</f>
        <v>0</v>
      </c>
      <c r="BJ102" s="15">
        <f>H102*I102</f>
        <v>0</v>
      </c>
      <c r="BK102" s="15" t="s">
        <v>2969</v>
      </c>
      <c r="BL102" s="29">
        <v>60</v>
      </c>
    </row>
    <row r="103" spans="1:64" ht="12.75">
      <c r="A103" s="4" t="s">
        <v>79</v>
      </c>
      <c r="B103" s="94" t="s">
        <v>1079</v>
      </c>
      <c r="C103" s="152" t="s">
        <v>2023</v>
      </c>
      <c r="D103" s="153"/>
      <c r="E103" s="153"/>
      <c r="F103" s="153"/>
      <c r="G103" s="94" t="s">
        <v>2849</v>
      </c>
      <c r="H103" s="73">
        <v>15.296</v>
      </c>
      <c r="I103" s="105">
        <v>0</v>
      </c>
      <c r="J103" s="15">
        <f>H103*AO103</f>
        <v>0</v>
      </c>
      <c r="K103" s="15">
        <f>H103*AP103</f>
        <v>0</v>
      </c>
      <c r="L103" s="15">
        <f>H103*I103</f>
        <v>0</v>
      </c>
      <c r="M103" s="25" t="s">
        <v>2872</v>
      </c>
      <c r="N103" s="5"/>
      <c r="Z103" s="29">
        <f>IF(AQ103="5",BJ103,0)</f>
        <v>0</v>
      </c>
      <c r="AB103" s="29">
        <f>IF(AQ103="1",BH103,0)</f>
        <v>0</v>
      </c>
      <c r="AC103" s="29">
        <f>IF(AQ103="1",BI103,0)</f>
        <v>0</v>
      </c>
      <c r="AD103" s="29">
        <f>IF(AQ103="7",BH103,0)</f>
        <v>0</v>
      </c>
      <c r="AE103" s="29">
        <f>IF(AQ103="7",BI103,0)</f>
        <v>0</v>
      </c>
      <c r="AF103" s="29">
        <f>IF(AQ103="2",BH103,0)</f>
        <v>0</v>
      </c>
      <c r="AG103" s="29">
        <f>IF(AQ103="2",BI103,0)</f>
        <v>0</v>
      </c>
      <c r="AH103" s="29">
        <f>IF(AQ103="0",BJ103,0)</f>
        <v>0</v>
      </c>
      <c r="AI103" s="28" t="s">
        <v>2882</v>
      </c>
      <c r="AJ103" s="15">
        <f>IF(AN103=0,L103,0)</f>
        <v>0</v>
      </c>
      <c r="AK103" s="15">
        <f>IF(AN103=15,L103,0)</f>
        <v>0</v>
      </c>
      <c r="AL103" s="15">
        <f>IF(AN103=21,L103,0)</f>
        <v>0</v>
      </c>
      <c r="AN103" s="29">
        <v>15</v>
      </c>
      <c r="AO103" s="29">
        <f>I103*0.146625624418087</f>
        <v>0</v>
      </c>
      <c r="AP103" s="29">
        <f>I103*(1-0.146625624418087)</f>
        <v>0</v>
      </c>
      <c r="AQ103" s="30" t="s">
        <v>7</v>
      </c>
      <c r="AV103" s="29">
        <f>AW103+AX103</f>
        <v>0</v>
      </c>
      <c r="AW103" s="29">
        <f>H103*AO103</f>
        <v>0</v>
      </c>
      <c r="AX103" s="29">
        <f>H103*AP103</f>
        <v>0</v>
      </c>
      <c r="AY103" s="32" t="s">
        <v>2901</v>
      </c>
      <c r="AZ103" s="32" t="s">
        <v>2940</v>
      </c>
      <c r="BA103" s="28" t="s">
        <v>2957</v>
      </c>
      <c r="BC103" s="29">
        <f>AW103+AX103</f>
        <v>0</v>
      </c>
      <c r="BD103" s="29">
        <f>I103/(100-BE103)*100</f>
        <v>0</v>
      </c>
      <c r="BE103" s="29">
        <v>0</v>
      </c>
      <c r="BF103" s="29">
        <f>103</f>
        <v>103</v>
      </c>
      <c r="BH103" s="15">
        <f>H103*AO103</f>
        <v>0</v>
      </c>
      <c r="BI103" s="15">
        <f>H103*AP103</f>
        <v>0</v>
      </c>
      <c r="BJ103" s="15">
        <f>H103*I103</f>
        <v>0</v>
      </c>
      <c r="BK103" s="15" t="s">
        <v>2969</v>
      </c>
      <c r="BL103" s="29">
        <v>60</v>
      </c>
    </row>
    <row r="104" spans="1:47" ht="12.75">
      <c r="A104" s="3"/>
      <c r="B104" s="97" t="s">
        <v>67</v>
      </c>
      <c r="C104" s="161" t="s">
        <v>2024</v>
      </c>
      <c r="D104" s="162"/>
      <c r="E104" s="162"/>
      <c r="F104" s="162"/>
      <c r="G104" s="13" t="s">
        <v>6</v>
      </c>
      <c r="H104" s="13" t="s">
        <v>6</v>
      </c>
      <c r="I104" s="13" t="s">
        <v>6</v>
      </c>
      <c r="J104" s="34">
        <f>SUM(J105:J118)</f>
        <v>0</v>
      </c>
      <c r="K104" s="34">
        <f>SUM(K105:K118)</f>
        <v>0</v>
      </c>
      <c r="L104" s="34">
        <f>SUM(L105:L118)</f>
        <v>0</v>
      </c>
      <c r="M104" s="24"/>
      <c r="N104" s="5"/>
      <c r="AI104" s="28" t="s">
        <v>2882</v>
      </c>
      <c r="AS104" s="34">
        <f>SUM(AJ105:AJ118)</f>
        <v>0</v>
      </c>
      <c r="AT104" s="34">
        <f>SUM(AK105:AK118)</f>
        <v>0</v>
      </c>
      <c r="AU104" s="34">
        <f>SUM(AL105:AL118)</f>
        <v>0</v>
      </c>
    </row>
    <row r="105" spans="1:64" ht="12.75">
      <c r="A105" s="4" t="s">
        <v>80</v>
      </c>
      <c r="B105" s="94" t="s">
        <v>1080</v>
      </c>
      <c r="C105" s="152" t="s">
        <v>2025</v>
      </c>
      <c r="D105" s="153"/>
      <c r="E105" s="153"/>
      <c r="F105" s="153"/>
      <c r="G105" s="94" t="s">
        <v>2849</v>
      </c>
      <c r="H105" s="73">
        <v>882.706</v>
      </c>
      <c r="I105" s="105">
        <v>0</v>
      </c>
      <c r="J105" s="15">
        <f aca="true" t="shared" si="88" ref="J105:J118">H105*AO105</f>
        <v>0</v>
      </c>
      <c r="K105" s="15">
        <f aca="true" t="shared" si="89" ref="K105:K118">H105*AP105</f>
        <v>0</v>
      </c>
      <c r="L105" s="15">
        <f aca="true" t="shared" si="90" ref="L105:L118">H105*I105</f>
        <v>0</v>
      </c>
      <c r="M105" s="25" t="s">
        <v>2872</v>
      </c>
      <c r="N105" s="5"/>
      <c r="Z105" s="29">
        <f aca="true" t="shared" si="91" ref="Z105:Z118">IF(AQ105="5",BJ105,0)</f>
        <v>0</v>
      </c>
      <c r="AB105" s="29">
        <f aca="true" t="shared" si="92" ref="AB105:AB118">IF(AQ105="1",BH105,0)</f>
        <v>0</v>
      </c>
      <c r="AC105" s="29">
        <f aca="true" t="shared" si="93" ref="AC105:AC118">IF(AQ105="1",BI105,0)</f>
        <v>0</v>
      </c>
      <c r="AD105" s="29">
        <f aca="true" t="shared" si="94" ref="AD105:AD118">IF(AQ105="7",BH105,0)</f>
        <v>0</v>
      </c>
      <c r="AE105" s="29">
        <f aca="true" t="shared" si="95" ref="AE105:AE118">IF(AQ105="7",BI105,0)</f>
        <v>0</v>
      </c>
      <c r="AF105" s="29">
        <f aca="true" t="shared" si="96" ref="AF105:AF118">IF(AQ105="2",BH105,0)</f>
        <v>0</v>
      </c>
      <c r="AG105" s="29">
        <f aca="true" t="shared" si="97" ref="AG105:AG118">IF(AQ105="2",BI105,0)</f>
        <v>0</v>
      </c>
      <c r="AH105" s="29">
        <f aca="true" t="shared" si="98" ref="AH105:AH118">IF(AQ105="0",BJ105,0)</f>
        <v>0</v>
      </c>
      <c r="AI105" s="28" t="s">
        <v>2882</v>
      </c>
      <c r="AJ105" s="15">
        <f aca="true" t="shared" si="99" ref="AJ105:AJ118">IF(AN105=0,L105,0)</f>
        <v>0</v>
      </c>
      <c r="AK105" s="15">
        <f aca="true" t="shared" si="100" ref="AK105:AK118">IF(AN105=15,L105,0)</f>
        <v>0</v>
      </c>
      <c r="AL105" s="15">
        <f aca="true" t="shared" si="101" ref="AL105:AL118">IF(AN105=21,L105,0)</f>
        <v>0</v>
      </c>
      <c r="AN105" s="29">
        <v>15</v>
      </c>
      <c r="AO105" s="29">
        <f>I105*0.189815617625475</f>
        <v>0</v>
      </c>
      <c r="AP105" s="29">
        <f>I105*(1-0.189815617625475)</f>
        <v>0</v>
      </c>
      <c r="AQ105" s="30" t="s">
        <v>7</v>
      </c>
      <c r="AV105" s="29">
        <f aca="true" t="shared" si="102" ref="AV105:AV118">AW105+AX105</f>
        <v>0</v>
      </c>
      <c r="AW105" s="29">
        <f aca="true" t="shared" si="103" ref="AW105:AW118">H105*AO105</f>
        <v>0</v>
      </c>
      <c r="AX105" s="29">
        <f aca="true" t="shared" si="104" ref="AX105:AX118">H105*AP105</f>
        <v>0</v>
      </c>
      <c r="AY105" s="32" t="s">
        <v>2902</v>
      </c>
      <c r="AZ105" s="32" t="s">
        <v>2940</v>
      </c>
      <c r="BA105" s="28" t="s">
        <v>2957</v>
      </c>
      <c r="BC105" s="29">
        <f aca="true" t="shared" si="105" ref="BC105:BC118">AW105+AX105</f>
        <v>0</v>
      </c>
      <c r="BD105" s="29">
        <f aca="true" t="shared" si="106" ref="BD105:BD118">I105/(100-BE105)*100</f>
        <v>0</v>
      </c>
      <c r="BE105" s="29">
        <v>0</v>
      </c>
      <c r="BF105" s="29">
        <f>105</f>
        <v>105</v>
      </c>
      <c r="BH105" s="15">
        <f aca="true" t="shared" si="107" ref="BH105:BH118">H105*AO105</f>
        <v>0</v>
      </c>
      <c r="BI105" s="15">
        <f aca="true" t="shared" si="108" ref="BI105:BI118">H105*AP105</f>
        <v>0</v>
      </c>
      <c r="BJ105" s="15">
        <f aca="true" t="shared" si="109" ref="BJ105:BJ118">H105*I105</f>
        <v>0</v>
      </c>
      <c r="BK105" s="15" t="s">
        <v>2969</v>
      </c>
      <c r="BL105" s="29">
        <v>61</v>
      </c>
    </row>
    <row r="106" spans="1:64" ht="12.75">
      <c r="A106" s="4" t="s">
        <v>81</v>
      </c>
      <c r="B106" s="94" t="s">
        <v>1081</v>
      </c>
      <c r="C106" s="152" t="s">
        <v>2026</v>
      </c>
      <c r="D106" s="153"/>
      <c r="E106" s="153"/>
      <c r="F106" s="153"/>
      <c r="G106" s="94" t="s">
        <v>2849</v>
      </c>
      <c r="H106" s="73">
        <v>882.706</v>
      </c>
      <c r="I106" s="105">
        <v>0</v>
      </c>
      <c r="J106" s="15">
        <f t="shared" si="88"/>
        <v>0</v>
      </c>
      <c r="K106" s="15">
        <f t="shared" si="89"/>
        <v>0</v>
      </c>
      <c r="L106" s="15">
        <f t="shared" si="90"/>
        <v>0</v>
      </c>
      <c r="M106" s="25" t="s">
        <v>2872</v>
      </c>
      <c r="N106" s="5"/>
      <c r="Z106" s="29">
        <f t="shared" si="91"/>
        <v>0</v>
      </c>
      <c r="AB106" s="29">
        <f t="shared" si="92"/>
        <v>0</v>
      </c>
      <c r="AC106" s="29">
        <f t="shared" si="93"/>
        <v>0</v>
      </c>
      <c r="AD106" s="29">
        <f t="shared" si="94"/>
        <v>0</v>
      </c>
      <c r="AE106" s="29">
        <f t="shared" si="95"/>
        <v>0</v>
      </c>
      <c r="AF106" s="29">
        <f t="shared" si="96"/>
        <v>0</v>
      </c>
      <c r="AG106" s="29">
        <f t="shared" si="97"/>
        <v>0</v>
      </c>
      <c r="AH106" s="29">
        <f t="shared" si="98"/>
        <v>0</v>
      </c>
      <c r="AI106" s="28" t="s">
        <v>2882</v>
      </c>
      <c r="AJ106" s="15">
        <f t="shared" si="99"/>
        <v>0</v>
      </c>
      <c r="AK106" s="15">
        <f t="shared" si="100"/>
        <v>0</v>
      </c>
      <c r="AL106" s="15">
        <f t="shared" si="101"/>
        <v>0</v>
      </c>
      <c r="AN106" s="29">
        <v>15</v>
      </c>
      <c r="AO106" s="29">
        <f>I106*0.113127413549572</f>
        <v>0</v>
      </c>
      <c r="AP106" s="29">
        <f>I106*(1-0.113127413549572)</f>
        <v>0</v>
      </c>
      <c r="AQ106" s="30" t="s">
        <v>7</v>
      </c>
      <c r="AV106" s="29">
        <f t="shared" si="102"/>
        <v>0</v>
      </c>
      <c r="AW106" s="29">
        <f t="shared" si="103"/>
        <v>0</v>
      </c>
      <c r="AX106" s="29">
        <f t="shared" si="104"/>
        <v>0</v>
      </c>
      <c r="AY106" s="32" t="s">
        <v>2902</v>
      </c>
      <c r="AZ106" s="32" t="s">
        <v>2940</v>
      </c>
      <c r="BA106" s="28" t="s">
        <v>2957</v>
      </c>
      <c r="BC106" s="29">
        <f t="shared" si="105"/>
        <v>0</v>
      </c>
      <c r="BD106" s="29">
        <f t="shared" si="106"/>
        <v>0</v>
      </c>
      <c r="BE106" s="29">
        <v>0</v>
      </c>
      <c r="BF106" s="29">
        <f>106</f>
        <v>106</v>
      </c>
      <c r="BH106" s="15">
        <f t="shared" si="107"/>
        <v>0</v>
      </c>
      <c r="BI106" s="15">
        <f t="shared" si="108"/>
        <v>0</v>
      </c>
      <c r="BJ106" s="15">
        <f t="shared" si="109"/>
        <v>0</v>
      </c>
      <c r="BK106" s="15" t="s">
        <v>2969</v>
      </c>
      <c r="BL106" s="29">
        <v>61</v>
      </c>
    </row>
    <row r="107" spans="1:64" ht="12.75">
      <c r="A107" s="4" t="s">
        <v>82</v>
      </c>
      <c r="B107" s="94" t="s">
        <v>1082</v>
      </c>
      <c r="C107" s="152" t="s">
        <v>2027</v>
      </c>
      <c r="D107" s="153"/>
      <c r="E107" s="153"/>
      <c r="F107" s="153"/>
      <c r="G107" s="94" t="s">
        <v>2849</v>
      </c>
      <c r="H107" s="73">
        <v>938.587</v>
      </c>
      <c r="I107" s="105">
        <v>0</v>
      </c>
      <c r="J107" s="15">
        <f t="shared" si="88"/>
        <v>0</v>
      </c>
      <c r="K107" s="15">
        <f t="shared" si="89"/>
        <v>0</v>
      </c>
      <c r="L107" s="15">
        <f t="shared" si="90"/>
        <v>0</v>
      </c>
      <c r="M107" s="25" t="s">
        <v>2872</v>
      </c>
      <c r="N107" s="5"/>
      <c r="Z107" s="29">
        <f t="shared" si="91"/>
        <v>0</v>
      </c>
      <c r="AB107" s="29">
        <f t="shared" si="92"/>
        <v>0</v>
      </c>
      <c r="AC107" s="29">
        <f t="shared" si="93"/>
        <v>0</v>
      </c>
      <c r="AD107" s="29">
        <f t="shared" si="94"/>
        <v>0</v>
      </c>
      <c r="AE107" s="29">
        <f t="shared" si="95"/>
        <v>0</v>
      </c>
      <c r="AF107" s="29">
        <f t="shared" si="96"/>
        <v>0</v>
      </c>
      <c r="AG107" s="29">
        <f t="shared" si="97"/>
        <v>0</v>
      </c>
      <c r="AH107" s="29">
        <f t="shared" si="98"/>
        <v>0</v>
      </c>
      <c r="AI107" s="28" t="s">
        <v>2882</v>
      </c>
      <c r="AJ107" s="15">
        <f t="shared" si="99"/>
        <v>0</v>
      </c>
      <c r="AK107" s="15">
        <f t="shared" si="100"/>
        <v>0</v>
      </c>
      <c r="AL107" s="15">
        <f t="shared" si="101"/>
        <v>0</v>
      </c>
      <c r="AN107" s="29">
        <v>15</v>
      </c>
      <c r="AO107" s="29">
        <f>I107*0.254140128236786</f>
        <v>0</v>
      </c>
      <c r="AP107" s="29">
        <f>I107*(1-0.254140128236786)</f>
        <v>0</v>
      </c>
      <c r="AQ107" s="30" t="s">
        <v>7</v>
      </c>
      <c r="AV107" s="29">
        <f t="shared" si="102"/>
        <v>0</v>
      </c>
      <c r="AW107" s="29">
        <f t="shared" si="103"/>
        <v>0</v>
      </c>
      <c r="AX107" s="29">
        <f t="shared" si="104"/>
        <v>0</v>
      </c>
      <c r="AY107" s="32" t="s">
        <v>2902</v>
      </c>
      <c r="AZ107" s="32" t="s">
        <v>2940</v>
      </c>
      <c r="BA107" s="28" t="s">
        <v>2957</v>
      </c>
      <c r="BC107" s="29">
        <f t="shared" si="105"/>
        <v>0</v>
      </c>
      <c r="BD107" s="29">
        <f t="shared" si="106"/>
        <v>0</v>
      </c>
      <c r="BE107" s="29">
        <v>0</v>
      </c>
      <c r="BF107" s="29">
        <f>107</f>
        <v>107</v>
      </c>
      <c r="BH107" s="15">
        <f t="shared" si="107"/>
        <v>0</v>
      </c>
      <c r="BI107" s="15">
        <f t="shared" si="108"/>
        <v>0</v>
      </c>
      <c r="BJ107" s="15">
        <f t="shared" si="109"/>
        <v>0</v>
      </c>
      <c r="BK107" s="15" t="s">
        <v>2969</v>
      </c>
      <c r="BL107" s="29">
        <v>61</v>
      </c>
    </row>
    <row r="108" spans="1:64" ht="12.75">
      <c r="A108" s="4" t="s">
        <v>83</v>
      </c>
      <c r="B108" s="94" t="s">
        <v>1083</v>
      </c>
      <c r="C108" s="152" t="s">
        <v>2028</v>
      </c>
      <c r="D108" s="153"/>
      <c r="E108" s="153"/>
      <c r="F108" s="153"/>
      <c r="G108" s="94" t="s">
        <v>2849</v>
      </c>
      <c r="H108" s="73">
        <v>882.587</v>
      </c>
      <c r="I108" s="105">
        <v>0</v>
      </c>
      <c r="J108" s="15">
        <f t="shared" si="88"/>
        <v>0</v>
      </c>
      <c r="K108" s="15">
        <f t="shared" si="89"/>
        <v>0</v>
      </c>
      <c r="L108" s="15">
        <f t="shared" si="90"/>
        <v>0</v>
      </c>
      <c r="M108" s="25" t="s">
        <v>2872</v>
      </c>
      <c r="N108" s="5"/>
      <c r="Z108" s="29">
        <f t="shared" si="91"/>
        <v>0</v>
      </c>
      <c r="AB108" s="29">
        <f t="shared" si="92"/>
        <v>0</v>
      </c>
      <c r="AC108" s="29">
        <f t="shared" si="93"/>
        <v>0</v>
      </c>
      <c r="AD108" s="29">
        <f t="shared" si="94"/>
        <v>0</v>
      </c>
      <c r="AE108" s="29">
        <f t="shared" si="95"/>
        <v>0</v>
      </c>
      <c r="AF108" s="29">
        <f t="shared" si="96"/>
        <v>0</v>
      </c>
      <c r="AG108" s="29">
        <f t="shared" si="97"/>
        <v>0</v>
      </c>
      <c r="AH108" s="29">
        <f t="shared" si="98"/>
        <v>0</v>
      </c>
      <c r="AI108" s="28" t="s">
        <v>2882</v>
      </c>
      <c r="AJ108" s="15">
        <f t="shared" si="99"/>
        <v>0</v>
      </c>
      <c r="AK108" s="15">
        <f t="shared" si="100"/>
        <v>0</v>
      </c>
      <c r="AL108" s="15">
        <f t="shared" si="101"/>
        <v>0</v>
      </c>
      <c r="AN108" s="29">
        <v>15</v>
      </c>
      <c r="AO108" s="29">
        <f>I108*0.14097806817784</f>
        <v>0</v>
      </c>
      <c r="AP108" s="29">
        <f>I108*(1-0.14097806817784)</f>
        <v>0</v>
      </c>
      <c r="AQ108" s="30" t="s">
        <v>7</v>
      </c>
      <c r="AV108" s="29">
        <f t="shared" si="102"/>
        <v>0</v>
      </c>
      <c r="AW108" s="29">
        <f t="shared" si="103"/>
        <v>0</v>
      </c>
      <c r="AX108" s="29">
        <f t="shared" si="104"/>
        <v>0</v>
      </c>
      <c r="AY108" s="32" t="s">
        <v>2902</v>
      </c>
      <c r="AZ108" s="32" t="s">
        <v>2940</v>
      </c>
      <c r="BA108" s="28" t="s">
        <v>2957</v>
      </c>
      <c r="BC108" s="29">
        <f t="shared" si="105"/>
        <v>0</v>
      </c>
      <c r="BD108" s="29">
        <f t="shared" si="106"/>
        <v>0</v>
      </c>
      <c r="BE108" s="29">
        <v>0</v>
      </c>
      <c r="BF108" s="29">
        <f>108</f>
        <v>108</v>
      </c>
      <c r="BH108" s="15">
        <f t="shared" si="107"/>
        <v>0</v>
      </c>
      <c r="BI108" s="15">
        <f t="shared" si="108"/>
        <v>0</v>
      </c>
      <c r="BJ108" s="15">
        <f t="shared" si="109"/>
        <v>0</v>
      </c>
      <c r="BK108" s="15" t="s">
        <v>2969</v>
      </c>
      <c r="BL108" s="29">
        <v>61</v>
      </c>
    </row>
    <row r="109" spans="1:64" ht="12.75">
      <c r="A109" s="4" t="s">
        <v>84</v>
      </c>
      <c r="B109" s="94" t="s">
        <v>1084</v>
      </c>
      <c r="C109" s="152" t="s">
        <v>2029</v>
      </c>
      <c r="D109" s="153"/>
      <c r="E109" s="153"/>
      <c r="F109" s="153"/>
      <c r="G109" s="94" t="s">
        <v>2849</v>
      </c>
      <c r="H109" s="73">
        <v>56</v>
      </c>
      <c r="I109" s="105">
        <v>0</v>
      </c>
      <c r="J109" s="15">
        <f t="shared" si="88"/>
        <v>0</v>
      </c>
      <c r="K109" s="15">
        <f t="shared" si="89"/>
        <v>0</v>
      </c>
      <c r="L109" s="15">
        <f t="shared" si="90"/>
        <v>0</v>
      </c>
      <c r="M109" s="25" t="s">
        <v>2872</v>
      </c>
      <c r="N109" s="5"/>
      <c r="Z109" s="29">
        <f t="shared" si="91"/>
        <v>0</v>
      </c>
      <c r="AB109" s="29">
        <f t="shared" si="92"/>
        <v>0</v>
      </c>
      <c r="AC109" s="29">
        <f t="shared" si="93"/>
        <v>0</v>
      </c>
      <c r="AD109" s="29">
        <f t="shared" si="94"/>
        <v>0</v>
      </c>
      <c r="AE109" s="29">
        <f t="shared" si="95"/>
        <v>0</v>
      </c>
      <c r="AF109" s="29">
        <f t="shared" si="96"/>
        <v>0</v>
      </c>
      <c r="AG109" s="29">
        <f t="shared" si="97"/>
        <v>0</v>
      </c>
      <c r="AH109" s="29">
        <f t="shared" si="98"/>
        <v>0</v>
      </c>
      <c r="AI109" s="28" t="s">
        <v>2882</v>
      </c>
      <c r="AJ109" s="15">
        <f t="shared" si="99"/>
        <v>0</v>
      </c>
      <c r="AK109" s="15">
        <f t="shared" si="100"/>
        <v>0</v>
      </c>
      <c r="AL109" s="15">
        <f t="shared" si="101"/>
        <v>0</v>
      </c>
      <c r="AN109" s="29">
        <v>15</v>
      </c>
      <c r="AO109" s="29">
        <f>I109*0.140952380952381</f>
        <v>0</v>
      </c>
      <c r="AP109" s="29">
        <f>I109*(1-0.140952380952381)</f>
        <v>0</v>
      </c>
      <c r="AQ109" s="30" t="s">
        <v>7</v>
      </c>
      <c r="AV109" s="29">
        <f t="shared" si="102"/>
        <v>0</v>
      </c>
      <c r="AW109" s="29">
        <f t="shared" si="103"/>
        <v>0</v>
      </c>
      <c r="AX109" s="29">
        <f t="shared" si="104"/>
        <v>0</v>
      </c>
      <c r="AY109" s="32" t="s">
        <v>2902</v>
      </c>
      <c r="AZ109" s="32" t="s">
        <v>2940</v>
      </c>
      <c r="BA109" s="28" t="s">
        <v>2957</v>
      </c>
      <c r="BC109" s="29">
        <f t="shared" si="105"/>
        <v>0</v>
      </c>
      <c r="BD109" s="29">
        <f t="shared" si="106"/>
        <v>0</v>
      </c>
      <c r="BE109" s="29">
        <v>0</v>
      </c>
      <c r="BF109" s="29">
        <f>109</f>
        <v>109</v>
      </c>
      <c r="BH109" s="15">
        <f t="shared" si="107"/>
        <v>0</v>
      </c>
      <c r="BI109" s="15">
        <f t="shared" si="108"/>
        <v>0</v>
      </c>
      <c r="BJ109" s="15">
        <f t="shared" si="109"/>
        <v>0</v>
      </c>
      <c r="BK109" s="15" t="s">
        <v>2969</v>
      </c>
      <c r="BL109" s="29">
        <v>61</v>
      </c>
    </row>
    <row r="110" spans="1:64" ht="12.75">
      <c r="A110" s="4" t="s">
        <v>85</v>
      </c>
      <c r="B110" s="94" t="s">
        <v>1085</v>
      </c>
      <c r="C110" s="152" t="s">
        <v>2030</v>
      </c>
      <c r="D110" s="153"/>
      <c r="E110" s="153"/>
      <c r="F110" s="153"/>
      <c r="G110" s="94" t="s">
        <v>2849</v>
      </c>
      <c r="H110" s="73">
        <v>379.62</v>
      </c>
      <c r="I110" s="105">
        <v>0</v>
      </c>
      <c r="J110" s="15">
        <f t="shared" si="88"/>
        <v>0</v>
      </c>
      <c r="K110" s="15">
        <f t="shared" si="89"/>
        <v>0</v>
      </c>
      <c r="L110" s="15">
        <f t="shared" si="90"/>
        <v>0</v>
      </c>
      <c r="M110" s="25" t="s">
        <v>2872</v>
      </c>
      <c r="N110" s="5"/>
      <c r="Z110" s="29">
        <f t="shared" si="91"/>
        <v>0</v>
      </c>
      <c r="AB110" s="29">
        <f t="shared" si="92"/>
        <v>0</v>
      </c>
      <c r="AC110" s="29">
        <f t="shared" si="93"/>
        <v>0</v>
      </c>
      <c r="AD110" s="29">
        <f t="shared" si="94"/>
        <v>0</v>
      </c>
      <c r="AE110" s="29">
        <f t="shared" si="95"/>
        <v>0</v>
      </c>
      <c r="AF110" s="29">
        <f t="shared" si="96"/>
        <v>0</v>
      </c>
      <c r="AG110" s="29">
        <f t="shared" si="97"/>
        <v>0</v>
      </c>
      <c r="AH110" s="29">
        <f t="shared" si="98"/>
        <v>0</v>
      </c>
      <c r="AI110" s="28" t="s">
        <v>2882</v>
      </c>
      <c r="AJ110" s="15">
        <f t="shared" si="99"/>
        <v>0</v>
      </c>
      <c r="AK110" s="15">
        <f t="shared" si="100"/>
        <v>0</v>
      </c>
      <c r="AL110" s="15">
        <f t="shared" si="101"/>
        <v>0</v>
      </c>
      <c r="AN110" s="29">
        <v>15</v>
      </c>
      <c r="AO110" s="29">
        <f>I110*0.141002940198361</f>
        <v>0</v>
      </c>
      <c r="AP110" s="29">
        <f>I110*(1-0.141002940198361)</f>
        <v>0</v>
      </c>
      <c r="AQ110" s="30" t="s">
        <v>7</v>
      </c>
      <c r="AV110" s="29">
        <f t="shared" si="102"/>
        <v>0</v>
      </c>
      <c r="AW110" s="29">
        <f t="shared" si="103"/>
        <v>0</v>
      </c>
      <c r="AX110" s="29">
        <f t="shared" si="104"/>
        <v>0</v>
      </c>
      <c r="AY110" s="32" t="s">
        <v>2902</v>
      </c>
      <c r="AZ110" s="32" t="s">
        <v>2940</v>
      </c>
      <c r="BA110" s="28" t="s">
        <v>2957</v>
      </c>
      <c r="BC110" s="29">
        <f t="shared" si="105"/>
        <v>0</v>
      </c>
      <c r="BD110" s="29">
        <f t="shared" si="106"/>
        <v>0</v>
      </c>
      <c r="BE110" s="29">
        <v>0</v>
      </c>
      <c r="BF110" s="29">
        <f>110</f>
        <v>110</v>
      </c>
      <c r="BH110" s="15">
        <f t="shared" si="107"/>
        <v>0</v>
      </c>
      <c r="BI110" s="15">
        <f t="shared" si="108"/>
        <v>0</v>
      </c>
      <c r="BJ110" s="15">
        <f t="shared" si="109"/>
        <v>0</v>
      </c>
      <c r="BK110" s="15" t="s">
        <v>2969</v>
      </c>
      <c r="BL110" s="29">
        <v>61</v>
      </c>
    </row>
    <row r="111" spans="1:64" ht="12.75">
      <c r="A111" s="4" t="s">
        <v>86</v>
      </c>
      <c r="B111" s="94" t="s">
        <v>1086</v>
      </c>
      <c r="C111" s="152" t="s">
        <v>2031</v>
      </c>
      <c r="D111" s="153"/>
      <c r="E111" s="153"/>
      <c r="F111" s="153"/>
      <c r="G111" s="94" t="s">
        <v>2851</v>
      </c>
      <c r="H111" s="73">
        <v>186.27</v>
      </c>
      <c r="I111" s="105">
        <v>0</v>
      </c>
      <c r="J111" s="15">
        <f t="shared" si="88"/>
        <v>0</v>
      </c>
      <c r="K111" s="15">
        <f t="shared" si="89"/>
        <v>0</v>
      </c>
      <c r="L111" s="15">
        <f t="shared" si="90"/>
        <v>0</v>
      </c>
      <c r="M111" s="25" t="s">
        <v>2872</v>
      </c>
      <c r="N111" s="5"/>
      <c r="Z111" s="29">
        <f t="shared" si="91"/>
        <v>0</v>
      </c>
      <c r="AB111" s="29">
        <f t="shared" si="92"/>
        <v>0</v>
      </c>
      <c r="AC111" s="29">
        <f t="shared" si="93"/>
        <v>0</v>
      </c>
      <c r="AD111" s="29">
        <f t="shared" si="94"/>
        <v>0</v>
      </c>
      <c r="AE111" s="29">
        <f t="shared" si="95"/>
        <v>0</v>
      </c>
      <c r="AF111" s="29">
        <f t="shared" si="96"/>
        <v>0</v>
      </c>
      <c r="AG111" s="29">
        <f t="shared" si="97"/>
        <v>0</v>
      </c>
      <c r="AH111" s="29">
        <f t="shared" si="98"/>
        <v>0</v>
      </c>
      <c r="AI111" s="28" t="s">
        <v>2882</v>
      </c>
      <c r="AJ111" s="15">
        <f t="shared" si="99"/>
        <v>0</v>
      </c>
      <c r="AK111" s="15">
        <f t="shared" si="100"/>
        <v>0</v>
      </c>
      <c r="AL111" s="15">
        <f t="shared" si="101"/>
        <v>0</v>
      </c>
      <c r="AN111" s="29">
        <v>15</v>
      </c>
      <c r="AO111" s="29">
        <f>I111*0.701085537751679</f>
        <v>0</v>
      </c>
      <c r="AP111" s="29">
        <f>I111*(1-0.701085537751679)</f>
        <v>0</v>
      </c>
      <c r="AQ111" s="30" t="s">
        <v>7</v>
      </c>
      <c r="AV111" s="29">
        <f t="shared" si="102"/>
        <v>0</v>
      </c>
      <c r="AW111" s="29">
        <f t="shared" si="103"/>
        <v>0</v>
      </c>
      <c r="AX111" s="29">
        <f t="shared" si="104"/>
        <v>0</v>
      </c>
      <c r="AY111" s="32" t="s">
        <v>2902</v>
      </c>
      <c r="AZ111" s="32" t="s">
        <v>2940</v>
      </c>
      <c r="BA111" s="28" t="s">
        <v>2957</v>
      </c>
      <c r="BC111" s="29">
        <f t="shared" si="105"/>
        <v>0</v>
      </c>
      <c r="BD111" s="29">
        <f t="shared" si="106"/>
        <v>0</v>
      </c>
      <c r="BE111" s="29">
        <v>0</v>
      </c>
      <c r="BF111" s="29">
        <f>111</f>
        <v>111</v>
      </c>
      <c r="BH111" s="15">
        <f t="shared" si="107"/>
        <v>0</v>
      </c>
      <c r="BI111" s="15">
        <f t="shared" si="108"/>
        <v>0</v>
      </c>
      <c r="BJ111" s="15">
        <f t="shared" si="109"/>
        <v>0</v>
      </c>
      <c r="BK111" s="15" t="s">
        <v>2969</v>
      </c>
      <c r="BL111" s="29">
        <v>61</v>
      </c>
    </row>
    <row r="112" spans="1:64" ht="12.75">
      <c r="A112" s="4" t="s">
        <v>87</v>
      </c>
      <c r="B112" s="94" t="s">
        <v>1087</v>
      </c>
      <c r="C112" s="152" t="s">
        <v>2032</v>
      </c>
      <c r="D112" s="153"/>
      <c r="E112" s="153"/>
      <c r="F112" s="153"/>
      <c r="G112" s="94" t="s">
        <v>2849</v>
      </c>
      <c r="H112" s="73">
        <v>149.484</v>
      </c>
      <c r="I112" s="105">
        <v>0</v>
      </c>
      <c r="J112" s="15">
        <f t="shared" si="88"/>
        <v>0</v>
      </c>
      <c r="K112" s="15">
        <f t="shared" si="89"/>
        <v>0</v>
      </c>
      <c r="L112" s="15">
        <f t="shared" si="90"/>
        <v>0</v>
      </c>
      <c r="M112" s="25" t="s">
        <v>2872</v>
      </c>
      <c r="N112" s="5"/>
      <c r="Z112" s="29">
        <f t="shared" si="91"/>
        <v>0</v>
      </c>
      <c r="AB112" s="29">
        <f t="shared" si="92"/>
        <v>0</v>
      </c>
      <c r="AC112" s="29">
        <f t="shared" si="93"/>
        <v>0</v>
      </c>
      <c r="AD112" s="29">
        <f t="shared" si="94"/>
        <v>0</v>
      </c>
      <c r="AE112" s="29">
        <f t="shared" si="95"/>
        <v>0</v>
      </c>
      <c r="AF112" s="29">
        <f t="shared" si="96"/>
        <v>0</v>
      </c>
      <c r="AG112" s="29">
        <f t="shared" si="97"/>
        <v>0</v>
      </c>
      <c r="AH112" s="29">
        <f t="shared" si="98"/>
        <v>0</v>
      </c>
      <c r="AI112" s="28" t="s">
        <v>2882</v>
      </c>
      <c r="AJ112" s="15">
        <f t="shared" si="99"/>
        <v>0</v>
      </c>
      <c r="AK112" s="15">
        <f t="shared" si="100"/>
        <v>0</v>
      </c>
      <c r="AL112" s="15">
        <f t="shared" si="101"/>
        <v>0</v>
      </c>
      <c r="AN112" s="29">
        <v>15</v>
      </c>
      <c r="AO112" s="29">
        <f>I112*0.297197651455819</f>
        <v>0</v>
      </c>
      <c r="AP112" s="29">
        <f>I112*(1-0.297197651455819)</f>
        <v>0</v>
      </c>
      <c r="AQ112" s="30" t="s">
        <v>7</v>
      </c>
      <c r="AV112" s="29">
        <f t="shared" si="102"/>
        <v>0</v>
      </c>
      <c r="AW112" s="29">
        <f t="shared" si="103"/>
        <v>0</v>
      </c>
      <c r="AX112" s="29">
        <f t="shared" si="104"/>
        <v>0</v>
      </c>
      <c r="AY112" s="32" t="s">
        <v>2902</v>
      </c>
      <c r="AZ112" s="32" t="s">
        <v>2940</v>
      </c>
      <c r="BA112" s="28" t="s">
        <v>2957</v>
      </c>
      <c r="BC112" s="29">
        <f t="shared" si="105"/>
        <v>0</v>
      </c>
      <c r="BD112" s="29">
        <f t="shared" si="106"/>
        <v>0</v>
      </c>
      <c r="BE112" s="29">
        <v>0</v>
      </c>
      <c r="BF112" s="29">
        <f>112</f>
        <v>112</v>
      </c>
      <c r="BH112" s="15">
        <f t="shared" si="107"/>
        <v>0</v>
      </c>
      <c r="BI112" s="15">
        <f t="shared" si="108"/>
        <v>0</v>
      </c>
      <c r="BJ112" s="15">
        <f t="shared" si="109"/>
        <v>0</v>
      </c>
      <c r="BK112" s="15" t="s">
        <v>2969</v>
      </c>
      <c r="BL112" s="29">
        <v>61</v>
      </c>
    </row>
    <row r="113" spans="1:64" ht="12.75">
      <c r="A113" s="4" t="s">
        <v>88</v>
      </c>
      <c r="B113" s="94" t="s">
        <v>1088</v>
      </c>
      <c r="C113" s="152" t="s">
        <v>2033</v>
      </c>
      <c r="D113" s="153"/>
      <c r="E113" s="153"/>
      <c r="F113" s="153"/>
      <c r="G113" s="94" t="s">
        <v>2849</v>
      </c>
      <c r="H113" s="73">
        <v>15.296</v>
      </c>
      <c r="I113" s="105">
        <v>0</v>
      </c>
      <c r="J113" s="15">
        <f t="shared" si="88"/>
        <v>0</v>
      </c>
      <c r="K113" s="15">
        <f t="shared" si="89"/>
        <v>0</v>
      </c>
      <c r="L113" s="15">
        <f t="shared" si="90"/>
        <v>0</v>
      </c>
      <c r="M113" s="25" t="s">
        <v>2872</v>
      </c>
      <c r="N113" s="5"/>
      <c r="Z113" s="29">
        <f t="shared" si="91"/>
        <v>0</v>
      </c>
      <c r="AB113" s="29">
        <f t="shared" si="92"/>
        <v>0</v>
      </c>
      <c r="AC113" s="29">
        <f t="shared" si="93"/>
        <v>0</v>
      </c>
      <c r="AD113" s="29">
        <f t="shared" si="94"/>
        <v>0</v>
      </c>
      <c r="AE113" s="29">
        <f t="shared" si="95"/>
        <v>0</v>
      </c>
      <c r="AF113" s="29">
        <f t="shared" si="96"/>
        <v>0</v>
      </c>
      <c r="AG113" s="29">
        <f t="shared" si="97"/>
        <v>0</v>
      </c>
      <c r="AH113" s="29">
        <f t="shared" si="98"/>
        <v>0</v>
      </c>
      <c r="AI113" s="28" t="s">
        <v>2882</v>
      </c>
      <c r="AJ113" s="15">
        <f t="shared" si="99"/>
        <v>0</v>
      </c>
      <c r="AK113" s="15">
        <f t="shared" si="100"/>
        <v>0</v>
      </c>
      <c r="AL113" s="15">
        <f t="shared" si="101"/>
        <v>0</v>
      </c>
      <c r="AN113" s="29">
        <v>15</v>
      </c>
      <c r="AO113" s="29">
        <f>I113*0.247438880916141</f>
        <v>0</v>
      </c>
      <c r="AP113" s="29">
        <f>I113*(1-0.247438880916141)</f>
        <v>0</v>
      </c>
      <c r="AQ113" s="30" t="s">
        <v>7</v>
      </c>
      <c r="AV113" s="29">
        <f t="shared" si="102"/>
        <v>0</v>
      </c>
      <c r="AW113" s="29">
        <f t="shared" si="103"/>
        <v>0</v>
      </c>
      <c r="AX113" s="29">
        <f t="shared" si="104"/>
        <v>0</v>
      </c>
      <c r="AY113" s="32" t="s">
        <v>2902</v>
      </c>
      <c r="AZ113" s="32" t="s">
        <v>2940</v>
      </c>
      <c r="BA113" s="28" t="s">
        <v>2957</v>
      </c>
      <c r="BC113" s="29">
        <f t="shared" si="105"/>
        <v>0</v>
      </c>
      <c r="BD113" s="29">
        <f t="shared" si="106"/>
        <v>0</v>
      </c>
      <c r="BE113" s="29">
        <v>0</v>
      </c>
      <c r="BF113" s="29">
        <f>113</f>
        <v>113</v>
      </c>
      <c r="BH113" s="15">
        <f t="shared" si="107"/>
        <v>0</v>
      </c>
      <c r="BI113" s="15">
        <f t="shared" si="108"/>
        <v>0</v>
      </c>
      <c r="BJ113" s="15">
        <f t="shared" si="109"/>
        <v>0</v>
      </c>
      <c r="BK113" s="15" t="s">
        <v>2969</v>
      </c>
      <c r="BL113" s="29">
        <v>61</v>
      </c>
    </row>
    <row r="114" spans="1:64" ht="12.75">
      <c r="A114" s="4" t="s">
        <v>89</v>
      </c>
      <c r="B114" s="94" t="s">
        <v>1089</v>
      </c>
      <c r="C114" s="152" t="s">
        <v>2034</v>
      </c>
      <c r="D114" s="153"/>
      <c r="E114" s="153"/>
      <c r="F114" s="153"/>
      <c r="G114" s="94" t="s">
        <v>2851</v>
      </c>
      <c r="H114" s="73">
        <v>548.7</v>
      </c>
      <c r="I114" s="105">
        <v>0</v>
      </c>
      <c r="J114" s="15">
        <f t="shared" si="88"/>
        <v>0</v>
      </c>
      <c r="K114" s="15">
        <f t="shared" si="89"/>
        <v>0</v>
      </c>
      <c r="L114" s="15">
        <f t="shared" si="90"/>
        <v>0</v>
      </c>
      <c r="M114" s="25" t="s">
        <v>2872</v>
      </c>
      <c r="N114" s="5"/>
      <c r="Z114" s="29">
        <f t="shared" si="91"/>
        <v>0</v>
      </c>
      <c r="AB114" s="29">
        <f t="shared" si="92"/>
        <v>0</v>
      </c>
      <c r="AC114" s="29">
        <f t="shared" si="93"/>
        <v>0</v>
      </c>
      <c r="AD114" s="29">
        <f t="shared" si="94"/>
        <v>0</v>
      </c>
      <c r="AE114" s="29">
        <f t="shared" si="95"/>
        <v>0</v>
      </c>
      <c r="AF114" s="29">
        <f t="shared" si="96"/>
        <v>0</v>
      </c>
      <c r="AG114" s="29">
        <f t="shared" si="97"/>
        <v>0</v>
      </c>
      <c r="AH114" s="29">
        <f t="shared" si="98"/>
        <v>0</v>
      </c>
      <c r="AI114" s="28" t="s">
        <v>2882</v>
      </c>
      <c r="AJ114" s="15">
        <f t="shared" si="99"/>
        <v>0</v>
      </c>
      <c r="AK114" s="15">
        <f t="shared" si="100"/>
        <v>0</v>
      </c>
      <c r="AL114" s="15">
        <f t="shared" si="101"/>
        <v>0</v>
      </c>
      <c r="AN114" s="29">
        <v>15</v>
      </c>
      <c r="AO114" s="29">
        <f>I114*0.115859035390355</f>
        <v>0</v>
      </c>
      <c r="AP114" s="29">
        <f>I114*(1-0.115859035390355)</f>
        <v>0</v>
      </c>
      <c r="AQ114" s="30" t="s">
        <v>7</v>
      </c>
      <c r="AV114" s="29">
        <f t="shared" si="102"/>
        <v>0</v>
      </c>
      <c r="AW114" s="29">
        <f t="shared" si="103"/>
        <v>0</v>
      </c>
      <c r="AX114" s="29">
        <f t="shared" si="104"/>
        <v>0</v>
      </c>
      <c r="AY114" s="32" t="s">
        <v>2902</v>
      </c>
      <c r="AZ114" s="32" t="s">
        <v>2940</v>
      </c>
      <c r="BA114" s="28" t="s">
        <v>2957</v>
      </c>
      <c r="BC114" s="29">
        <f t="shared" si="105"/>
        <v>0</v>
      </c>
      <c r="BD114" s="29">
        <f t="shared" si="106"/>
        <v>0</v>
      </c>
      <c r="BE114" s="29">
        <v>0</v>
      </c>
      <c r="BF114" s="29">
        <f>114</f>
        <v>114</v>
      </c>
      <c r="BH114" s="15">
        <f t="shared" si="107"/>
        <v>0</v>
      </c>
      <c r="BI114" s="15">
        <f t="shared" si="108"/>
        <v>0</v>
      </c>
      <c r="BJ114" s="15">
        <f t="shared" si="109"/>
        <v>0</v>
      </c>
      <c r="BK114" s="15" t="s">
        <v>2969</v>
      </c>
      <c r="BL114" s="29">
        <v>61</v>
      </c>
    </row>
    <row r="115" spans="1:64" ht="12.75">
      <c r="A115" s="4" t="s">
        <v>90</v>
      </c>
      <c r="B115" s="94" t="s">
        <v>1090</v>
      </c>
      <c r="C115" s="152" t="s">
        <v>2035</v>
      </c>
      <c r="D115" s="153"/>
      <c r="E115" s="153"/>
      <c r="F115" s="153"/>
      <c r="G115" s="94" t="s">
        <v>2849</v>
      </c>
      <c r="H115" s="73">
        <v>186.846</v>
      </c>
      <c r="I115" s="105">
        <v>0</v>
      </c>
      <c r="J115" s="15">
        <f t="shared" si="88"/>
        <v>0</v>
      </c>
      <c r="K115" s="15">
        <f t="shared" si="89"/>
        <v>0</v>
      </c>
      <c r="L115" s="15">
        <f t="shared" si="90"/>
        <v>0</v>
      </c>
      <c r="M115" s="25" t="s">
        <v>2872</v>
      </c>
      <c r="N115" s="5"/>
      <c r="Z115" s="29">
        <f t="shared" si="91"/>
        <v>0</v>
      </c>
      <c r="AB115" s="29">
        <f t="shared" si="92"/>
        <v>0</v>
      </c>
      <c r="AC115" s="29">
        <f t="shared" si="93"/>
        <v>0</v>
      </c>
      <c r="AD115" s="29">
        <f t="shared" si="94"/>
        <v>0</v>
      </c>
      <c r="AE115" s="29">
        <f t="shared" si="95"/>
        <v>0</v>
      </c>
      <c r="AF115" s="29">
        <f t="shared" si="96"/>
        <v>0</v>
      </c>
      <c r="AG115" s="29">
        <f t="shared" si="97"/>
        <v>0</v>
      </c>
      <c r="AH115" s="29">
        <f t="shared" si="98"/>
        <v>0</v>
      </c>
      <c r="AI115" s="28" t="s">
        <v>2882</v>
      </c>
      <c r="AJ115" s="15">
        <f t="shared" si="99"/>
        <v>0</v>
      </c>
      <c r="AK115" s="15">
        <f t="shared" si="100"/>
        <v>0</v>
      </c>
      <c r="AL115" s="15">
        <f t="shared" si="101"/>
        <v>0</v>
      </c>
      <c r="AN115" s="29">
        <v>15</v>
      </c>
      <c r="AO115" s="29">
        <f>I115*0.157402065863994</f>
        <v>0</v>
      </c>
      <c r="AP115" s="29">
        <f>I115*(1-0.157402065863994)</f>
        <v>0</v>
      </c>
      <c r="AQ115" s="30" t="s">
        <v>7</v>
      </c>
      <c r="AV115" s="29">
        <f t="shared" si="102"/>
        <v>0</v>
      </c>
      <c r="AW115" s="29">
        <f t="shared" si="103"/>
        <v>0</v>
      </c>
      <c r="AX115" s="29">
        <f t="shared" si="104"/>
        <v>0</v>
      </c>
      <c r="AY115" s="32" t="s">
        <v>2902</v>
      </c>
      <c r="AZ115" s="32" t="s">
        <v>2940</v>
      </c>
      <c r="BA115" s="28" t="s">
        <v>2957</v>
      </c>
      <c r="BC115" s="29">
        <f t="shared" si="105"/>
        <v>0</v>
      </c>
      <c r="BD115" s="29">
        <f t="shared" si="106"/>
        <v>0</v>
      </c>
      <c r="BE115" s="29">
        <v>0</v>
      </c>
      <c r="BF115" s="29">
        <f>115</f>
        <v>115</v>
      </c>
      <c r="BH115" s="15">
        <f t="shared" si="107"/>
        <v>0</v>
      </c>
      <c r="BI115" s="15">
        <f t="shared" si="108"/>
        <v>0</v>
      </c>
      <c r="BJ115" s="15">
        <f t="shared" si="109"/>
        <v>0</v>
      </c>
      <c r="BK115" s="15" t="s">
        <v>2969</v>
      </c>
      <c r="BL115" s="29">
        <v>61</v>
      </c>
    </row>
    <row r="116" spans="1:64" ht="12.75">
      <c r="A116" s="4" t="s">
        <v>91</v>
      </c>
      <c r="B116" s="94" t="s">
        <v>1091</v>
      </c>
      <c r="C116" s="152" t="s">
        <v>2036</v>
      </c>
      <c r="D116" s="153"/>
      <c r="E116" s="153"/>
      <c r="F116" s="153"/>
      <c r="G116" s="94" t="s">
        <v>2849</v>
      </c>
      <c r="H116" s="73">
        <v>55.881</v>
      </c>
      <c r="I116" s="105">
        <v>0</v>
      </c>
      <c r="J116" s="15">
        <f t="shared" si="88"/>
        <v>0</v>
      </c>
      <c r="K116" s="15">
        <f t="shared" si="89"/>
        <v>0</v>
      </c>
      <c r="L116" s="15">
        <f t="shared" si="90"/>
        <v>0</v>
      </c>
      <c r="M116" s="25" t="s">
        <v>2872</v>
      </c>
      <c r="N116" s="5"/>
      <c r="Z116" s="29">
        <f t="shared" si="91"/>
        <v>0</v>
      </c>
      <c r="AB116" s="29">
        <f t="shared" si="92"/>
        <v>0</v>
      </c>
      <c r="AC116" s="29">
        <f t="shared" si="93"/>
        <v>0</v>
      </c>
      <c r="AD116" s="29">
        <f t="shared" si="94"/>
        <v>0</v>
      </c>
      <c r="AE116" s="29">
        <f t="shared" si="95"/>
        <v>0</v>
      </c>
      <c r="AF116" s="29">
        <f t="shared" si="96"/>
        <v>0</v>
      </c>
      <c r="AG116" s="29">
        <f t="shared" si="97"/>
        <v>0</v>
      </c>
      <c r="AH116" s="29">
        <f t="shared" si="98"/>
        <v>0</v>
      </c>
      <c r="AI116" s="28" t="s">
        <v>2882</v>
      </c>
      <c r="AJ116" s="15">
        <f t="shared" si="99"/>
        <v>0</v>
      </c>
      <c r="AK116" s="15">
        <f t="shared" si="100"/>
        <v>0</v>
      </c>
      <c r="AL116" s="15">
        <f t="shared" si="101"/>
        <v>0</v>
      </c>
      <c r="AN116" s="29">
        <v>15</v>
      </c>
      <c r="AO116" s="29">
        <f>I116*0.244240489692734</f>
        <v>0</v>
      </c>
      <c r="AP116" s="29">
        <f>I116*(1-0.244240489692734)</f>
        <v>0</v>
      </c>
      <c r="AQ116" s="30" t="s">
        <v>7</v>
      </c>
      <c r="AV116" s="29">
        <f t="shared" si="102"/>
        <v>0</v>
      </c>
      <c r="AW116" s="29">
        <f t="shared" si="103"/>
        <v>0</v>
      </c>
      <c r="AX116" s="29">
        <f t="shared" si="104"/>
        <v>0</v>
      </c>
      <c r="AY116" s="32" t="s">
        <v>2902</v>
      </c>
      <c r="AZ116" s="32" t="s">
        <v>2940</v>
      </c>
      <c r="BA116" s="28" t="s">
        <v>2957</v>
      </c>
      <c r="BC116" s="29">
        <f t="shared" si="105"/>
        <v>0</v>
      </c>
      <c r="BD116" s="29">
        <f t="shared" si="106"/>
        <v>0</v>
      </c>
      <c r="BE116" s="29">
        <v>0</v>
      </c>
      <c r="BF116" s="29">
        <f>116</f>
        <v>116</v>
      </c>
      <c r="BH116" s="15">
        <f t="shared" si="107"/>
        <v>0</v>
      </c>
      <c r="BI116" s="15">
        <f t="shared" si="108"/>
        <v>0</v>
      </c>
      <c r="BJ116" s="15">
        <f t="shared" si="109"/>
        <v>0</v>
      </c>
      <c r="BK116" s="15" t="s">
        <v>2969</v>
      </c>
      <c r="BL116" s="29">
        <v>61</v>
      </c>
    </row>
    <row r="117" spans="1:64" ht="12.75">
      <c r="A117" s="4" t="s">
        <v>92</v>
      </c>
      <c r="B117" s="94" t="s">
        <v>1092</v>
      </c>
      <c r="C117" s="152" t="s">
        <v>2037</v>
      </c>
      <c r="D117" s="153"/>
      <c r="E117" s="153"/>
      <c r="F117" s="153"/>
      <c r="G117" s="94" t="s">
        <v>2849</v>
      </c>
      <c r="H117" s="73">
        <v>9.96</v>
      </c>
      <c r="I117" s="105">
        <v>0</v>
      </c>
      <c r="J117" s="15">
        <f t="shared" si="88"/>
        <v>0</v>
      </c>
      <c r="K117" s="15">
        <f t="shared" si="89"/>
        <v>0</v>
      </c>
      <c r="L117" s="15">
        <f t="shared" si="90"/>
        <v>0</v>
      </c>
      <c r="M117" s="25" t="s">
        <v>2872</v>
      </c>
      <c r="N117" s="5"/>
      <c r="Z117" s="29">
        <f t="shared" si="91"/>
        <v>0</v>
      </c>
      <c r="AB117" s="29">
        <f t="shared" si="92"/>
        <v>0</v>
      </c>
      <c r="AC117" s="29">
        <f t="shared" si="93"/>
        <v>0</v>
      </c>
      <c r="AD117" s="29">
        <f t="shared" si="94"/>
        <v>0</v>
      </c>
      <c r="AE117" s="29">
        <f t="shared" si="95"/>
        <v>0</v>
      </c>
      <c r="AF117" s="29">
        <f t="shared" si="96"/>
        <v>0</v>
      </c>
      <c r="AG117" s="29">
        <f t="shared" si="97"/>
        <v>0</v>
      </c>
      <c r="AH117" s="29">
        <f t="shared" si="98"/>
        <v>0</v>
      </c>
      <c r="AI117" s="28" t="s">
        <v>2882</v>
      </c>
      <c r="AJ117" s="15">
        <f t="shared" si="99"/>
        <v>0</v>
      </c>
      <c r="AK117" s="15">
        <f t="shared" si="100"/>
        <v>0</v>
      </c>
      <c r="AL117" s="15">
        <f t="shared" si="101"/>
        <v>0</v>
      </c>
      <c r="AN117" s="29">
        <v>15</v>
      </c>
      <c r="AO117" s="29">
        <f>I117*0.111938173652695</f>
        <v>0</v>
      </c>
      <c r="AP117" s="29">
        <f>I117*(1-0.111938173652695)</f>
        <v>0</v>
      </c>
      <c r="AQ117" s="30" t="s">
        <v>7</v>
      </c>
      <c r="AV117" s="29">
        <f t="shared" si="102"/>
        <v>0</v>
      </c>
      <c r="AW117" s="29">
        <f t="shared" si="103"/>
        <v>0</v>
      </c>
      <c r="AX117" s="29">
        <f t="shared" si="104"/>
        <v>0</v>
      </c>
      <c r="AY117" s="32" t="s">
        <v>2902</v>
      </c>
      <c r="AZ117" s="32" t="s">
        <v>2940</v>
      </c>
      <c r="BA117" s="28" t="s">
        <v>2957</v>
      </c>
      <c r="BC117" s="29">
        <f t="shared" si="105"/>
        <v>0</v>
      </c>
      <c r="BD117" s="29">
        <f t="shared" si="106"/>
        <v>0</v>
      </c>
      <c r="BE117" s="29">
        <v>0</v>
      </c>
      <c r="BF117" s="29">
        <f>117</f>
        <v>117</v>
      </c>
      <c r="BH117" s="15">
        <f t="shared" si="107"/>
        <v>0</v>
      </c>
      <c r="BI117" s="15">
        <f t="shared" si="108"/>
        <v>0</v>
      </c>
      <c r="BJ117" s="15">
        <f t="shared" si="109"/>
        <v>0</v>
      </c>
      <c r="BK117" s="15" t="s">
        <v>2969</v>
      </c>
      <c r="BL117" s="29">
        <v>61</v>
      </c>
    </row>
    <row r="118" spans="1:64" ht="12.75">
      <c r="A118" s="4" t="s">
        <v>93</v>
      </c>
      <c r="B118" s="94" t="s">
        <v>1093</v>
      </c>
      <c r="C118" s="152" t="s">
        <v>2038</v>
      </c>
      <c r="D118" s="153"/>
      <c r="E118" s="153"/>
      <c r="F118" s="153"/>
      <c r="G118" s="94" t="s">
        <v>2851</v>
      </c>
      <c r="H118" s="73">
        <v>239.02</v>
      </c>
      <c r="I118" s="15">
        <v>0</v>
      </c>
      <c r="J118" s="15">
        <f t="shared" si="88"/>
        <v>0</v>
      </c>
      <c r="K118" s="15">
        <f t="shared" si="89"/>
        <v>0</v>
      </c>
      <c r="L118" s="15">
        <f t="shared" si="90"/>
        <v>0</v>
      </c>
      <c r="M118" s="25" t="s">
        <v>2872</v>
      </c>
      <c r="N118" s="5"/>
      <c r="Z118" s="29">
        <f t="shared" si="91"/>
        <v>0</v>
      </c>
      <c r="AB118" s="29">
        <f t="shared" si="92"/>
        <v>0</v>
      </c>
      <c r="AC118" s="29">
        <f t="shared" si="93"/>
        <v>0</v>
      </c>
      <c r="AD118" s="29">
        <f t="shared" si="94"/>
        <v>0</v>
      </c>
      <c r="AE118" s="29">
        <f t="shared" si="95"/>
        <v>0</v>
      </c>
      <c r="AF118" s="29">
        <f t="shared" si="96"/>
        <v>0</v>
      </c>
      <c r="AG118" s="29">
        <f t="shared" si="97"/>
        <v>0</v>
      </c>
      <c r="AH118" s="29">
        <f t="shared" si="98"/>
        <v>0</v>
      </c>
      <c r="AI118" s="28" t="s">
        <v>2882</v>
      </c>
      <c r="AJ118" s="15">
        <f t="shared" si="99"/>
        <v>0</v>
      </c>
      <c r="AK118" s="15">
        <f t="shared" si="100"/>
        <v>0</v>
      </c>
      <c r="AL118" s="15">
        <f t="shared" si="101"/>
        <v>0</v>
      </c>
      <c r="AN118" s="29">
        <v>15</v>
      </c>
      <c r="AO118" s="29">
        <f>I118*0.999999987509329</f>
        <v>0</v>
      </c>
      <c r="AP118" s="29">
        <f>I118*(1-0.999999987509329)</f>
        <v>0</v>
      </c>
      <c r="AQ118" s="30" t="s">
        <v>7</v>
      </c>
      <c r="AV118" s="29">
        <f t="shared" si="102"/>
        <v>0</v>
      </c>
      <c r="AW118" s="29">
        <f t="shared" si="103"/>
        <v>0</v>
      </c>
      <c r="AX118" s="29">
        <f t="shared" si="104"/>
        <v>0</v>
      </c>
      <c r="AY118" s="32" t="s">
        <v>2902</v>
      </c>
      <c r="AZ118" s="32" t="s">
        <v>2940</v>
      </c>
      <c r="BA118" s="28" t="s">
        <v>2957</v>
      </c>
      <c r="BC118" s="29">
        <f t="shared" si="105"/>
        <v>0</v>
      </c>
      <c r="BD118" s="29">
        <f t="shared" si="106"/>
        <v>0</v>
      </c>
      <c r="BE118" s="29">
        <v>0</v>
      </c>
      <c r="BF118" s="29">
        <f>118</f>
        <v>118</v>
      </c>
      <c r="BH118" s="15">
        <f t="shared" si="107"/>
        <v>0</v>
      </c>
      <c r="BI118" s="15">
        <f t="shared" si="108"/>
        <v>0</v>
      </c>
      <c r="BJ118" s="15">
        <f t="shared" si="109"/>
        <v>0</v>
      </c>
      <c r="BK118" s="15" t="s">
        <v>2969</v>
      </c>
      <c r="BL118" s="29">
        <v>61</v>
      </c>
    </row>
    <row r="119" spans="1:47" ht="12.75">
      <c r="A119" s="3"/>
      <c r="B119" s="97" t="s">
        <v>68</v>
      </c>
      <c r="C119" s="161" t="s">
        <v>2039</v>
      </c>
      <c r="D119" s="162"/>
      <c r="E119" s="162"/>
      <c r="F119" s="162"/>
      <c r="G119" s="13" t="s">
        <v>6</v>
      </c>
      <c r="H119" s="13" t="s">
        <v>6</v>
      </c>
      <c r="I119" s="13" t="s">
        <v>6</v>
      </c>
      <c r="J119" s="34">
        <f>SUM(J120:J135)</f>
        <v>0</v>
      </c>
      <c r="K119" s="34">
        <f>SUM(K120:K135)</f>
        <v>0</v>
      </c>
      <c r="L119" s="34">
        <f>SUM(L120:L135)</f>
        <v>0</v>
      </c>
      <c r="M119" s="24"/>
      <c r="N119" s="5"/>
      <c r="AI119" s="28" t="s">
        <v>2882</v>
      </c>
      <c r="AS119" s="34">
        <f>SUM(AJ120:AJ135)</f>
        <v>0</v>
      </c>
      <c r="AT119" s="34">
        <f>SUM(AK120:AK135)</f>
        <v>0</v>
      </c>
      <c r="AU119" s="34">
        <f>SUM(AL120:AL135)</f>
        <v>0</v>
      </c>
    </row>
    <row r="120" spans="1:64" ht="12.75">
      <c r="A120" s="4" t="s">
        <v>94</v>
      </c>
      <c r="B120" s="94" t="s">
        <v>1094</v>
      </c>
      <c r="C120" s="152" t="s">
        <v>2040</v>
      </c>
      <c r="D120" s="153"/>
      <c r="E120" s="153"/>
      <c r="F120" s="153"/>
      <c r="G120" s="94" t="s">
        <v>2849</v>
      </c>
      <c r="H120" s="73">
        <v>120.314</v>
      </c>
      <c r="I120" s="105">
        <v>0</v>
      </c>
      <c r="J120" s="15">
        <f>H120*AO120</f>
        <v>0</v>
      </c>
      <c r="K120" s="15">
        <f>H120*AP120</f>
        <v>0</v>
      </c>
      <c r="L120" s="15">
        <f>H120*I120</f>
        <v>0</v>
      </c>
      <c r="M120" s="25" t="s">
        <v>2872</v>
      </c>
      <c r="N120" s="5"/>
      <c r="Z120" s="29">
        <f>IF(AQ120="5",BJ120,0)</f>
        <v>0</v>
      </c>
      <c r="AB120" s="29">
        <f>IF(AQ120="1",BH120,0)</f>
        <v>0</v>
      </c>
      <c r="AC120" s="29">
        <f>IF(AQ120="1",BI120,0)</f>
        <v>0</v>
      </c>
      <c r="AD120" s="29">
        <f>IF(AQ120="7",BH120,0)</f>
        <v>0</v>
      </c>
      <c r="AE120" s="29">
        <f>IF(AQ120="7",BI120,0)</f>
        <v>0</v>
      </c>
      <c r="AF120" s="29">
        <f>IF(AQ120="2",BH120,0)</f>
        <v>0</v>
      </c>
      <c r="AG120" s="29">
        <f>IF(AQ120="2",BI120,0)</f>
        <v>0</v>
      </c>
      <c r="AH120" s="29">
        <f>IF(AQ120="0",BJ120,0)</f>
        <v>0</v>
      </c>
      <c r="AI120" s="28" t="s">
        <v>2882</v>
      </c>
      <c r="AJ120" s="15">
        <f>IF(AN120=0,L120,0)</f>
        <v>0</v>
      </c>
      <c r="AK120" s="15">
        <f>IF(AN120=15,L120,0)</f>
        <v>0</v>
      </c>
      <c r="AL120" s="15">
        <f>IF(AN120=21,L120,0)</f>
        <v>0</v>
      </c>
      <c r="AN120" s="29">
        <v>15</v>
      </c>
      <c r="AO120" s="29">
        <f>I120*0.29781597717846</f>
        <v>0</v>
      </c>
      <c r="AP120" s="29">
        <f>I120*(1-0.29781597717846)</f>
        <v>0</v>
      </c>
      <c r="AQ120" s="30" t="s">
        <v>7</v>
      </c>
      <c r="AV120" s="29">
        <f>AW120+AX120</f>
        <v>0</v>
      </c>
      <c r="AW120" s="29">
        <f>H120*AO120</f>
        <v>0</v>
      </c>
      <c r="AX120" s="29">
        <f>H120*AP120</f>
        <v>0</v>
      </c>
      <c r="AY120" s="32" t="s">
        <v>2903</v>
      </c>
      <c r="AZ120" s="32" t="s">
        <v>2940</v>
      </c>
      <c r="BA120" s="28" t="s">
        <v>2957</v>
      </c>
      <c r="BC120" s="29">
        <f>AW120+AX120</f>
        <v>0</v>
      </c>
      <c r="BD120" s="29">
        <f>I120/(100-BE120)*100</f>
        <v>0</v>
      </c>
      <c r="BE120" s="29">
        <v>0</v>
      </c>
      <c r="BF120" s="29">
        <f>120</f>
        <v>120</v>
      </c>
      <c r="BH120" s="15">
        <f>H120*AO120</f>
        <v>0</v>
      </c>
      <c r="BI120" s="15">
        <f>H120*AP120</f>
        <v>0</v>
      </c>
      <c r="BJ120" s="15">
        <f>H120*I120</f>
        <v>0</v>
      </c>
      <c r="BK120" s="15" t="s">
        <v>2969</v>
      </c>
      <c r="BL120" s="29">
        <v>62</v>
      </c>
    </row>
    <row r="121" spans="1:64" ht="12.75">
      <c r="A121" s="4" t="s">
        <v>95</v>
      </c>
      <c r="B121" s="94" t="s">
        <v>1095</v>
      </c>
      <c r="C121" s="152" t="s">
        <v>2041</v>
      </c>
      <c r="D121" s="153"/>
      <c r="E121" s="153"/>
      <c r="F121" s="153"/>
      <c r="G121" s="94" t="s">
        <v>2851</v>
      </c>
      <c r="H121" s="73">
        <v>45</v>
      </c>
      <c r="I121" s="105">
        <v>0</v>
      </c>
      <c r="J121" s="15">
        <f>H121*AO121</f>
        <v>0</v>
      </c>
      <c r="K121" s="15">
        <f>H121*AP121</f>
        <v>0</v>
      </c>
      <c r="L121" s="15">
        <f>H121*I121</f>
        <v>0</v>
      </c>
      <c r="M121" s="25" t="s">
        <v>2872</v>
      </c>
      <c r="N121" s="5"/>
      <c r="Z121" s="29">
        <f>IF(AQ121="5",BJ121,0)</f>
        <v>0</v>
      </c>
      <c r="AB121" s="29">
        <f>IF(AQ121="1",BH121,0)</f>
        <v>0</v>
      </c>
      <c r="AC121" s="29">
        <f>IF(AQ121="1",BI121,0)</f>
        <v>0</v>
      </c>
      <c r="AD121" s="29">
        <f>IF(AQ121="7",BH121,0)</f>
        <v>0</v>
      </c>
      <c r="AE121" s="29">
        <f>IF(AQ121="7",BI121,0)</f>
        <v>0</v>
      </c>
      <c r="AF121" s="29">
        <f>IF(AQ121="2",BH121,0)</f>
        <v>0</v>
      </c>
      <c r="AG121" s="29">
        <f>IF(AQ121="2",BI121,0)</f>
        <v>0</v>
      </c>
      <c r="AH121" s="29">
        <f>IF(AQ121="0",BJ121,0)</f>
        <v>0</v>
      </c>
      <c r="AI121" s="28" t="s">
        <v>2882</v>
      </c>
      <c r="AJ121" s="15">
        <f>IF(AN121=0,L121,0)</f>
        <v>0</v>
      </c>
      <c r="AK121" s="15">
        <f>IF(AN121=15,L121,0)</f>
        <v>0</v>
      </c>
      <c r="AL121" s="15">
        <f>IF(AN121=21,L121,0)</f>
        <v>0</v>
      </c>
      <c r="AN121" s="29">
        <v>15</v>
      </c>
      <c r="AO121" s="29">
        <f>I121*0.263098236775819</f>
        <v>0</v>
      </c>
      <c r="AP121" s="29">
        <f>I121*(1-0.263098236775819)</f>
        <v>0</v>
      </c>
      <c r="AQ121" s="30" t="s">
        <v>7</v>
      </c>
      <c r="AV121" s="29">
        <f>AW121+AX121</f>
        <v>0</v>
      </c>
      <c r="AW121" s="29">
        <f>H121*AO121</f>
        <v>0</v>
      </c>
      <c r="AX121" s="29">
        <f>H121*AP121</f>
        <v>0</v>
      </c>
      <c r="AY121" s="32" t="s">
        <v>2903</v>
      </c>
      <c r="AZ121" s="32" t="s">
        <v>2940</v>
      </c>
      <c r="BA121" s="28" t="s">
        <v>2957</v>
      </c>
      <c r="BC121" s="29">
        <f>AW121+AX121</f>
        <v>0</v>
      </c>
      <c r="BD121" s="29">
        <f>I121/(100-BE121)*100</f>
        <v>0</v>
      </c>
      <c r="BE121" s="29">
        <v>0</v>
      </c>
      <c r="BF121" s="29">
        <f>121</f>
        <v>121</v>
      </c>
      <c r="BH121" s="15">
        <f>H121*AO121</f>
        <v>0</v>
      </c>
      <c r="BI121" s="15">
        <f>H121*AP121</f>
        <v>0</v>
      </c>
      <c r="BJ121" s="15">
        <f>H121*I121</f>
        <v>0</v>
      </c>
      <c r="BK121" s="15" t="s">
        <v>2969</v>
      </c>
      <c r="BL121" s="29">
        <v>62</v>
      </c>
    </row>
    <row r="122" spans="1:64" ht="12.75">
      <c r="A122" s="4" t="s">
        <v>96</v>
      </c>
      <c r="B122" s="94" t="s">
        <v>1096</v>
      </c>
      <c r="C122" s="152" t="s">
        <v>2042</v>
      </c>
      <c r="D122" s="153"/>
      <c r="E122" s="153"/>
      <c r="F122" s="153"/>
      <c r="G122" s="94" t="s">
        <v>2851</v>
      </c>
      <c r="H122" s="73">
        <v>76.565</v>
      </c>
      <c r="I122" s="105">
        <v>0</v>
      </c>
      <c r="J122" s="15">
        <f>H122*AO122</f>
        <v>0</v>
      </c>
      <c r="K122" s="15">
        <f>H122*AP122</f>
        <v>0</v>
      </c>
      <c r="L122" s="15">
        <f>H122*I122</f>
        <v>0</v>
      </c>
      <c r="M122" s="25" t="s">
        <v>2872</v>
      </c>
      <c r="N122" s="5"/>
      <c r="Z122" s="29">
        <f>IF(AQ122="5",BJ122,0)</f>
        <v>0</v>
      </c>
      <c r="AB122" s="29">
        <f>IF(AQ122="1",BH122,0)</f>
        <v>0</v>
      </c>
      <c r="AC122" s="29">
        <f>IF(AQ122="1",BI122,0)</f>
        <v>0</v>
      </c>
      <c r="AD122" s="29">
        <f>IF(AQ122="7",BH122,0)</f>
        <v>0</v>
      </c>
      <c r="AE122" s="29">
        <f>IF(AQ122="7",BI122,0)</f>
        <v>0</v>
      </c>
      <c r="AF122" s="29">
        <f>IF(AQ122="2",BH122,0)</f>
        <v>0</v>
      </c>
      <c r="AG122" s="29">
        <f>IF(AQ122="2",BI122,0)</f>
        <v>0</v>
      </c>
      <c r="AH122" s="29">
        <f>IF(AQ122="0",BJ122,0)</f>
        <v>0</v>
      </c>
      <c r="AI122" s="28" t="s">
        <v>2882</v>
      </c>
      <c r="AJ122" s="15">
        <f>IF(AN122=0,L122,0)</f>
        <v>0</v>
      </c>
      <c r="AK122" s="15">
        <f>IF(AN122=15,L122,0)</f>
        <v>0</v>
      </c>
      <c r="AL122" s="15">
        <f>IF(AN122=21,L122,0)</f>
        <v>0</v>
      </c>
      <c r="AN122" s="29">
        <v>15</v>
      </c>
      <c r="AO122" s="29">
        <f>I122*0.56460251153907</f>
        <v>0</v>
      </c>
      <c r="AP122" s="29">
        <f>I122*(1-0.56460251153907)</f>
        <v>0</v>
      </c>
      <c r="AQ122" s="30" t="s">
        <v>7</v>
      </c>
      <c r="AV122" s="29">
        <f>AW122+AX122</f>
        <v>0</v>
      </c>
      <c r="AW122" s="29">
        <f>H122*AO122</f>
        <v>0</v>
      </c>
      <c r="AX122" s="29">
        <f>H122*AP122</f>
        <v>0</v>
      </c>
      <c r="AY122" s="32" t="s">
        <v>2903</v>
      </c>
      <c r="AZ122" s="32" t="s">
        <v>2940</v>
      </c>
      <c r="BA122" s="28" t="s">
        <v>2957</v>
      </c>
      <c r="BC122" s="29">
        <f>AW122+AX122</f>
        <v>0</v>
      </c>
      <c r="BD122" s="29">
        <f>I122/(100-BE122)*100</f>
        <v>0</v>
      </c>
      <c r="BE122" s="29">
        <v>0</v>
      </c>
      <c r="BF122" s="29">
        <f>122</f>
        <v>122</v>
      </c>
      <c r="BH122" s="15">
        <f>H122*AO122</f>
        <v>0</v>
      </c>
      <c r="BI122" s="15">
        <f>H122*AP122</f>
        <v>0</v>
      </c>
      <c r="BJ122" s="15">
        <f>H122*I122</f>
        <v>0</v>
      </c>
      <c r="BK122" s="15" t="s">
        <v>2969</v>
      </c>
      <c r="BL122" s="29">
        <v>62</v>
      </c>
    </row>
    <row r="123" spans="1:64" ht="12.75">
      <c r="A123" s="4" t="s">
        <v>97</v>
      </c>
      <c r="B123" s="94" t="s">
        <v>1097</v>
      </c>
      <c r="C123" s="152" t="s">
        <v>2043</v>
      </c>
      <c r="D123" s="153"/>
      <c r="E123" s="153"/>
      <c r="F123" s="153"/>
      <c r="G123" s="94" t="s">
        <v>2849</v>
      </c>
      <c r="H123" s="73">
        <v>37.6</v>
      </c>
      <c r="I123" s="105">
        <v>0</v>
      </c>
      <c r="J123" s="15">
        <f>H123*AO123</f>
        <v>0</v>
      </c>
      <c r="K123" s="15">
        <f>H123*AP123</f>
        <v>0</v>
      </c>
      <c r="L123" s="15">
        <f>H123*I123</f>
        <v>0</v>
      </c>
      <c r="M123" s="25" t="s">
        <v>2872</v>
      </c>
      <c r="N123" s="5"/>
      <c r="Z123" s="29">
        <f>IF(AQ123="5",BJ123,0)</f>
        <v>0</v>
      </c>
      <c r="AB123" s="29">
        <f>IF(AQ123="1",BH123,0)</f>
        <v>0</v>
      </c>
      <c r="AC123" s="29">
        <f>IF(AQ123="1",BI123,0)</f>
        <v>0</v>
      </c>
      <c r="AD123" s="29">
        <f>IF(AQ123="7",BH123,0)</f>
        <v>0</v>
      </c>
      <c r="AE123" s="29">
        <f>IF(AQ123="7",BI123,0)</f>
        <v>0</v>
      </c>
      <c r="AF123" s="29">
        <f>IF(AQ123="2",BH123,0)</f>
        <v>0</v>
      </c>
      <c r="AG123" s="29">
        <f>IF(AQ123="2",BI123,0)</f>
        <v>0</v>
      </c>
      <c r="AH123" s="29">
        <f>IF(AQ123="0",BJ123,0)</f>
        <v>0</v>
      </c>
      <c r="AI123" s="28" t="s">
        <v>2882</v>
      </c>
      <c r="AJ123" s="15">
        <f>IF(AN123=0,L123,0)</f>
        <v>0</v>
      </c>
      <c r="AK123" s="15">
        <f>IF(AN123=15,L123,0)</f>
        <v>0</v>
      </c>
      <c r="AL123" s="15">
        <f>IF(AN123=21,L123,0)</f>
        <v>0</v>
      </c>
      <c r="AN123" s="29">
        <v>15</v>
      </c>
      <c r="AO123" s="29">
        <f>I123*0.550808187912722</f>
        <v>0</v>
      </c>
      <c r="AP123" s="29">
        <f>I123*(1-0.550808187912722)</f>
        <v>0</v>
      </c>
      <c r="AQ123" s="30" t="s">
        <v>7</v>
      </c>
      <c r="AV123" s="29">
        <f>AW123+AX123</f>
        <v>0</v>
      </c>
      <c r="AW123" s="29">
        <f>H123*AO123</f>
        <v>0</v>
      </c>
      <c r="AX123" s="29">
        <f>H123*AP123</f>
        <v>0</v>
      </c>
      <c r="AY123" s="32" t="s">
        <v>2903</v>
      </c>
      <c r="AZ123" s="32" t="s">
        <v>2940</v>
      </c>
      <c r="BA123" s="28" t="s">
        <v>2957</v>
      </c>
      <c r="BC123" s="29">
        <f>AW123+AX123</f>
        <v>0</v>
      </c>
      <c r="BD123" s="29">
        <f>I123/(100-BE123)*100</f>
        <v>0</v>
      </c>
      <c r="BE123" s="29">
        <v>0</v>
      </c>
      <c r="BF123" s="29">
        <f>123</f>
        <v>123</v>
      </c>
      <c r="BH123" s="15">
        <f>H123*AO123</f>
        <v>0</v>
      </c>
      <c r="BI123" s="15">
        <f>H123*AP123</f>
        <v>0</v>
      </c>
      <c r="BJ123" s="15">
        <f>H123*I123</f>
        <v>0</v>
      </c>
      <c r="BK123" s="15" t="s">
        <v>2969</v>
      </c>
      <c r="BL123" s="29">
        <v>62</v>
      </c>
    </row>
    <row r="124" spans="1:14" ht="12.75">
      <c r="A124" s="5"/>
      <c r="B124" s="12" t="s">
        <v>1015</v>
      </c>
      <c r="C124" s="165" t="s">
        <v>2044</v>
      </c>
      <c r="D124" s="166"/>
      <c r="E124" s="166"/>
      <c r="F124" s="166"/>
      <c r="G124" s="166"/>
      <c r="H124" s="166"/>
      <c r="I124" s="166"/>
      <c r="J124" s="166"/>
      <c r="K124" s="166"/>
      <c r="L124" s="166"/>
      <c r="M124" s="167"/>
      <c r="N124" s="5"/>
    </row>
    <row r="125" spans="1:64" ht="12.75">
      <c r="A125" s="4" t="s">
        <v>98</v>
      </c>
      <c r="B125" s="94" t="s">
        <v>1098</v>
      </c>
      <c r="C125" s="152" t="s">
        <v>2045</v>
      </c>
      <c r="D125" s="153"/>
      <c r="E125" s="153"/>
      <c r="F125" s="153"/>
      <c r="G125" s="94" t="s">
        <v>2849</v>
      </c>
      <c r="H125" s="73">
        <v>281.569</v>
      </c>
      <c r="I125" s="105">
        <v>0</v>
      </c>
      <c r="J125" s="15">
        <f>H125*AO125</f>
        <v>0</v>
      </c>
      <c r="K125" s="15">
        <f>H125*AP125</f>
        <v>0</v>
      </c>
      <c r="L125" s="15">
        <f>H125*I125</f>
        <v>0</v>
      </c>
      <c r="M125" s="25" t="s">
        <v>2872</v>
      </c>
      <c r="N125" s="5"/>
      <c r="Z125" s="29">
        <f>IF(AQ125="5",BJ125,0)</f>
        <v>0</v>
      </c>
      <c r="AB125" s="29">
        <f>IF(AQ125="1",BH125,0)</f>
        <v>0</v>
      </c>
      <c r="AC125" s="29">
        <f>IF(AQ125="1",BI125,0)</f>
        <v>0</v>
      </c>
      <c r="AD125" s="29">
        <f>IF(AQ125="7",BH125,0)</f>
        <v>0</v>
      </c>
      <c r="AE125" s="29">
        <f>IF(AQ125="7",BI125,0)</f>
        <v>0</v>
      </c>
      <c r="AF125" s="29">
        <f>IF(AQ125="2",BH125,0)</f>
        <v>0</v>
      </c>
      <c r="AG125" s="29">
        <f>IF(AQ125="2",BI125,0)</f>
        <v>0</v>
      </c>
      <c r="AH125" s="29">
        <f>IF(AQ125="0",BJ125,0)</f>
        <v>0</v>
      </c>
      <c r="AI125" s="28" t="s">
        <v>2882</v>
      </c>
      <c r="AJ125" s="15">
        <f>IF(AN125=0,L125,0)</f>
        <v>0</v>
      </c>
      <c r="AK125" s="15">
        <f>IF(AN125=15,L125,0)</f>
        <v>0</v>
      </c>
      <c r="AL125" s="15">
        <f>IF(AN125=21,L125,0)</f>
        <v>0</v>
      </c>
      <c r="AN125" s="29">
        <v>15</v>
      </c>
      <c r="AO125" s="29">
        <f>I125*0.578976510443315</f>
        <v>0</v>
      </c>
      <c r="AP125" s="29">
        <f>I125*(1-0.578976510443315)</f>
        <v>0</v>
      </c>
      <c r="AQ125" s="30" t="s">
        <v>7</v>
      </c>
      <c r="AV125" s="29">
        <f>AW125+AX125</f>
        <v>0</v>
      </c>
      <c r="AW125" s="29">
        <f>H125*AO125</f>
        <v>0</v>
      </c>
      <c r="AX125" s="29">
        <f>H125*AP125</f>
        <v>0</v>
      </c>
      <c r="AY125" s="32" t="s">
        <v>2903</v>
      </c>
      <c r="AZ125" s="32" t="s">
        <v>2940</v>
      </c>
      <c r="BA125" s="28" t="s">
        <v>2957</v>
      </c>
      <c r="BC125" s="29">
        <f>AW125+AX125</f>
        <v>0</v>
      </c>
      <c r="BD125" s="29">
        <f>I125/(100-BE125)*100</f>
        <v>0</v>
      </c>
      <c r="BE125" s="29">
        <v>0</v>
      </c>
      <c r="BF125" s="29">
        <f>125</f>
        <v>125</v>
      </c>
      <c r="BH125" s="15">
        <f>H125*AO125</f>
        <v>0</v>
      </c>
      <c r="BI125" s="15">
        <f>H125*AP125</f>
        <v>0</v>
      </c>
      <c r="BJ125" s="15">
        <f>H125*I125</f>
        <v>0</v>
      </c>
      <c r="BK125" s="15" t="s">
        <v>2969</v>
      </c>
      <c r="BL125" s="29">
        <v>62</v>
      </c>
    </row>
    <row r="126" spans="1:14" ht="12.75">
      <c r="A126" s="5"/>
      <c r="B126" s="12" t="s">
        <v>1015</v>
      </c>
      <c r="C126" s="165" t="s">
        <v>2046</v>
      </c>
      <c r="D126" s="166"/>
      <c r="E126" s="166"/>
      <c r="F126" s="166"/>
      <c r="G126" s="166"/>
      <c r="H126" s="166"/>
      <c r="I126" s="166"/>
      <c r="J126" s="166"/>
      <c r="K126" s="166"/>
      <c r="L126" s="166"/>
      <c r="M126" s="167"/>
      <c r="N126" s="5"/>
    </row>
    <row r="127" spans="1:64" ht="12.75">
      <c r="A127" s="4" t="s">
        <v>99</v>
      </c>
      <c r="B127" s="94" t="s">
        <v>1099</v>
      </c>
      <c r="C127" s="152" t="s">
        <v>2047</v>
      </c>
      <c r="D127" s="153"/>
      <c r="E127" s="153"/>
      <c r="F127" s="153"/>
      <c r="G127" s="94" t="s">
        <v>2849</v>
      </c>
      <c r="H127" s="73">
        <v>89.395</v>
      </c>
      <c r="I127" s="105">
        <v>0</v>
      </c>
      <c r="J127" s="15">
        <f>H127*AO127</f>
        <v>0</v>
      </c>
      <c r="K127" s="15">
        <f>H127*AP127</f>
        <v>0</v>
      </c>
      <c r="L127" s="15">
        <f>H127*I127</f>
        <v>0</v>
      </c>
      <c r="M127" s="25" t="s">
        <v>2872</v>
      </c>
      <c r="N127" s="5"/>
      <c r="Z127" s="29">
        <f>IF(AQ127="5",BJ127,0)</f>
        <v>0</v>
      </c>
      <c r="AB127" s="29">
        <f>IF(AQ127="1",BH127,0)</f>
        <v>0</v>
      </c>
      <c r="AC127" s="29">
        <f>IF(AQ127="1",BI127,0)</f>
        <v>0</v>
      </c>
      <c r="AD127" s="29">
        <f>IF(AQ127="7",BH127,0)</f>
        <v>0</v>
      </c>
      <c r="AE127" s="29">
        <f>IF(AQ127="7",BI127,0)</f>
        <v>0</v>
      </c>
      <c r="AF127" s="29">
        <f>IF(AQ127="2",BH127,0)</f>
        <v>0</v>
      </c>
      <c r="AG127" s="29">
        <f>IF(AQ127="2",BI127,0)</f>
        <v>0</v>
      </c>
      <c r="AH127" s="29">
        <f>IF(AQ127="0",BJ127,0)</f>
        <v>0</v>
      </c>
      <c r="AI127" s="28" t="s">
        <v>2882</v>
      </c>
      <c r="AJ127" s="15">
        <f>IF(AN127=0,L127,0)</f>
        <v>0</v>
      </c>
      <c r="AK127" s="15">
        <f>IF(AN127=15,L127,0)</f>
        <v>0</v>
      </c>
      <c r="AL127" s="15">
        <f>IF(AN127=21,L127,0)</f>
        <v>0</v>
      </c>
      <c r="AN127" s="29">
        <v>15</v>
      </c>
      <c r="AO127" s="29">
        <f>I127*0.608247103485922</f>
        <v>0</v>
      </c>
      <c r="AP127" s="29">
        <f>I127*(1-0.608247103485922)</f>
        <v>0</v>
      </c>
      <c r="AQ127" s="30" t="s">
        <v>7</v>
      </c>
      <c r="AV127" s="29">
        <f>AW127+AX127</f>
        <v>0</v>
      </c>
      <c r="AW127" s="29">
        <f>H127*AO127</f>
        <v>0</v>
      </c>
      <c r="AX127" s="29">
        <f>H127*AP127</f>
        <v>0</v>
      </c>
      <c r="AY127" s="32" t="s">
        <v>2903</v>
      </c>
      <c r="AZ127" s="32" t="s">
        <v>2940</v>
      </c>
      <c r="BA127" s="28" t="s">
        <v>2957</v>
      </c>
      <c r="BC127" s="29">
        <f>AW127+AX127</f>
        <v>0</v>
      </c>
      <c r="BD127" s="29">
        <f>I127/(100-BE127)*100</f>
        <v>0</v>
      </c>
      <c r="BE127" s="29">
        <v>0</v>
      </c>
      <c r="BF127" s="29">
        <f>127</f>
        <v>127</v>
      </c>
      <c r="BH127" s="15">
        <f>H127*AO127</f>
        <v>0</v>
      </c>
      <c r="BI127" s="15">
        <f>H127*AP127</f>
        <v>0</v>
      </c>
      <c r="BJ127" s="15">
        <f>H127*I127</f>
        <v>0</v>
      </c>
      <c r="BK127" s="15" t="s">
        <v>2969</v>
      </c>
      <c r="BL127" s="29">
        <v>62</v>
      </c>
    </row>
    <row r="128" spans="1:14" ht="12.75">
      <c r="A128" s="5"/>
      <c r="B128" s="12" t="s">
        <v>1015</v>
      </c>
      <c r="C128" s="165" t="s">
        <v>2048</v>
      </c>
      <c r="D128" s="166"/>
      <c r="E128" s="166"/>
      <c r="F128" s="166"/>
      <c r="G128" s="166"/>
      <c r="H128" s="166"/>
      <c r="I128" s="166"/>
      <c r="J128" s="166"/>
      <c r="K128" s="166"/>
      <c r="L128" s="166"/>
      <c r="M128" s="167"/>
      <c r="N128" s="5"/>
    </row>
    <row r="129" spans="1:64" ht="12.75">
      <c r="A129" s="4" t="s">
        <v>100</v>
      </c>
      <c r="B129" s="94" t="s">
        <v>1100</v>
      </c>
      <c r="C129" s="152" t="s">
        <v>2049</v>
      </c>
      <c r="D129" s="153"/>
      <c r="E129" s="153"/>
      <c r="F129" s="153"/>
      <c r="G129" s="94" t="s">
        <v>2849</v>
      </c>
      <c r="H129" s="73">
        <v>31.36</v>
      </c>
      <c r="I129" s="105">
        <v>0</v>
      </c>
      <c r="J129" s="15">
        <f>H129*AO129</f>
        <v>0</v>
      </c>
      <c r="K129" s="15">
        <f>H129*AP129</f>
        <v>0</v>
      </c>
      <c r="L129" s="15">
        <f>H129*I129</f>
        <v>0</v>
      </c>
      <c r="M129" s="25" t="s">
        <v>2872</v>
      </c>
      <c r="N129" s="5"/>
      <c r="Z129" s="29">
        <f>IF(AQ129="5",BJ129,0)</f>
        <v>0</v>
      </c>
      <c r="AB129" s="29">
        <f>IF(AQ129="1",BH129,0)</f>
        <v>0</v>
      </c>
      <c r="AC129" s="29">
        <f>IF(AQ129="1",BI129,0)</f>
        <v>0</v>
      </c>
      <c r="AD129" s="29">
        <f>IF(AQ129="7",BH129,0)</f>
        <v>0</v>
      </c>
      <c r="AE129" s="29">
        <f>IF(AQ129="7",BI129,0)</f>
        <v>0</v>
      </c>
      <c r="AF129" s="29">
        <f>IF(AQ129="2",BH129,0)</f>
        <v>0</v>
      </c>
      <c r="AG129" s="29">
        <f>IF(AQ129="2",BI129,0)</f>
        <v>0</v>
      </c>
      <c r="AH129" s="29">
        <f>IF(AQ129="0",BJ129,0)</f>
        <v>0</v>
      </c>
      <c r="AI129" s="28" t="s">
        <v>2882</v>
      </c>
      <c r="AJ129" s="15">
        <f>IF(AN129=0,L129,0)</f>
        <v>0</v>
      </c>
      <c r="AK129" s="15">
        <f>IF(AN129=15,L129,0)</f>
        <v>0</v>
      </c>
      <c r="AL129" s="15">
        <f>IF(AN129=21,L129,0)</f>
        <v>0</v>
      </c>
      <c r="AN129" s="29">
        <v>15</v>
      </c>
      <c r="AO129" s="29">
        <f>I129*0.376198961732405</f>
        <v>0</v>
      </c>
      <c r="AP129" s="29">
        <f>I129*(1-0.376198961732405)</f>
        <v>0</v>
      </c>
      <c r="AQ129" s="30" t="s">
        <v>7</v>
      </c>
      <c r="AV129" s="29">
        <f>AW129+AX129</f>
        <v>0</v>
      </c>
      <c r="AW129" s="29">
        <f>H129*AO129</f>
        <v>0</v>
      </c>
      <c r="AX129" s="29">
        <f>H129*AP129</f>
        <v>0</v>
      </c>
      <c r="AY129" s="32" t="s">
        <v>2903</v>
      </c>
      <c r="AZ129" s="32" t="s">
        <v>2940</v>
      </c>
      <c r="BA129" s="28" t="s">
        <v>2957</v>
      </c>
      <c r="BC129" s="29">
        <f>AW129+AX129</f>
        <v>0</v>
      </c>
      <c r="BD129" s="29">
        <f>I129/(100-BE129)*100</f>
        <v>0</v>
      </c>
      <c r="BE129" s="29">
        <v>0</v>
      </c>
      <c r="BF129" s="29">
        <f>129</f>
        <v>129</v>
      </c>
      <c r="BH129" s="15">
        <f>H129*AO129</f>
        <v>0</v>
      </c>
      <c r="BI129" s="15">
        <f>H129*AP129</f>
        <v>0</v>
      </c>
      <c r="BJ129" s="15">
        <f>H129*I129</f>
        <v>0</v>
      </c>
      <c r="BK129" s="15" t="s">
        <v>2969</v>
      </c>
      <c r="BL129" s="29">
        <v>62</v>
      </c>
    </row>
    <row r="130" spans="1:64" ht="12.75">
      <c r="A130" s="4" t="s">
        <v>101</v>
      </c>
      <c r="B130" s="94" t="s">
        <v>1101</v>
      </c>
      <c r="C130" s="152" t="s">
        <v>2050</v>
      </c>
      <c r="D130" s="153"/>
      <c r="E130" s="153"/>
      <c r="F130" s="153"/>
      <c r="G130" s="94" t="s">
        <v>2849</v>
      </c>
      <c r="H130" s="73">
        <v>29.426</v>
      </c>
      <c r="I130" s="105">
        <v>0</v>
      </c>
      <c r="J130" s="15">
        <f>H130*AO130</f>
        <v>0</v>
      </c>
      <c r="K130" s="15">
        <f>H130*AP130</f>
        <v>0</v>
      </c>
      <c r="L130" s="15">
        <f>H130*I130</f>
        <v>0</v>
      </c>
      <c r="M130" s="25" t="s">
        <v>2872</v>
      </c>
      <c r="N130" s="5"/>
      <c r="Z130" s="29">
        <f>IF(AQ130="5",BJ130,0)</f>
        <v>0</v>
      </c>
      <c r="AB130" s="29">
        <f>IF(AQ130="1",BH130,0)</f>
        <v>0</v>
      </c>
      <c r="AC130" s="29">
        <f>IF(AQ130="1",BI130,0)</f>
        <v>0</v>
      </c>
      <c r="AD130" s="29">
        <f>IF(AQ130="7",BH130,0)</f>
        <v>0</v>
      </c>
      <c r="AE130" s="29">
        <f>IF(AQ130="7",BI130,0)</f>
        <v>0</v>
      </c>
      <c r="AF130" s="29">
        <f>IF(AQ130="2",BH130,0)</f>
        <v>0</v>
      </c>
      <c r="AG130" s="29">
        <f>IF(AQ130="2",BI130,0)</f>
        <v>0</v>
      </c>
      <c r="AH130" s="29">
        <f>IF(AQ130="0",BJ130,0)</f>
        <v>0</v>
      </c>
      <c r="AI130" s="28" t="s">
        <v>2882</v>
      </c>
      <c r="AJ130" s="15">
        <f>IF(AN130=0,L130,0)</f>
        <v>0</v>
      </c>
      <c r="AK130" s="15">
        <f>IF(AN130=15,L130,0)</f>
        <v>0</v>
      </c>
      <c r="AL130" s="15">
        <f>IF(AN130=21,L130,0)</f>
        <v>0</v>
      </c>
      <c r="AN130" s="29">
        <v>15</v>
      </c>
      <c r="AO130" s="29">
        <f>I130*0.686792461027836</f>
        <v>0</v>
      </c>
      <c r="AP130" s="29">
        <f>I130*(1-0.686792461027836)</f>
        <v>0</v>
      </c>
      <c r="AQ130" s="30" t="s">
        <v>7</v>
      </c>
      <c r="AV130" s="29">
        <f>AW130+AX130</f>
        <v>0</v>
      </c>
      <c r="AW130" s="29">
        <f>H130*AO130</f>
        <v>0</v>
      </c>
      <c r="AX130" s="29">
        <f>H130*AP130</f>
        <v>0</v>
      </c>
      <c r="AY130" s="32" t="s">
        <v>2903</v>
      </c>
      <c r="AZ130" s="32" t="s">
        <v>2940</v>
      </c>
      <c r="BA130" s="28" t="s">
        <v>2957</v>
      </c>
      <c r="BC130" s="29">
        <f>AW130+AX130</f>
        <v>0</v>
      </c>
      <c r="BD130" s="29">
        <f>I130/(100-BE130)*100</f>
        <v>0</v>
      </c>
      <c r="BE130" s="29">
        <v>0</v>
      </c>
      <c r="BF130" s="29">
        <f>130</f>
        <v>130</v>
      </c>
      <c r="BH130" s="15">
        <f>H130*AO130</f>
        <v>0</v>
      </c>
      <c r="BI130" s="15">
        <f>H130*AP130</f>
        <v>0</v>
      </c>
      <c r="BJ130" s="15">
        <f>H130*I130</f>
        <v>0</v>
      </c>
      <c r="BK130" s="15" t="s">
        <v>2969</v>
      </c>
      <c r="BL130" s="29">
        <v>62</v>
      </c>
    </row>
    <row r="131" spans="1:14" ht="25.7" customHeight="1">
      <c r="A131" s="5"/>
      <c r="B131" s="12" t="s">
        <v>1015</v>
      </c>
      <c r="C131" s="165" t="s">
        <v>2051</v>
      </c>
      <c r="D131" s="166"/>
      <c r="E131" s="166"/>
      <c r="F131" s="166"/>
      <c r="G131" s="166"/>
      <c r="H131" s="166"/>
      <c r="I131" s="166"/>
      <c r="J131" s="166"/>
      <c r="K131" s="166"/>
      <c r="L131" s="166"/>
      <c r="M131" s="167"/>
      <c r="N131" s="5"/>
    </row>
    <row r="132" spans="1:64" ht="12.75">
      <c r="A132" s="4" t="s">
        <v>102</v>
      </c>
      <c r="B132" s="94" t="s">
        <v>1102</v>
      </c>
      <c r="C132" s="152" t="s">
        <v>2052</v>
      </c>
      <c r="D132" s="153"/>
      <c r="E132" s="153"/>
      <c r="F132" s="153"/>
      <c r="G132" s="94" t="s">
        <v>2849</v>
      </c>
      <c r="H132" s="73">
        <v>437.99</v>
      </c>
      <c r="I132" s="105">
        <v>0</v>
      </c>
      <c r="J132" s="15">
        <f>H132*AO132</f>
        <v>0</v>
      </c>
      <c r="K132" s="15">
        <f>H132*AP132</f>
        <v>0</v>
      </c>
      <c r="L132" s="15">
        <f>H132*I132</f>
        <v>0</v>
      </c>
      <c r="M132" s="25" t="s">
        <v>2872</v>
      </c>
      <c r="N132" s="5"/>
      <c r="Z132" s="29">
        <f>IF(AQ132="5",BJ132,0)</f>
        <v>0</v>
      </c>
      <c r="AB132" s="29">
        <f>IF(AQ132="1",BH132,0)</f>
        <v>0</v>
      </c>
      <c r="AC132" s="29">
        <f>IF(AQ132="1",BI132,0)</f>
        <v>0</v>
      </c>
      <c r="AD132" s="29">
        <f>IF(AQ132="7",BH132,0)</f>
        <v>0</v>
      </c>
      <c r="AE132" s="29">
        <f>IF(AQ132="7",BI132,0)</f>
        <v>0</v>
      </c>
      <c r="AF132" s="29">
        <f>IF(AQ132="2",BH132,0)</f>
        <v>0</v>
      </c>
      <c r="AG132" s="29">
        <f>IF(AQ132="2",BI132,0)</f>
        <v>0</v>
      </c>
      <c r="AH132" s="29">
        <f>IF(AQ132="0",BJ132,0)</f>
        <v>0</v>
      </c>
      <c r="AI132" s="28" t="s">
        <v>2882</v>
      </c>
      <c r="AJ132" s="15">
        <f>IF(AN132=0,L132,0)</f>
        <v>0</v>
      </c>
      <c r="AK132" s="15">
        <f>IF(AN132=15,L132,0)</f>
        <v>0</v>
      </c>
      <c r="AL132" s="15">
        <f>IF(AN132=21,L132,0)</f>
        <v>0</v>
      </c>
      <c r="AN132" s="29">
        <v>15</v>
      </c>
      <c r="AO132" s="29">
        <f>I132*0.321454578115189</f>
        <v>0</v>
      </c>
      <c r="AP132" s="29">
        <f>I132*(1-0.321454578115189)</f>
        <v>0</v>
      </c>
      <c r="AQ132" s="30" t="s">
        <v>7</v>
      </c>
      <c r="AV132" s="29">
        <f>AW132+AX132</f>
        <v>0</v>
      </c>
      <c r="AW132" s="29">
        <f>H132*AO132</f>
        <v>0</v>
      </c>
      <c r="AX132" s="29">
        <f>H132*AP132</f>
        <v>0</v>
      </c>
      <c r="AY132" s="32" t="s">
        <v>2903</v>
      </c>
      <c r="AZ132" s="32" t="s">
        <v>2940</v>
      </c>
      <c r="BA132" s="28" t="s">
        <v>2957</v>
      </c>
      <c r="BC132" s="29">
        <f>AW132+AX132</f>
        <v>0</v>
      </c>
      <c r="BD132" s="29">
        <f>I132/(100-BE132)*100</f>
        <v>0</v>
      </c>
      <c r="BE132" s="29">
        <v>0</v>
      </c>
      <c r="BF132" s="29">
        <f>132</f>
        <v>132</v>
      </c>
      <c r="BH132" s="15">
        <f>H132*AO132</f>
        <v>0</v>
      </c>
      <c r="BI132" s="15">
        <f>H132*AP132</f>
        <v>0</v>
      </c>
      <c r="BJ132" s="15">
        <f>H132*I132</f>
        <v>0</v>
      </c>
      <c r="BK132" s="15" t="s">
        <v>2969</v>
      </c>
      <c r="BL132" s="29">
        <v>62</v>
      </c>
    </row>
    <row r="133" spans="1:64" ht="12.75">
      <c r="A133" s="4" t="s">
        <v>103</v>
      </c>
      <c r="B133" s="94" t="s">
        <v>1103</v>
      </c>
      <c r="C133" s="152" t="s">
        <v>2053</v>
      </c>
      <c r="D133" s="153"/>
      <c r="E133" s="153"/>
      <c r="F133" s="153"/>
      <c r="G133" s="94" t="s">
        <v>2851</v>
      </c>
      <c r="H133" s="73">
        <v>447.91</v>
      </c>
      <c r="I133" s="105">
        <v>0</v>
      </c>
      <c r="J133" s="15">
        <f>H133*AO133</f>
        <v>0</v>
      </c>
      <c r="K133" s="15">
        <f>H133*AP133</f>
        <v>0</v>
      </c>
      <c r="L133" s="15">
        <f>H133*I133</f>
        <v>0</v>
      </c>
      <c r="M133" s="25" t="s">
        <v>2872</v>
      </c>
      <c r="N133" s="5"/>
      <c r="Z133" s="29">
        <f>IF(AQ133="5",BJ133,0)</f>
        <v>0</v>
      </c>
      <c r="AB133" s="29">
        <f>IF(AQ133="1",BH133,0)</f>
        <v>0</v>
      </c>
      <c r="AC133" s="29">
        <f>IF(AQ133="1",BI133,0)</f>
        <v>0</v>
      </c>
      <c r="AD133" s="29">
        <f>IF(AQ133="7",BH133,0)</f>
        <v>0</v>
      </c>
      <c r="AE133" s="29">
        <f>IF(AQ133="7",BI133,0)</f>
        <v>0</v>
      </c>
      <c r="AF133" s="29">
        <f>IF(AQ133="2",BH133,0)</f>
        <v>0</v>
      </c>
      <c r="AG133" s="29">
        <f>IF(AQ133="2",BI133,0)</f>
        <v>0</v>
      </c>
      <c r="AH133" s="29">
        <f>IF(AQ133="0",BJ133,0)</f>
        <v>0</v>
      </c>
      <c r="AI133" s="28" t="s">
        <v>2882</v>
      </c>
      <c r="AJ133" s="15">
        <f>IF(AN133=0,L133,0)</f>
        <v>0</v>
      </c>
      <c r="AK133" s="15">
        <f>IF(AN133=15,L133,0)</f>
        <v>0</v>
      </c>
      <c r="AL133" s="15">
        <f>IF(AN133=21,L133,0)</f>
        <v>0</v>
      </c>
      <c r="AN133" s="29">
        <v>15</v>
      </c>
      <c r="AO133" s="29">
        <f>I133*0.268350090341838</f>
        <v>0</v>
      </c>
      <c r="AP133" s="29">
        <f>I133*(1-0.268350090341838)</f>
        <v>0</v>
      </c>
      <c r="AQ133" s="30" t="s">
        <v>7</v>
      </c>
      <c r="AV133" s="29">
        <f>AW133+AX133</f>
        <v>0</v>
      </c>
      <c r="AW133" s="29">
        <f>H133*AO133</f>
        <v>0</v>
      </c>
      <c r="AX133" s="29">
        <f>H133*AP133</f>
        <v>0</v>
      </c>
      <c r="AY133" s="32" t="s">
        <v>2903</v>
      </c>
      <c r="AZ133" s="32" t="s">
        <v>2940</v>
      </c>
      <c r="BA133" s="28" t="s">
        <v>2957</v>
      </c>
      <c r="BC133" s="29">
        <f>AW133+AX133</f>
        <v>0</v>
      </c>
      <c r="BD133" s="29">
        <f>I133/(100-BE133)*100</f>
        <v>0</v>
      </c>
      <c r="BE133" s="29">
        <v>0</v>
      </c>
      <c r="BF133" s="29">
        <f>133</f>
        <v>133</v>
      </c>
      <c r="BH133" s="15">
        <f>H133*AO133</f>
        <v>0</v>
      </c>
      <c r="BI133" s="15">
        <f>H133*AP133</f>
        <v>0</v>
      </c>
      <c r="BJ133" s="15">
        <f>H133*I133</f>
        <v>0</v>
      </c>
      <c r="BK133" s="15" t="s">
        <v>2969</v>
      </c>
      <c r="BL133" s="29">
        <v>62</v>
      </c>
    </row>
    <row r="134" spans="1:64" ht="12.75">
      <c r="A134" s="4" t="s">
        <v>104</v>
      </c>
      <c r="B134" s="94" t="s">
        <v>1104</v>
      </c>
      <c r="C134" s="152" t="s">
        <v>2054</v>
      </c>
      <c r="D134" s="153"/>
      <c r="E134" s="153"/>
      <c r="F134" s="153"/>
      <c r="G134" s="94" t="s">
        <v>2851</v>
      </c>
      <c r="H134" s="73">
        <v>205.705</v>
      </c>
      <c r="I134" s="105">
        <v>0</v>
      </c>
      <c r="J134" s="15">
        <f>H134*AO134</f>
        <v>0</v>
      </c>
      <c r="K134" s="15">
        <f>H134*AP134</f>
        <v>0</v>
      </c>
      <c r="L134" s="15">
        <f>H134*I134</f>
        <v>0</v>
      </c>
      <c r="M134" s="25" t="s">
        <v>2872</v>
      </c>
      <c r="N134" s="5"/>
      <c r="Z134" s="29">
        <f>IF(AQ134="5",BJ134,0)</f>
        <v>0</v>
      </c>
      <c r="AB134" s="29">
        <f>IF(AQ134="1",BH134,0)</f>
        <v>0</v>
      </c>
      <c r="AC134" s="29">
        <f>IF(AQ134="1",BI134,0)</f>
        <v>0</v>
      </c>
      <c r="AD134" s="29">
        <f>IF(AQ134="7",BH134,0)</f>
        <v>0</v>
      </c>
      <c r="AE134" s="29">
        <f>IF(AQ134="7",BI134,0)</f>
        <v>0</v>
      </c>
      <c r="AF134" s="29">
        <f>IF(AQ134="2",BH134,0)</f>
        <v>0</v>
      </c>
      <c r="AG134" s="29">
        <f>IF(AQ134="2",BI134,0)</f>
        <v>0</v>
      </c>
      <c r="AH134" s="29">
        <f>IF(AQ134="0",BJ134,0)</f>
        <v>0</v>
      </c>
      <c r="AI134" s="28" t="s">
        <v>2882</v>
      </c>
      <c r="AJ134" s="15">
        <f>IF(AN134=0,L134,0)</f>
        <v>0</v>
      </c>
      <c r="AK134" s="15">
        <f>IF(AN134=15,L134,0)</f>
        <v>0</v>
      </c>
      <c r="AL134" s="15">
        <f>IF(AN134=21,L134,0)</f>
        <v>0</v>
      </c>
      <c r="AN134" s="29">
        <v>15</v>
      </c>
      <c r="AO134" s="29">
        <f>I134*0.281002758292951</f>
        <v>0</v>
      </c>
      <c r="AP134" s="29">
        <f>I134*(1-0.281002758292951)</f>
        <v>0</v>
      </c>
      <c r="AQ134" s="30" t="s">
        <v>7</v>
      </c>
      <c r="AV134" s="29">
        <f>AW134+AX134</f>
        <v>0</v>
      </c>
      <c r="AW134" s="29">
        <f>H134*AO134</f>
        <v>0</v>
      </c>
      <c r="AX134" s="29">
        <f>H134*AP134</f>
        <v>0</v>
      </c>
      <c r="AY134" s="32" t="s">
        <v>2903</v>
      </c>
      <c r="AZ134" s="32" t="s">
        <v>2940</v>
      </c>
      <c r="BA134" s="28" t="s">
        <v>2957</v>
      </c>
      <c r="BC134" s="29">
        <f>AW134+AX134</f>
        <v>0</v>
      </c>
      <c r="BD134" s="29">
        <f>I134/(100-BE134)*100</f>
        <v>0</v>
      </c>
      <c r="BE134" s="29">
        <v>0</v>
      </c>
      <c r="BF134" s="29">
        <f>134</f>
        <v>134</v>
      </c>
      <c r="BH134" s="15">
        <f>H134*AO134</f>
        <v>0</v>
      </c>
      <c r="BI134" s="15">
        <f>H134*AP134</f>
        <v>0</v>
      </c>
      <c r="BJ134" s="15">
        <f>H134*I134</f>
        <v>0</v>
      </c>
      <c r="BK134" s="15" t="s">
        <v>2969</v>
      </c>
      <c r="BL134" s="29">
        <v>62</v>
      </c>
    </row>
    <row r="135" spans="1:64" ht="12.75">
      <c r="A135" s="4" t="s">
        <v>105</v>
      </c>
      <c r="B135" s="94" t="s">
        <v>1105</v>
      </c>
      <c r="C135" s="152" t="s">
        <v>2055</v>
      </c>
      <c r="D135" s="153"/>
      <c r="E135" s="153"/>
      <c r="F135" s="153"/>
      <c r="G135" s="94" t="s">
        <v>2851</v>
      </c>
      <c r="H135" s="73">
        <v>35.6</v>
      </c>
      <c r="I135" s="105">
        <v>0</v>
      </c>
      <c r="J135" s="15">
        <f>H135*AO135</f>
        <v>0</v>
      </c>
      <c r="K135" s="15">
        <f>H135*AP135</f>
        <v>0</v>
      </c>
      <c r="L135" s="15">
        <f>H135*I135</f>
        <v>0</v>
      </c>
      <c r="M135" s="25" t="s">
        <v>2872</v>
      </c>
      <c r="N135" s="5"/>
      <c r="Z135" s="29">
        <f>IF(AQ135="5",BJ135,0)</f>
        <v>0</v>
      </c>
      <c r="AB135" s="29">
        <f>IF(AQ135="1",BH135,0)</f>
        <v>0</v>
      </c>
      <c r="AC135" s="29">
        <f>IF(AQ135="1",BI135,0)</f>
        <v>0</v>
      </c>
      <c r="AD135" s="29">
        <f>IF(AQ135="7",BH135,0)</f>
        <v>0</v>
      </c>
      <c r="AE135" s="29">
        <f>IF(AQ135="7",BI135,0)</f>
        <v>0</v>
      </c>
      <c r="AF135" s="29">
        <f>IF(AQ135="2",BH135,0)</f>
        <v>0</v>
      </c>
      <c r="AG135" s="29">
        <f>IF(AQ135="2",BI135,0)</f>
        <v>0</v>
      </c>
      <c r="AH135" s="29">
        <f>IF(AQ135="0",BJ135,0)</f>
        <v>0</v>
      </c>
      <c r="AI135" s="28" t="s">
        <v>2882</v>
      </c>
      <c r="AJ135" s="15">
        <f>IF(AN135=0,L135,0)</f>
        <v>0</v>
      </c>
      <c r="AK135" s="15">
        <f>IF(AN135=15,L135,0)</f>
        <v>0</v>
      </c>
      <c r="AL135" s="15">
        <f>IF(AN135=21,L135,0)</f>
        <v>0</v>
      </c>
      <c r="AN135" s="29">
        <v>15</v>
      </c>
      <c r="AO135" s="29">
        <f>I135*0.321509433962264</f>
        <v>0</v>
      </c>
      <c r="AP135" s="29">
        <f>I135*(1-0.321509433962264)</f>
        <v>0</v>
      </c>
      <c r="AQ135" s="30" t="s">
        <v>7</v>
      </c>
      <c r="AV135" s="29">
        <f>AW135+AX135</f>
        <v>0</v>
      </c>
      <c r="AW135" s="29">
        <f>H135*AO135</f>
        <v>0</v>
      </c>
      <c r="AX135" s="29">
        <f>H135*AP135</f>
        <v>0</v>
      </c>
      <c r="AY135" s="32" t="s">
        <v>2903</v>
      </c>
      <c r="AZ135" s="32" t="s">
        <v>2940</v>
      </c>
      <c r="BA135" s="28" t="s">
        <v>2957</v>
      </c>
      <c r="BC135" s="29">
        <f>AW135+AX135</f>
        <v>0</v>
      </c>
      <c r="BD135" s="29">
        <f>I135/(100-BE135)*100</f>
        <v>0</v>
      </c>
      <c r="BE135" s="29">
        <v>0</v>
      </c>
      <c r="BF135" s="29">
        <f>135</f>
        <v>135</v>
      </c>
      <c r="BH135" s="15">
        <f>H135*AO135</f>
        <v>0</v>
      </c>
      <c r="BI135" s="15">
        <f>H135*AP135</f>
        <v>0</v>
      </c>
      <c r="BJ135" s="15">
        <f>H135*I135</f>
        <v>0</v>
      </c>
      <c r="BK135" s="15" t="s">
        <v>2969</v>
      </c>
      <c r="BL135" s="29">
        <v>62</v>
      </c>
    </row>
    <row r="136" spans="1:47" ht="12.75">
      <c r="A136" s="3"/>
      <c r="B136" s="97" t="s">
        <v>69</v>
      </c>
      <c r="C136" s="161" t="s">
        <v>2056</v>
      </c>
      <c r="D136" s="162"/>
      <c r="E136" s="162"/>
      <c r="F136" s="162"/>
      <c r="G136" s="13" t="s">
        <v>6</v>
      </c>
      <c r="H136" s="13" t="s">
        <v>6</v>
      </c>
      <c r="I136" s="13" t="s">
        <v>6</v>
      </c>
      <c r="J136" s="34">
        <f>SUM(J137:J141)</f>
        <v>0</v>
      </c>
      <c r="K136" s="34">
        <f>SUM(K137:K141)</f>
        <v>0</v>
      </c>
      <c r="L136" s="34">
        <f>SUM(L137:L141)</f>
        <v>0</v>
      </c>
      <c r="M136" s="24"/>
      <c r="N136" s="5"/>
      <c r="AI136" s="28" t="s">
        <v>2882</v>
      </c>
      <c r="AS136" s="34">
        <f>SUM(AJ137:AJ141)</f>
        <v>0</v>
      </c>
      <c r="AT136" s="34">
        <f>SUM(AK137:AK141)</f>
        <v>0</v>
      </c>
      <c r="AU136" s="34">
        <f>SUM(AL137:AL141)</f>
        <v>0</v>
      </c>
    </row>
    <row r="137" spans="1:64" ht="12.75">
      <c r="A137" s="4" t="s">
        <v>106</v>
      </c>
      <c r="B137" s="94" t="s">
        <v>1106</v>
      </c>
      <c r="C137" s="152" t="s">
        <v>2057</v>
      </c>
      <c r="D137" s="153"/>
      <c r="E137" s="153"/>
      <c r="F137" s="153"/>
      <c r="G137" s="94" t="s">
        <v>2849</v>
      </c>
      <c r="H137" s="73">
        <v>8.23</v>
      </c>
      <c r="I137" s="105">
        <v>0</v>
      </c>
      <c r="J137" s="15">
        <f>H137*AO137</f>
        <v>0</v>
      </c>
      <c r="K137" s="15">
        <f>H137*AP137</f>
        <v>0</v>
      </c>
      <c r="L137" s="15">
        <f>H137*I137</f>
        <v>0</v>
      </c>
      <c r="M137" s="25" t="s">
        <v>2872</v>
      </c>
      <c r="N137" s="5"/>
      <c r="Z137" s="29">
        <f>IF(AQ137="5",BJ137,0)</f>
        <v>0</v>
      </c>
      <c r="AB137" s="29">
        <f>IF(AQ137="1",BH137,0)</f>
        <v>0</v>
      </c>
      <c r="AC137" s="29">
        <f>IF(AQ137="1",BI137,0)</f>
        <v>0</v>
      </c>
      <c r="AD137" s="29">
        <f>IF(AQ137="7",BH137,0)</f>
        <v>0</v>
      </c>
      <c r="AE137" s="29">
        <f>IF(AQ137="7",BI137,0)</f>
        <v>0</v>
      </c>
      <c r="AF137" s="29">
        <f>IF(AQ137="2",BH137,0)</f>
        <v>0</v>
      </c>
      <c r="AG137" s="29">
        <f>IF(AQ137="2",BI137,0)</f>
        <v>0</v>
      </c>
      <c r="AH137" s="29">
        <f>IF(AQ137="0",BJ137,0)</f>
        <v>0</v>
      </c>
      <c r="AI137" s="28" t="s">
        <v>2882</v>
      </c>
      <c r="AJ137" s="15">
        <f>IF(AN137=0,L137,0)</f>
        <v>0</v>
      </c>
      <c r="AK137" s="15">
        <f>IF(AN137=15,L137,0)</f>
        <v>0</v>
      </c>
      <c r="AL137" s="15">
        <f>IF(AN137=21,L137,0)</f>
        <v>0</v>
      </c>
      <c r="AN137" s="29">
        <v>15</v>
      </c>
      <c r="AO137" s="29">
        <f>I137*0.713641572964038</f>
        <v>0</v>
      </c>
      <c r="AP137" s="29">
        <f>I137*(1-0.713641572964038)</f>
        <v>0</v>
      </c>
      <c r="AQ137" s="30" t="s">
        <v>7</v>
      </c>
      <c r="AV137" s="29">
        <f>AW137+AX137</f>
        <v>0</v>
      </c>
      <c r="AW137" s="29">
        <f>H137*AO137</f>
        <v>0</v>
      </c>
      <c r="AX137" s="29">
        <f>H137*AP137</f>
        <v>0</v>
      </c>
      <c r="AY137" s="32" t="s">
        <v>2904</v>
      </c>
      <c r="AZ137" s="32" t="s">
        <v>2940</v>
      </c>
      <c r="BA137" s="28" t="s">
        <v>2957</v>
      </c>
      <c r="BC137" s="29">
        <f>AW137+AX137</f>
        <v>0</v>
      </c>
      <c r="BD137" s="29">
        <f>I137/(100-BE137)*100</f>
        <v>0</v>
      </c>
      <c r="BE137" s="29">
        <v>0</v>
      </c>
      <c r="BF137" s="29">
        <f>137</f>
        <v>137</v>
      </c>
      <c r="BH137" s="15">
        <f>H137*AO137</f>
        <v>0</v>
      </c>
      <c r="BI137" s="15">
        <f>H137*AP137</f>
        <v>0</v>
      </c>
      <c r="BJ137" s="15">
        <f>H137*I137</f>
        <v>0</v>
      </c>
      <c r="BK137" s="15" t="s">
        <v>2969</v>
      </c>
      <c r="BL137" s="29">
        <v>63</v>
      </c>
    </row>
    <row r="138" spans="1:64" ht="12.75">
      <c r="A138" s="4" t="s">
        <v>107</v>
      </c>
      <c r="B138" s="94" t="s">
        <v>1107</v>
      </c>
      <c r="C138" s="152" t="s">
        <v>2058</v>
      </c>
      <c r="D138" s="153"/>
      <c r="E138" s="153"/>
      <c r="F138" s="153"/>
      <c r="G138" s="94" t="s">
        <v>2849</v>
      </c>
      <c r="H138" s="73">
        <v>173.44</v>
      </c>
      <c r="I138" s="105">
        <v>0</v>
      </c>
      <c r="J138" s="15">
        <f>H138*AO138</f>
        <v>0</v>
      </c>
      <c r="K138" s="15">
        <f>H138*AP138</f>
        <v>0</v>
      </c>
      <c r="L138" s="15">
        <f>H138*I138</f>
        <v>0</v>
      </c>
      <c r="M138" s="25" t="s">
        <v>2872</v>
      </c>
      <c r="N138" s="5"/>
      <c r="Z138" s="29">
        <f>IF(AQ138="5",BJ138,0)</f>
        <v>0</v>
      </c>
      <c r="AB138" s="29">
        <f>IF(AQ138="1",BH138,0)</f>
        <v>0</v>
      </c>
      <c r="AC138" s="29">
        <f>IF(AQ138="1",BI138,0)</f>
        <v>0</v>
      </c>
      <c r="AD138" s="29">
        <f>IF(AQ138="7",BH138,0)</f>
        <v>0</v>
      </c>
      <c r="AE138" s="29">
        <f>IF(AQ138="7",BI138,0)</f>
        <v>0</v>
      </c>
      <c r="AF138" s="29">
        <f>IF(AQ138="2",BH138,0)</f>
        <v>0</v>
      </c>
      <c r="AG138" s="29">
        <f>IF(AQ138="2",BI138,0)</f>
        <v>0</v>
      </c>
      <c r="AH138" s="29">
        <f>IF(AQ138="0",BJ138,0)</f>
        <v>0</v>
      </c>
      <c r="AI138" s="28" t="s">
        <v>2882</v>
      </c>
      <c r="AJ138" s="15">
        <f>IF(AN138=0,L138,0)</f>
        <v>0</v>
      </c>
      <c r="AK138" s="15">
        <f>IF(AN138=15,L138,0)</f>
        <v>0</v>
      </c>
      <c r="AL138" s="15">
        <f>IF(AN138=21,L138,0)</f>
        <v>0</v>
      </c>
      <c r="AN138" s="29">
        <v>15</v>
      </c>
      <c r="AO138" s="29">
        <f>I138*0.632641759537938</f>
        <v>0</v>
      </c>
      <c r="AP138" s="29">
        <f>I138*(1-0.632641759537938)</f>
        <v>0</v>
      </c>
      <c r="AQ138" s="30" t="s">
        <v>7</v>
      </c>
      <c r="AV138" s="29">
        <f>AW138+AX138</f>
        <v>0</v>
      </c>
      <c r="AW138" s="29">
        <f>H138*AO138</f>
        <v>0</v>
      </c>
      <c r="AX138" s="29">
        <f>H138*AP138</f>
        <v>0</v>
      </c>
      <c r="AY138" s="32" t="s">
        <v>2904</v>
      </c>
      <c r="AZ138" s="32" t="s">
        <v>2940</v>
      </c>
      <c r="BA138" s="28" t="s">
        <v>2957</v>
      </c>
      <c r="BC138" s="29">
        <f>AW138+AX138</f>
        <v>0</v>
      </c>
      <c r="BD138" s="29">
        <f>I138/(100-BE138)*100</f>
        <v>0</v>
      </c>
      <c r="BE138" s="29">
        <v>0</v>
      </c>
      <c r="BF138" s="29">
        <f>138</f>
        <v>138</v>
      </c>
      <c r="BH138" s="15">
        <f>H138*AO138</f>
        <v>0</v>
      </c>
      <c r="BI138" s="15">
        <f>H138*AP138</f>
        <v>0</v>
      </c>
      <c r="BJ138" s="15">
        <f>H138*I138</f>
        <v>0</v>
      </c>
      <c r="BK138" s="15" t="s">
        <v>2969</v>
      </c>
      <c r="BL138" s="29">
        <v>63</v>
      </c>
    </row>
    <row r="139" spans="1:64" ht="12.75">
      <c r="A139" s="4" t="s">
        <v>108</v>
      </c>
      <c r="B139" s="94" t="s">
        <v>1108</v>
      </c>
      <c r="C139" s="152" t="s">
        <v>2059</v>
      </c>
      <c r="D139" s="153"/>
      <c r="E139" s="153"/>
      <c r="F139" s="153"/>
      <c r="G139" s="94" t="s">
        <v>2849</v>
      </c>
      <c r="H139" s="73">
        <v>2.75</v>
      </c>
      <c r="I139" s="105">
        <v>0</v>
      </c>
      <c r="J139" s="15">
        <f>H139*AO139</f>
        <v>0</v>
      </c>
      <c r="K139" s="15">
        <f>H139*AP139</f>
        <v>0</v>
      </c>
      <c r="L139" s="15">
        <f>H139*I139</f>
        <v>0</v>
      </c>
      <c r="M139" s="25" t="s">
        <v>2872</v>
      </c>
      <c r="N139" s="5"/>
      <c r="Z139" s="29">
        <f>IF(AQ139="5",BJ139,0)</f>
        <v>0</v>
      </c>
      <c r="AB139" s="29">
        <f>IF(AQ139="1",BH139,0)</f>
        <v>0</v>
      </c>
      <c r="AC139" s="29">
        <f>IF(AQ139="1",BI139,0)</f>
        <v>0</v>
      </c>
      <c r="AD139" s="29">
        <f>IF(AQ139="7",BH139,0)</f>
        <v>0</v>
      </c>
      <c r="AE139" s="29">
        <f>IF(AQ139="7",BI139,0)</f>
        <v>0</v>
      </c>
      <c r="AF139" s="29">
        <f>IF(AQ139="2",BH139,0)</f>
        <v>0</v>
      </c>
      <c r="AG139" s="29">
        <f>IF(AQ139="2",BI139,0)</f>
        <v>0</v>
      </c>
      <c r="AH139" s="29">
        <f>IF(AQ139="0",BJ139,0)</f>
        <v>0</v>
      </c>
      <c r="AI139" s="28" t="s">
        <v>2882</v>
      </c>
      <c r="AJ139" s="15">
        <f>IF(AN139=0,L139,0)</f>
        <v>0</v>
      </c>
      <c r="AK139" s="15">
        <f>IF(AN139=15,L139,0)</f>
        <v>0</v>
      </c>
      <c r="AL139" s="15">
        <f>IF(AN139=21,L139,0)</f>
        <v>0</v>
      </c>
      <c r="AN139" s="29">
        <v>15</v>
      </c>
      <c r="AO139" s="29">
        <f>I139*0.632648291046982</f>
        <v>0</v>
      </c>
      <c r="AP139" s="29">
        <f>I139*(1-0.632648291046982)</f>
        <v>0</v>
      </c>
      <c r="AQ139" s="30" t="s">
        <v>7</v>
      </c>
      <c r="AV139" s="29">
        <f>AW139+AX139</f>
        <v>0</v>
      </c>
      <c r="AW139" s="29">
        <f>H139*AO139</f>
        <v>0</v>
      </c>
      <c r="AX139" s="29">
        <f>H139*AP139</f>
        <v>0</v>
      </c>
      <c r="AY139" s="32" t="s">
        <v>2904</v>
      </c>
      <c r="AZ139" s="32" t="s">
        <v>2940</v>
      </c>
      <c r="BA139" s="28" t="s">
        <v>2957</v>
      </c>
      <c r="BC139" s="29">
        <f>AW139+AX139</f>
        <v>0</v>
      </c>
      <c r="BD139" s="29">
        <f>I139/(100-BE139)*100</f>
        <v>0</v>
      </c>
      <c r="BE139" s="29">
        <v>0</v>
      </c>
      <c r="BF139" s="29">
        <f>139</f>
        <v>139</v>
      </c>
      <c r="BH139" s="15">
        <f>H139*AO139</f>
        <v>0</v>
      </c>
      <c r="BI139" s="15">
        <f>H139*AP139</f>
        <v>0</v>
      </c>
      <c r="BJ139" s="15">
        <f>H139*I139</f>
        <v>0</v>
      </c>
      <c r="BK139" s="15" t="s">
        <v>2969</v>
      </c>
      <c r="BL139" s="29">
        <v>63</v>
      </c>
    </row>
    <row r="140" spans="1:64" ht="12.75">
      <c r="A140" s="4" t="s">
        <v>109</v>
      </c>
      <c r="B140" s="94" t="s">
        <v>1109</v>
      </c>
      <c r="C140" s="152" t="s">
        <v>2060</v>
      </c>
      <c r="D140" s="153"/>
      <c r="E140" s="153"/>
      <c r="F140" s="153"/>
      <c r="G140" s="94" t="s">
        <v>2849</v>
      </c>
      <c r="H140" s="73">
        <v>53.51</v>
      </c>
      <c r="I140" s="105">
        <v>0</v>
      </c>
      <c r="J140" s="15">
        <f>H140*AO140</f>
        <v>0</v>
      </c>
      <c r="K140" s="15">
        <f>H140*AP140</f>
        <v>0</v>
      </c>
      <c r="L140" s="15">
        <f>H140*I140</f>
        <v>0</v>
      </c>
      <c r="M140" s="25" t="s">
        <v>2872</v>
      </c>
      <c r="N140" s="5"/>
      <c r="Z140" s="29">
        <f>IF(AQ140="5",BJ140,0)</f>
        <v>0</v>
      </c>
      <c r="AB140" s="29">
        <f>IF(AQ140="1",BH140,0)</f>
        <v>0</v>
      </c>
      <c r="AC140" s="29">
        <f>IF(AQ140="1",BI140,0)</f>
        <v>0</v>
      </c>
      <c r="AD140" s="29">
        <f>IF(AQ140="7",BH140,0)</f>
        <v>0</v>
      </c>
      <c r="AE140" s="29">
        <f>IF(AQ140="7",BI140,0)</f>
        <v>0</v>
      </c>
      <c r="AF140" s="29">
        <f>IF(AQ140="2",BH140,0)</f>
        <v>0</v>
      </c>
      <c r="AG140" s="29">
        <f>IF(AQ140="2",BI140,0)</f>
        <v>0</v>
      </c>
      <c r="AH140" s="29">
        <f>IF(AQ140="0",BJ140,0)</f>
        <v>0</v>
      </c>
      <c r="AI140" s="28" t="s">
        <v>2882</v>
      </c>
      <c r="AJ140" s="15">
        <f>IF(AN140=0,L140,0)</f>
        <v>0</v>
      </c>
      <c r="AK140" s="15">
        <f>IF(AN140=15,L140,0)</f>
        <v>0</v>
      </c>
      <c r="AL140" s="15">
        <f>IF(AN140=21,L140,0)</f>
        <v>0</v>
      </c>
      <c r="AN140" s="29">
        <v>15</v>
      </c>
      <c r="AO140" s="29">
        <f>I140*0.632644329870389</f>
        <v>0</v>
      </c>
      <c r="AP140" s="29">
        <f>I140*(1-0.632644329870389)</f>
        <v>0</v>
      </c>
      <c r="AQ140" s="30" t="s">
        <v>7</v>
      </c>
      <c r="AV140" s="29">
        <f>AW140+AX140</f>
        <v>0</v>
      </c>
      <c r="AW140" s="29">
        <f>H140*AO140</f>
        <v>0</v>
      </c>
      <c r="AX140" s="29">
        <f>H140*AP140</f>
        <v>0</v>
      </c>
      <c r="AY140" s="32" t="s">
        <v>2904</v>
      </c>
      <c r="AZ140" s="32" t="s">
        <v>2940</v>
      </c>
      <c r="BA140" s="28" t="s">
        <v>2957</v>
      </c>
      <c r="BC140" s="29">
        <f>AW140+AX140</f>
        <v>0</v>
      </c>
      <c r="BD140" s="29">
        <f>I140/(100-BE140)*100</f>
        <v>0</v>
      </c>
      <c r="BE140" s="29">
        <v>0</v>
      </c>
      <c r="BF140" s="29">
        <f>140</f>
        <v>140</v>
      </c>
      <c r="BH140" s="15">
        <f>H140*AO140</f>
        <v>0</v>
      </c>
      <c r="BI140" s="15">
        <f>H140*AP140</f>
        <v>0</v>
      </c>
      <c r="BJ140" s="15">
        <f>H140*I140</f>
        <v>0</v>
      </c>
      <c r="BK140" s="15" t="s">
        <v>2969</v>
      </c>
      <c r="BL140" s="29">
        <v>63</v>
      </c>
    </row>
    <row r="141" spans="1:64" ht="12.75">
      <c r="A141" s="4" t="s">
        <v>110</v>
      </c>
      <c r="B141" s="94" t="s">
        <v>1110</v>
      </c>
      <c r="C141" s="152" t="s">
        <v>2061</v>
      </c>
      <c r="D141" s="153"/>
      <c r="E141" s="153"/>
      <c r="F141" s="153"/>
      <c r="G141" s="94" t="s">
        <v>2849</v>
      </c>
      <c r="H141" s="73">
        <v>132.41</v>
      </c>
      <c r="I141" s="105">
        <v>0</v>
      </c>
      <c r="J141" s="15">
        <f>H141*AO141</f>
        <v>0</v>
      </c>
      <c r="K141" s="15">
        <f>H141*AP141</f>
        <v>0</v>
      </c>
      <c r="L141" s="15">
        <f>H141*I141</f>
        <v>0</v>
      </c>
      <c r="M141" s="25" t="s">
        <v>2872</v>
      </c>
      <c r="N141" s="5"/>
      <c r="Z141" s="29">
        <f>IF(AQ141="5",BJ141,0)</f>
        <v>0</v>
      </c>
      <c r="AB141" s="29">
        <f>IF(AQ141="1",BH141,0)</f>
        <v>0</v>
      </c>
      <c r="AC141" s="29">
        <f>IF(AQ141="1",BI141,0)</f>
        <v>0</v>
      </c>
      <c r="AD141" s="29">
        <f>IF(AQ141="7",BH141,0)</f>
        <v>0</v>
      </c>
      <c r="AE141" s="29">
        <f>IF(AQ141="7",BI141,0)</f>
        <v>0</v>
      </c>
      <c r="AF141" s="29">
        <f>IF(AQ141="2",BH141,0)</f>
        <v>0</v>
      </c>
      <c r="AG141" s="29">
        <f>IF(AQ141="2",BI141,0)</f>
        <v>0</v>
      </c>
      <c r="AH141" s="29">
        <f>IF(AQ141="0",BJ141,0)</f>
        <v>0</v>
      </c>
      <c r="AI141" s="28" t="s">
        <v>2882</v>
      </c>
      <c r="AJ141" s="15">
        <f>IF(AN141=0,L141,0)</f>
        <v>0</v>
      </c>
      <c r="AK141" s="15">
        <f>IF(AN141=15,L141,0)</f>
        <v>0</v>
      </c>
      <c r="AL141" s="15">
        <f>IF(AN141=21,L141,0)</f>
        <v>0</v>
      </c>
      <c r="AN141" s="29">
        <v>15</v>
      </c>
      <c r="AO141" s="29">
        <f>I141*0.632651955102232</f>
        <v>0</v>
      </c>
      <c r="AP141" s="29">
        <f>I141*(1-0.632651955102232)</f>
        <v>0</v>
      </c>
      <c r="AQ141" s="30" t="s">
        <v>7</v>
      </c>
      <c r="AV141" s="29">
        <f>AW141+AX141</f>
        <v>0</v>
      </c>
      <c r="AW141" s="29">
        <f>H141*AO141</f>
        <v>0</v>
      </c>
      <c r="AX141" s="29">
        <f>H141*AP141</f>
        <v>0</v>
      </c>
      <c r="AY141" s="32" t="s">
        <v>2904</v>
      </c>
      <c r="AZ141" s="32" t="s">
        <v>2940</v>
      </c>
      <c r="BA141" s="28" t="s">
        <v>2957</v>
      </c>
      <c r="BC141" s="29">
        <f>AW141+AX141</f>
        <v>0</v>
      </c>
      <c r="BD141" s="29">
        <f>I141/(100-BE141)*100</f>
        <v>0</v>
      </c>
      <c r="BE141" s="29">
        <v>0</v>
      </c>
      <c r="BF141" s="29">
        <f>141</f>
        <v>141</v>
      </c>
      <c r="BH141" s="15">
        <f>H141*AO141</f>
        <v>0</v>
      </c>
      <c r="BI141" s="15">
        <f>H141*AP141</f>
        <v>0</v>
      </c>
      <c r="BJ141" s="15">
        <f>H141*I141</f>
        <v>0</v>
      </c>
      <c r="BK141" s="15" t="s">
        <v>2969</v>
      </c>
      <c r="BL141" s="29">
        <v>63</v>
      </c>
    </row>
    <row r="142" spans="1:47" ht="12.75">
      <c r="A142" s="3"/>
      <c r="B142" s="97" t="s">
        <v>70</v>
      </c>
      <c r="C142" s="161" t="s">
        <v>2062</v>
      </c>
      <c r="D142" s="162"/>
      <c r="E142" s="162"/>
      <c r="F142" s="162"/>
      <c r="G142" s="13" t="s">
        <v>6</v>
      </c>
      <c r="H142" s="13" t="s">
        <v>6</v>
      </c>
      <c r="I142" s="13" t="s">
        <v>6</v>
      </c>
      <c r="J142" s="34">
        <f>SUM(J143:J151)</f>
        <v>0</v>
      </c>
      <c r="K142" s="34">
        <f>SUM(K143:K151)</f>
        <v>0</v>
      </c>
      <c r="L142" s="34">
        <f>SUM(L143:L151)</f>
        <v>0</v>
      </c>
      <c r="M142" s="24"/>
      <c r="N142" s="5"/>
      <c r="AI142" s="28" t="s">
        <v>2882</v>
      </c>
      <c r="AS142" s="34">
        <f>SUM(AJ143:AJ151)</f>
        <v>0</v>
      </c>
      <c r="AT142" s="34">
        <f>SUM(AK143:AK151)</f>
        <v>0</v>
      </c>
      <c r="AU142" s="34">
        <f>SUM(AL143:AL151)</f>
        <v>0</v>
      </c>
    </row>
    <row r="143" spans="1:64" ht="12.75">
      <c r="A143" s="4" t="s">
        <v>111</v>
      </c>
      <c r="B143" s="94" t="s">
        <v>1111</v>
      </c>
      <c r="C143" s="152" t="s">
        <v>2063</v>
      </c>
      <c r="D143" s="153"/>
      <c r="E143" s="153"/>
      <c r="F143" s="153"/>
      <c r="G143" s="94" t="s">
        <v>2851</v>
      </c>
      <c r="H143" s="73">
        <v>132.035</v>
      </c>
      <c r="I143" s="105">
        <v>0</v>
      </c>
      <c r="J143" s="15">
        <f aca="true" t="shared" si="110" ref="J143:J151">H143*AO143</f>
        <v>0</v>
      </c>
      <c r="K143" s="15">
        <f aca="true" t="shared" si="111" ref="K143:K151">H143*AP143</f>
        <v>0</v>
      </c>
      <c r="L143" s="15">
        <f aca="true" t="shared" si="112" ref="L143:L151">H143*I143</f>
        <v>0</v>
      </c>
      <c r="M143" s="25" t="s">
        <v>2872</v>
      </c>
      <c r="N143" s="5"/>
      <c r="Z143" s="29">
        <f aca="true" t="shared" si="113" ref="Z143:Z151">IF(AQ143="5",BJ143,0)</f>
        <v>0</v>
      </c>
      <c r="AB143" s="29">
        <f aca="true" t="shared" si="114" ref="AB143:AB151">IF(AQ143="1",BH143,0)</f>
        <v>0</v>
      </c>
      <c r="AC143" s="29">
        <f aca="true" t="shared" si="115" ref="AC143:AC151">IF(AQ143="1",BI143,0)</f>
        <v>0</v>
      </c>
      <c r="AD143" s="29">
        <f aca="true" t="shared" si="116" ref="AD143:AD151">IF(AQ143="7",BH143,0)</f>
        <v>0</v>
      </c>
      <c r="AE143" s="29">
        <f aca="true" t="shared" si="117" ref="AE143:AE151">IF(AQ143="7",BI143,0)</f>
        <v>0</v>
      </c>
      <c r="AF143" s="29">
        <f aca="true" t="shared" si="118" ref="AF143:AF151">IF(AQ143="2",BH143,0)</f>
        <v>0</v>
      </c>
      <c r="AG143" s="29">
        <f aca="true" t="shared" si="119" ref="AG143:AG151">IF(AQ143="2",BI143,0)</f>
        <v>0</v>
      </c>
      <c r="AH143" s="29">
        <f aca="true" t="shared" si="120" ref="AH143:AH151">IF(AQ143="0",BJ143,0)</f>
        <v>0</v>
      </c>
      <c r="AI143" s="28" t="s">
        <v>2882</v>
      </c>
      <c r="AJ143" s="15">
        <f aca="true" t="shared" si="121" ref="AJ143:AJ151">IF(AN143=0,L143,0)</f>
        <v>0</v>
      </c>
      <c r="AK143" s="15">
        <f aca="true" t="shared" si="122" ref="AK143:AK151">IF(AN143=15,L143,0)</f>
        <v>0</v>
      </c>
      <c r="AL143" s="15">
        <f aca="true" t="shared" si="123" ref="AL143:AL151">IF(AN143=21,L143,0)</f>
        <v>0</v>
      </c>
      <c r="AN143" s="29">
        <v>15</v>
      </c>
      <c r="AO143" s="29">
        <f>I143*0.156890665103457</f>
        <v>0</v>
      </c>
      <c r="AP143" s="29">
        <f>I143*(1-0.156890665103457)</f>
        <v>0</v>
      </c>
      <c r="AQ143" s="30" t="s">
        <v>7</v>
      </c>
      <c r="AV143" s="29">
        <f aca="true" t="shared" si="124" ref="AV143:AV151">AW143+AX143</f>
        <v>0</v>
      </c>
      <c r="AW143" s="29">
        <f aca="true" t="shared" si="125" ref="AW143:AW151">H143*AO143</f>
        <v>0</v>
      </c>
      <c r="AX143" s="29">
        <f aca="true" t="shared" si="126" ref="AX143:AX151">H143*AP143</f>
        <v>0</v>
      </c>
      <c r="AY143" s="32" t="s">
        <v>2905</v>
      </c>
      <c r="AZ143" s="32" t="s">
        <v>2940</v>
      </c>
      <c r="BA143" s="28" t="s">
        <v>2957</v>
      </c>
      <c r="BC143" s="29">
        <f aca="true" t="shared" si="127" ref="BC143:BC151">AW143+AX143</f>
        <v>0</v>
      </c>
      <c r="BD143" s="29">
        <f aca="true" t="shared" si="128" ref="BD143:BD151">I143/(100-BE143)*100</f>
        <v>0</v>
      </c>
      <c r="BE143" s="29">
        <v>0</v>
      </c>
      <c r="BF143" s="29">
        <f>143</f>
        <v>143</v>
      </c>
      <c r="BH143" s="15">
        <f aca="true" t="shared" si="129" ref="BH143:BH151">H143*AO143</f>
        <v>0</v>
      </c>
      <c r="BI143" s="15">
        <f aca="true" t="shared" si="130" ref="BI143:BI151">H143*AP143</f>
        <v>0</v>
      </c>
      <c r="BJ143" s="15">
        <f aca="true" t="shared" si="131" ref="BJ143:BJ151">H143*I143</f>
        <v>0</v>
      </c>
      <c r="BK143" s="15" t="s">
        <v>2969</v>
      </c>
      <c r="BL143" s="29">
        <v>64</v>
      </c>
    </row>
    <row r="144" spans="1:64" ht="12.75">
      <c r="A144" s="4" t="s">
        <v>112</v>
      </c>
      <c r="B144" s="94" t="s">
        <v>1112</v>
      </c>
      <c r="C144" s="152" t="s">
        <v>2064</v>
      </c>
      <c r="D144" s="153"/>
      <c r="E144" s="153"/>
      <c r="F144" s="153"/>
      <c r="G144" s="94" t="s">
        <v>2850</v>
      </c>
      <c r="H144" s="73">
        <v>13</v>
      </c>
      <c r="I144" s="105">
        <v>0</v>
      </c>
      <c r="J144" s="15">
        <f t="shared" si="110"/>
        <v>0</v>
      </c>
      <c r="K144" s="15">
        <f t="shared" si="111"/>
        <v>0</v>
      </c>
      <c r="L144" s="15">
        <f t="shared" si="112"/>
        <v>0</v>
      </c>
      <c r="M144" s="25" t="s">
        <v>2872</v>
      </c>
      <c r="N144" s="5"/>
      <c r="Z144" s="29">
        <f t="shared" si="113"/>
        <v>0</v>
      </c>
      <c r="AB144" s="29">
        <f t="shared" si="114"/>
        <v>0</v>
      </c>
      <c r="AC144" s="29">
        <f t="shared" si="115"/>
        <v>0</v>
      </c>
      <c r="AD144" s="29">
        <f t="shared" si="116"/>
        <v>0</v>
      </c>
      <c r="AE144" s="29">
        <f t="shared" si="117"/>
        <v>0</v>
      </c>
      <c r="AF144" s="29">
        <f t="shared" si="118"/>
        <v>0</v>
      </c>
      <c r="AG144" s="29">
        <f t="shared" si="119"/>
        <v>0</v>
      </c>
      <c r="AH144" s="29">
        <f t="shared" si="120"/>
        <v>0</v>
      </c>
      <c r="AI144" s="28" t="s">
        <v>2882</v>
      </c>
      <c r="AJ144" s="15">
        <f t="shared" si="121"/>
        <v>0</v>
      </c>
      <c r="AK144" s="15">
        <f t="shared" si="122"/>
        <v>0</v>
      </c>
      <c r="AL144" s="15">
        <f t="shared" si="123"/>
        <v>0</v>
      </c>
      <c r="AN144" s="29">
        <v>15</v>
      </c>
      <c r="AO144" s="29">
        <f>I144*0.548345070422535</f>
        <v>0</v>
      </c>
      <c r="AP144" s="29">
        <f>I144*(1-0.548345070422535)</f>
        <v>0</v>
      </c>
      <c r="AQ144" s="30" t="s">
        <v>7</v>
      </c>
      <c r="AV144" s="29">
        <f t="shared" si="124"/>
        <v>0</v>
      </c>
      <c r="AW144" s="29">
        <f t="shared" si="125"/>
        <v>0</v>
      </c>
      <c r="AX144" s="29">
        <f t="shared" si="126"/>
        <v>0</v>
      </c>
      <c r="AY144" s="32" t="s">
        <v>2905</v>
      </c>
      <c r="AZ144" s="32" t="s">
        <v>2940</v>
      </c>
      <c r="BA144" s="28" t="s">
        <v>2957</v>
      </c>
      <c r="BC144" s="29">
        <f t="shared" si="127"/>
        <v>0</v>
      </c>
      <c r="BD144" s="29">
        <f t="shared" si="128"/>
        <v>0</v>
      </c>
      <c r="BE144" s="29">
        <v>0</v>
      </c>
      <c r="BF144" s="29">
        <f>144</f>
        <v>144</v>
      </c>
      <c r="BH144" s="15">
        <f t="shared" si="129"/>
        <v>0</v>
      </c>
      <c r="BI144" s="15">
        <f t="shared" si="130"/>
        <v>0</v>
      </c>
      <c r="BJ144" s="15">
        <f t="shared" si="131"/>
        <v>0</v>
      </c>
      <c r="BK144" s="15" t="s">
        <v>2969</v>
      </c>
      <c r="BL144" s="29">
        <v>64</v>
      </c>
    </row>
    <row r="145" spans="1:64" ht="12.75">
      <c r="A145" s="4" t="s">
        <v>113</v>
      </c>
      <c r="B145" s="94" t="s">
        <v>1113</v>
      </c>
      <c r="C145" s="152" t="s">
        <v>2065</v>
      </c>
      <c r="D145" s="153"/>
      <c r="E145" s="153"/>
      <c r="F145" s="153"/>
      <c r="G145" s="94" t="s">
        <v>2850</v>
      </c>
      <c r="H145" s="73">
        <v>2</v>
      </c>
      <c r="I145" s="105">
        <v>0</v>
      </c>
      <c r="J145" s="15">
        <f t="shared" si="110"/>
        <v>0</v>
      </c>
      <c r="K145" s="15">
        <f t="shared" si="111"/>
        <v>0</v>
      </c>
      <c r="L145" s="15">
        <f t="shared" si="112"/>
        <v>0</v>
      </c>
      <c r="M145" s="25" t="s">
        <v>2872</v>
      </c>
      <c r="N145" s="5"/>
      <c r="Z145" s="29">
        <f t="shared" si="113"/>
        <v>0</v>
      </c>
      <c r="AB145" s="29">
        <f t="shared" si="114"/>
        <v>0</v>
      </c>
      <c r="AC145" s="29">
        <f t="shared" si="115"/>
        <v>0</v>
      </c>
      <c r="AD145" s="29">
        <f t="shared" si="116"/>
        <v>0</v>
      </c>
      <c r="AE145" s="29">
        <f t="shared" si="117"/>
        <v>0</v>
      </c>
      <c r="AF145" s="29">
        <f t="shared" si="118"/>
        <v>0</v>
      </c>
      <c r="AG145" s="29">
        <f t="shared" si="119"/>
        <v>0</v>
      </c>
      <c r="AH145" s="29">
        <f t="shared" si="120"/>
        <v>0</v>
      </c>
      <c r="AI145" s="28" t="s">
        <v>2882</v>
      </c>
      <c r="AJ145" s="15">
        <f t="shared" si="121"/>
        <v>0</v>
      </c>
      <c r="AK145" s="15">
        <f t="shared" si="122"/>
        <v>0</v>
      </c>
      <c r="AL145" s="15">
        <f t="shared" si="123"/>
        <v>0</v>
      </c>
      <c r="AN145" s="29">
        <v>15</v>
      </c>
      <c r="AO145" s="29">
        <f>I145*0.569852380952381</f>
        <v>0</v>
      </c>
      <c r="AP145" s="29">
        <f>I145*(1-0.569852380952381)</f>
        <v>0</v>
      </c>
      <c r="AQ145" s="30" t="s">
        <v>7</v>
      </c>
      <c r="AV145" s="29">
        <f t="shared" si="124"/>
        <v>0</v>
      </c>
      <c r="AW145" s="29">
        <f t="shared" si="125"/>
        <v>0</v>
      </c>
      <c r="AX145" s="29">
        <f t="shared" si="126"/>
        <v>0</v>
      </c>
      <c r="AY145" s="32" t="s">
        <v>2905</v>
      </c>
      <c r="AZ145" s="32" t="s">
        <v>2940</v>
      </c>
      <c r="BA145" s="28" t="s">
        <v>2957</v>
      </c>
      <c r="BC145" s="29">
        <f t="shared" si="127"/>
        <v>0</v>
      </c>
      <c r="BD145" s="29">
        <f t="shared" si="128"/>
        <v>0</v>
      </c>
      <c r="BE145" s="29">
        <v>0</v>
      </c>
      <c r="BF145" s="29">
        <f>145</f>
        <v>145</v>
      </c>
      <c r="BH145" s="15">
        <f t="shared" si="129"/>
        <v>0</v>
      </c>
      <c r="BI145" s="15">
        <f t="shared" si="130"/>
        <v>0</v>
      </c>
      <c r="BJ145" s="15">
        <f t="shared" si="131"/>
        <v>0</v>
      </c>
      <c r="BK145" s="15" t="s">
        <v>2969</v>
      </c>
      <c r="BL145" s="29">
        <v>64</v>
      </c>
    </row>
    <row r="146" spans="1:64" ht="12.75">
      <c r="A146" s="4" t="s">
        <v>114</v>
      </c>
      <c r="B146" s="94" t="s">
        <v>1114</v>
      </c>
      <c r="C146" s="152" t="s">
        <v>2066</v>
      </c>
      <c r="D146" s="153"/>
      <c r="E146" s="153"/>
      <c r="F146" s="153"/>
      <c r="G146" s="94" t="s">
        <v>2850</v>
      </c>
      <c r="H146" s="73">
        <v>2</v>
      </c>
      <c r="I146" s="105">
        <v>0</v>
      </c>
      <c r="J146" s="15">
        <f t="shared" si="110"/>
        <v>0</v>
      </c>
      <c r="K146" s="15">
        <f t="shared" si="111"/>
        <v>0</v>
      </c>
      <c r="L146" s="15">
        <f t="shared" si="112"/>
        <v>0</v>
      </c>
      <c r="M146" s="25" t="s">
        <v>2872</v>
      </c>
      <c r="N146" s="5"/>
      <c r="Z146" s="29">
        <f t="shared" si="113"/>
        <v>0</v>
      </c>
      <c r="AB146" s="29">
        <f t="shared" si="114"/>
        <v>0</v>
      </c>
      <c r="AC146" s="29">
        <f t="shared" si="115"/>
        <v>0</v>
      </c>
      <c r="AD146" s="29">
        <f t="shared" si="116"/>
        <v>0</v>
      </c>
      <c r="AE146" s="29">
        <f t="shared" si="117"/>
        <v>0</v>
      </c>
      <c r="AF146" s="29">
        <f t="shared" si="118"/>
        <v>0</v>
      </c>
      <c r="AG146" s="29">
        <f t="shared" si="119"/>
        <v>0</v>
      </c>
      <c r="AH146" s="29">
        <f t="shared" si="120"/>
        <v>0</v>
      </c>
      <c r="AI146" s="28" t="s">
        <v>2882</v>
      </c>
      <c r="AJ146" s="15">
        <f t="shared" si="121"/>
        <v>0</v>
      </c>
      <c r="AK146" s="15">
        <f t="shared" si="122"/>
        <v>0</v>
      </c>
      <c r="AL146" s="15">
        <f t="shared" si="123"/>
        <v>0</v>
      </c>
      <c r="AN146" s="29">
        <v>15</v>
      </c>
      <c r="AO146" s="29">
        <f>I146*0.573910377358491</f>
        <v>0</v>
      </c>
      <c r="AP146" s="29">
        <f>I146*(1-0.573910377358491)</f>
        <v>0</v>
      </c>
      <c r="AQ146" s="30" t="s">
        <v>7</v>
      </c>
      <c r="AV146" s="29">
        <f t="shared" si="124"/>
        <v>0</v>
      </c>
      <c r="AW146" s="29">
        <f t="shared" si="125"/>
        <v>0</v>
      </c>
      <c r="AX146" s="29">
        <f t="shared" si="126"/>
        <v>0</v>
      </c>
      <c r="AY146" s="32" t="s">
        <v>2905</v>
      </c>
      <c r="AZ146" s="32" t="s">
        <v>2940</v>
      </c>
      <c r="BA146" s="28" t="s">
        <v>2957</v>
      </c>
      <c r="BC146" s="29">
        <f t="shared" si="127"/>
        <v>0</v>
      </c>
      <c r="BD146" s="29">
        <f t="shared" si="128"/>
        <v>0</v>
      </c>
      <c r="BE146" s="29">
        <v>0</v>
      </c>
      <c r="BF146" s="29">
        <f>146</f>
        <v>146</v>
      </c>
      <c r="BH146" s="15">
        <f t="shared" si="129"/>
        <v>0</v>
      </c>
      <c r="BI146" s="15">
        <f t="shared" si="130"/>
        <v>0</v>
      </c>
      <c r="BJ146" s="15">
        <f t="shared" si="131"/>
        <v>0</v>
      </c>
      <c r="BK146" s="15" t="s">
        <v>2969</v>
      </c>
      <c r="BL146" s="29">
        <v>64</v>
      </c>
    </row>
    <row r="147" spans="1:64" ht="12.75">
      <c r="A147" s="4" t="s">
        <v>115</v>
      </c>
      <c r="B147" s="94" t="s">
        <v>1115</v>
      </c>
      <c r="C147" s="152" t="s">
        <v>2067</v>
      </c>
      <c r="D147" s="153"/>
      <c r="E147" s="153"/>
      <c r="F147" s="153"/>
      <c r="G147" s="94" t="s">
        <v>2850</v>
      </c>
      <c r="H147" s="73">
        <v>4</v>
      </c>
      <c r="I147" s="105">
        <v>0</v>
      </c>
      <c r="J147" s="15">
        <f t="shared" si="110"/>
        <v>0</v>
      </c>
      <c r="K147" s="15">
        <f t="shared" si="111"/>
        <v>0</v>
      </c>
      <c r="L147" s="15">
        <f t="shared" si="112"/>
        <v>0</v>
      </c>
      <c r="M147" s="25" t="s">
        <v>2872</v>
      </c>
      <c r="N147" s="5"/>
      <c r="Z147" s="29">
        <f t="shared" si="113"/>
        <v>0</v>
      </c>
      <c r="AB147" s="29">
        <f t="shared" si="114"/>
        <v>0</v>
      </c>
      <c r="AC147" s="29">
        <f t="shared" si="115"/>
        <v>0</v>
      </c>
      <c r="AD147" s="29">
        <f t="shared" si="116"/>
        <v>0</v>
      </c>
      <c r="AE147" s="29">
        <f t="shared" si="117"/>
        <v>0</v>
      </c>
      <c r="AF147" s="29">
        <f t="shared" si="118"/>
        <v>0</v>
      </c>
      <c r="AG147" s="29">
        <f t="shared" si="119"/>
        <v>0</v>
      </c>
      <c r="AH147" s="29">
        <f t="shared" si="120"/>
        <v>0</v>
      </c>
      <c r="AI147" s="28" t="s">
        <v>2882</v>
      </c>
      <c r="AJ147" s="15">
        <f t="shared" si="121"/>
        <v>0</v>
      </c>
      <c r="AK147" s="15">
        <f t="shared" si="122"/>
        <v>0</v>
      </c>
      <c r="AL147" s="15">
        <f t="shared" si="123"/>
        <v>0</v>
      </c>
      <c r="AN147" s="29">
        <v>15</v>
      </c>
      <c r="AO147" s="29">
        <f>I147*0.634287449392713</f>
        <v>0</v>
      </c>
      <c r="AP147" s="29">
        <f>I147*(1-0.634287449392713)</f>
        <v>0</v>
      </c>
      <c r="AQ147" s="30" t="s">
        <v>7</v>
      </c>
      <c r="AV147" s="29">
        <f t="shared" si="124"/>
        <v>0</v>
      </c>
      <c r="AW147" s="29">
        <f t="shared" si="125"/>
        <v>0</v>
      </c>
      <c r="AX147" s="29">
        <f t="shared" si="126"/>
        <v>0</v>
      </c>
      <c r="AY147" s="32" t="s">
        <v>2905</v>
      </c>
      <c r="AZ147" s="32" t="s">
        <v>2940</v>
      </c>
      <c r="BA147" s="28" t="s">
        <v>2957</v>
      </c>
      <c r="BC147" s="29">
        <f t="shared" si="127"/>
        <v>0</v>
      </c>
      <c r="BD147" s="29">
        <f t="shared" si="128"/>
        <v>0</v>
      </c>
      <c r="BE147" s="29">
        <v>0</v>
      </c>
      <c r="BF147" s="29">
        <f>147</f>
        <v>147</v>
      </c>
      <c r="BH147" s="15">
        <f t="shared" si="129"/>
        <v>0</v>
      </c>
      <c r="BI147" s="15">
        <f t="shared" si="130"/>
        <v>0</v>
      </c>
      <c r="BJ147" s="15">
        <f t="shared" si="131"/>
        <v>0</v>
      </c>
      <c r="BK147" s="15" t="s">
        <v>2969</v>
      </c>
      <c r="BL147" s="29">
        <v>64</v>
      </c>
    </row>
    <row r="148" spans="1:64" ht="12.75">
      <c r="A148" s="4" t="s">
        <v>116</v>
      </c>
      <c r="B148" s="94" t="s">
        <v>1116</v>
      </c>
      <c r="C148" s="152" t="s">
        <v>2068</v>
      </c>
      <c r="D148" s="153"/>
      <c r="E148" s="153"/>
      <c r="F148" s="153"/>
      <c r="G148" s="94" t="s">
        <v>2850</v>
      </c>
      <c r="H148" s="73">
        <v>13</v>
      </c>
      <c r="I148" s="105">
        <v>0</v>
      </c>
      <c r="J148" s="15">
        <f t="shared" si="110"/>
        <v>0</v>
      </c>
      <c r="K148" s="15">
        <f t="shared" si="111"/>
        <v>0</v>
      </c>
      <c r="L148" s="15">
        <f t="shared" si="112"/>
        <v>0</v>
      </c>
      <c r="M148" s="25" t="s">
        <v>2872</v>
      </c>
      <c r="N148" s="5"/>
      <c r="Z148" s="29">
        <f t="shared" si="113"/>
        <v>0</v>
      </c>
      <c r="AB148" s="29">
        <f t="shared" si="114"/>
        <v>0</v>
      </c>
      <c r="AC148" s="29">
        <f t="shared" si="115"/>
        <v>0</v>
      </c>
      <c r="AD148" s="29">
        <f t="shared" si="116"/>
        <v>0</v>
      </c>
      <c r="AE148" s="29">
        <f t="shared" si="117"/>
        <v>0</v>
      </c>
      <c r="AF148" s="29">
        <f t="shared" si="118"/>
        <v>0</v>
      </c>
      <c r="AG148" s="29">
        <f t="shared" si="119"/>
        <v>0</v>
      </c>
      <c r="AH148" s="29">
        <f t="shared" si="120"/>
        <v>0</v>
      </c>
      <c r="AI148" s="28" t="s">
        <v>2882</v>
      </c>
      <c r="AJ148" s="15">
        <f t="shared" si="121"/>
        <v>0</v>
      </c>
      <c r="AK148" s="15">
        <f t="shared" si="122"/>
        <v>0</v>
      </c>
      <c r="AL148" s="15">
        <f t="shared" si="123"/>
        <v>0</v>
      </c>
      <c r="AN148" s="29">
        <v>15</v>
      </c>
      <c r="AO148" s="29">
        <f>I148*0.636494969818914</f>
        <v>0</v>
      </c>
      <c r="AP148" s="29">
        <f>I148*(1-0.636494969818914)</f>
        <v>0</v>
      </c>
      <c r="AQ148" s="30" t="s">
        <v>7</v>
      </c>
      <c r="AV148" s="29">
        <f t="shared" si="124"/>
        <v>0</v>
      </c>
      <c r="AW148" s="29">
        <f t="shared" si="125"/>
        <v>0</v>
      </c>
      <c r="AX148" s="29">
        <f t="shared" si="126"/>
        <v>0</v>
      </c>
      <c r="AY148" s="32" t="s">
        <v>2905</v>
      </c>
      <c r="AZ148" s="32" t="s">
        <v>2940</v>
      </c>
      <c r="BA148" s="28" t="s">
        <v>2957</v>
      </c>
      <c r="BC148" s="29">
        <f t="shared" si="127"/>
        <v>0</v>
      </c>
      <c r="BD148" s="29">
        <f t="shared" si="128"/>
        <v>0</v>
      </c>
      <c r="BE148" s="29">
        <v>0</v>
      </c>
      <c r="BF148" s="29">
        <f>148</f>
        <v>148</v>
      </c>
      <c r="BH148" s="15">
        <f t="shared" si="129"/>
        <v>0</v>
      </c>
      <c r="BI148" s="15">
        <f t="shared" si="130"/>
        <v>0</v>
      </c>
      <c r="BJ148" s="15">
        <f t="shared" si="131"/>
        <v>0</v>
      </c>
      <c r="BK148" s="15" t="s">
        <v>2969</v>
      </c>
      <c r="BL148" s="29">
        <v>64</v>
      </c>
    </row>
    <row r="149" spans="1:64" ht="12.75">
      <c r="A149" s="4" t="s">
        <v>117</v>
      </c>
      <c r="B149" s="94" t="s">
        <v>1117</v>
      </c>
      <c r="C149" s="152" t="s">
        <v>2069</v>
      </c>
      <c r="D149" s="153"/>
      <c r="E149" s="153"/>
      <c r="F149" s="153"/>
      <c r="G149" s="94" t="s">
        <v>2850</v>
      </c>
      <c r="H149" s="73">
        <v>1</v>
      </c>
      <c r="I149" s="105">
        <v>0</v>
      </c>
      <c r="J149" s="15">
        <f t="shared" si="110"/>
        <v>0</v>
      </c>
      <c r="K149" s="15">
        <f t="shared" si="111"/>
        <v>0</v>
      </c>
      <c r="L149" s="15">
        <f t="shared" si="112"/>
        <v>0</v>
      </c>
      <c r="M149" s="25" t="s">
        <v>2872</v>
      </c>
      <c r="N149" s="5"/>
      <c r="Z149" s="29">
        <f t="shared" si="113"/>
        <v>0</v>
      </c>
      <c r="AB149" s="29">
        <f t="shared" si="114"/>
        <v>0</v>
      </c>
      <c r="AC149" s="29">
        <f t="shared" si="115"/>
        <v>0</v>
      </c>
      <c r="AD149" s="29">
        <f t="shared" si="116"/>
        <v>0</v>
      </c>
      <c r="AE149" s="29">
        <f t="shared" si="117"/>
        <v>0</v>
      </c>
      <c r="AF149" s="29">
        <f t="shared" si="118"/>
        <v>0</v>
      </c>
      <c r="AG149" s="29">
        <f t="shared" si="119"/>
        <v>0</v>
      </c>
      <c r="AH149" s="29">
        <f t="shared" si="120"/>
        <v>0</v>
      </c>
      <c r="AI149" s="28" t="s">
        <v>2882</v>
      </c>
      <c r="AJ149" s="15">
        <f t="shared" si="121"/>
        <v>0</v>
      </c>
      <c r="AK149" s="15">
        <f t="shared" si="122"/>
        <v>0</v>
      </c>
      <c r="AL149" s="15">
        <f t="shared" si="123"/>
        <v>0</v>
      </c>
      <c r="AN149" s="29">
        <v>15</v>
      </c>
      <c r="AO149" s="29">
        <f>I149*0.638676</f>
        <v>0</v>
      </c>
      <c r="AP149" s="29">
        <f>I149*(1-0.638676)</f>
        <v>0</v>
      </c>
      <c r="AQ149" s="30" t="s">
        <v>7</v>
      </c>
      <c r="AV149" s="29">
        <f t="shared" si="124"/>
        <v>0</v>
      </c>
      <c r="AW149" s="29">
        <f t="shared" si="125"/>
        <v>0</v>
      </c>
      <c r="AX149" s="29">
        <f t="shared" si="126"/>
        <v>0</v>
      </c>
      <c r="AY149" s="32" t="s">
        <v>2905</v>
      </c>
      <c r="AZ149" s="32" t="s">
        <v>2940</v>
      </c>
      <c r="BA149" s="28" t="s">
        <v>2957</v>
      </c>
      <c r="BC149" s="29">
        <f t="shared" si="127"/>
        <v>0</v>
      </c>
      <c r="BD149" s="29">
        <f t="shared" si="128"/>
        <v>0</v>
      </c>
      <c r="BE149" s="29">
        <v>0</v>
      </c>
      <c r="BF149" s="29">
        <f>149</f>
        <v>149</v>
      </c>
      <c r="BH149" s="15">
        <f t="shared" si="129"/>
        <v>0</v>
      </c>
      <c r="BI149" s="15">
        <f t="shared" si="130"/>
        <v>0</v>
      </c>
      <c r="BJ149" s="15">
        <f t="shared" si="131"/>
        <v>0</v>
      </c>
      <c r="BK149" s="15" t="s">
        <v>2969</v>
      </c>
      <c r="BL149" s="29">
        <v>64</v>
      </c>
    </row>
    <row r="150" spans="1:64" ht="12.75">
      <c r="A150" s="4" t="s">
        <v>118</v>
      </c>
      <c r="B150" s="94" t="s">
        <v>1118</v>
      </c>
      <c r="C150" s="152" t="s">
        <v>2070</v>
      </c>
      <c r="D150" s="153"/>
      <c r="E150" s="153"/>
      <c r="F150" s="153"/>
      <c r="G150" s="94" t="s">
        <v>2850</v>
      </c>
      <c r="H150" s="73">
        <v>13</v>
      </c>
      <c r="I150" s="105">
        <v>0</v>
      </c>
      <c r="J150" s="15">
        <f t="shared" si="110"/>
        <v>0</v>
      </c>
      <c r="K150" s="15">
        <f t="shared" si="111"/>
        <v>0</v>
      </c>
      <c r="L150" s="15">
        <f t="shared" si="112"/>
        <v>0</v>
      </c>
      <c r="M150" s="25" t="s">
        <v>2872</v>
      </c>
      <c r="N150" s="5"/>
      <c r="Z150" s="29">
        <f t="shared" si="113"/>
        <v>0</v>
      </c>
      <c r="AB150" s="29">
        <f t="shared" si="114"/>
        <v>0</v>
      </c>
      <c r="AC150" s="29">
        <f t="shared" si="115"/>
        <v>0</v>
      </c>
      <c r="AD150" s="29">
        <f t="shared" si="116"/>
        <v>0</v>
      </c>
      <c r="AE150" s="29">
        <f t="shared" si="117"/>
        <v>0</v>
      </c>
      <c r="AF150" s="29">
        <f t="shared" si="118"/>
        <v>0</v>
      </c>
      <c r="AG150" s="29">
        <f t="shared" si="119"/>
        <v>0</v>
      </c>
      <c r="AH150" s="29">
        <f t="shared" si="120"/>
        <v>0</v>
      </c>
      <c r="AI150" s="28" t="s">
        <v>2882</v>
      </c>
      <c r="AJ150" s="15">
        <f t="shared" si="121"/>
        <v>0</v>
      </c>
      <c r="AK150" s="15">
        <f t="shared" si="122"/>
        <v>0</v>
      </c>
      <c r="AL150" s="15">
        <f t="shared" si="123"/>
        <v>0</v>
      </c>
      <c r="AN150" s="29">
        <v>15</v>
      </c>
      <c r="AO150" s="29">
        <f>I150*0.213424066390042</f>
        <v>0</v>
      </c>
      <c r="AP150" s="29">
        <f>I150*(1-0.213424066390042)</f>
        <v>0</v>
      </c>
      <c r="AQ150" s="30" t="s">
        <v>7</v>
      </c>
      <c r="AV150" s="29">
        <f t="shared" si="124"/>
        <v>0</v>
      </c>
      <c r="AW150" s="29">
        <f t="shared" si="125"/>
        <v>0</v>
      </c>
      <c r="AX150" s="29">
        <f t="shared" si="126"/>
        <v>0</v>
      </c>
      <c r="AY150" s="32" t="s">
        <v>2905</v>
      </c>
      <c r="AZ150" s="32" t="s">
        <v>2940</v>
      </c>
      <c r="BA150" s="28" t="s">
        <v>2957</v>
      </c>
      <c r="BC150" s="29">
        <f t="shared" si="127"/>
        <v>0</v>
      </c>
      <c r="BD150" s="29">
        <f t="shared" si="128"/>
        <v>0</v>
      </c>
      <c r="BE150" s="29">
        <v>0</v>
      </c>
      <c r="BF150" s="29">
        <f>150</f>
        <v>150</v>
      </c>
      <c r="BH150" s="15">
        <f t="shared" si="129"/>
        <v>0</v>
      </c>
      <c r="BI150" s="15">
        <f t="shared" si="130"/>
        <v>0</v>
      </c>
      <c r="BJ150" s="15">
        <f t="shared" si="131"/>
        <v>0</v>
      </c>
      <c r="BK150" s="15" t="s">
        <v>2969</v>
      </c>
      <c r="BL150" s="29">
        <v>64</v>
      </c>
    </row>
    <row r="151" spans="1:64" ht="12.75">
      <c r="A151" s="4" t="s">
        <v>119</v>
      </c>
      <c r="B151" s="94" t="s">
        <v>1119</v>
      </c>
      <c r="C151" s="152" t="s">
        <v>2071</v>
      </c>
      <c r="D151" s="153"/>
      <c r="E151" s="153"/>
      <c r="F151" s="153"/>
      <c r="G151" s="94" t="s">
        <v>2851</v>
      </c>
      <c r="H151" s="73">
        <v>32.4</v>
      </c>
      <c r="I151" s="105">
        <v>0</v>
      </c>
      <c r="J151" s="15">
        <f t="shared" si="110"/>
        <v>0</v>
      </c>
      <c r="K151" s="15">
        <f t="shared" si="111"/>
        <v>0</v>
      </c>
      <c r="L151" s="15">
        <f t="shared" si="112"/>
        <v>0</v>
      </c>
      <c r="M151" s="25" t="s">
        <v>2872</v>
      </c>
      <c r="N151" s="5"/>
      <c r="Z151" s="29">
        <f t="shared" si="113"/>
        <v>0</v>
      </c>
      <c r="AB151" s="29">
        <f t="shared" si="114"/>
        <v>0</v>
      </c>
      <c r="AC151" s="29">
        <f t="shared" si="115"/>
        <v>0</v>
      </c>
      <c r="AD151" s="29">
        <f t="shared" si="116"/>
        <v>0</v>
      </c>
      <c r="AE151" s="29">
        <f t="shared" si="117"/>
        <v>0</v>
      </c>
      <c r="AF151" s="29">
        <f t="shared" si="118"/>
        <v>0</v>
      </c>
      <c r="AG151" s="29">
        <f t="shared" si="119"/>
        <v>0</v>
      </c>
      <c r="AH151" s="29">
        <f t="shared" si="120"/>
        <v>0</v>
      </c>
      <c r="AI151" s="28" t="s">
        <v>2882</v>
      </c>
      <c r="AJ151" s="15">
        <f t="shared" si="121"/>
        <v>0</v>
      </c>
      <c r="AK151" s="15">
        <f t="shared" si="122"/>
        <v>0</v>
      </c>
      <c r="AL151" s="15">
        <f t="shared" si="123"/>
        <v>0</v>
      </c>
      <c r="AN151" s="29">
        <v>15</v>
      </c>
      <c r="AO151" s="29">
        <f>I151*0.684480166367342</f>
        <v>0</v>
      </c>
      <c r="AP151" s="29">
        <f>I151*(1-0.684480166367342)</f>
        <v>0</v>
      </c>
      <c r="AQ151" s="30" t="s">
        <v>7</v>
      </c>
      <c r="AV151" s="29">
        <f t="shared" si="124"/>
        <v>0</v>
      </c>
      <c r="AW151" s="29">
        <f t="shared" si="125"/>
        <v>0</v>
      </c>
      <c r="AX151" s="29">
        <f t="shared" si="126"/>
        <v>0</v>
      </c>
      <c r="AY151" s="32" t="s">
        <v>2905</v>
      </c>
      <c r="AZ151" s="32" t="s">
        <v>2940</v>
      </c>
      <c r="BA151" s="28" t="s">
        <v>2957</v>
      </c>
      <c r="BC151" s="29">
        <f t="shared" si="127"/>
        <v>0</v>
      </c>
      <c r="BD151" s="29">
        <f t="shared" si="128"/>
        <v>0</v>
      </c>
      <c r="BE151" s="29">
        <v>0</v>
      </c>
      <c r="BF151" s="29">
        <f>151</f>
        <v>151</v>
      </c>
      <c r="BH151" s="15">
        <f t="shared" si="129"/>
        <v>0</v>
      </c>
      <c r="BI151" s="15">
        <f t="shared" si="130"/>
        <v>0</v>
      </c>
      <c r="BJ151" s="15">
        <f t="shared" si="131"/>
        <v>0</v>
      </c>
      <c r="BK151" s="15" t="s">
        <v>2969</v>
      </c>
      <c r="BL151" s="29">
        <v>64</v>
      </c>
    </row>
    <row r="152" spans="1:47" ht="12.75">
      <c r="A152" s="3"/>
      <c r="B152" s="97" t="s">
        <v>97</v>
      </c>
      <c r="C152" s="161" t="s">
        <v>2072</v>
      </c>
      <c r="D152" s="162"/>
      <c r="E152" s="162"/>
      <c r="F152" s="162"/>
      <c r="G152" s="13" t="s">
        <v>6</v>
      </c>
      <c r="H152" s="13" t="s">
        <v>6</v>
      </c>
      <c r="I152" s="13" t="s">
        <v>6</v>
      </c>
      <c r="J152" s="34">
        <f>SUM(J153:J154)</f>
        <v>0</v>
      </c>
      <c r="K152" s="34">
        <f>SUM(K153:K154)</f>
        <v>0</v>
      </c>
      <c r="L152" s="34">
        <f>SUM(L153:L154)</f>
        <v>0</v>
      </c>
      <c r="M152" s="24"/>
      <c r="N152" s="5"/>
      <c r="AI152" s="28" t="s">
        <v>2882</v>
      </c>
      <c r="AS152" s="34">
        <f>SUM(AJ153:AJ154)</f>
        <v>0</v>
      </c>
      <c r="AT152" s="34">
        <f>SUM(AK153:AK154)</f>
        <v>0</v>
      </c>
      <c r="AU152" s="34">
        <f>SUM(AL153:AL154)</f>
        <v>0</v>
      </c>
    </row>
    <row r="153" spans="1:64" ht="12.75">
      <c r="A153" s="4" t="s">
        <v>120</v>
      </c>
      <c r="B153" s="94" t="s">
        <v>1120</v>
      </c>
      <c r="C153" s="152" t="s">
        <v>2073</v>
      </c>
      <c r="D153" s="153"/>
      <c r="E153" s="153"/>
      <c r="F153" s="153"/>
      <c r="G153" s="94" t="s">
        <v>2851</v>
      </c>
      <c r="H153" s="73">
        <v>50</v>
      </c>
      <c r="I153" s="105">
        <v>0</v>
      </c>
      <c r="J153" s="15">
        <f>H153*AO153</f>
        <v>0</v>
      </c>
      <c r="K153" s="15">
        <f>H153*AP153</f>
        <v>0</v>
      </c>
      <c r="L153" s="15">
        <f>H153*I153</f>
        <v>0</v>
      </c>
      <c r="M153" s="25" t="s">
        <v>2872</v>
      </c>
      <c r="N153" s="5"/>
      <c r="Z153" s="29">
        <f>IF(AQ153="5",BJ153,0)</f>
        <v>0</v>
      </c>
      <c r="AB153" s="29">
        <f>IF(AQ153="1",BH153,0)</f>
        <v>0</v>
      </c>
      <c r="AC153" s="29">
        <f>IF(AQ153="1",BI153,0)</f>
        <v>0</v>
      </c>
      <c r="AD153" s="29">
        <f>IF(AQ153="7",BH153,0)</f>
        <v>0</v>
      </c>
      <c r="AE153" s="29">
        <f>IF(AQ153="7",BI153,0)</f>
        <v>0</v>
      </c>
      <c r="AF153" s="29">
        <f>IF(AQ153="2",BH153,0)</f>
        <v>0</v>
      </c>
      <c r="AG153" s="29">
        <f>IF(AQ153="2",BI153,0)</f>
        <v>0</v>
      </c>
      <c r="AH153" s="29">
        <f>IF(AQ153="0",BJ153,0)</f>
        <v>0</v>
      </c>
      <c r="AI153" s="28" t="s">
        <v>2882</v>
      </c>
      <c r="AJ153" s="15">
        <f>IF(AN153=0,L153,0)</f>
        <v>0</v>
      </c>
      <c r="AK153" s="15">
        <f>IF(AN153=15,L153,0)</f>
        <v>0</v>
      </c>
      <c r="AL153" s="15">
        <f>IF(AN153=21,L153,0)</f>
        <v>0</v>
      </c>
      <c r="AN153" s="29">
        <v>15</v>
      </c>
      <c r="AO153" s="29">
        <f>I153*0.762328042328042</f>
        <v>0</v>
      </c>
      <c r="AP153" s="29">
        <f>I153*(1-0.762328042328042)</f>
        <v>0</v>
      </c>
      <c r="AQ153" s="30" t="s">
        <v>7</v>
      </c>
      <c r="AV153" s="29">
        <f>AW153+AX153</f>
        <v>0</v>
      </c>
      <c r="AW153" s="29">
        <f>H153*AO153</f>
        <v>0</v>
      </c>
      <c r="AX153" s="29">
        <f>H153*AP153</f>
        <v>0</v>
      </c>
      <c r="AY153" s="32" t="s">
        <v>2906</v>
      </c>
      <c r="AZ153" s="32" t="s">
        <v>2941</v>
      </c>
      <c r="BA153" s="28" t="s">
        <v>2957</v>
      </c>
      <c r="BC153" s="29">
        <f>AW153+AX153</f>
        <v>0</v>
      </c>
      <c r="BD153" s="29">
        <f>I153/(100-BE153)*100</f>
        <v>0</v>
      </c>
      <c r="BE153" s="29">
        <v>0</v>
      </c>
      <c r="BF153" s="29">
        <f>153</f>
        <v>153</v>
      </c>
      <c r="BH153" s="15">
        <f>H153*AO153</f>
        <v>0</v>
      </c>
      <c r="BI153" s="15">
        <f>H153*AP153</f>
        <v>0</v>
      </c>
      <c r="BJ153" s="15">
        <f>H153*I153</f>
        <v>0</v>
      </c>
      <c r="BK153" s="15" t="s">
        <v>2969</v>
      </c>
      <c r="BL153" s="29">
        <v>91</v>
      </c>
    </row>
    <row r="154" spans="1:64" ht="12.75">
      <c r="A154" s="4" t="s">
        <v>121</v>
      </c>
      <c r="B154" s="94" t="s">
        <v>1121</v>
      </c>
      <c r="C154" s="152" t="s">
        <v>2074</v>
      </c>
      <c r="D154" s="153"/>
      <c r="E154" s="153"/>
      <c r="F154" s="153"/>
      <c r="G154" s="94" t="s">
        <v>2847</v>
      </c>
      <c r="H154" s="73">
        <v>3.75</v>
      </c>
      <c r="I154" s="105">
        <v>0</v>
      </c>
      <c r="J154" s="15">
        <f>H154*AO154</f>
        <v>0</v>
      </c>
      <c r="K154" s="15">
        <f>H154*AP154</f>
        <v>0</v>
      </c>
      <c r="L154" s="15">
        <f>H154*I154</f>
        <v>0</v>
      </c>
      <c r="M154" s="25" t="s">
        <v>2872</v>
      </c>
      <c r="N154" s="5"/>
      <c r="Z154" s="29">
        <f>IF(AQ154="5",BJ154,0)</f>
        <v>0</v>
      </c>
      <c r="AB154" s="29">
        <f>IF(AQ154="1",BH154,0)</f>
        <v>0</v>
      </c>
      <c r="AC154" s="29">
        <f>IF(AQ154="1",BI154,0)</f>
        <v>0</v>
      </c>
      <c r="AD154" s="29">
        <f>IF(AQ154="7",BH154,0)</f>
        <v>0</v>
      </c>
      <c r="AE154" s="29">
        <f>IF(AQ154="7",BI154,0)</f>
        <v>0</v>
      </c>
      <c r="AF154" s="29">
        <f>IF(AQ154="2",BH154,0)</f>
        <v>0</v>
      </c>
      <c r="AG154" s="29">
        <f>IF(AQ154="2",BI154,0)</f>
        <v>0</v>
      </c>
      <c r="AH154" s="29">
        <f>IF(AQ154="0",BJ154,0)</f>
        <v>0</v>
      </c>
      <c r="AI154" s="28" t="s">
        <v>2882</v>
      </c>
      <c r="AJ154" s="15">
        <f>IF(AN154=0,L154,0)</f>
        <v>0</v>
      </c>
      <c r="AK154" s="15">
        <f>IF(AN154=15,L154,0)</f>
        <v>0</v>
      </c>
      <c r="AL154" s="15">
        <f>IF(AN154=21,L154,0)</f>
        <v>0</v>
      </c>
      <c r="AN154" s="29">
        <v>15</v>
      </c>
      <c r="AO154" s="29">
        <f>I154*0.783546712520781</f>
        <v>0</v>
      </c>
      <c r="AP154" s="29">
        <f>I154*(1-0.783546712520781)</f>
        <v>0</v>
      </c>
      <c r="AQ154" s="30" t="s">
        <v>7</v>
      </c>
      <c r="AV154" s="29">
        <f>AW154+AX154</f>
        <v>0</v>
      </c>
      <c r="AW154" s="29">
        <f>H154*AO154</f>
        <v>0</v>
      </c>
      <c r="AX154" s="29">
        <f>H154*AP154</f>
        <v>0</v>
      </c>
      <c r="AY154" s="32" t="s">
        <v>2906</v>
      </c>
      <c r="AZ154" s="32" t="s">
        <v>2941</v>
      </c>
      <c r="BA154" s="28" t="s">
        <v>2957</v>
      </c>
      <c r="BC154" s="29">
        <f>AW154+AX154</f>
        <v>0</v>
      </c>
      <c r="BD154" s="29">
        <f>I154/(100-BE154)*100</f>
        <v>0</v>
      </c>
      <c r="BE154" s="29">
        <v>0</v>
      </c>
      <c r="BF154" s="29">
        <f>154</f>
        <v>154</v>
      </c>
      <c r="BH154" s="15">
        <f>H154*AO154</f>
        <v>0</v>
      </c>
      <c r="BI154" s="15">
        <f>H154*AP154</f>
        <v>0</v>
      </c>
      <c r="BJ154" s="15">
        <f>H154*I154</f>
        <v>0</v>
      </c>
      <c r="BK154" s="15" t="s">
        <v>2969</v>
      </c>
      <c r="BL154" s="29">
        <v>91</v>
      </c>
    </row>
    <row r="155" spans="1:47" ht="12.75">
      <c r="A155" s="3"/>
      <c r="B155" s="97" t="s">
        <v>100</v>
      </c>
      <c r="C155" s="161" t="s">
        <v>2075</v>
      </c>
      <c r="D155" s="162"/>
      <c r="E155" s="162"/>
      <c r="F155" s="162"/>
      <c r="G155" s="13" t="s">
        <v>6</v>
      </c>
      <c r="H155" s="13" t="s">
        <v>6</v>
      </c>
      <c r="I155" s="13" t="s">
        <v>6</v>
      </c>
      <c r="J155" s="34">
        <f>SUM(J156:J163)</f>
        <v>0</v>
      </c>
      <c r="K155" s="34">
        <f>SUM(K156:K163)</f>
        <v>0</v>
      </c>
      <c r="L155" s="34">
        <f>SUM(L156:L163)</f>
        <v>0</v>
      </c>
      <c r="M155" s="24"/>
      <c r="N155" s="5"/>
      <c r="AI155" s="28" t="s">
        <v>2882</v>
      </c>
      <c r="AS155" s="34">
        <f>SUM(AJ156:AJ163)</f>
        <v>0</v>
      </c>
      <c r="AT155" s="34">
        <f>SUM(AK156:AK163)</f>
        <v>0</v>
      </c>
      <c r="AU155" s="34">
        <f>SUM(AL156:AL163)</f>
        <v>0</v>
      </c>
    </row>
    <row r="156" spans="1:64" ht="12.75">
      <c r="A156" s="4" t="s">
        <v>122</v>
      </c>
      <c r="B156" s="94" t="s">
        <v>1122</v>
      </c>
      <c r="C156" s="152" t="s">
        <v>2076</v>
      </c>
      <c r="D156" s="153"/>
      <c r="E156" s="153"/>
      <c r="F156" s="153"/>
      <c r="G156" s="94" t="s">
        <v>2849</v>
      </c>
      <c r="H156" s="73">
        <v>683.995</v>
      </c>
      <c r="I156" s="105">
        <v>0</v>
      </c>
      <c r="J156" s="15">
        <f aca="true" t="shared" si="132" ref="J156:J163">H156*AO156</f>
        <v>0</v>
      </c>
      <c r="K156" s="15">
        <f aca="true" t="shared" si="133" ref="K156:K163">H156*AP156</f>
        <v>0</v>
      </c>
      <c r="L156" s="15">
        <f aca="true" t="shared" si="134" ref="L156:L163">H156*I156</f>
        <v>0</v>
      </c>
      <c r="M156" s="25" t="s">
        <v>2872</v>
      </c>
      <c r="N156" s="5"/>
      <c r="Z156" s="29">
        <f aca="true" t="shared" si="135" ref="Z156:Z163">IF(AQ156="5",BJ156,0)</f>
        <v>0</v>
      </c>
      <c r="AB156" s="29">
        <f aca="true" t="shared" si="136" ref="AB156:AB163">IF(AQ156="1",BH156,0)</f>
        <v>0</v>
      </c>
      <c r="AC156" s="29">
        <f aca="true" t="shared" si="137" ref="AC156:AC163">IF(AQ156="1",BI156,0)</f>
        <v>0</v>
      </c>
      <c r="AD156" s="29">
        <f aca="true" t="shared" si="138" ref="AD156:AD163">IF(AQ156="7",BH156,0)</f>
        <v>0</v>
      </c>
      <c r="AE156" s="29">
        <f aca="true" t="shared" si="139" ref="AE156:AE163">IF(AQ156="7",BI156,0)</f>
        <v>0</v>
      </c>
      <c r="AF156" s="29">
        <f aca="true" t="shared" si="140" ref="AF156:AF163">IF(AQ156="2",BH156,0)</f>
        <v>0</v>
      </c>
      <c r="AG156" s="29">
        <f aca="true" t="shared" si="141" ref="AG156:AG163">IF(AQ156="2",BI156,0)</f>
        <v>0</v>
      </c>
      <c r="AH156" s="29">
        <f aca="true" t="shared" si="142" ref="AH156:AH163">IF(AQ156="0",BJ156,0)</f>
        <v>0</v>
      </c>
      <c r="AI156" s="28" t="s">
        <v>2882</v>
      </c>
      <c r="AJ156" s="15">
        <f aca="true" t="shared" si="143" ref="AJ156:AJ163">IF(AN156=0,L156,0)</f>
        <v>0</v>
      </c>
      <c r="AK156" s="15">
        <f aca="true" t="shared" si="144" ref="AK156:AK163">IF(AN156=15,L156,0)</f>
        <v>0</v>
      </c>
      <c r="AL156" s="15">
        <f aca="true" t="shared" si="145" ref="AL156:AL163">IF(AN156=21,L156,0)</f>
        <v>0</v>
      </c>
      <c r="AN156" s="29">
        <v>15</v>
      </c>
      <c r="AO156" s="29">
        <f>I156*0.000457317058957995</f>
        <v>0</v>
      </c>
      <c r="AP156" s="29">
        <f>I156*(1-0.000457317058957995)</f>
        <v>0</v>
      </c>
      <c r="AQ156" s="30" t="s">
        <v>7</v>
      </c>
      <c r="AV156" s="29">
        <f aca="true" t="shared" si="146" ref="AV156:AV163">AW156+AX156</f>
        <v>0</v>
      </c>
      <c r="AW156" s="29">
        <f aca="true" t="shared" si="147" ref="AW156:AW163">H156*AO156</f>
        <v>0</v>
      </c>
      <c r="AX156" s="29">
        <f aca="true" t="shared" si="148" ref="AX156:AX163">H156*AP156</f>
        <v>0</v>
      </c>
      <c r="AY156" s="32" t="s">
        <v>2907</v>
      </c>
      <c r="AZ156" s="32" t="s">
        <v>2941</v>
      </c>
      <c r="BA156" s="28" t="s">
        <v>2957</v>
      </c>
      <c r="BC156" s="29">
        <f aca="true" t="shared" si="149" ref="BC156:BC163">AW156+AX156</f>
        <v>0</v>
      </c>
      <c r="BD156" s="29">
        <f aca="true" t="shared" si="150" ref="BD156:BD163">I156/(100-BE156)*100</f>
        <v>0</v>
      </c>
      <c r="BE156" s="29">
        <v>0</v>
      </c>
      <c r="BF156" s="29">
        <f>156</f>
        <v>156</v>
      </c>
      <c r="BH156" s="15">
        <f aca="true" t="shared" si="151" ref="BH156:BH163">H156*AO156</f>
        <v>0</v>
      </c>
      <c r="BI156" s="15">
        <f aca="true" t="shared" si="152" ref="BI156:BI163">H156*AP156</f>
        <v>0</v>
      </c>
      <c r="BJ156" s="15">
        <f aca="true" t="shared" si="153" ref="BJ156:BJ163">H156*I156</f>
        <v>0</v>
      </c>
      <c r="BK156" s="15" t="s">
        <v>2969</v>
      </c>
      <c r="BL156" s="29">
        <v>94</v>
      </c>
    </row>
    <row r="157" spans="1:64" ht="12.75">
      <c r="A157" s="4" t="s">
        <v>123</v>
      </c>
      <c r="B157" s="94" t="s">
        <v>1123</v>
      </c>
      <c r="C157" s="152" t="s">
        <v>2077</v>
      </c>
      <c r="D157" s="153"/>
      <c r="E157" s="153"/>
      <c r="F157" s="153"/>
      <c r="G157" s="94" t="s">
        <v>2849</v>
      </c>
      <c r="H157" s="73">
        <v>2051.985</v>
      </c>
      <c r="I157" s="105">
        <v>0</v>
      </c>
      <c r="J157" s="15">
        <f t="shared" si="132"/>
        <v>0</v>
      </c>
      <c r="K157" s="15">
        <f t="shared" si="133"/>
        <v>0</v>
      </c>
      <c r="L157" s="15">
        <f t="shared" si="134"/>
        <v>0</v>
      </c>
      <c r="M157" s="25" t="s">
        <v>2872</v>
      </c>
      <c r="N157" s="5"/>
      <c r="Z157" s="29">
        <f t="shared" si="135"/>
        <v>0</v>
      </c>
      <c r="AB157" s="29">
        <f t="shared" si="136"/>
        <v>0</v>
      </c>
      <c r="AC157" s="29">
        <f t="shared" si="137"/>
        <v>0</v>
      </c>
      <c r="AD157" s="29">
        <f t="shared" si="138"/>
        <v>0</v>
      </c>
      <c r="AE157" s="29">
        <f t="shared" si="139"/>
        <v>0</v>
      </c>
      <c r="AF157" s="29">
        <f t="shared" si="140"/>
        <v>0</v>
      </c>
      <c r="AG157" s="29">
        <f t="shared" si="141"/>
        <v>0</v>
      </c>
      <c r="AH157" s="29">
        <f t="shared" si="142"/>
        <v>0</v>
      </c>
      <c r="AI157" s="28" t="s">
        <v>2882</v>
      </c>
      <c r="AJ157" s="15">
        <f t="shared" si="143"/>
        <v>0</v>
      </c>
      <c r="AK157" s="15">
        <f t="shared" si="144"/>
        <v>0</v>
      </c>
      <c r="AL157" s="15">
        <f t="shared" si="145"/>
        <v>0</v>
      </c>
      <c r="AN157" s="29">
        <v>15</v>
      </c>
      <c r="AO157" s="29">
        <f>I157*0.915409853845541</f>
        <v>0</v>
      </c>
      <c r="AP157" s="29">
        <f>I157*(1-0.915409853845541)</f>
        <v>0</v>
      </c>
      <c r="AQ157" s="30" t="s">
        <v>7</v>
      </c>
      <c r="AV157" s="29">
        <f t="shared" si="146"/>
        <v>0</v>
      </c>
      <c r="AW157" s="29">
        <f t="shared" si="147"/>
        <v>0</v>
      </c>
      <c r="AX157" s="29">
        <f t="shared" si="148"/>
        <v>0</v>
      </c>
      <c r="AY157" s="32" t="s">
        <v>2907</v>
      </c>
      <c r="AZ157" s="32" t="s">
        <v>2941</v>
      </c>
      <c r="BA157" s="28" t="s">
        <v>2957</v>
      </c>
      <c r="BC157" s="29">
        <f t="shared" si="149"/>
        <v>0</v>
      </c>
      <c r="BD157" s="29">
        <f t="shared" si="150"/>
        <v>0</v>
      </c>
      <c r="BE157" s="29">
        <v>0</v>
      </c>
      <c r="BF157" s="29">
        <f>157</f>
        <v>157</v>
      </c>
      <c r="BH157" s="15">
        <f t="shared" si="151"/>
        <v>0</v>
      </c>
      <c r="BI157" s="15">
        <f t="shared" si="152"/>
        <v>0</v>
      </c>
      <c r="BJ157" s="15">
        <f t="shared" si="153"/>
        <v>0</v>
      </c>
      <c r="BK157" s="15" t="s">
        <v>2969</v>
      </c>
      <c r="BL157" s="29">
        <v>94</v>
      </c>
    </row>
    <row r="158" spans="1:64" ht="12.75">
      <c r="A158" s="4" t="s">
        <v>124</v>
      </c>
      <c r="B158" s="94" t="s">
        <v>1124</v>
      </c>
      <c r="C158" s="152" t="s">
        <v>2078</v>
      </c>
      <c r="D158" s="153"/>
      <c r="E158" s="153"/>
      <c r="F158" s="153"/>
      <c r="G158" s="94" t="s">
        <v>2849</v>
      </c>
      <c r="H158" s="73">
        <v>683.995</v>
      </c>
      <c r="I158" s="105">
        <v>0</v>
      </c>
      <c r="J158" s="15">
        <f t="shared" si="132"/>
        <v>0</v>
      </c>
      <c r="K158" s="15">
        <f t="shared" si="133"/>
        <v>0</v>
      </c>
      <c r="L158" s="15">
        <f t="shared" si="134"/>
        <v>0</v>
      </c>
      <c r="M158" s="25" t="s">
        <v>2872</v>
      </c>
      <c r="N158" s="5"/>
      <c r="Z158" s="29">
        <f t="shared" si="135"/>
        <v>0</v>
      </c>
      <c r="AB158" s="29">
        <f t="shared" si="136"/>
        <v>0</v>
      </c>
      <c r="AC158" s="29">
        <f t="shared" si="137"/>
        <v>0</v>
      </c>
      <c r="AD158" s="29">
        <f t="shared" si="138"/>
        <v>0</v>
      </c>
      <c r="AE158" s="29">
        <f t="shared" si="139"/>
        <v>0</v>
      </c>
      <c r="AF158" s="29">
        <f t="shared" si="140"/>
        <v>0</v>
      </c>
      <c r="AG158" s="29">
        <f t="shared" si="141"/>
        <v>0</v>
      </c>
      <c r="AH158" s="29">
        <f t="shared" si="142"/>
        <v>0</v>
      </c>
      <c r="AI158" s="28" t="s">
        <v>2882</v>
      </c>
      <c r="AJ158" s="15">
        <f t="shared" si="143"/>
        <v>0</v>
      </c>
      <c r="AK158" s="15">
        <f t="shared" si="144"/>
        <v>0</v>
      </c>
      <c r="AL158" s="15">
        <f t="shared" si="145"/>
        <v>0</v>
      </c>
      <c r="AN158" s="29">
        <v>15</v>
      </c>
      <c r="AO158" s="29">
        <f>I158*0</f>
        <v>0</v>
      </c>
      <c r="AP158" s="29">
        <f>I158*(1-0)</f>
        <v>0</v>
      </c>
      <c r="AQ158" s="30" t="s">
        <v>7</v>
      </c>
      <c r="AV158" s="29">
        <f t="shared" si="146"/>
        <v>0</v>
      </c>
      <c r="AW158" s="29">
        <f t="shared" si="147"/>
        <v>0</v>
      </c>
      <c r="AX158" s="29">
        <f t="shared" si="148"/>
        <v>0</v>
      </c>
      <c r="AY158" s="32" t="s">
        <v>2907</v>
      </c>
      <c r="AZ158" s="32" t="s">
        <v>2941</v>
      </c>
      <c r="BA158" s="28" t="s">
        <v>2957</v>
      </c>
      <c r="BC158" s="29">
        <f t="shared" si="149"/>
        <v>0</v>
      </c>
      <c r="BD158" s="29">
        <f t="shared" si="150"/>
        <v>0</v>
      </c>
      <c r="BE158" s="29">
        <v>0</v>
      </c>
      <c r="BF158" s="29">
        <f>158</f>
        <v>158</v>
      </c>
      <c r="BH158" s="15">
        <f t="shared" si="151"/>
        <v>0</v>
      </c>
      <c r="BI158" s="15">
        <f t="shared" si="152"/>
        <v>0</v>
      </c>
      <c r="BJ158" s="15">
        <f t="shared" si="153"/>
        <v>0</v>
      </c>
      <c r="BK158" s="15" t="s">
        <v>2969</v>
      </c>
      <c r="BL158" s="29">
        <v>94</v>
      </c>
    </row>
    <row r="159" spans="1:64" ht="12.75">
      <c r="A159" s="4" t="s">
        <v>125</v>
      </c>
      <c r="B159" s="94" t="s">
        <v>1125</v>
      </c>
      <c r="C159" s="152" t="s">
        <v>2079</v>
      </c>
      <c r="D159" s="153"/>
      <c r="E159" s="153"/>
      <c r="F159" s="153"/>
      <c r="G159" s="94" t="s">
        <v>2849</v>
      </c>
      <c r="H159" s="73">
        <v>716.72</v>
      </c>
      <c r="I159" s="105">
        <v>0</v>
      </c>
      <c r="J159" s="15">
        <f t="shared" si="132"/>
        <v>0</v>
      </c>
      <c r="K159" s="15">
        <f t="shared" si="133"/>
        <v>0</v>
      </c>
      <c r="L159" s="15">
        <f t="shared" si="134"/>
        <v>0</v>
      </c>
      <c r="M159" s="25" t="s">
        <v>2872</v>
      </c>
      <c r="N159" s="5"/>
      <c r="Z159" s="29">
        <f t="shared" si="135"/>
        <v>0</v>
      </c>
      <c r="AB159" s="29">
        <f t="shared" si="136"/>
        <v>0</v>
      </c>
      <c r="AC159" s="29">
        <f t="shared" si="137"/>
        <v>0</v>
      </c>
      <c r="AD159" s="29">
        <f t="shared" si="138"/>
        <v>0</v>
      </c>
      <c r="AE159" s="29">
        <f t="shared" si="139"/>
        <v>0</v>
      </c>
      <c r="AF159" s="29">
        <f t="shared" si="140"/>
        <v>0</v>
      </c>
      <c r="AG159" s="29">
        <f t="shared" si="141"/>
        <v>0</v>
      </c>
      <c r="AH159" s="29">
        <f t="shared" si="142"/>
        <v>0</v>
      </c>
      <c r="AI159" s="28" t="s">
        <v>2882</v>
      </c>
      <c r="AJ159" s="15">
        <f t="shared" si="143"/>
        <v>0</v>
      </c>
      <c r="AK159" s="15">
        <f t="shared" si="144"/>
        <v>0</v>
      </c>
      <c r="AL159" s="15">
        <f t="shared" si="145"/>
        <v>0</v>
      </c>
      <c r="AN159" s="29">
        <v>15</v>
      </c>
      <c r="AO159" s="29">
        <f>I159*0.360833337182346</f>
        <v>0</v>
      </c>
      <c r="AP159" s="29">
        <f>I159*(1-0.360833337182346)</f>
        <v>0</v>
      </c>
      <c r="AQ159" s="30" t="s">
        <v>7</v>
      </c>
      <c r="AV159" s="29">
        <f t="shared" si="146"/>
        <v>0</v>
      </c>
      <c r="AW159" s="29">
        <f t="shared" si="147"/>
        <v>0</v>
      </c>
      <c r="AX159" s="29">
        <f t="shared" si="148"/>
        <v>0</v>
      </c>
      <c r="AY159" s="32" t="s">
        <v>2907</v>
      </c>
      <c r="AZ159" s="32" t="s">
        <v>2941</v>
      </c>
      <c r="BA159" s="28" t="s">
        <v>2957</v>
      </c>
      <c r="BC159" s="29">
        <f t="shared" si="149"/>
        <v>0</v>
      </c>
      <c r="BD159" s="29">
        <f t="shared" si="150"/>
        <v>0</v>
      </c>
      <c r="BE159" s="29">
        <v>0</v>
      </c>
      <c r="BF159" s="29">
        <f>159</f>
        <v>159</v>
      </c>
      <c r="BH159" s="15">
        <f t="shared" si="151"/>
        <v>0</v>
      </c>
      <c r="BI159" s="15">
        <f t="shared" si="152"/>
        <v>0</v>
      </c>
      <c r="BJ159" s="15">
        <f t="shared" si="153"/>
        <v>0</v>
      </c>
      <c r="BK159" s="15" t="s">
        <v>2969</v>
      </c>
      <c r="BL159" s="29">
        <v>94</v>
      </c>
    </row>
    <row r="160" spans="1:64" ht="12.75">
      <c r="A160" s="4" t="s">
        <v>126</v>
      </c>
      <c r="B160" s="94" t="s">
        <v>1126</v>
      </c>
      <c r="C160" s="152" t="s">
        <v>2080</v>
      </c>
      <c r="D160" s="153"/>
      <c r="E160" s="153"/>
      <c r="F160" s="153"/>
      <c r="G160" s="94" t="s">
        <v>2849</v>
      </c>
      <c r="H160" s="73">
        <v>24.576</v>
      </c>
      <c r="I160" s="105">
        <v>0</v>
      </c>
      <c r="J160" s="15">
        <f t="shared" si="132"/>
        <v>0</v>
      </c>
      <c r="K160" s="15">
        <f t="shared" si="133"/>
        <v>0</v>
      </c>
      <c r="L160" s="15">
        <f t="shared" si="134"/>
        <v>0</v>
      </c>
      <c r="M160" s="25" t="s">
        <v>2872</v>
      </c>
      <c r="N160" s="5"/>
      <c r="Z160" s="29">
        <f t="shared" si="135"/>
        <v>0</v>
      </c>
      <c r="AB160" s="29">
        <f t="shared" si="136"/>
        <v>0</v>
      </c>
      <c r="AC160" s="29">
        <f t="shared" si="137"/>
        <v>0</v>
      </c>
      <c r="AD160" s="29">
        <f t="shared" si="138"/>
        <v>0</v>
      </c>
      <c r="AE160" s="29">
        <f t="shared" si="139"/>
        <v>0</v>
      </c>
      <c r="AF160" s="29">
        <f t="shared" si="140"/>
        <v>0</v>
      </c>
      <c r="AG160" s="29">
        <f t="shared" si="141"/>
        <v>0</v>
      </c>
      <c r="AH160" s="29">
        <f t="shared" si="142"/>
        <v>0</v>
      </c>
      <c r="AI160" s="28" t="s">
        <v>2882</v>
      </c>
      <c r="AJ160" s="15">
        <f t="shared" si="143"/>
        <v>0</v>
      </c>
      <c r="AK160" s="15">
        <f t="shared" si="144"/>
        <v>0</v>
      </c>
      <c r="AL160" s="15">
        <f t="shared" si="145"/>
        <v>0</v>
      </c>
      <c r="AN160" s="29">
        <v>15</v>
      </c>
      <c r="AO160" s="29">
        <f>I160*0.417057505697306</f>
        <v>0</v>
      </c>
      <c r="AP160" s="29">
        <f>I160*(1-0.417057505697306)</f>
        <v>0</v>
      </c>
      <c r="AQ160" s="30" t="s">
        <v>7</v>
      </c>
      <c r="AV160" s="29">
        <f t="shared" si="146"/>
        <v>0</v>
      </c>
      <c r="AW160" s="29">
        <f t="shared" si="147"/>
        <v>0</v>
      </c>
      <c r="AX160" s="29">
        <f t="shared" si="148"/>
        <v>0</v>
      </c>
      <c r="AY160" s="32" t="s">
        <v>2907</v>
      </c>
      <c r="AZ160" s="32" t="s">
        <v>2941</v>
      </c>
      <c r="BA160" s="28" t="s">
        <v>2957</v>
      </c>
      <c r="BC160" s="29">
        <f t="shared" si="149"/>
        <v>0</v>
      </c>
      <c r="BD160" s="29">
        <f t="shared" si="150"/>
        <v>0</v>
      </c>
      <c r="BE160" s="29">
        <v>0</v>
      </c>
      <c r="BF160" s="29">
        <f>160</f>
        <v>160</v>
      </c>
      <c r="BH160" s="15">
        <f t="shared" si="151"/>
        <v>0</v>
      </c>
      <c r="BI160" s="15">
        <f t="shared" si="152"/>
        <v>0</v>
      </c>
      <c r="BJ160" s="15">
        <f t="shared" si="153"/>
        <v>0</v>
      </c>
      <c r="BK160" s="15" t="s">
        <v>2969</v>
      </c>
      <c r="BL160" s="29">
        <v>94</v>
      </c>
    </row>
    <row r="161" spans="1:64" ht="12.75">
      <c r="A161" s="4" t="s">
        <v>127</v>
      </c>
      <c r="B161" s="94" t="s">
        <v>1127</v>
      </c>
      <c r="C161" s="152" t="s">
        <v>2081</v>
      </c>
      <c r="D161" s="153"/>
      <c r="E161" s="153"/>
      <c r="F161" s="153"/>
      <c r="G161" s="94" t="s">
        <v>2849</v>
      </c>
      <c r="H161" s="73">
        <v>683.995</v>
      </c>
      <c r="I161" s="105">
        <v>0</v>
      </c>
      <c r="J161" s="15">
        <f t="shared" si="132"/>
        <v>0</v>
      </c>
      <c r="K161" s="15">
        <f t="shared" si="133"/>
        <v>0</v>
      </c>
      <c r="L161" s="15">
        <f t="shared" si="134"/>
        <v>0</v>
      </c>
      <c r="M161" s="25" t="s">
        <v>2872</v>
      </c>
      <c r="N161" s="5"/>
      <c r="Z161" s="29">
        <f t="shared" si="135"/>
        <v>0</v>
      </c>
      <c r="AB161" s="29">
        <f t="shared" si="136"/>
        <v>0</v>
      </c>
      <c r="AC161" s="29">
        <f t="shared" si="137"/>
        <v>0</v>
      </c>
      <c r="AD161" s="29">
        <f t="shared" si="138"/>
        <v>0</v>
      </c>
      <c r="AE161" s="29">
        <f t="shared" si="139"/>
        <v>0</v>
      </c>
      <c r="AF161" s="29">
        <f t="shared" si="140"/>
        <v>0</v>
      </c>
      <c r="AG161" s="29">
        <f t="shared" si="141"/>
        <v>0</v>
      </c>
      <c r="AH161" s="29">
        <f t="shared" si="142"/>
        <v>0</v>
      </c>
      <c r="AI161" s="28" t="s">
        <v>2882</v>
      </c>
      <c r="AJ161" s="15">
        <f t="shared" si="143"/>
        <v>0</v>
      </c>
      <c r="AK161" s="15">
        <f t="shared" si="144"/>
        <v>0</v>
      </c>
      <c r="AL161" s="15">
        <f t="shared" si="145"/>
        <v>0</v>
      </c>
      <c r="AN161" s="29">
        <v>15</v>
      </c>
      <c r="AO161" s="29">
        <f>I161*0</f>
        <v>0</v>
      </c>
      <c r="AP161" s="29">
        <f>I161*(1-0)</f>
        <v>0</v>
      </c>
      <c r="AQ161" s="30" t="s">
        <v>7</v>
      </c>
      <c r="AV161" s="29">
        <f t="shared" si="146"/>
        <v>0</v>
      </c>
      <c r="AW161" s="29">
        <f t="shared" si="147"/>
        <v>0</v>
      </c>
      <c r="AX161" s="29">
        <f t="shared" si="148"/>
        <v>0</v>
      </c>
      <c r="AY161" s="32" t="s">
        <v>2907</v>
      </c>
      <c r="AZ161" s="32" t="s">
        <v>2941</v>
      </c>
      <c r="BA161" s="28" t="s">
        <v>2957</v>
      </c>
      <c r="BC161" s="29">
        <f t="shared" si="149"/>
        <v>0</v>
      </c>
      <c r="BD161" s="29">
        <f t="shared" si="150"/>
        <v>0</v>
      </c>
      <c r="BE161" s="29">
        <v>0</v>
      </c>
      <c r="BF161" s="29">
        <f>161</f>
        <v>161</v>
      </c>
      <c r="BH161" s="15">
        <f t="shared" si="151"/>
        <v>0</v>
      </c>
      <c r="BI161" s="15">
        <f t="shared" si="152"/>
        <v>0</v>
      </c>
      <c r="BJ161" s="15">
        <f t="shared" si="153"/>
        <v>0</v>
      </c>
      <c r="BK161" s="15" t="s">
        <v>2969</v>
      </c>
      <c r="BL161" s="29">
        <v>94</v>
      </c>
    </row>
    <row r="162" spans="1:64" ht="12.75">
      <c r="A162" s="4" t="s">
        <v>128</v>
      </c>
      <c r="B162" s="94" t="s">
        <v>1128</v>
      </c>
      <c r="C162" s="152" t="s">
        <v>2082</v>
      </c>
      <c r="D162" s="153"/>
      <c r="E162" s="153"/>
      <c r="F162" s="153"/>
      <c r="G162" s="94" t="s">
        <v>2849</v>
      </c>
      <c r="H162" s="73">
        <v>2051.985</v>
      </c>
      <c r="I162" s="105">
        <v>0</v>
      </c>
      <c r="J162" s="15">
        <f t="shared" si="132"/>
        <v>0</v>
      </c>
      <c r="K162" s="15">
        <f t="shared" si="133"/>
        <v>0</v>
      </c>
      <c r="L162" s="15">
        <f t="shared" si="134"/>
        <v>0</v>
      </c>
      <c r="M162" s="25" t="s">
        <v>2872</v>
      </c>
      <c r="N162" s="5"/>
      <c r="Z162" s="29">
        <f t="shared" si="135"/>
        <v>0</v>
      </c>
      <c r="AB162" s="29">
        <f t="shared" si="136"/>
        <v>0</v>
      </c>
      <c r="AC162" s="29">
        <f t="shared" si="137"/>
        <v>0</v>
      </c>
      <c r="AD162" s="29">
        <f t="shared" si="138"/>
        <v>0</v>
      </c>
      <c r="AE162" s="29">
        <f t="shared" si="139"/>
        <v>0</v>
      </c>
      <c r="AF162" s="29">
        <f t="shared" si="140"/>
        <v>0</v>
      </c>
      <c r="AG162" s="29">
        <f t="shared" si="141"/>
        <v>0</v>
      </c>
      <c r="AH162" s="29">
        <f t="shared" si="142"/>
        <v>0</v>
      </c>
      <c r="AI162" s="28" t="s">
        <v>2882</v>
      </c>
      <c r="AJ162" s="15">
        <f t="shared" si="143"/>
        <v>0</v>
      </c>
      <c r="AK162" s="15">
        <f t="shared" si="144"/>
        <v>0</v>
      </c>
      <c r="AL162" s="15">
        <f t="shared" si="145"/>
        <v>0</v>
      </c>
      <c r="AN162" s="29">
        <v>15</v>
      </c>
      <c r="AO162" s="29">
        <f>I162*1.00000024803105</f>
        <v>0</v>
      </c>
      <c r="AP162" s="29">
        <f>I162*(1-1.00000024803105)</f>
        <v>0</v>
      </c>
      <c r="AQ162" s="30" t="s">
        <v>7</v>
      </c>
      <c r="AV162" s="29">
        <f t="shared" si="146"/>
        <v>0</v>
      </c>
      <c r="AW162" s="29">
        <f t="shared" si="147"/>
        <v>0</v>
      </c>
      <c r="AX162" s="29">
        <f t="shared" si="148"/>
        <v>0</v>
      </c>
      <c r="AY162" s="32" t="s">
        <v>2907</v>
      </c>
      <c r="AZ162" s="32" t="s">
        <v>2941</v>
      </c>
      <c r="BA162" s="28" t="s">
        <v>2957</v>
      </c>
      <c r="BC162" s="29">
        <f t="shared" si="149"/>
        <v>0</v>
      </c>
      <c r="BD162" s="29">
        <f t="shared" si="150"/>
        <v>0</v>
      </c>
      <c r="BE162" s="29">
        <v>0</v>
      </c>
      <c r="BF162" s="29">
        <f>162</f>
        <v>162</v>
      </c>
      <c r="BH162" s="15">
        <f t="shared" si="151"/>
        <v>0</v>
      </c>
      <c r="BI162" s="15">
        <f t="shared" si="152"/>
        <v>0</v>
      </c>
      <c r="BJ162" s="15">
        <f t="shared" si="153"/>
        <v>0</v>
      </c>
      <c r="BK162" s="15" t="s">
        <v>2969</v>
      </c>
      <c r="BL162" s="29">
        <v>94</v>
      </c>
    </row>
    <row r="163" spans="1:64" ht="12.75">
      <c r="A163" s="4" t="s">
        <v>129</v>
      </c>
      <c r="B163" s="94" t="s">
        <v>1129</v>
      </c>
      <c r="C163" s="152" t="s">
        <v>2083</v>
      </c>
      <c r="D163" s="153"/>
      <c r="E163" s="153"/>
      <c r="F163" s="153"/>
      <c r="G163" s="94" t="s">
        <v>2849</v>
      </c>
      <c r="H163" s="73">
        <v>683.995</v>
      </c>
      <c r="I163" s="105">
        <v>0</v>
      </c>
      <c r="J163" s="15">
        <f t="shared" si="132"/>
        <v>0</v>
      </c>
      <c r="K163" s="15">
        <f t="shared" si="133"/>
        <v>0</v>
      </c>
      <c r="L163" s="15">
        <f t="shared" si="134"/>
        <v>0</v>
      </c>
      <c r="M163" s="25" t="s">
        <v>2872</v>
      </c>
      <c r="N163" s="5"/>
      <c r="Z163" s="29">
        <f t="shared" si="135"/>
        <v>0</v>
      </c>
      <c r="AB163" s="29">
        <f t="shared" si="136"/>
        <v>0</v>
      </c>
      <c r="AC163" s="29">
        <f t="shared" si="137"/>
        <v>0</v>
      </c>
      <c r="AD163" s="29">
        <f t="shared" si="138"/>
        <v>0</v>
      </c>
      <c r="AE163" s="29">
        <f t="shared" si="139"/>
        <v>0</v>
      </c>
      <c r="AF163" s="29">
        <f t="shared" si="140"/>
        <v>0</v>
      </c>
      <c r="AG163" s="29">
        <f t="shared" si="141"/>
        <v>0</v>
      </c>
      <c r="AH163" s="29">
        <f t="shared" si="142"/>
        <v>0</v>
      </c>
      <c r="AI163" s="28" t="s">
        <v>2882</v>
      </c>
      <c r="AJ163" s="15">
        <f t="shared" si="143"/>
        <v>0</v>
      </c>
      <c r="AK163" s="15">
        <f t="shared" si="144"/>
        <v>0</v>
      </c>
      <c r="AL163" s="15">
        <f t="shared" si="145"/>
        <v>0</v>
      </c>
      <c r="AN163" s="29">
        <v>15</v>
      </c>
      <c r="AO163" s="29">
        <f>I163*0</f>
        <v>0</v>
      </c>
      <c r="AP163" s="29">
        <f>I163*(1-0)</f>
        <v>0</v>
      </c>
      <c r="AQ163" s="30" t="s">
        <v>7</v>
      </c>
      <c r="AV163" s="29">
        <f t="shared" si="146"/>
        <v>0</v>
      </c>
      <c r="AW163" s="29">
        <f t="shared" si="147"/>
        <v>0</v>
      </c>
      <c r="AX163" s="29">
        <f t="shared" si="148"/>
        <v>0</v>
      </c>
      <c r="AY163" s="32" t="s">
        <v>2907</v>
      </c>
      <c r="AZ163" s="32" t="s">
        <v>2941</v>
      </c>
      <c r="BA163" s="28" t="s">
        <v>2957</v>
      </c>
      <c r="BC163" s="29">
        <f t="shared" si="149"/>
        <v>0</v>
      </c>
      <c r="BD163" s="29">
        <f t="shared" si="150"/>
        <v>0</v>
      </c>
      <c r="BE163" s="29">
        <v>0</v>
      </c>
      <c r="BF163" s="29">
        <f>163</f>
        <v>163</v>
      </c>
      <c r="BH163" s="15">
        <f t="shared" si="151"/>
        <v>0</v>
      </c>
      <c r="BI163" s="15">
        <f t="shared" si="152"/>
        <v>0</v>
      </c>
      <c r="BJ163" s="15">
        <f t="shared" si="153"/>
        <v>0</v>
      </c>
      <c r="BK163" s="15" t="s">
        <v>2969</v>
      </c>
      <c r="BL163" s="29">
        <v>94</v>
      </c>
    </row>
    <row r="164" spans="1:47" ht="12.75">
      <c r="A164" s="3"/>
      <c r="B164" s="97" t="s">
        <v>101</v>
      </c>
      <c r="C164" s="161" t="s">
        <v>2084</v>
      </c>
      <c r="D164" s="162"/>
      <c r="E164" s="162"/>
      <c r="F164" s="162"/>
      <c r="G164" s="13" t="s">
        <v>6</v>
      </c>
      <c r="H164" s="13" t="s">
        <v>6</v>
      </c>
      <c r="I164" s="13" t="s">
        <v>6</v>
      </c>
      <c r="J164" s="34">
        <f>SUM(J165:J176)</f>
        <v>0</v>
      </c>
      <c r="K164" s="34">
        <f>SUM(K165:K176)</f>
        <v>0</v>
      </c>
      <c r="L164" s="34">
        <f>SUM(L165:L176)</f>
        <v>0</v>
      </c>
      <c r="M164" s="24"/>
      <c r="N164" s="5"/>
      <c r="AI164" s="28" t="s">
        <v>2882</v>
      </c>
      <c r="AS164" s="34">
        <f>SUM(AJ165:AJ176)</f>
        <v>0</v>
      </c>
      <c r="AT164" s="34">
        <f>SUM(AK165:AK176)</f>
        <v>0</v>
      </c>
      <c r="AU164" s="34">
        <f>SUM(AL165:AL176)</f>
        <v>0</v>
      </c>
    </row>
    <row r="165" spans="1:64" ht="12.75">
      <c r="A165" s="4" t="s">
        <v>130</v>
      </c>
      <c r="B165" s="94" t="s">
        <v>1130</v>
      </c>
      <c r="C165" s="152" t="s">
        <v>2085</v>
      </c>
      <c r="D165" s="153"/>
      <c r="E165" s="153"/>
      <c r="F165" s="153"/>
      <c r="G165" s="94" t="s">
        <v>2849</v>
      </c>
      <c r="H165" s="73">
        <v>120.314</v>
      </c>
      <c r="I165" s="105">
        <v>0</v>
      </c>
      <c r="J165" s="15">
        <f aca="true" t="shared" si="154" ref="J165:J176">H165*AO165</f>
        <v>0</v>
      </c>
      <c r="K165" s="15">
        <f aca="true" t="shared" si="155" ref="K165:K176">H165*AP165</f>
        <v>0</v>
      </c>
      <c r="L165" s="15">
        <f aca="true" t="shared" si="156" ref="L165:L176">H165*I165</f>
        <v>0</v>
      </c>
      <c r="M165" s="25" t="s">
        <v>2872</v>
      </c>
      <c r="N165" s="5"/>
      <c r="Z165" s="29">
        <f aca="true" t="shared" si="157" ref="Z165:Z176">IF(AQ165="5",BJ165,0)</f>
        <v>0</v>
      </c>
      <c r="AB165" s="29">
        <f aca="true" t="shared" si="158" ref="AB165:AB176">IF(AQ165="1",BH165,0)</f>
        <v>0</v>
      </c>
      <c r="AC165" s="29">
        <f aca="true" t="shared" si="159" ref="AC165:AC176">IF(AQ165="1",BI165,0)</f>
        <v>0</v>
      </c>
      <c r="AD165" s="29">
        <f aca="true" t="shared" si="160" ref="AD165:AD176">IF(AQ165="7",BH165,0)</f>
        <v>0</v>
      </c>
      <c r="AE165" s="29">
        <f aca="true" t="shared" si="161" ref="AE165:AE176">IF(AQ165="7",BI165,0)</f>
        <v>0</v>
      </c>
      <c r="AF165" s="29">
        <f aca="true" t="shared" si="162" ref="AF165:AF176">IF(AQ165="2",BH165,0)</f>
        <v>0</v>
      </c>
      <c r="AG165" s="29">
        <f aca="true" t="shared" si="163" ref="AG165:AG176">IF(AQ165="2",BI165,0)</f>
        <v>0</v>
      </c>
      <c r="AH165" s="29">
        <f aca="true" t="shared" si="164" ref="AH165:AH176">IF(AQ165="0",BJ165,0)</f>
        <v>0</v>
      </c>
      <c r="AI165" s="28" t="s">
        <v>2882</v>
      </c>
      <c r="AJ165" s="15">
        <f aca="true" t="shared" si="165" ref="AJ165:AJ176">IF(AN165=0,L165,0)</f>
        <v>0</v>
      </c>
      <c r="AK165" s="15">
        <f aca="true" t="shared" si="166" ref="AK165:AK176">IF(AN165=15,L165,0)</f>
        <v>0</v>
      </c>
      <c r="AL165" s="15">
        <f aca="true" t="shared" si="167" ref="AL165:AL176">IF(AN165=21,L165,0)</f>
        <v>0</v>
      </c>
      <c r="AN165" s="29">
        <v>15</v>
      </c>
      <c r="AO165" s="29">
        <f>I165*0.0194285692315347</f>
        <v>0</v>
      </c>
      <c r="AP165" s="29">
        <f>I165*(1-0.0194285692315347)</f>
        <v>0</v>
      </c>
      <c r="AQ165" s="30" t="s">
        <v>7</v>
      </c>
      <c r="AV165" s="29">
        <f aca="true" t="shared" si="168" ref="AV165:AV176">AW165+AX165</f>
        <v>0</v>
      </c>
      <c r="AW165" s="29">
        <f aca="true" t="shared" si="169" ref="AW165:AW176">H165*AO165</f>
        <v>0</v>
      </c>
      <c r="AX165" s="29">
        <f aca="true" t="shared" si="170" ref="AX165:AX176">H165*AP165</f>
        <v>0</v>
      </c>
      <c r="AY165" s="32" t="s">
        <v>2908</v>
      </c>
      <c r="AZ165" s="32" t="s">
        <v>2941</v>
      </c>
      <c r="BA165" s="28" t="s">
        <v>2957</v>
      </c>
      <c r="BC165" s="29">
        <f aca="true" t="shared" si="171" ref="BC165:BC176">AW165+AX165</f>
        <v>0</v>
      </c>
      <c r="BD165" s="29">
        <f aca="true" t="shared" si="172" ref="BD165:BD176">I165/(100-BE165)*100</f>
        <v>0</v>
      </c>
      <c r="BE165" s="29">
        <v>0</v>
      </c>
      <c r="BF165" s="29">
        <f>165</f>
        <v>165</v>
      </c>
      <c r="BH165" s="15">
        <f aca="true" t="shared" si="173" ref="BH165:BH176">H165*AO165</f>
        <v>0</v>
      </c>
      <c r="BI165" s="15">
        <f aca="true" t="shared" si="174" ref="BI165:BI176">H165*AP165</f>
        <v>0</v>
      </c>
      <c r="BJ165" s="15">
        <f aca="true" t="shared" si="175" ref="BJ165:BJ176">H165*I165</f>
        <v>0</v>
      </c>
      <c r="BK165" s="15" t="s">
        <v>2969</v>
      </c>
      <c r="BL165" s="29">
        <v>95</v>
      </c>
    </row>
    <row r="166" spans="1:64" ht="12.75">
      <c r="A166" s="4" t="s">
        <v>131</v>
      </c>
      <c r="B166" s="94" t="s">
        <v>1131</v>
      </c>
      <c r="C166" s="152" t="s">
        <v>2086</v>
      </c>
      <c r="D166" s="153"/>
      <c r="E166" s="153"/>
      <c r="F166" s="153"/>
      <c r="G166" s="94" t="s">
        <v>2849</v>
      </c>
      <c r="H166" s="73">
        <v>379.035</v>
      </c>
      <c r="I166" s="105">
        <v>0</v>
      </c>
      <c r="J166" s="15">
        <f t="shared" si="154"/>
        <v>0</v>
      </c>
      <c r="K166" s="15">
        <f t="shared" si="155"/>
        <v>0</v>
      </c>
      <c r="L166" s="15">
        <f t="shared" si="156"/>
        <v>0</v>
      </c>
      <c r="M166" s="25" t="s">
        <v>2872</v>
      </c>
      <c r="N166" s="5"/>
      <c r="Z166" s="29">
        <f t="shared" si="157"/>
        <v>0</v>
      </c>
      <c r="AB166" s="29">
        <f t="shared" si="158"/>
        <v>0</v>
      </c>
      <c r="AC166" s="29">
        <f t="shared" si="159"/>
        <v>0</v>
      </c>
      <c r="AD166" s="29">
        <f t="shared" si="160"/>
        <v>0</v>
      </c>
      <c r="AE166" s="29">
        <f t="shared" si="161"/>
        <v>0</v>
      </c>
      <c r="AF166" s="29">
        <f t="shared" si="162"/>
        <v>0</v>
      </c>
      <c r="AG166" s="29">
        <f t="shared" si="163"/>
        <v>0</v>
      </c>
      <c r="AH166" s="29">
        <f t="shared" si="164"/>
        <v>0</v>
      </c>
      <c r="AI166" s="28" t="s">
        <v>2882</v>
      </c>
      <c r="AJ166" s="15">
        <f t="shared" si="165"/>
        <v>0</v>
      </c>
      <c r="AK166" s="15">
        <f t="shared" si="166"/>
        <v>0</v>
      </c>
      <c r="AL166" s="15">
        <f t="shared" si="167"/>
        <v>0</v>
      </c>
      <c r="AN166" s="29">
        <v>15</v>
      </c>
      <c r="AO166" s="29">
        <f>I166*0.0124696365471881</f>
        <v>0</v>
      </c>
      <c r="AP166" s="29">
        <f>I166*(1-0.0124696365471881)</f>
        <v>0</v>
      </c>
      <c r="AQ166" s="30" t="s">
        <v>7</v>
      </c>
      <c r="AV166" s="29">
        <f t="shared" si="168"/>
        <v>0</v>
      </c>
      <c r="AW166" s="29">
        <f t="shared" si="169"/>
        <v>0</v>
      </c>
      <c r="AX166" s="29">
        <f t="shared" si="170"/>
        <v>0</v>
      </c>
      <c r="AY166" s="32" t="s">
        <v>2908</v>
      </c>
      <c r="AZ166" s="32" t="s">
        <v>2941</v>
      </c>
      <c r="BA166" s="28" t="s">
        <v>2957</v>
      </c>
      <c r="BC166" s="29">
        <f t="shared" si="171"/>
        <v>0</v>
      </c>
      <c r="BD166" s="29">
        <f t="shared" si="172"/>
        <v>0</v>
      </c>
      <c r="BE166" s="29">
        <v>0</v>
      </c>
      <c r="BF166" s="29">
        <f>166</f>
        <v>166</v>
      </c>
      <c r="BH166" s="15">
        <f t="shared" si="173"/>
        <v>0</v>
      </c>
      <c r="BI166" s="15">
        <f t="shared" si="174"/>
        <v>0</v>
      </c>
      <c r="BJ166" s="15">
        <f t="shared" si="175"/>
        <v>0</v>
      </c>
      <c r="BK166" s="15" t="s">
        <v>2969</v>
      </c>
      <c r="BL166" s="29">
        <v>95</v>
      </c>
    </row>
    <row r="167" spans="1:64" ht="12.75">
      <c r="A167" s="4" t="s">
        <v>132</v>
      </c>
      <c r="B167" s="94" t="s">
        <v>1132</v>
      </c>
      <c r="C167" s="152" t="s">
        <v>2087</v>
      </c>
      <c r="D167" s="153"/>
      <c r="E167" s="153"/>
      <c r="F167" s="153"/>
      <c r="G167" s="94" t="s">
        <v>2850</v>
      </c>
      <c r="H167" s="73">
        <v>6</v>
      </c>
      <c r="I167" s="105">
        <v>0</v>
      </c>
      <c r="J167" s="15">
        <f t="shared" si="154"/>
        <v>0</v>
      </c>
      <c r="K167" s="15">
        <f t="shared" si="155"/>
        <v>0</v>
      </c>
      <c r="L167" s="15">
        <f t="shared" si="156"/>
        <v>0</v>
      </c>
      <c r="M167" s="25" t="s">
        <v>2872</v>
      </c>
      <c r="N167" s="5"/>
      <c r="Z167" s="29">
        <f t="shared" si="157"/>
        <v>0</v>
      </c>
      <c r="AB167" s="29">
        <f t="shared" si="158"/>
        <v>0</v>
      </c>
      <c r="AC167" s="29">
        <f t="shared" si="159"/>
        <v>0</v>
      </c>
      <c r="AD167" s="29">
        <f t="shared" si="160"/>
        <v>0</v>
      </c>
      <c r="AE167" s="29">
        <f t="shared" si="161"/>
        <v>0</v>
      </c>
      <c r="AF167" s="29">
        <f t="shared" si="162"/>
        <v>0</v>
      </c>
      <c r="AG167" s="29">
        <f t="shared" si="163"/>
        <v>0</v>
      </c>
      <c r="AH167" s="29">
        <f t="shared" si="164"/>
        <v>0</v>
      </c>
      <c r="AI167" s="28" t="s">
        <v>2882</v>
      </c>
      <c r="AJ167" s="15">
        <f t="shared" si="165"/>
        <v>0</v>
      </c>
      <c r="AK167" s="15">
        <f t="shared" si="166"/>
        <v>0</v>
      </c>
      <c r="AL167" s="15">
        <f t="shared" si="167"/>
        <v>0</v>
      </c>
      <c r="AN167" s="29">
        <v>15</v>
      </c>
      <c r="AO167" s="29">
        <f>I167*0.11773987206823</f>
        <v>0</v>
      </c>
      <c r="AP167" s="29">
        <f>I167*(1-0.11773987206823)</f>
        <v>0</v>
      </c>
      <c r="AQ167" s="30" t="s">
        <v>7</v>
      </c>
      <c r="AV167" s="29">
        <f t="shared" si="168"/>
        <v>0</v>
      </c>
      <c r="AW167" s="29">
        <f t="shared" si="169"/>
        <v>0</v>
      </c>
      <c r="AX167" s="29">
        <f t="shared" si="170"/>
        <v>0</v>
      </c>
      <c r="AY167" s="32" t="s">
        <v>2908</v>
      </c>
      <c r="AZ167" s="32" t="s">
        <v>2941</v>
      </c>
      <c r="BA167" s="28" t="s">
        <v>2957</v>
      </c>
      <c r="BC167" s="29">
        <f t="shared" si="171"/>
        <v>0</v>
      </c>
      <c r="BD167" s="29">
        <f t="shared" si="172"/>
        <v>0</v>
      </c>
      <c r="BE167" s="29">
        <v>0</v>
      </c>
      <c r="BF167" s="29">
        <f>167</f>
        <v>167</v>
      </c>
      <c r="BH167" s="15">
        <f t="shared" si="173"/>
        <v>0</v>
      </c>
      <c r="BI167" s="15">
        <f t="shared" si="174"/>
        <v>0</v>
      </c>
      <c r="BJ167" s="15">
        <f t="shared" si="175"/>
        <v>0</v>
      </c>
      <c r="BK167" s="15" t="s">
        <v>2969</v>
      </c>
      <c r="BL167" s="29">
        <v>95</v>
      </c>
    </row>
    <row r="168" spans="1:64" ht="12.75">
      <c r="A168" s="6" t="s">
        <v>133</v>
      </c>
      <c r="B168" s="98" t="s">
        <v>1133</v>
      </c>
      <c r="C168" s="163" t="s">
        <v>2088</v>
      </c>
      <c r="D168" s="164"/>
      <c r="E168" s="164"/>
      <c r="F168" s="164"/>
      <c r="G168" s="98" t="s">
        <v>2850</v>
      </c>
      <c r="H168" s="76">
        <v>6</v>
      </c>
      <c r="I168" s="106">
        <v>0</v>
      </c>
      <c r="J168" s="16">
        <f t="shared" si="154"/>
        <v>0</v>
      </c>
      <c r="K168" s="16">
        <f t="shared" si="155"/>
        <v>0</v>
      </c>
      <c r="L168" s="16">
        <f t="shared" si="156"/>
        <v>0</v>
      </c>
      <c r="M168" s="26" t="s">
        <v>2872</v>
      </c>
      <c r="N168" s="5"/>
      <c r="Z168" s="29">
        <f t="shared" si="157"/>
        <v>0</v>
      </c>
      <c r="AB168" s="29">
        <f t="shared" si="158"/>
        <v>0</v>
      </c>
      <c r="AC168" s="29">
        <f t="shared" si="159"/>
        <v>0</v>
      </c>
      <c r="AD168" s="29">
        <f t="shared" si="160"/>
        <v>0</v>
      </c>
      <c r="AE168" s="29">
        <f t="shared" si="161"/>
        <v>0</v>
      </c>
      <c r="AF168" s="29">
        <f t="shared" si="162"/>
        <v>0</v>
      </c>
      <c r="AG168" s="29">
        <f t="shared" si="163"/>
        <v>0</v>
      </c>
      <c r="AH168" s="29">
        <f t="shared" si="164"/>
        <v>0</v>
      </c>
      <c r="AI168" s="28" t="s">
        <v>2882</v>
      </c>
      <c r="AJ168" s="16">
        <f t="shared" si="165"/>
        <v>0</v>
      </c>
      <c r="AK168" s="16">
        <f t="shared" si="166"/>
        <v>0</v>
      </c>
      <c r="AL168" s="16">
        <f t="shared" si="167"/>
        <v>0</v>
      </c>
      <c r="AN168" s="29">
        <v>15</v>
      </c>
      <c r="AO168" s="29">
        <f>I168*1</f>
        <v>0</v>
      </c>
      <c r="AP168" s="29">
        <f>I168*(1-1)</f>
        <v>0</v>
      </c>
      <c r="AQ168" s="31" t="s">
        <v>7</v>
      </c>
      <c r="AV168" s="29">
        <f t="shared" si="168"/>
        <v>0</v>
      </c>
      <c r="AW168" s="29">
        <f t="shared" si="169"/>
        <v>0</v>
      </c>
      <c r="AX168" s="29">
        <f t="shared" si="170"/>
        <v>0</v>
      </c>
      <c r="AY168" s="32" t="s">
        <v>2908</v>
      </c>
      <c r="AZ168" s="32" t="s">
        <v>2941</v>
      </c>
      <c r="BA168" s="28" t="s">
        <v>2957</v>
      </c>
      <c r="BC168" s="29">
        <f t="shared" si="171"/>
        <v>0</v>
      </c>
      <c r="BD168" s="29">
        <f t="shared" si="172"/>
        <v>0</v>
      </c>
      <c r="BE168" s="29">
        <v>0</v>
      </c>
      <c r="BF168" s="29">
        <f>168</f>
        <v>168</v>
      </c>
      <c r="BH168" s="16">
        <f t="shared" si="173"/>
        <v>0</v>
      </c>
      <c r="BI168" s="16">
        <f t="shared" si="174"/>
        <v>0</v>
      </c>
      <c r="BJ168" s="16">
        <f t="shared" si="175"/>
        <v>0</v>
      </c>
      <c r="BK168" s="16" t="s">
        <v>2970</v>
      </c>
      <c r="BL168" s="29">
        <v>95</v>
      </c>
    </row>
    <row r="169" spans="1:64" ht="12.75">
      <c r="A169" s="4" t="s">
        <v>134</v>
      </c>
      <c r="B169" s="94" t="s">
        <v>1134</v>
      </c>
      <c r="C169" s="152" t="s">
        <v>2089</v>
      </c>
      <c r="D169" s="153"/>
      <c r="E169" s="153"/>
      <c r="F169" s="153"/>
      <c r="G169" s="94" t="s">
        <v>2850</v>
      </c>
      <c r="H169" s="73">
        <v>15</v>
      </c>
      <c r="I169" s="105">
        <v>0</v>
      </c>
      <c r="J169" s="15">
        <f t="shared" si="154"/>
        <v>0</v>
      </c>
      <c r="K169" s="15">
        <f t="shared" si="155"/>
        <v>0</v>
      </c>
      <c r="L169" s="15">
        <f t="shared" si="156"/>
        <v>0</v>
      </c>
      <c r="M169" s="25" t="s">
        <v>2872</v>
      </c>
      <c r="N169" s="5"/>
      <c r="Z169" s="29">
        <f t="shared" si="157"/>
        <v>0</v>
      </c>
      <c r="AB169" s="29">
        <f t="shared" si="158"/>
        <v>0</v>
      </c>
      <c r="AC169" s="29">
        <f t="shared" si="159"/>
        <v>0</v>
      </c>
      <c r="AD169" s="29">
        <f t="shared" si="160"/>
        <v>0</v>
      </c>
      <c r="AE169" s="29">
        <f t="shared" si="161"/>
        <v>0</v>
      </c>
      <c r="AF169" s="29">
        <f t="shared" si="162"/>
        <v>0</v>
      </c>
      <c r="AG169" s="29">
        <f t="shared" si="163"/>
        <v>0</v>
      </c>
      <c r="AH169" s="29">
        <f t="shared" si="164"/>
        <v>0</v>
      </c>
      <c r="AI169" s="28" t="s">
        <v>2882</v>
      </c>
      <c r="AJ169" s="15">
        <f t="shared" si="165"/>
        <v>0</v>
      </c>
      <c r="AK169" s="15">
        <f t="shared" si="166"/>
        <v>0</v>
      </c>
      <c r="AL169" s="15">
        <f t="shared" si="167"/>
        <v>0</v>
      </c>
      <c r="AN169" s="29">
        <v>15</v>
      </c>
      <c r="AO169" s="29">
        <f>I169*0.117742857142857</f>
        <v>0</v>
      </c>
      <c r="AP169" s="29">
        <f>I169*(1-0.117742857142857)</f>
        <v>0</v>
      </c>
      <c r="AQ169" s="30" t="s">
        <v>7</v>
      </c>
      <c r="AV169" s="29">
        <f t="shared" si="168"/>
        <v>0</v>
      </c>
      <c r="AW169" s="29">
        <f t="shared" si="169"/>
        <v>0</v>
      </c>
      <c r="AX169" s="29">
        <f t="shared" si="170"/>
        <v>0</v>
      </c>
      <c r="AY169" s="32" t="s">
        <v>2908</v>
      </c>
      <c r="AZ169" s="32" t="s">
        <v>2941</v>
      </c>
      <c r="BA169" s="28" t="s">
        <v>2957</v>
      </c>
      <c r="BC169" s="29">
        <f t="shared" si="171"/>
        <v>0</v>
      </c>
      <c r="BD169" s="29">
        <f t="shared" si="172"/>
        <v>0</v>
      </c>
      <c r="BE169" s="29">
        <v>0</v>
      </c>
      <c r="BF169" s="29">
        <f>169</f>
        <v>169</v>
      </c>
      <c r="BH169" s="15">
        <f t="shared" si="173"/>
        <v>0</v>
      </c>
      <c r="BI169" s="15">
        <f t="shared" si="174"/>
        <v>0</v>
      </c>
      <c r="BJ169" s="15">
        <f t="shared" si="175"/>
        <v>0</v>
      </c>
      <c r="BK169" s="15" t="s">
        <v>2969</v>
      </c>
      <c r="BL169" s="29">
        <v>95</v>
      </c>
    </row>
    <row r="170" spans="1:64" ht="12.75">
      <c r="A170" s="4" t="s">
        <v>135</v>
      </c>
      <c r="B170" s="94" t="s">
        <v>1135</v>
      </c>
      <c r="C170" s="152" t="s">
        <v>2090</v>
      </c>
      <c r="D170" s="153"/>
      <c r="E170" s="153"/>
      <c r="F170" s="153"/>
      <c r="G170" s="94" t="s">
        <v>2850</v>
      </c>
      <c r="H170" s="73">
        <v>20</v>
      </c>
      <c r="I170" s="105">
        <v>0</v>
      </c>
      <c r="J170" s="15">
        <f t="shared" si="154"/>
        <v>0</v>
      </c>
      <c r="K170" s="15">
        <f t="shared" si="155"/>
        <v>0</v>
      </c>
      <c r="L170" s="15">
        <f t="shared" si="156"/>
        <v>0</v>
      </c>
      <c r="M170" s="25" t="s">
        <v>2872</v>
      </c>
      <c r="N170" s="5"/>
      <c r="Z170" s="29">
        <f t="shared" si="157"/>
        <v>0</v>
      </c>
      <c r="AB170" s="29">
        <f t="shared" si="158"/>
        <v>0</v>
      </c>
      <c r="AC170" s="29">
        <f t="shared" si="159"/>
        <v>0</v>
      </c>
      <c r="AD170" s="29">
        <f t="shared" si="160"/>
        <v>0</v>
      </c>
      <c r="AE170" s="29">
        <f t="shared" si="161"/>
        <v>0</v>
      </c>
      <c r="AF170" s="29">
        <f t="shared" si="162"/>
        <v>0</v>
      </c>
      <c r="AG170" s="29">
        <f t="shared" si="163"/>
        <v>0</v>
      </c>
      <c r="AH170" s="29">
        <f t="shared" si="164"/>
        <v>0</v>
      </c>
      <c r="AI170" s="28" t="s">
        <v>2882</v>
      </c>
      <c r="AJ170" s="15">
        <f t="shared" si="165"/>
        <v>0</v>
      </c>
      <c r="AK170" s="15">
        <f t="shared" si="166"/>
        <v>0</v>
      </c>
      <c r="AL170" s="15">
        <f t="shared" si="167"/>
        <v>0</v>
      </c>
      <c r="AN170" s="29">
        <v>15</v>
      </c>
      <c r="AO170" s="29">
        <f>I170*0.161465346534653</f>
        <v>0</v>
      </c>
      <c r="AP170" s="29">
        <f>I170*(1-0.161465346534653)</f>
        <v>0</v>
      </c>
      <c r="AQ170" s="30" t="s">
        <v>7</v>
      </c>
      <c r="AV170" s="29">
        <f t="shared" si="168"/>
        <v>0</v>
      </c>
      <c r="AW170" s="29">
        <f t="shared" si="169"/>
        <v>0</v>
      </c>
      <c r="AX170" s="29">
        <f t="shared" si="170"/>
        <v>0</v>
      </c>
      <c r="AY170" s="32" t="s">
        <v>2908</v>
      </c>
      <c r="AZ170" s="32" t="s">
        <v>2941</v>
      </c>
      <c r="BA170" s="28" t="s">
        <v>2957</v>
      </c>
      <c r="BC170" s="29">
        <f t="shared" si="171"/>
        <v>0</v>
      </c>
      <c r="BD170" s="29">
        <f t="shared" si="172"/>
        <v>0</v>
      </c>
      <c r="BE170" s="29">
        <v>0</v>
      </c>
      <c r="BF170" s="29">
        <f>170</f>
        <v>170</v>
      </c>
      <c r="BH170" s="15">
        <f t="shared" si="173"/>
        <v>0</v>
      </c>
      <c r="BI170" s="15">
        <f t="shared" si="174"/>
        <v>0</v>
      </c>
      <c r="BJ170" s="15">
        <f t="shared" si="175"/>
        <v>0</v>
      </c>
      <c r="BK170" s="15" t="s">
        <v>2969</v>
      </c>
      <c r="BL170" s="29">
        <v>95</v>
      </c>
    </row>
    <row r="171" spans="1:64" ht="12.75">
      <c r="A171" s="4" t="s">
        <v>136</v>
      </c>
      <c r="B171" s="94" t="s">
        <v>1136</v>
      </c>
      <c r="C171" s="152" t="s">
        <v>2091</v>
      </c>
      <c r="D171" s="153"/>
      <c r="E171" s="153"/>
      <c r="F171" s="153"/>
      <c r="G171" s="94" t="s">
        <v>2850</v>
      </c>
      <c r="H171" s="73">
        <v>1</v>
      </c>
      <c r="I171" s="105">
        <v>0</v>
      </c>
      <c r="J171" s="15">
        <f t="shared" si="154"/>
        <v>0</v>
      </c>
      <c r="K171" s="15">
        <f t="shared" si="155"/>
        <v>0</v>
      </c>
      <c r="L171" s="15">
        <f t="shared" si="156"/>
        <v>0</v>
      </c>
      <c r="M171" s="25" t="s">
        <v>2872</v>
      </c>
      <c r="N171" s="5"/>
      <c r="Z171" s="29">
        <f t="shared" si="157"/>
        <v>0</v>
      </c>
      <c r="AB171" s="29">
        <f t="shared" si="158"/>
        <v>0</v>
      </c>
      <c r="AC171" s="29">
        <f t="shared" si="159"/>
        <v>0</v>
      </c>
      <c r="AD171" s="29">
        <f t="shared" si="160"/>
        <v>0</v>
      </c>
      <c r="AE171" s="29">
        <f t="shared" si="161"/>
        <v>0</v>
      </c>
      <c r="AF171" s="29">
        <f t="shared" si="162"/>
        <v>0</v>
      </c>
      <c r="AG171" s="29">
        <f t="shared" si="163"/>
        <v>0</v>
      </c>
      <c r="AH171" s="29">
        <f t="shared" si="164"/>
        <v>0</v>
      </c>
      <c r="AI171" s="28" t="s">
        <v>2882</v>
      </c>
      <c r="AJ171" s="15">
        <f t="shared" si="165"/>
        <v>0</v>
      </c>
      <c r="AK171" s="15">
        <f t="shared" si="166"/>
        <v>0</v>
      </c>
      <c r="AL171" s="15">
        <f t="shared" si="167"/>
        <v>0</v>
      </c>
      <c r="AN171" s="29">
        <v>15</v>
      </c>
      <c r="AO171" s="29">
        <f>I171*0.161465</f>
        <v>0</v>
      </c>
      <c r="AP171" s="29">
        <f>I171*(1-0.161465)</f>
        <v>0</v>
      </c>
      <c r="AQ171" s="30" t="s">
        <v>7</v>
      </c>
      <c r="AV171" s="29">
        <f t="shared" si="168"/>
        <v>0</v>
      </c>
      <c r="AW171" s="29">
        <f t="shared" si="169"/>
        <v>0</v>
      </c>
      <c r="AX171" s="29">
        <f t="shared" si="170"/>
        <v>0</v>
      </c>
      <c r="AY171" s="32" t="s">
        <v>2908</v>
      </c>
      <c r="AZ171" s="32" t="s">
        <v>2941</v>
      </c>
      <c r="BA171" s="28" t="s">
        <v>2957</v>
      </c>
      <c r="BC171" s="29">
        <f t="shared" si="171"/>
        <v>0</v>
      </c>
      <c r="BD171" s="29">
        <f t="shared" si="172"/>
        <v>0</v>
      </c>
      <c r="BE171" s="29">
        <v>0</v>
      </c>
      <c r="BF171" s="29">
        <f>171</f>
        <v>171</v>
      </c>
      <c r="BH171" s="15">
        <f t="shared" si="173"/>
        <v>0</v>
      </c>
      <c r="BI171" s="15">
        <f t="shared" si="174"/>
        <v>0</v>
      </c>
      <c r="BJ171" s="15">
        <f t="shared" si="175"/>
        <v>0</v>
      </c>
      <c r="BK171" s="15" t="s">
        <v>2969</v>
      </c>
      <c r="BL171" s="29">
        <v>95</v>
      </c>
    </row>
    <row r="172" spans="1:64" ht="12.75">
      <c r="A172" s="4" t="s">
        <v>137</v>
      </c>
      <c r="B172" s="94" t="s">
        <v>1137</v>
      </c>
      <c r="C172" s="152" t="s">
        <v>2092</v>
      </c>
      <c r="D172" s="153"/>
      <c r="E172" s="153"/>
      <c r="F172" s="153"/>
      <c r="G172" s="94" t="s">
        <v>2851</v>
      </c>
      <c r="H172" s="73">
        <v>30.54</v>
      </c>
      <c r="I172" s="105">
        <v>0</v>
      </c>
      <c r="J172" s="15">
        <f t="shared" si="154"/>
        <v>0</v>
      </c>
      <c r="K172" s="15">
        <f t="shared" si="155"/>
        <v>0</v>
      </c>
      <c r="L172" s="15">
        <f t="shared" si="156"/>
        <v>0</v>
      </c>
      <c r="M172" s="25" t="s">
        <v>2872</v>
      </c>
      <c r="N172" s="5"/>
      <c r="Z172" s="29">
        <f t="shared" si="157"/>
        <v>0</v>
      </c>
      <c r="AB172" s="29">
        <f t="shared" si="158"/>
        <v>0</v>
      </c>
      <c r="AC172" s="29">
        <f t="shared" si="159"/>
        <v>0</v>
      </c>
      <c r="AD172" s="29">
        <f t="shared" si="160"/>
        <v>0</v>
      </c>
      <c r="AE172" s="29">
        <f t="shared" si="161"/>
        <v>0</v>
      </c>
      <c r="AF172" s="29">
        <f t="shared" si="162"/>
        <v>0</v>
      </c>
      <c r="AG172" s="29">
        <f t="shared" si="163"/>
        <v>0</v>
      </c>
      <c r="AH172" s="29">
        <f t="shared" si="164"/>
        <v>0</v>
      </c>
      <c r="AI172" s="28" t="s">
        <v>2882</v>
      </c>
      <c r="AJ172" s="15">
        <f t="shared" si="165"/>
        <v>0</v>
      </c>
      <c r="AK172" s="15">
        <f t="shared" si="166"/>
        <v>0</v>
      </c>
      <c r="AL172" s="15">
        <f t="shared" si="167"/>
        <v>0</v>
      </c>
      <c r="AN172" s="29">
        <v>15</v>
      </c>
      <c r="AO172" s="29">
        <f>I172*0.344403665303406</f>
        <v>0</v>
      </c>
      <c r="AP172" s="29">
        <f>I172*(1-0.344403665303406)</f>
        <v>0</v>
      </c>
      <c r="AQ172" s="30" t="s">
        <v>7</v>
      </c>
      <c r="AV172" s="29">
        <f t="shared" si="168"/>
        <v>0</v>
      </c>
      <c r="AW172" s="29">
        <f t="shared" si="169"/>
        <v>0</v>
      </c>
      <c r="AX172" s="29">
        <f t="shared" si="170"/>
        <v>0</v>
      </c>
      <c r="AY172" s="32" t="s">
        <v>2908</v>
      </c>
      <c r="AZ172" s="32" t="s">
        <v>2941</v>
      </c>
      <c r="BA172" s="28" t="s">
        <v>2957</v>
      </c>
      <c r="BC172" s="29">
        <f t="shared" si="171"/>
        <v>0</v>
      </c>
      <c r="BD172" s="29">
        <f t="shared" si="172"/>
        <v>0</v>
      </c>
      <c r="BE172" s="29">
        <v>0</v>
      </c>
      <c r="BF172" s="29">
        <f>172</f>
        <v>172</v>
      </c>
      <c r="BH172" s="15">
        <f t="shared" si="173"/>
        <v>0</v>
      </c>
      <c r="BI172" s="15">
        <f t="shared" si="174"/>
        <v>0</v>
      </c>
      <c r="BJ172" s="15">
        <f t="shared" si="175"/>
        <v>0</v>
      </c>
      <c r="BK172" s="15" t="s">
        <v>2969</v>
      </c>
      <c r="BL172" s="29">
        <v>95</v>
      </c>
    </row>
    <row r="173" spans="1:64" ht="12.75">
      <c r="A173" s="4" t="s">
        <v>138</v>
      </c>
      <c r="B173" s="94" t="s">
        <v>1138</v>
      </c>
      <c r="C173" s="152" t="s">
        <v>2093</v>
      </c>
      <c r="D173" s="153"/>
      <c r="E173" s="153"/>
      <c r="F173" s="153"/>
      <c r="G173" s="94" t="s">
        <v>2851</v>
      </c>
      <c r="H173" s="73">
        <v>16.8</v>
      </c>
      <c r="I173" s="105">
        <v>0</v>
      </c>
      <c r="J173" s="15">
        <f t="shared" si="154"/>
        <v>0</v>
      </c>
      <c r="K173" s="15">
        <f t="shared" si="155"/>
        <v>0</v>
      </c>
      <c r="L173" s="15">
        <f t="shared" si="156"/>
        <v>0</v>
      </c>
      <c r="M173" s="25" t="s">
        <v>2872</v>
      </c>
      <c r="N173" s="5"/>
      <c r="Z173" s="29">
        <f t="shared" si="157"/>
        <v>0</v>
      </c>
      <c r="AB173" s="29">
        <f t="shared" si="158"/>
        <v>0</v>
      </c>
      <c r="AC173" s="29">
        <f t="shared" si="159"/>
        <v>0</v>
      </c>
      <c r="AD173" s="29">
        <f t="shared" si="160"/>
        <v>0</v>
      </c>
      <c r="AE173" s="29">
        <f t="shared" si="161"/>
        <v>0</v>
      </c>
      <c r="AF173" s="29">
        <f t="shared" si="162"/>
        <v>0</v>
      </c>
      <c r="AG173" s="29">
        <f t="shared" si="163"/>
        <v>0</v>
      </c>
      <c r="AH173" s="29">
        <f t="shared" si="164"/>
        <v>0</v>
      </c>
      <c r="AI173" s="28" t="s">
        <v>2882</v>
      </c>
      <c r="AJ173" s="15">
        <f t="shared" si="165"/>
        <v>0</v>
      </c>
      <c r="AK173" s="15">
        <f t="shared" si="166"/>
        <v>0</v>
      </c>
      <c r="AL173" s="15">
        <f t="shared" si="167"/>
        <v>0</v>
      </c>
      <c r="AN173" s="29">
        <v>15</v>
      </c>
      <c r="AO173" s="29">
        <f>I173*0.338192065708478</f>
        <v>0</v>
      </c>
      <c r="AP173" s="29">
        <f>I173*(1-0.338192065708478)</f>
        <v>0</v>
      </c>
      <c r="AQ173" s="30" t="s">
        <v>7</v>
      </c>
      <c r="AV173" s="29">
        <f t="shared" si="168"/>
        <v>0</v>
      </c>
      <c r="AW173" s="29">
        <f t="shared" si="169"/>
        <v>0</v>
      </c>
      <c r="AX173" s="29">
        <f t="shared" si="170"/>
        <v>0</v>
      </c>
      <c r="AY173" s="32" t="s">
        <v>2908</v>
      </c>
      <c r="AZ173" s="32" t="s">
        <v>2941</v>
      </c>
      <c r="BA173" s="28" t="s">
        <v>2957</v>
      </c>
      <c r="BC173" s="29">
        <f t="shared" si="171"/>
        <v>0</v>
      </c>
      <c r="BD173" s="29">
        <f t="shared" si="172"/>
        <v>0</v>
      </c>
      <c r="BE173" s="29">
        <v>0</v>
      </c>
      <c r="BF173" s="29">
        <f>173</f>
        <v>173</v>
      </c>
      <c r="BH173" s="15">
        <f t="shared" si="173"/>
        <v>0</v>
      </c>
      <c r="BI173" s="15">
        <f t="shared" si="174"/>
        <v>0</v>
      </c>
      <c r="BJ173" s="15">
        <f t="shared" si="175"/>
        <v>0</v>
      </c>
      <c r="BK173" s="15" t="s">
        <v>2969</v>
      </c>
      <c r="BL173" s="29">
        <v>95</v>
      </c>
    </row>
    <row r="174" spans="1:64" ht="12.75">
      <c r="A174" s="4" t="s">
        <v>139</v>
      </c>
      <c r="B174" s="94" t="s">
        <v>1139</v>
      </c>
      <c r="C174" s="152" t="s">
        <v>2094</v>
      </c>
      <c r="D174" s="153"/>
      <c r="E174" s="153"/>
      <c r="F174" s="153"/>
      <c r="G174" s="94" t="s">
        <v>2851</v>
      </c>
      <c r="H174" s="73">
        <v>0.86</v>
      </c>
      <c r="I174" s="105">
        <v>0</v>
      </c>
      <c r="J174" s="15">
        <f t="shared" si="154"/>
        <v>0</v>
      </c>
      <c r="K174" s="15">
        <f t="shared" si="155"/>
        <v>0</v>
      </c>
      <c r="L174" s="15">
        <f t="shared" si="156"/>
        <v>0</v>
      </c>
      <c r="M174" s="25" t="s">
        <v>2872</v>
      </c>
      <c r="N174" s="5"/>
      <c r="Z174" s="29">
        <f t="shared" si="157"/>
        <v>0</v>
      </c>
      <c r="AB174" s="29">
        <f t="shared" si="158"/>
        <v>0</v>
      </c>
      <c r="AC174" s="29">
        <f t="shared" si="159"/>
        <v>0</v>
      </c>
      <c r="AD174" s="29">
        <f t="shared" si="160"/>
        <v>0</v>
      </c>
      <c r="AE174" s="29">
        <f t="shared" si="161"/>
        <v>0</v>
      </c>
      <c r="AF174" s="29">
        <f t="shared" si="162"/>
        <v>0</v>
      </c>
      <c r="AG174" s="29">
        <f t="shared" si="163"/>
        <v>0</v>
      </c>
      <c r="AH174" s="29">
        <f t="shared" si="164"/>
        <v>0</v>
      </c>
      <c r="AI174" s="28" t="s">
        <v>2882</v>
      </c>
      <c r="AJ174" s="15">
        <f t="shared" si="165"/>
        <v>0</v>
      </c>
      <c r="AK174" s="15">
        <f t="shared" si="166"/>
        <v>0</v>
      </c>
      <c r="AL174" s="15">
        <f t="shared" si="167"/>
        <v>0</v>
      </c>
      <c r="AN174" s="29">
        <v>15</v>
      </c>
      <c r="AO174" s="29">
        <f>I174*0.495924356736445</f>
        <v>0</v>
      </c>
      <c r="AP174" s="29">
        <f>I174*(1-0.495924356736445)</f>
        <v>0</v>
      </c>
      <c r="AQ174" s="30" t="s">
        <v>7</v>
      </c>
      <c r="AV174" s="29">
        <f t="shared" si="168"/>
        <v>0</v>
      </c>
      <c r="AW174" s="29">
        <f t="shared" si="169"/>
        <v>0</v>
      </c>
      <c r="AX174" s="29">
        <f t="shared" si="170"/>
        <v>0</v>
      </c>
      <c r="AY174" s="32" t="s">
        <v>2908</v>
      </c>
      <c r="AZ174" s="32" t="s">
        <v>2941</v>
      </c>
      <c r="BA174" s="28" t="s">
        <v>2957</v>
      </c>
      <c r="BC174" s="29">
        <f t="shared" si="171"/>
        <v>0</v>
      </c>
      <c r="BD174" s="29">
        <f t="shared" si="172"/>
        <v>0</v>
      </c>
      <c r="BE174" s="29">
        <v>0</v>
      </c>
      <c r="BF174" s="29">
        <f>174</f>
        <v>174</v>
      </c>
      <c r="BH174" s="15">
        <f t="shared" si="173"/>
        <v>0</v>
      </c>
      <c r="BI174" s="15">
        <f t="shared" si="174"/>
        <v>0</v>
      </c>
      <c r="BJ174" s="15">
        <f t="shared" si="175"/>
        <v>0</v>
      </c>
      <c r="BK174" s="15" t="s">
        <v>2969</v>
      </c>
      <c r="BL174" s="29">
        <v>95</v>
      </c>
    </row>
    <row r="175" spans="1:64" ht="12.75">
      <c r="A175" s="4" t="s">
        <v>140</v>
      </c>
      <c r="B175" s="94" t="s">
        <v>1140</v>
      </c>
      <c r="C175" s="152" t="s">
        <v>2095</v>
      </c>
      <c r="D175" s="153"/>
      <c r="E175" s="153"/>
      <c r="F175" s="153"/>
      <c r="G175" s="94" t="s">
        <v>2850</v>
      </c>
      <c r="H175" s="73">
        <v>1</v>
      </c>
      <c r="I175" s="105">
        <v>0</v>
      </c>
      <c r="J175" s="15">
        <f t="shared" si="154"/>
        <v>0</v>
      </c>
      <c r="K175" s="15">
        <f t="shared" si="155"/>
        <v>0</v>
      </c>
      <c r="L175" s="15">
        <f t="shared" si="156"/>
        <v>0</v>
      </c>
      <c r="M175" s="25" t="s">
        <v>2872</v>
      </c>
      <c r="N175" s="5"/>
      <c r="Z175" s="29">
        <f t="shared" si="157"/>
        <v>0</v>
      </c>
      <c r="AB175" s="29">
        <f t="shared" si="158"/>
        <v>0</v>
      </c>
      <c r="AC175" s="29">
        <f t="shared" si="159"/>
        <v>0</v>
      </c>
      <c r="AD175" s="29">
        <f t="shared" si="160"/>
        <v>0</v>
      </c>
      <c r="AE175" s="29">
        <f t="shared" si="161"/>
        <v>0</v>
      </c>
      <c r="AF175" s="29">
        <f t="shared" si="162"/>
        <v>0</v>
      </c>
      <c r="AG175" s="29">
        <f t="shared" si="163"/>
        <v>0</v>
      </c>
      <c r="AH175" s="29">
        <f t="shared" si="164"/>
        <v>0</v>
      </c>
      <c r="AI175" s="28" t="s">
        <v>2882</v>
      </c>
      <c r="AJ175" s="15">
        <f t="shared" si="165"/>
        <v>0</v>
      </c>
      <c r="AK175" s="15">
        <f t="shared" si="166"/>
        <v>0</v>
      </c>
      <c r="AL175" s="15">
        <f t="shared" si="167"/>
        <v>0</v>
      </c>
      <c r="AN175" s="29">
        <v>15</v>
      </c>
      <c r="AO175" s="29">
        <f>I175*0.408328671328671</f>
        <v>0</v>
      </c>
      <c r="AP175" s="29">
        <f>I175*(1-0.408328671328671)</f>
        <v>0</v>
      </c>
      <c r="AQ175" s="30" t="s">
        <v>7</v>
      </c>
      <c r="AV175" s="29">
        <f t="shared" si="168"/>
        <v>0</v>
      </c>
      <c r="AW175" s="29">
        <f t="shared" si="169"/>
        <v>0</v>
      </c>
      <c r="AX175" s="29">
        <f t="shared" si="170"/>
        <v>0</v>
      </c>
      <c r="AY175" s="32" t="s">
        <v>2908</v>
      </c>
      <c r="AZ175" s="32" t="s">
        <v>2941</v>
      </c>
      <c r="BA175" s="28" t="s">
        <v>2957</v>
      </c>
      <c r="BC175" s="29">
        <f t="shared" si="171"/>
        <v>0</v>
      </c>
      <c r="BD175" s="29">
        <f t="shared" si="172"/>
        <v>0</v>
      </c>
      <c r="BE175" s="29">
        <v>0</v>
      </c>
      <c r="BF175" s="29">
        <f>175</f>
        <v>175</v>
      </c>
      <c r="BH175" s="15">
        <f t="shared" si="173"/>
        <v>0</v>
      </c>
      <c r="BI175" s="15">
        <f t="shared" si="174"/>
        <v>0</v>
      </c>
      <c r="BJ175" s="15">
        <f t="shared" si="175"/>
        <v>0</v>
      </c>
      <c r="BK175" s="15" t="s">
        <v>2969</v>
      </c>
      <c r="BL175" s="29">
        <v>95</v>
      </c>
    </row>
    <row r="176" spans="1:64" ht="12.75">
      <c r="A176" s="4" t="s">
        <v>141</v>
      </c>
      <c r="B176" s="94" t="s">
        <v>1141</v>
      </c>
      <c r="C176" s="152" t="s">
        <v>2096</v>
      </c>
      <c r="D176" s="153"/>
      <c r="E176" s="153"/>
      <c r="F176" s="153"/>
      <c r="G176" s="94" t="s">
        <v>2852</v>
      </c>
      <c r="H176" s="73">
        <v>200</v>
      </c>
      <c r="I176" s="105">
        <v>0</v>
      </c>
      <c r="J176" s="15">
        <f t="shared" si="154"/>
        <v>0</v>
      </c>
      <c r="K176" s="15">
        <f t="shared" si="155"/>
        <v>0</v>
      </c>
      <c r="L176" s="15">
        <f t="shared" si="156"/>
        <v>0</v>
      </c>
      <c r="M176" s="25" t="s">
        <v>2872</v>
      </c>
      <c r="N176" s="5"/>
      <c r="Z176" s="29">
        <f t="shared" si="157"/>
        <v>0</v>
      </c>
      <c r="AB176" s="29">
        <f t="shared" si="158"/>
        <v>0</v>
      </c>
      <c r="AC176" s="29">
        <f t="shared" si="159"/>
        <v>0</v>
      </c>
      <c r="AD176" s="29">
        <f t="shared" si="160"/>
        <v>0</v>
      </c>
      <c r="AE176" s="29">
        <f t="shared" si="161"/>
        <v>0</v>
      </c>
      <c r="AF176" s="29">
        <f t="shared" si="162"/>
        <v>0</v>
      </c>
      <c r="AG176" s="29">
        <f t="shared" si="163"/>
        <v>0</v>
      </c>
      <c r="AH176" s="29">
        <f t="shared" si="164"/>
        <v>0</v>
      </c>
      <c r="AI176" s="28" t="s">
        <v>2882</v>
      </c>
      <c r="AJ176" s="15">
        <f t="shared" si="165"/>
        <v>0</v>
      </c>
      <c r="AK176" s="15">
        <f t="shared" si="166"/>
        <v>0</v>
      </c>
      <c r="AL176" s="15">
        <f t="shared" si="167"/>
        <v>0</v>
      </c>
      <c r="AN176" s="29">
        <v>15</v>
      </c>
      <c r="AO176" s="29">
        <f>I176*0.487649402390438</f>
        <v>0</v>
      </c>
      <c r="AP176" s="29">
        <f>I176*(1-0.487649402390438)</f>
        <v>0</v>
      </c>
      <c r="AQ176" s="30" t="s">
        <v>7</v>
      </c>
      <c r="AV176" s="29">
        <f t="shared" si="168"/>
        <v>0</v>
      </c>
      <c r="AW176" s="29">
        <f t="shared" si="169"/>
        <v>0</v>
      </c>
      <c r="AX176" s="29">
        <f t="shared" si="170"/>
        <v>0</v>
      </c>
      <c r="AY176" s="32" t="s">
        <v>2908</v>
      </c>
      <c r="AZ176" s="32" t="s">
        <v>2941</v>
      </c>
      <c r="BA176" s="28" t="s">
        <v>2957</v>
      </c>
      <c r="BC176" s="29">
        <f t="shared" si="171"/>
        <v>0</v>
      </c>
      <c r="BD176" s="29">
        <f t="shared" si="172"/>
        <v>0</v>
      </c>
      <c r="BE176" s="29">
        <v>0</v>
      </c>
      <c r="BF176" s="29">
        <f>176</f>
        <v>176</v>
      </c>
      <c r="BH176" s="15">
        <f t="shared" si="173"/>
        <v>0</v>
      </c>
      <c r="BI176" s="15">
        <f t="shared" si="174"/>
        <v>0</v>
      </c>
      <c r="BJ176" s="15">
        <f t="shared" si="175"/>
        <v>0</v>
      </c>
      <c r="BK176" s="15" t="s">
        <v>2969</v>
      </c>
      <c r="BL176" s="29">
        <v>95</v>
      </c>
    </row>
    <row r="177" spans="1:47" ht="12.75">
      <c r="A177" s="3"/>
      <c r="B177" s="97" t="s">
        <v>1142</v>
      </c>
      <c r="C177" s="161" t="s">
        <v>2097</v>
      </c>
      <c r="D177" s="162"/>
      <c r="E177" s="162"/>
      <c r="F177" s="162"/>
      <c r="G177" s="13" t="s">
        <v>6</v>
      </c>
      <c r="H177" s="13" t="s">
        <v>6</v>
      </c>
      <c r="I177" s="13" t="s">
        <v>6</v>
      </c>
      <c r="J177" s="34">
        <f>SUM(J178:J178)</f>
        <v>0</v>
      </c>
      <c r="K177" s="34">
        <f>SUM(K178:K178)</f>
        <v>0</v>
      </c>
      <c r="L177" s="34">
        <f>SUM(L178:L178)</f>
        <v>0</v>
      </c>
      <c r="M177" s="24"/>
      <c r="N177" s="5"/>
      <c r="AI177" s="28" t="s">
        <v>2882</v>
      </c>
      <c r="AS177" s="34">
        <f>SUM(AJ178:AJ178)</f>
        <v>0</v>
      </c>
      <c r="AT177" s="34">
        <f>SUM(AK178:AK178)</f>
        <v>0</v>
      </c>
      <c r="AU177" s="34">
        <f>SUM(AL178:AL178)</f>
        <v>0</v>
      </c>
    </row>
    <row r="178" spans="1:64" ht="12.75">
      <c r="A178" s="4" t="s">
        <v>142</v>
      </c>
      <c r="B178" s="94" t="s">
        <v>1143</v>
      </c>
      <c r="C178" s="152" t="s">
        <v>2098</v>
      </c>
      <c r="D178" s="153"/>
      <c r="E178" s="153"/>
      <c r="F178" s="153"/>
      <c r="G178" s="94" t="s">
        <v>2848</v>
      </c>
      <c r="H178" s="73">
        <v>1356.713</v>
      </c>
      <c r="I178" s="105">
        <v>0</v>
      </c>
      <c r="J178" s="15">
        <f>H178*AO178</f>
        <v>0</v>
      </c>
      <c r="K178" s="15">
        <f>H178*AP178</f>
        <v>0</v>
      </c>
      <c r="L178" s="15">
        <f>H178*I178</f>
        <v>0</v>
      </c>
      <c r="M178" s="25" t="s">
        <v>2872</v>
      </c>
      <c r="N178" s="5"/>
      <c r="Z178" s="29">
        <f>IF(AQ178="5",BJ178,0)</f>
        <v>0</v>
      </c>
      <c r="AB178" s="29">
        <f>IF(AQ178="1",BH178,0)</f>
        <v>0</v>
      </c>
      <c r="AC178" s="29">
        <f>IF(AQ178="1",BI178,0)</f>
        <v>0</v>
      </c>
      <c r="AD178" s="29">
        <f>IF(AQ178="7",BH178,0)</f>
        <v>0</v>
      </c>
      <c r="AE178" s="29">
        <f>IF(AQ178="7",BI178,0)</f>
        <v>0</v>
      </c>
      <c r="AF178" s="29">
        <f>IF(AQ178="2",BH178,0)</f>
        <v>0</v>
      </c>
      <c r="AG178" s="29">
        <f>IF(AQ178="2",BI178,0)</f>
        <v>0</v>
      </c>
      <c r="AH178" s="29">
        <f>IF(AQ178="0",BJ178,0)</f>
        <v>0</v>
      </c>
      <c r="AI178" s="28" t="s">
        <v>2882</v>
      </c>
      <c r="AJ178" s="15">
        <f>IF(AN178=0,L178,0)</f>
        <v>0</v>
      </c>
      <c r="AK178" s="15">
        <f>IF(AN178=15,L178,0)</f>
        <v>0</v>
      </c>
      <c r="AL178" s="15">
        <f>IF(AN178=21,L178,0)</f>
        <v>0</v>
      </c>
      <c r="AN178" s="29">
        <v>15</v>
      </c>
      <c r="AO178" s="29">
        <f>I178*0</f>
        <v>0</v>
      </c>
      <c r="AP178" s="29">
        <f>I178*(1-0)</f>
        <v>0</v>
      </c>
      <c r="AQ178" s="30" t="s">
        <v>11</v>
      </c>
      <c r="AV178" s="29">
        <f>AW178+AX178</f>
        <v>0</v>
      </c>
      <c r="AW178" s="29">
        <f>H178*AO178</f>
        <v>0</v>
      </c>
      <c r="AX178" s="29">
        <f>H178*AP178</f>
        <v>0</v>
      </c>
      <c r="AY178" s="32" t="s">
        <v>2909</v>
      </c>
      <c r="AZ178" s="32" t="s">
        <v>2941</v>
      </c>
      <c r="BA178" s="28" t="s">
        <v>2957</v>
      </c>
      <c r="BC178" s="29">
        <f>AW178+AX178</f>
        <v>0</v>
      </c>
      <c r="BD178" s="29">
        <f>I178/(100-BE178)*100</f>
        <v>0</v>
      </c>
      <c r="BE178" s="29">
        <v>0</v>
      </c>
      <c r="BF178" s="29">
        <f>178</f>
        <v>178</v>
      </c>
      <c r="BH178" s="15">
        <f>H178*AO178</f>
        <v>0</v>
      </c>
      <c r="BI178" s="15">
        <f>H178*AP178</f>
        <v>0</v>
      </c>
      <c r="BJ178" s="15">
        <f>H178*I178</f>
        <v>0</v>
      </c>
      <c r="BK178" s="15" t="s">
        <v>2969</v>
      </c>
      <c r="BL178" s="29" t="s">
        <v>1142</v>
      </c>
    </row>
    <row r="179" spans="1:47" ht="12.75">
      <c r="A179" s="3"/>
      <c r="B179" s="97" t="s">
        <v>717</v>
      </c>
      <c r="C179" s="161" t="s">
        <v>2099</v>
      </c>
      <c r="D179" s="162"/>
      <c r="E179" s="162"/>
      <c r="F179" s="162"/>
      <c r="G179" s="13" t="s">
        <v>6</v>
      </c>
      <c r="H179" s="13" t="s">
        <v>6</v>
      </c>
      <c r="I179" s="13" t="s">
        <v>6</v>
      </c>
      <c r="J179" s="34">
        <f>SUM(J180:J188)</f>
        <v>0</v>
      </c>
      <c r="K179" s="34">
        <f>SUM(K180:K188)</f>
        <v>0</v>
      </c>
      <c r="L179" s="34">
        <f>SUM(L180:L188)</f>
        <v>0</v>
      </c>
      <c r="M179" s="24"/>
      <c r="N179" s="5"/>
      <c r="AI179" s="28" t="s">
        <v>2882</v>
      </c>
      <c r="AS179" s="34">
        <f>SUM(AJ180:AJ188)</f>
        <v>0</v>
      </c>
      <c r="AT179" s="34">
        <f>SUM(AK180:AK188)</f>
        <v>0</v>
      </c>
      <c r="AU179" s="34">
        <f>SUM(AL180:AL188)</f>
        <v>0</v>
      </c>
    </row>
    <row r="180" spans="1:64" ht="12.75">
      <c r="A180" s="4" t="s">
        <v>143</v>
      </c>
      <c r="B180" s="94" t="s">
        <v>1144</v>
      </c>
      <c r="C180" s="152" t="s">
        <v>2100</v>
      </c>
      <c r="D180" s="153"/>
      <c r="E180" s="153"/>
      <c r="F180" s="153"/>
      <c r="G180" s="94" t="s">
        <v>2849</v>
      </c>
      <c r="H180" s="73">
        <v>229.397</v>
      </c>
      <c r="I180" s="105">
        <v>0</v>
      </c>
      <c r="J180" s="15">
        <f aca="true" t="shared" si="176" ref="J180:J188">H180*AO180</f>
        <v>0</v>
      </c>
      <c r="K180" s="15">
        <f aca="true" t="shared" si="177" ref="K180:K188">H180*AP180</f>
        <v>0</v>
      </c>
      <c r="L180" s="15">
        <f aca="true" t="shared" si="178" ref="L180:L188">H180*I180</f>
        <v>0</v>
      </c>
      <c r="M180" s="25" t="s">
        <v>2872</v>
      </c>
      <c r="N180" s="5"/>
      <c r="Z180" s="29">
        <f aca="true" t="shared" si="179" ref="Z180:Z188">IF(AQ180="5",BJ180,0)</f>
        <v>0</v>
      </c>
      <c r="AB180" s="29">
        <f aca="true" t="shared" si="180" ref="AB180:AB188">IF(AQ180="1",BH180,0)</f>
        <v>0</v>
      </c>
      <c r="AC180" s="29">
        <f aca="true" t="shared" si="181" ref="AC180:AC188">IF(AQ180="1",BI180,0)</f>
        <v>0</v>
      </c>
      <c r="AD180" s="29">
        <f aca="true" t="shared" si="182" ref="AD180:AD188">IF(AQ180="7",BH180,0)</f>
        <v>0</v>
      </c>
      <c r="AE180" s="29">
        <f aca="true" t="shared" si="183" ref="AE180:AE188">IF(AQ180="7",BI180,0)</f>
        <v>0</v>
      </c>
      <c r="AF180" s="29">
        <f aca="true" t="shared" si="184" ref="AF180:AF188">IF(AQ180="2",BH180,0)</f>
        <v>0</v>
      </c>
      <c r="AG180" s="29">
        <f aca="true" t="shared" si="185" ref="AG180:AG188">IF(AQ180="2",BI180,0)</f>
        <v>0</v>
      </c>
      <c r="AH180" s="29">
        <f aca="true" t="shared" si="186" ref="AH180:AH188">IF(AQ180="0",BJ180,0)</f>
        <v>0</v>
      </c>
      <c r="AI180" s="28" t="s">
        <v>2882</v>
      </c>
      <c r="AJ180" s="15">
        <f aca="true" t="shared" si="187" ref="AJ180:AJ188">IF(AN180=0,L180,0)</f>
        <v>0</v>
      </c>
      <c r="AK180" s="15">
        <f aca="true" t="shared" si="188" ref="AK180:AK188">IF(AN180=15,L180,0)</f>
        <v>0</v>
      </c>
      <c r="AL180" s="15">
        <f aca="true" t="shared" si="189" ref="AL180:AL188">IF(AN180=21,L180,0)</f>
        <v>0</v>
      </c>
      <c r="AN180" s="29">
        <v>15</v>
      </c>
      <c r="AO180" s="29">
        <f>I180*0.594681384731003</f>
        <v>0</v>
      </c>
      <c r="AP180" s="29">
        <f>I180*(1-0.594681384731003)</f>
        <v>0</v>
      </c>
      <c r="AQ180" s="30" t="s">
        <v>13</v>
      </c>
      <c r="AV180" s="29">
        <f aca="true" t="shared" si="190" ref="AV180:AV188">AW180+AX180</f>
        <v>0</v>
      </c>
      <c r="AW180" s="29">
        <f aca="true" t="shared" si="191" ref="AW180:AW188">H180*AO180</f>
        <v>0</v>
      </c>
      <c r="AX180" s="29">
        <f aca="true" t="shared" si="192" ref="AX180:AX188">H180*AP180</f>
        <v>0</v>
      </c>
      <c r="AY180" s="32" t="s">
        <v>2910</v>
      </c>
      <c r="AZ180" s="32" t="s">
        <v>2942</v>
      </c>
      <c r="BA180" s="28" t="s">
        <v>2957</v>
      </c>
      <c r="BC180" s="29">
        <f aca="true" t="shared" si="193" ref="BC180:BC188">AW180+AX180</f>
        <v>0</v>
      </c>
      <c r="BD180" s="29">
        <f aca="true" t="shared" si="194" ref="BD180:BD188">I180/(100-BE180)*100</f>
        <v>0</v>
      </c>
      <c r="BE180" s="29">
        <v>0</v>
      </c>
      <c r="BF180" s="29">
        <f>180</f>
        <v>180</v>
      </c>
      <c r="BH180" s="15">
        <f aca="true" t="shared" si="195" ref="BH180:BH188">H180*AO180</f>
        <v>0</v>
      </c>
      <c r="BI180" s="15">
        <f aca="true" t="shared" si="196" ref="BI180:BI188">H180*AP180</f>
        <v>0</v>
      </c>
      <c r="BJ180" s="15">
        <f aca="true" t="shared" si="197" ref="BJ180:BJ188">H180*I180</f>
        <v>0</v>
      </c>
      <c r="BK180" s="15" t="s">
        <v>2969</v>
      </c>
      <c r="BL180" s="29">
        <v>711</v>
      </c>
    </row>
    <row r="181" spans="1:64" ht="12.75">
      <c r="A181" s="4" t="s">
        <v>144</v>
      </c>
      <c r="B181" s="94" t="s">
        <v>1145</v>
      </c>
      <c r="C181" s="152" t="s">
        <v>2101</v>
      </c>
      <c r="D181" s="153"/>
      <c r="E181" s="153"/>
      <c r="F181" s="153"/>
      <c r="G181" s="94" t="s">
        <v>2849</v>
      </c>
      <c r="H181" s="73">
        <v>229.397</v>
      </c>
      <c r="I181" s="105">
        <v>0</v>
      </c>
      <c r="J181" s="15">
        <f t="shared" si="176"/>
        <v>0</v>
      </c>
      <c r="K181" s="15">
        <f t="shared" si="177"/>
        <v>0</v>
      </c>
      <c r="L181" s="15">
        <f t="shared" si="178"/>
        <v>0</v>
      </c>
      <c r="M181" s="25" t="s">
        <v>2872</v>
      </c>
      <c r="N181" s="5"/>
      <c r="Z181" s="29">
        <f t="shared" si="179"/>
        <v>0</v>
      </c>
      <c r="AB181" s="29">
        <f t="shared" si="180"/>
        <v>0</v>
      </c>
      <c r="AC181" s="29">
        <f t="shared" si="181"/>
        <v>0</v>
      </c>
      <c r="AD181" s="29">
        <f t="shared" si="182"/>
        <v>0</v>
      </c>
      <c r="AE181" s="29">
        <f t="shared" si="183"/>
        <v>0</v>
      </c>
      <c r="AF181" s="29">
        <f t="shared" si="184"/>
        <v>0</v>
      </c>
      <c r="AG181" s="29">
        <f t="shared" si="185"/>
        <v>0</v>
      </c>
      <c r="AH181" s="29">
        <f t="shared" si="186"/>
        <v>0</v>
      </c>
      <c r="AI181" s="28" t="s">
        <v>2882</v>
      </c>
      <c r="AJ181" s="15">
        <f t="shared" si="187"/>
        <v>0</v>
      </c>
      <c r="AK181" s="15">
        <f t="shared" si="188"/>
        <v>0</v>
      </c>
      <c r="AL181" s="15">
        <f t="shared" si="189"/>
        <v>0</v>
      </c>
      <c r="AN181" s="29">
        <v>15</v>
      </c>
      <c r="AO181" s="29">
        <f>I181*0.676850148283597</f>
        <v>0</v>
      </c>
      <c r="AP181" s="29">
        <f>I181*(1-0.676850148283597)</f>
        <v>0</v>
      </c>
      <c r="AQ181" s="30" t="s">
        <v>13</v>
      </c>
      <c r="AV181" s="29">
        <f t="shared" si="190"/>
        <v>0</v>
      </c>
      <c r="AW181" s="29">
        <f t="shared" si="191"/>
        <v>0</v>
      </c>
      <c r="AX181" s="29">
        <f t="shared" si="192"/>
        <v>0</v>
      </c>
      <c r="AY181" s="32" t="s">
        <v>2910</v>
      </c>
      <c r="AZ181" s="32" t="s">
        <v>2942</v>
      </c>
      <c r="BA181" s="28" t="s">
        <v>2957</v>
      </c>
      <c r="BC181" s="29">
        <f t="shared" si="193"/>
        <v>0</v>
      </c>
      <c r="BD181" s="29">
        <f t="shared" si="194"/>
        <v>0</v>
      </c>
      <c r="BE181" s="29">
        <v>0</v>
      </c>
      <c r="BF181" s="29">
        <f>181</f>
        <v>181</v>
      </c>
      <c r="BH181" s="15">
        <f t="shared" si="195"/>
        <v>0</v>
      </c>
      <c r="BI181" s="15">
        <f t="shared" si="196"/>
        <v>0</v>
      </c>
      <c r="BJ181" s="15">
        <f t="shared" si="197"/>
        <v>0</v>
      </c>
      <c r="BK181" s="15" t="s">
        <v>2969</v>
      </c>
      <c r="BL181" s="29">
        <v>711</v>
      </c>
    </row>
    <row r="182" spans="1:64" ht="12.75">
      <c r="A182" s="4" t="s">
        <v>145</v>
      </c>
      <c r="B182" s="94" t="s">
        <v>1146</v>
      </c>
      <c r="C182" s="152" t="s">
        <v>2102</v>
      </c>
      <c r="D182" s="153"/>
      <c r="E182" s="153"/>
      <c r="F182" s="153"/>
      <c r="G182" s="94" t="s">
        <v>2849</v>
      </c>
      <c r="H182" s="73">
        <v>65.67</v>
      </c>
      <c r="I182" s="105">
        <v>0</v>
      </c>
      <c r="J182" s="15">
        <f t="shared" si="176"/>
        <v>0</v>
      </c>
      <c r="K182" s="15">
        <f t="shared" si="177"/>
        <v>0</v>
      </c>
      <c r="L182" s="15">
        <f t="shared" si="178"/>
        <v>0</v>
      </c>
      <c r="M182" s="25" t="s">
        <v>2872</v>
      </c>
      <c r="N182" s="5"/>
      <c r="Z182" s="29">
        <f t="shared" si="179"/>
        <v>0</v>
      </c>
      <c r="AB182" s="29">
        <f t="shared" si="180"/>
        <v>0</v>
      </c>
      <c r="AC182" s="29">
        <f t="shared" si="181"/>
        <v>0</v>
      </c>
      <c r="AD182" s="29">
        <f t="shared" si="182"/>
        <v>0</v>
      </c>
      <c r="AE182" s="29">
        <f t="shared" si="183"/>
        <v>0</v>
      </c>
      <c r="AF182" s="29">
        <f t="shared" si="184"/>
        <v>0</v>
      </c>
      <c r="AG182" s="29">
        <f t="shared" si="185"/>
        <v>0</v>
      </c>
      <c r="AH182" s="29">
        <f t="shared" si="186"/>
        <v>0</v>
      </c>
      <c r="AI182" s="28" t="s">
        <v>2882</v>
      </c>
      <c r="AJ182" s="15">
        <f t="shared" si="187"/>
        <v>0</v>
      </c>
      <c r="AK182" s="15">
        <f t="shared" si="188"/>
        <v>0</v>
      </c>
      <c r="AL182" s="15">
        <f t="shared" si="189"/>
        <v>0</v>
      </c>
      <c r="AN182" s="29">
        <v>15</v>
      </c>
      <c r="AO182" s="29">
        <f>I182*0.458483388111342</f>
        <v>0</v>
      </c>
      <c r="AP182" s="29">
        <f>I182*(1-0.458483388111342)</f>
        <v>0</v>
      </c>
      <c r="AQ182" s="30" t="s">
        <v>13</v>
      </c>
      <c r="AV182" s="29">
        <f t="shared" si="190"/>
        <v>0</v>
      </c>
      <c r="AW182" s="29">
        <f t="shared" si="191"/>
        <v>0</v>
      </c>
      <c r="AX182" s="29">
        <f t="shared" si="192"/>
        <v>0</v>
      </c>
      <c r="AY182" s="32" t="s">
        <v>2910</v>
      </c>
      <c r="AZ182" s="32" t="s">
        <v>2942</v>
      </c>
      <c r="BA182" s="28" t="s">
        <v>2957</v>
      </c>
      <c r="BC182" s="29">
        <f t="shared" si="193"/>
        <v>0</v>
      </c>
      <c r="BD182" s="29">
        <f t="shared" si="194"/>
        <v>0</v>
      </c>
      <c r="BE182" s="29">
        <v>0</v>
      </c>
      <c r="BF182" s="29">
        <f>182</f>
        <v>182</v>
      </c>
      <c r="BH182" s="15">
        <f t="shared" si="195"/>
        <v>0</v>
      </c>
      <c r="BI182" s="15">
        <f t="shared" si="196"/>
        <v>0</v>
      </c>
      <c r="BJ182" s="15">
        <f t="shared" si="197"/>
        <v>0</v>
      </c>
      <c r="BK182" s="15" t="s">
        <v>2969</v>
      </c>
      <c r="BL182" s="29">
        <v>711</v>
      </c>
    </row>
    <row r="183" spans="1:64" ht="12.75">
      <c r="A183" s="4" t="s">
        <v>146</v>
      </c>
      <c r="B183" s="94" t="s">
        <v>1147</v>
      </c>
      <c r="C183" s="152" t="s">
        <v>2103</v>
      </c>
      <c r="D183" s="153"/>
      <c r="E183" s="153"/>
      <c r="F183" s="153"/>
      <c r="G183" s="94" t="s">
        <v>2849</v>
      </c>
      <c r="H183" s="73">
        <v>229.397</v>
      </c>
      <c r="I183" s="105">
        <v>0</v>
      </c>
      <c r="J183" s="15">
        <f t="shared" si="176"/>
        <v>0</v>
      </c>
      <c r="K183" s="15">
        <f t="shared" si="177"/>
        <v>0</v>
      </c>
      <c r="L183" s="15">
        <f t="shared" si="178"/>
        <v>0</v>
      </c>
      <c r="M183" s="25" t="s">
        <v>2872</v>
      </c>
      <c r="N183" s="5"/>
      <c r="Z183" s="29">
        <f t="shared" si="179"/>
        <v>0</v>
      </c>
      <c r="AB183" s="29">
        <f t="shared" si="180"/>
        <v>0</v>
      </c>
      <c r="AC183" s="29">
        <f t="shared" si="181"/>
        <v>0</v>
      </c>
      <c r="AD183" s="29">
        <f t="shared" si="182"/>
        <v>0</v>
      </c>
      <c r="AE183" s="29">
        <f t="shared" si="183"/>
        <v>0</v>
      </c>
      <c r="AF183" s="29">
        <f t="shared" si="184"/>
        <v>0</v>
      </c>
      <c r="AG183" s="29">
        <f t="shared" si="185"/>
        <v>0</v>
      </c>
      <c r="AH183" s="29">
        <f t="shared" si="186"/>
        <v>0</v>
      </c>
      <c r="AI183" s="28" t="s">
        <v>2882</v>
      </c>
      <c r="AJ183" s="15">
        <f t="shared" si="187"/>
        <v>0</v>
      </c>
      <c r="AK183" s="15">
        <f t="shared" si="188"/>
        <v>0</v>
      </c>
      <c r="AL183" s="15">
        <f t="shared" si="189"/>
        <v>0</v>
      </c>
      <c r="AN183" s="29">
        <v>15</v>
      </c>
      <c r="AO183" s="29">
        <f>I183*0.418477675406589</f>
        <v>0</v>
      </c>
      <c r="AP183" s="29">
        <f>I183*(1-0.418477675406589)</f>
        <v>0</v>
      </c>
      <c r="AQ183" s="30" t="s">
        <v>13</v>
      </c>
      <c r="AV183" s="29">
        <f t="shared" si="190"/>
        <v>0</v>
      </c>
      <c r="AW183" s="29">
        <f t="shared" si="191"/>
        <v>0</v>
      </c>
      <c r="AX183" s="29">
        <f t="shared" si="192"/>
        <v>0</v>
      </c>
      <c r="AY183" s="32" t="s">
        <v>2910</v>
      </c>
      <c r="AZ183" s="32" t="s">
        <v>2942</v>
      </c>
      <c r="BA183" s="28" t="s">
        <v>2957</v>
      </c>
      <c r="BC183" s="29">
        <f t="shared" si="193"/>
        <v>0</v>
      </c>
      <c r="BD183" s="29">
        <f t="shared" si="194"/>
        <v>0</v>
      </c>
      <c r="BE183" s="29">
        <v>0</v>
      </c>
      <c r="BF183" s="29">
        <f>183</f>
        <v>183</v>
      </c>
      <c r="BH183" s="15">
        <f t="shared" si="195"/>
        <v>0</v>
      </c>
      <c r="BI183" s="15">
        <f t="shared" si="196"/>
        <v>0</v>
      </c>
      <c r="BJ183" s="15">
        <f t="shared" si="197"/>
        <v>0</v>
      </c>
      <c r="BK183" s="15" t="s">
        <v>2969</v>
      </c>
      <c r="BL183" s="29">
        <v>711</v>
      </c>
    </row>
    <row r="184" spans="1:64" ht="12.75">
      <c r="A184" s="4" t="s">
        <v>147</v>
      </c>
      <c r="B184" s="94" t="s">
        <v>1148</v>
      </c>
      <c r="C184" s="152" t="s">
        <v>2104</v>
      </c>
      <c r="D184" s="153"/>
      <c r="E184" s="153"/>
      <c r="F184" s="153"/>
      <c r="G184" s="94" t="s">
        <v>2849</v>
      </c>
      <c r="H184" s="73">
        <v>65.67</v>
      </c>
      <c r="I184" s="105">
        <v>0</v>
      </c>
      <c r="J184" s="15">
        <f t="shared" si="176"/>
        <v>0</v>
      </c>
      <c r="K184" s="15">
        <f t="shared" si="177"/>
        <v>0</v>
      </c>
      <c r="L184" s="15">
        <f t="shared" si="178"/>
        <v>0</v>
      </c>
      <c r="M184" s="25" t="s">
        <v>2872</v>
      </c>
      <c r="N184" s="5"/>
      <c r="Z184" s="29">
        <f t="shared" si="179"/>
        <v>0</v>
      </c>
      <c r="AB184" s="29">
        <f t="shared" si="180"/>
        <v>0</v>
      </c>
      <c r="AC184" s="29">
        <f t="shared" si="181"/>
        <v>0</v>
      </c>
      <c r="AD184" s="29">
        <f t="shared" si="182"/>
        <v>0</v>
      </c>
      <c r="AE184" s="29">
        <f t="shared" si="183"/>
        <v>0</v>
      </c>
      <c r="AF184" s="29">
        <f t="shared" si="184"/>
        <v>0</v>
      </c>
      <c r="AG184" s="29">
        <f t="shared" si="185"/>
        <v>0</v>
      </c>
      <c r="AH184" s="29">
        <f t="shared" si="186"/>
        <v>0</v>
      </c>
      <c r="AI184" s="28" t="s">
        <v>2882</v>
      </c>
      <c r="AJ184" s="15">
        <f t="shared" si="187"/>
        <v>0</v>
      </c>
      <c r="AK184" s="15">
        <f t="shared" si="188"/>
        <v>0</v>
      </c>
      <c r="AL184" s="15">
        <f t="shared" si="189"/>
        <v>0</v>
      </c>
      <c r="AN184" s="29">
        <v>15</v>
      </c>
      <c r="AO184" s="29">
        <f>I184*0.336994144265046</f>
        <v>0</v>
      </c>
      <c r="AP184" s="29">
        <f>I184*(1-0.336994144265046)</f>
        <v>0</v>
      </c>
      <c r="AQ184" s="30" t="s">
        <v>13</v>
      </c>
      <c r="AV184" s="29">
        <f t="shared" si="190"/>
        <v>0</v>
      </c>
      <c r="AW184" s="29">
        <f t="shared" si="191"/>
        <v>0</v>
      </c>
      <c r="AX184" s="29">
        <f t="shared" si="192"/>
        <v>0</v>
      </c>
      <c r="AY184" s="32" t="s">
        <v>2910</v>
      </c>
      <c r="AZ184" s="32" t="s">
        <v>2942</v>
      </c>
      <c r="BA184" s="28" t="s">
        <v>2957</v>
      </c>
      <c r="BC184" s="29">
        <f t="shared" si="193"/>
        <v>0</v>
      </c>
      <c r="BD184" s="29">
        <f t="shared" si="194"/>
        <v>0</v>
      </c>
      <c r="BE184" s="29">
        <v>0</v>
      </c>
      <c r="BF184" s="29">
        <f>184</f>
        <v>184</v>
      </c>
      <c r="BH184" s="15">
        <f t="shared" si="195"/>
        <v>0</v>
      </c>
      <c r="BI184" s="15">
        <f t="shared" si="196"/>
        <v>0</v>
      </c>
      <c r="BJ184" s="15">
        <f t="shared" si="197"/>
        <v>0</v>
      </c>
      <c r="BK184" s="15" t="s">
        <v>2969</v>
      </c>
      <c r="BL184" s="29">
        <v>711</v>
      </c>
    </row>
    <row r="185" spans="1:64" ht="12.75">
      <c r="A185" s="4" t="s">
        <v>148</v>
      </c>
      <c r="B185" s="94" t="s">
        <v>1149</v>
      </c>
      <c r="C185" s="152" t="s">
        <v>2105</v>
      </c>
      <c r="D185" s="153"/>
      <c r="E185" s="153"/>
      <c r="F185" s="153"/>
      <c r="G185" s="94" t="s">
        <v>2850</v>
      </c>
      <c r="H185" s="73">
        <v>27</v>
      </c>
      <c r="I185" s="105">
        <v>0</v>
      </c>
      <c r="J185" s="15">
        <f t="shared" si="176"/>
        <v>0</v>
      </c>
      <c r="K185" s="15">
        <f t="shared" si="177"/>
        <v>0</v>
      </c>
      <c r="L185" s="15">
        <f t="shared" si="178"/>
        <v>0</v>
      </c>
      <c r="M185" s="25" t="s">
        <v>2872</v>
      </c>
      <c r="N185" s="5"/>
      <c r="Z185" s="29">
        <f t="shared" si="179"/>
        <v>0</v>
      </c>
      <c r="AB185" s="29">
        <f t="shared" si="180"/>
        <v>0</v>
      </c>
      <c r="AC185" s="29">
        <f t="shared" si="181"/>
        <v>0</v>
      </c>
      <c r="AD185" s="29">
        <f t="shared" si="182"/>
        <v>0</v>
      </c>
      <c r="AE185" s="29">
        <f t="shared" si="183"/>
        <v>0</v>
      </c>
      <c r="AF185" s="29">
        <f t="shared" si="184"/>
        <v>0</v>
      </c>
      <c r="AG185" s="29">
        <f t="shared" si="185"/>
        <v>0</v>
      </c>
      <c r="AH185" s="29">
        <f t="shared" si="186"/>
        <v>0</v>
      </c>
      <c r="AI185" s="28" t="s">
        <v>2882</v>
      </c>
      <c r="AJ185" s="15">
        <f t="shared" si="187"/>
        <v>0</v>
      </c>
      <c r="AK185" s="15">
        <f t="shared" si="188"/>
        <v>0</v>
      </c>
      <c r="AL185" s="15">
        <f t="shared" si="189"/>
        <v>0</v>
      </c>
      <c r="AN185" s="29">
        <v>15</v>
      </c>
      <c r="AO185" s="29">
        <f>I185*0.00733712554838985</f>
        <v>0</v>
      </c>
      <c r="AP185" s="29">
        <f>I185*(1-0.00733712554838985)</f>
        <v>0</v>
      </c>
      <c r="AQ185" s="30" t="s">
        <v>13</v>
      </c>
      <c r="AV185" s="29">
        <f t="shared" si="190"/>
        <v>0</v>
      </c>
      <c r="AW185" s="29">
        <f t="shared" si="191"/>
        <v>0</v>
      </c>
      <c r="AX185" s="29">
        <f t="shared" si="192"/>
        <v>0</v>
      </c>
      <c r="AY185" s="32" t="s">
        <v>2910</v>
      </c>
      <c r="AZ185" s="32" t="s">
        <v>2942</v>
      </c>
      <c r="BA185" s="28" t="s">
        <v>2957</v>
      </c>
      <c r="BC185" s="29">
        <f t="shared" si="193"/>
        <v>0</v>
      </c>
      <c r="BD185" s="29">
        <f t="shared" si="194"/>
        <v>0</v>
      </c>
      <c r="BE185" s="29">
        <v>0</v>
      </c>
      <c r="BF185" s="29">
        <f>185</f>
        <v>185</v>
      </c>
      <c r="BH185" s="15">
        <f t="shared" si="195"/>
        <v>0</v>
      </c>
      <c r="BI185" s="15">
        <f t="shared" si="196"/>
        <v>0</v>
      </c>
      <c r="BJ185" s="15">
        <f t="shared" si="197"/>
        <v>0</v>
      </c>
      <c r="BK185" s="15" t="s">
        <v>2969</v>
      </c>
      <c r="BL185" s="29">
        <v>711</v>
      </c>
    </row>
    <row r="186" spans="1:64" ht="12.75">
      <c r="A186" s="4" t="s">
        <v>149</v>
      </c>
      <c r="B186" s="94" t="s">
        <v>1150</v>
      </c>
      <c r="C186" s="152" t="s">
        <v>2106</v>
      </c>
      <c r="D186" s="153"/>
      <c r="E186" s="153"/>
      <c r="F186" s="153"/>
      <c r="G186" s="94" t="s">
        <v>2851</v>
      </c>
      <c r="H186" s="73">
        <v>114.27</v>
      </c>
      <c r="I186" s="105">
        <v>0</v>
      </c>
      <c r="J186" s="15">
        <f t="shared" si="176"/>
        <v>0</v>
      </c>
      <c r="K186" s="15">
        <f t="shared" si="177"/>
        <v>0</v>
      </c>
      <c r="L186" s="15">
        <f t="shared" si="178"/>
        <v>0</v>
      </c>
      <c r="M186" s="25" t="s">
        <v>2872</v>
      </c>
      <c r="N186" s="5"/>
      <c r="Z186" s="29">
        <f t="shared" si="179"/>
        <v>0</v>
      </c>
      <c r="AB186" s="29">
        <f t="shared" si="180"/>
        <v>0</v>
      </c>
      <c r="AC186" s="29">
        <f t="shared" si="181"/>
        <v>0</v>
      </c>
      <c r="AD186" s="29">
        <f t="shared" si="182"/>
        <v>0</v>
      </c>
      <c r="AE186" s="29">
        <f t="shared" si="183"/>
        <v>0</v>
      </c>
      <c r="AF186" s="29">
        <f t="shared" si="184"/>
        <v>0</v>
      </c>
      <c r="AG186" s="29">
        <f t="shared" si="185"/>
        <v>0</v>
      </c>
      <c r="AH186" s="29">
        <f t="shared" si="186"/>
        <v>0</v>
      </c>
      <c r="AI186" s="28" t="s">
        <v>2882</v>
      </c>
      <c r="AJ186" s="15">
        <f t="shared" si="187"/>
        <v>0</v>
      </c>
      <c r="AK186" s="15">
        <f t="shared" si="188"/>
        <v>0</v>
      </c>
      <c r="AL186" s="15">
        <f t="shared" si="189"/>
        <v>0</v>
      </c>
      <c r="AN186" s="29">
        <v>15</v>
      </c>
      <c r="AO186" s="29">
        <f>I186*0.679661148592469</f>
        <v>0</v>
      </c>
      <c r="AP186" s="29">
        <f>I186*(1-0.679661148592469)</f>
        <v>0</v>
      </c>
      <c r="AQ186" s="30" t="s">
        <v>13</v>
      </c>
      <c r="AV186" s="29">
        <f t="shared" si="190"/>
        <v>0</v>
      </c>
      <c r="AW186" s="29">
        <f t="shared" si="191"/>
        <v>0</v>
      </c>
      <c r="AX186" s="29">
        <f t="shared" si="192"/>
        <v>0</v>
      </c>
      <c r="AY186" s="32" t="s">
        <v>2910</v>
      </c>
      <c r="AZ186" s="32" t="s">
        <v>2942</v>
      </c>
      <c r="BA186" s="28" t="s">
        <v>2957</v>
      </c>
      <c r="BC186" s="29">
        <f t="shared" si="193"/>
        <v>0</v>
      </c>
      <c r="BD186" s="29">
        <f t="shared" si="194"/>
        <v>0</v>
      </c>
      <c r="BE186" s="29">
        <v>0</v>
      </c>
      <c r="BF186" s="29">
        <f>186</f>
        <v>186</v>
      </c>
      <c r="BH186" s="15">
        <f t="shared" si="195"/>
        <v>0</v>
      </c>
      <c r="BI186" s="15">
        <f t="shared" si="196"/>
        <v>0</v>
      </c>
      <c r="BJ186" s="15">
        <f t="shared" si="197"/>
        <v>0</v>
      </c>
      <c r="BK186" s="15" t="s">
        <v>2969</v>
      </c>
      <c r="BL186" s="29">
        <v>711</v>
      </c>
    </row>
    <row r="187" spans="1:64" ht="12.75">
      <c r="A187" s="4" t="s">
        <v>150</v>
      </c>
      <c r="B187" s="94" t="s">
        <v>1151</v>
      </c>
      <c r="C187" s="152" t="s">
        <v>2107</v>
      </c>
      <c r="D187" s="153"/>
      <c r="E187" s="153"/>
      <c r="F187" s="153"/>
      <c r="G187" s="94" t="s">
        <v>2851</v>
      </c>
      <c r="H187" s="73">
        <v>24</v>
      </c>
      <c r="I187" s="105">
        <v>0</v>
      </c>
      <c r="J187" s="15">
        <f t="shared" si="176"/>
        <v>0</v>
      </c>
      <c r="K187" s="15">
        <f t="shared" si="177"/>
        <v>0</v>
      </c>
      <c r="L187" s="15">
        <f t="shared" si="178"/>
        <v>0</v>
      </c>
      <c r="M187" s="25" t="s">
        <v>2872</v>
      </c>
      <c r="N187" s="5"/>
      <c r="Z187" s="29">
        <f t="shared" si="179"/>
        <v>0</v>
      </c>
      <c r="AB187" s="29">
        <f t="shared" si="180"/>
        <v>0</v>
      </c>
      <c r="AC187" s="29">
        <f t="shared" si="181"/>
        <v>0</v>
      </c>
      <c r="AD187" s="29">
        <f t="shared" si="182"/>
        <v>0</v>
      </c>
      <c r="AE187" s="29">
        <f t="shared" si="183"/>
        <v>0</v>
      </c>
      <c r="AF187" s="29">
        <f t="shared" si="184"/>
        <v>0</v>
      </c>
      <c r="AG187" s="29">
        <f t="shared" si="185"/>
        <v>0</v>
      </c>
      <c r="AH187" s="29">
        <f t="shared" si="186"/>
        <v>0</v>
      </c>
      <c r="AI187" s="28" t="s">
        <v>2882</v>
      </c>
      <c r="AJ187" s="15">
        <f t="shared" si="187"/>
        <v>0</v>
      </c>
      <c r="AK187" s="15">
        <f t="shared" si="188"/>
        <v>0</v>
      </c>
      <c r="AL187" s="15">
        <f t="shared" si="189"/>
        <v>0</v>
      </c>
      <c r="AN187" s="29">
        <v>15</v>
      </c>
      <c r="AO187" s="29">
        <f>I187*0.598256217954033</f>
        <v>0</v>
      </c>
      <c r="AP187" s="29">
        <f>I187*(1-0.598256217954033)</f>
        <v>0</v>
      </c>
      <c r="AQ187" s="30" t="s">
        <v>13</v>
      </c>
      <c r="AV187" s="29">
        <f t="shared" si="190"/>
        <v>0</v>
      </c>
      <c r="AW187" s="29">
        <f t="shared" si="191"/>
        <v>0</v>
      </c>
      <c r="AX187" s="29">
        <f t="shared" si="192"/>
        <v>0</v>
      </c>
      <c r="AY187" s="32" t="s">
        <v>2910</v>
      </c>
      <c r="AZ187" s="32" t="s">
        <v>2942</v>
      </c>
      <c r="BA187" s="28" t="s">
        <v>2957</v>
      </c>
      <c r="BC187" s="29">
        <f t="shared" si="193"/>
        <v>0</v>
      </c>
      <c r="BD187" s="29">
        <f t="shared" si="194"/>
        <v>0</v>
      </c>
      <c r="BE187" s="29">
        <v>0</v>
      </c>
      <c r="BF187" s="29">
        <f>187</f>
        <v>187</v>
      </c>
      <c r="BH187" s="15">
        <f t="shared" si="195"/>
        <v>0</v>
      </c>
      <c r="BI187" s="15">
        <f t="shared" si="196"/>
        <v>0</v>
      </c>
      <c r="BJ187" s="15">
        <f t="shared" si="197"/>
        <v>0</v>
      </c>
      <c r="BK187" s="15" t="s">
        <v>2969</v>
      </c>
      <c r="BL187" s="29">
        <v>711</v>
      </c>
    </row>
    <row r="188" spans="1:64" ht="12.75">
      <c r="A188" s="4" t="s">
        <v>151</v>
      </c>
      <c r="B188" s="94" t="s">
        <v>1152</v>
      </c>
      <c r="C188" s="152" t="s">
        <v>2108</v>
      </c>
      <c r="D188" s="153"/>
      <c r="E188" s="153"/>
      <c r="F188" s="153"/>
      <c r="G188" s="94" t="s">
        <v>2848</v>
      </c>
      <c r="H188" s="73">
        <v>1.686</v>
      </c>
      <c r="I188" s="105">
        <v>0</v>
      </c>
      <c r="J188" s="15">
        <f t="shared" si="176"/>
        <v>0</v>
      </c>
      <c r="K188" s="15">
        <f t="shared" si="177"/>
        <v>0</v>
      </c>
      <c r="L188" s="15">
        <f t="shared" si="178"/>
        <v>0</v>
      </c>
      <c r="M188" s="25" t="s">
        <v>2872</v>
      </c>
      <c r="N188" s="5"/>
      <c r="Z188" s="29">
        <f t="shared" si="179"/>
        <v>0</v>
      </c>
      <c r="AB188" s="29">
        <f t="shared" si="180"/>
        <v>0</v>
      </c>
      <c r="AC188" s="29">
        <f t="shared" si="181"/>
        <v>0</v>
      </c>
      <c r="AD188" s="29">
        <f t="shared" si="182"/>
        <v>0</v>
      </c>
      <c r="AE188" s="29">
        <f t="shared" si="183"/>
        <v>0</v>
      </c>
      <c r="AF188" s="29">
        <f t="shared" si="184"/>
        <v>0</v>
      </c>
      <c r="AG188" s="29">
        <f t="shared" si="185"/>
        <v>0</v>
      </c>
      <c r="AH188" s="29">
        <f t="shared" si="186"/>
        <v>0</v>
      </c>
      <c r="AI188" s="28" t="s">
        <v>2882</v>
      </c>
      <c r="AJ188" s="15">
        <f t="shared" si="187"/>
        <v>0</v>
      </c>
      <c r="AK188" s="15">
        <f t="shared" si="188"/>
        <v>0</v>
      </c>
      <c r="AL188" s="15">
        <f t="shared" si="189"/>
        <v>0</v>
      </c>
      <c r="AN188" s="29">
        <v>15</v>
      </c>
      <c r="AO188" s="29">
        <f>I188*0</f>
        <v>0</v>
      </c>
      <c r="AP188" s="29">
        <f>I188*(1-0)</f>
        <v>0</v>
      </c>
      <c r="AQ188" s="30" t="s">
        <v>11</v>
      </c>
      <c r="AV188" s="29">
        <f t="shared" si="190"/>
        <v>0</v>
      </c>
      <c r="AW188" s="29">
        <f t="shared" si="191"/>
        <v>0</v>
      </c>
      <c r="AX188" s="29">
        <f t="shared" si="192"/>
        <v>0</v>
      </c>
      <c r="AY188" s="32" t="s">
        <v>2910</v>
      </c>
      <c r="AZ188" s="32" t="s">
        <v>2942</v>
      </c>
      <c r="BA188" s="28" t="s">
        <v>2957</v>
      </c>
      <c r="BC188" s="29">
        <f t="shared" si="193"/>
        <v>0</v>
      </c>
      <c r="BD188" s="29">
        <f t="shared" si="194"/>
        <v>0</v>
      </c>
      <c r="BE188" s="29">
        <v>0</v>
      </c>
      <c r="BF188" s="29">
        <f>188</f>
        <v>188</v>
      </c>
      <c r="BH188" s="15">
        <f t="shared" si="195"/>
        <v>0</v>
      </c>
      <c r="BI188" s="15">
        <f t="shared" si="196"/>
        <v>0</v>
      </c>
      <c r="BJ188" s="15">
        <f t="shared" si="197"/>
        <v>0</v>
      </c>
      <c r="BK188" s="15" t="s">
        <v>2969</v>
      </c>
      <c r="BL188" s="29">
        <v>711</v>
      </c>
    </row>
    <row r="189" spans="1:47" ht="12.75">
      <c r="A189" s="3"/>
      <c r="B189" s="97" t="s">
        <v>718</v>
      </c>
      <c r="C189" s="161" t="s">
        <v>2109</v>
      </c>
      <c r="D189" s="162"/>
      <c r="E189" s="162"/>
      <c r="F189" s="162"/>
      <c r="G189" s="13" t="s">
        <v>6</v>
      </c>
      <c r="H189" s="13" t="s">
        <v>6</v>
      </c>
      <c r="I189" s="13" t="s">
        <v>6</v>
      </c>
      <c r="J189" s="34">
        <f>SUM(J190:J198)</f>
        <v>0</v>
      </c>
      <c r="K189" s="34">
        <f>SUM(K190:K198)</f>
        <v>0</v>
      </c>
      <c r="L189" s="34">
        <f>SUM(L190:L198)</f>
        <v>0</v>
      </c>
      <c r="M189" s="24"/>
      <c r="N189" s="5"/>
      <c r="AI189" s="28" t="s">
        <v>2882</v>
      </c>
      <c r="AS189" s="34">
        <f>SUM(AJ190:AJ198)</f>
        <v>0</v>
      </c>
      <c r="AT189" s="34">
        <f>SUM(AK190:AK198)</f>
        <v>0</v>
      </c>
      <c r="AU189" s="34">
        <f>SUM(AL190:AL198)</f>
        <v>0</v>
      </c>
    </row>
    <row r="190" spans="1:64" ht="12.75">
      <c r="A190" s="4" t="s">
        <v>152</v>
      </c>
      <c r="B190" s="94" t="s">
        <v>1153</v>
      </c>
      <c r="C190" s="152" t="s">
        <v>2110</v>
      </c>
      <c r="D190" s="153"/>
      <c r="E190" s="153"/>
      <c r="F190" s="153"/>
      <c r="G190" s="94" t="s">
        <v>2849</v>
      </c>
      <c r="H190" s="73">
        <v>237.83</v>
      </c>
      <c r="I190" s="105">
        <v>0</v>
      </c>
      <c r="J190" s="15">
        <f aca="true" t="shared" si="198" ref="J190:J198">H190*AO190</f>
        <v>0</v>
      </c>
      <c r="K190" s="15">
        <f aca="true" t="shared" si="199" ref="K190:K198">H190*AP190</f>
        <v>0</v>
      </c>
      <c r="L190" s="15">
        <f aca="true" t="shared" si="200" ref="L190:L198">H190*I190</f>
        <v>0</v>
      </c>
      <c r="M190" s="25" t="s">
        <v>2872</v>
      </c>
      <c r="N190" s="5"/>
      <c r="Z190" s="29">
        <f aca="true" t="shared" si="201" ref="Z190:Z198">IF(AQ190="5",BJ190,0)</f>
        <v>0</v>
      </c>
      <c r="AB190" s="29">
        <f aca="true" t="shared" si="202" ref="AB190:AB198">IF(AQ190="1",BH190,0)</f>
        <v>0</v>
      </c>
      <c r="AC190" s="29">
        <f aca="true" t="shared" si="203" ref="AC190:AC198">IF(AQ190="1",BI190,0)</f>
        <v>0</v>
      </c>
      <c r="AD190" s="29">
        <f aca="true" t="shared" si="204" ref="AD190:AD198">IF(AQ190="7",BH190,0)</f>
        <v>0</v>
      </c>
      <c r="AE190" s="29">
        <f aca="true" t="shared" si="205" ref="AE190:AE198">IF(AQ190="7",BI190,0)</f>
        <v>0</v>
      </c>
      <c r="AF190" s="29">
        <f aca="true" t="shared" si="206" ref="AF190:AF198">IF(AQ190="2",BH190,0)</f>
        <v>0</v>
      </c>
      <c r="AG190" s="29">
        <f aca="true" t="shared" si="207" ref="AG190:AG198">IF(AQ190="2",BI190,0)</f>
        <v>0</v>
      </c>
      <c r="AH190" s="29">
        <f aca="true" t="shared" si="208" ref="AH190:AH198">IF(AQ190="0",BJ190,0)</f>
        <v>0</v>
      </c>
      <c r="AI190" s="28" t="s">
        <v>2882</v>
      </c>
      <c r="AJ190" s="15">
        <f aca="true" t="shared" si="209" ref="AJ190:AJ198">IF(AN190=0,L190,0)</f>
        <v>0</v>
      </c>
      <c r="AK190" s="15">
        <f aca="true" t="shared" si="210" ref="AK190:AK198">IF(AN190=15,L190,0)</f>
        <v>0</v>
      </c>
      <c r="AL190" s="15">
        <f aca="true" t="shared" si="211" ref="AL190:AL198">IF(AN190=21,L190,0)</f>
        <v>0</v>
      </c>
      <c r="AN190" s="29">
        <v>15</v>
      </c>
      <c r="AO190" s="29">
        <f>I190*0.599580683337815</f>
        <v>0</v>
      </c>
      <c r="AP190" s="29">
        <f>I190*(1-0.599580683337815)</f>
        <v>0</v>
      </c>
      <c r="AQ190" s="30" t="s">
        <v>13</v>
      </c>
      <c r="AV190" s="29">
        <f aca="true" t="shared" si="212" ref="AV190:AV198">AW190+AX190</f>
        <v>0</v>
      </c>
      <c r="AW190" s="29">
        <f aca="true" t="shared" si="213" ref="AW190:AW198">H190*AO190</f>
        <v>0</v>
      </c>
      <c r="AX190" s="29">
        <f aca="true" t="shared" si="214" ref="AX190:AX198">H190*AP190</f>
        <v>0</v>
      </c>
      <c r="AY190" s="32" t="s">
        <v>2911</v>
      </c>
      <c r="AZ190" s="32" t="s">
        <v>2942</v>
      </c>
      <c r="BA190" s="28" t="s">
        <v>2957</v>
      </c>
      <c r="BC190" s="29">
        <f aca="true" t="shared" si="215" ref="BC190:BC198">AW190+AX190</f>
        <v>0</v>
      </c>
      <c r="BD190" s="29">
        <f aca="true" t="shared" si="216" ref="BD190:BD198">I190/(100-BE190)*100</f>
        <v>0</v>
      </c>
      <c r="BE190" s="29">
        <v>0</v>
      </c>
      <c r="BF190" s="29">
        <f>190</f>
        <v>190</v>
      </c>
      <c r="BH190" s="15">
        <f aca="true" t="shared" si="217" ref="BH190:BH198">H190*AO190</f>
        <v>0</v>
      </c>
      <c r="BI190" s="15">
        <f aca="true" t="shared" si="218" ref="BI190:BI198">H190*AP190</f>
        <v>0</v>
      </c>
      <c r="BJ190" s="15">
        <f aca="true" t="shared" si="219" ref="BJ190:BJ198">H190*I190</f>
        <v>0</v>
      </c>
      <c r="BK190" s="15" t="s">
        <v>2969</v>
      </c>
      <c r="BL190" s="29">
        <v>712</v>
      </c>
    </row>
    <row r="191" spans="1:64" ht="12.75">
      <c r="A191" s="4" t="s">
        <v>153</v>
      </c>
      <c r="B191" s="94" t="s">
        <v>1154</v>
      </c>
      <c r="C191" s="152" t="s">
        <v>2111</v>
      </c>
      <c r="D191" s="153"/>
      <c r="E191" s="153"/>
      <c r="F191" s="153"/>
      <c r="G191" s="94" t="s">
        <v>2850</v>
      </c>
      <c r="H191" s="73">
        <v>20</v>
      </c>
      <c r="I191" s="105">
        <v>0</v>
      </c>
      <c r="J191" s="15">
        <f t="shared" si="198"/>
        <v>0</v>
      </c>
      <c r="K191" s="15">
        <f t="shared" si="199"/>
        <v>0</v>
      </c>
      <c r="L191" s="15">
        <f t="shared" si="200"/>
        <v>0</v>
      </c>
      <c r="M191" s="25" t="s">
        <v>2872</v>
      </c>
      <c r="N191" s="5"/>
      <c r="Z191" s="29">
        <f t="shared" si="201"/>
        <v>0</v>
      </c>
      <c r="AB191" s="29">
        <f t="shared" si="202"/>
        <v>0</v>
      </c>
      <c r="AC191" s="29">
        <f t="shared" si="203"/>
        <v>0</v>
      </c>
      <c r="AD191" s="29">
        <f t="shared" si="204"/>
        <v>0</v>
      </c>
      <c r="AE191" s="29">
        <f t="shared" si="205"/>
        <v>0</v>
      </c>
      <c r="AF191" s="29">
        <f t="shared" si="206"/>
        <v>0</v>
      </c>
      <c r="AG191" s="29">
        <f t="shared" si="207"/>
        <v>0</v>
      </c>
      <c r="AH191" s="29">
        <f t="shared" si="208"/>
        <v>0</v>
      </c>
      <c r="AI191" s="28" t="s">
        <v>2882</v>
      </c>
      <c r="AJ191" s="15">
        <f t="shared" si="209"/>
        <v>0</v>
      </c>
      <c r="AK191" s="15">
        <f t="shared" si="210"/>
        <v>0</v>
      </c>
      <c r="AL191" s="15">
        <f t="shared" si="211"/>
        <v>0</v>
      </c>
      <c r="AN191" s="29">
        <v>15</v>
      </c>
      <c r="AO191" s="29">
        <f>I191*0</f>
        <v>0</v>
      </c>
      <c r="AP191" s="29">
        <f>I191*(1-0)</f>
        <v>0</v>
      </c>
      <c r="AQ191" s="30" t="s">
        <v>13</v>
      </c>
      <c r="AV191" s="29">
        <f t="shared" si="212"/>
        <v>0</v>
      </c>
      <c r="AW191" s="29">
        <f t="shared" si="213"/>
        <v>0</v>
      </c>
      <c r="AX191" s="29">
        <f t="shared" si="214"/>
        <v>0</v>
      </c>
      <c r="AY191" s="32" t="s">
        <v>2911</v>
      </c>
      <c r="AZ191" s="32" t="s">
        <v>2942</v>
      </c>
      <c r="BA191" s="28" t="s">
        <v>2957</v>
      </c>
      <c r="BC191" s="29">
        <f t="shared" si="215"/>
        <v>0</v>
      </c>
      <c r="BD191" s="29">
        <f t="shared" si="216"/>
        <v>0</v>
      </c>
      <c r="BE191" s="29">
        <v>0</v>
      </c>
      <c r="BF191" s="29">
        <f>191</f>
        <v>191</v>
      </c>
      <c r="BH191" s="15">
        <f t="shared" si="217"/>
        <v>0</v>
      </c>
      <c r="BI191" s="15">
        <f t="shared" si="218"/>
        <v>0</v>
      </c>
      <c r="BJ191" s="15">
        <f t="shared" si="219"/>
        <v>0</v>
      </c>
      <c r="BK191" s="15" t="s">
        <v>2969</v>
      </c>
      <c r="BL191" s="29">
        <v>712</v>
      </c>
    </row>
    <row r="192" spans="1:64" ht="12.75">
      <c r="A192" s="4" t="s">
        <v>154</v>
      </c>
      <c r="B192" s="94" t="s">
        <v>1155</v>
      </c>
      <c r="C192" s="152" t="s">
        <v>2112</v>
      </c>
      <c r="D192" s="153"/>
      <c r="E192" s="153"/>
      <c r="F192" s="153"/>
      <c r="G192" s="94" t="s">
        <v>2849</v>
      </c>
      <c r="H192" s="73">
        <v>252.641</v>
      </c>
      <c r="I192" s="105">
        <v>0</v>
      </c>
      <c r="J192" s="15">
        <f t="shared" si="198"/>
        <v>0</v>
      </c>
      <c r="K192" s="15">
        <f t="shared" si="199"/>
        <v>0</v>
      </c>
      <c r="L192" s="15">
        <f t="shared" si="200"/>
        <v>0</v>
      </c>
      <c r="M192" s="25" t="s">
        <v>2872</v>
      </c>
      <c r="N192" s="5"/>
      <c r="Z192" s="29">
        <f t="shared" si="201"/>
        <v>0</v>
      </c>
      <c r="AB192" s="29">
        <f t="shared" si="202"/>
        <v>0</v>
      </c>
      <c r="AC192" s="29">
        <f t="shared" si="203"/>
        <v>0</v>
      </c>
      <c r="AD192" s="29">
        <f t="shared" si="204"/>
        <v>0</v>
      </c>
      <c r="AE192" s="29">
        <f t="shared" si="205"/>
        <v>0</v>
      </c>
      <c r="AF192" s="29">
        <f t="shared" si="206"/>
        <v>0</v>
      </c>
      <c r="AG192" s="29">
        <f t="shared" si="207"/>
        <v>0</v>
      </c>
      <c r="AH192" s="29">
        <f t="shared" si="208"/>
        <v>0</v>
      </c>
      <c r="AI192" s="28" t="s">
        <v>2882</v>
      </c>
      <c r="AJ192" s="15">
        <f t="shared" si="209"/>
        <v>0</v>
      </c>
      <c r="AK192" s="15">
        <f t="shared" si="210"/>
        <v>0</v>
      </c>
      <c r="AL192" s="15">
        <f t="shared" si="211"/>
        <v>0</v>
      </c>
      <c r="AN192" s="29">
        <v>15</v>
      </c>
      <c r="AO192" s="29">
        <f>I192*0.553396948285723</f>
        <v>0</v>
      </c>
      <c r="AP192" s="29">
        <f>I192*(1-0.553396948285723)</f>
        <v>0</v>
      </c>
      <c r="AQ192" s="30" t="s">
        <v>13</v>
      </c>
      <c r="AV192" s="29">
        <f t="shared" si="212"/>
        <v>0</v>
      </c>
      <c r="AW192" s="29">
        <f t="shared" si="213"/>
        <v>0</v>
      </c>
      <c r="AX192" s="29">
        <f t="shared" si="214"/>
        <v>0</v>
      </c>
      <c r="AY192" s="32" t="s">
        <v>2911</v>
      </c>
      <c r="AZ192" s="32" t="s">
        <v>2942</v>
      </c>
      <c r="BA192" s="28" t="s">
        <v>2957</v>
      </c>
      <c r="BC192" s="29">
        <f t="shared" si="215"/>
        <v>0</v>
      </c>
      <c r="BD192" s="29">
        <f t="shared" si="216"/>
        <v>0</v>
      </c>
      <c r="BE192" s="29">
        <v>0</v>
      </c>
      <c r="BF192" s="29">
        <f>192</f>
        <v>192</v>
      </c>
      <c r="BH192" s="15">
        <f t="shared" si="217"/>
        <v>0</v>
      </c>
      <c r="BI192" s="15">
        <f t="shared" si="218"/>
        <v>0</v>
      </c>
      <c r="BJ192" s="15">
        <f t="shared" si="219"/>
        <v>0</v>
      </c>
      <c r="BK192" s="15" t="s">
        <v>2969</v>
      </c>
      <c r="BL192" s="29">
        <v>712</v>
      </c>
    </row>
    <row r="193" spans="1:64" ht="12.75">
      <c r="A193" s="4" t="s">
        <v>155</v>
      </c>
      <c r="B193" s="94" t="s">
        <v>1156</v>
      </c>
      <c r="C193" s="152" t="s">
        <v>2113</v>
      </c>
      <c r="D193" s="153"/>
      <c r="E193" s="153"/>
      <c r="F193" s="153"/>
      <c r="G193" s="94" t="s">
        <v>2851</v>
      </c>
      <c r="H193" s="73">
        <v>77.195</v>
      </c>
      <c r="I193" s="105">
        <v>0</v>
      </c>
      <c r="J193" s="15">
        <f t="shared" si="198"/>
        <v>0</v>
      </c>
      <c r="K193" s="15">
        <f t="shared" si="199"/>
        <v>0</v>
      </c>
      <c r="L193" s="15">
        <f t="shared" si="200"/>
        <v>0</v>
      </c>
      <c r="M193" s="25" t="s">
        <v>2872</v>
      </c>
      <c r="N193" s="5"/>
      <c r="Z193" s="29">
        <f t="shared" si="201"/>
        <v>0</v>
      </c>
      <c r="AB193" s="29">
        <f t="shared" si="202"/>
        <v>0</v>
      </c>
      <c r="AC193" s="29">
        <f t="shared" si="203"/>
        <v>0</v>
      </c>
      <c r="AD193" s="29">
        <f t="shared" si="204"/>
        <v>0</v>
      </c>
      <c r="AE193" s="29">
        <f t="shared" si="205"/>
        <v>0</v>
      </c>
      <c r="AF193" s="29">
        <f t="shared" si="206"/>
        <v>0</v>
      </c>
      <c r="AG193" s="29">
        <f t="shared" si="207"/>
        <v>0</v>
      </c>
      <c r="AH193" s="29">
        <f t="shared" si="208"/>
        <v>0</v>
      </c>
      <c r="AI193" s="28" t="s">
        <v>2882</v>
      </c>
      <c r="AJ193" s="15">
        <f t="shared" si="209"/>
        <v>0</v>
      </c>
      <c r="AK193" s="15">
        <f t="shared" si="210"/>
        <v>0</v>
      </c>
      <c r="AL193" s="15">
        <f t="shared" si="211"/>
        <v>0</v>
      </c>
      <c r="AN193" s="29">
        <v>15</v>
      </c>
      <c r="AO193" s="29">
        <f>I193*0.503749950261577</f>
        <v>0</v>
      </c>
      <c r="AP193" s="29">
        <f>I193*(1-0.503749950261577)</f>
        <v>0</v>
      </c>
      <c r="AQ193" s="30" t="s">
        <v>13</v>
      </c>
      <c r="AV193" s="29">
        <f t="shared" si="212"/>
        <v>0</v>
      </c>
      <c r="AW193" s="29">
        <f t="shared" si="213"/>
        <v>0</v>
      </c>
      <c r="AX193" s="29">
        <f t="shared" si="214"/>
        <v>0</v>
      </c>
      <c r="AY193" s="32" t="s">
        <v>2911</v>
      </c>
      <c r="AZ193" s="32" t="s">
        <v>2942</v>
      </c>
      <c r="BA193" s="28" t="s">
        <v>2957</v>
      </c>
      <c r="BC193" s="29">
        <f t="shared" si="215"/>
        <v>0</v>
      </c>
      <c r="BD193" s="29">
        <f t="shared" si="216"/>
        <v>0</v>
      </c>
      <c r="BE193" s="29">
        <v>0</v>
      </c>
      <c r="BF193" s="29">
        <f>193</f>
        <v>193</v>
      </c>
      <c r="BH193" s="15">
        <f t="shared" si="217"/>
        <v>0</v>
      </c>
      <c r="BI193" s="15">
        <f t="shared" si="218"/>
        <v>0</v>
      </c>
      <c r="BJ193" s="15">
        <f t="shared" si="219"/>
        <v>0</v>
      </c>
      <c r="BK193" s="15" t="s">
        <v>2969</v>
      </c>
      <c r="BL193" s="29">
        <v>712</v>
      </c>
    </row>
    <row r="194" spans="1:64" ht="12.75">
      <c r="A194" s="4" t="s">
        <v>156</v>
      </c>
      <c r="B194" s="94" t="s">
        <v>1157</v>
      </c>
      <c r="C194" s="152" t="s">
        <v>2114</v>
      </c>
      <c r="D194" s="153"/>
      <c r="E194" s="153"/>
      <c r="F194" s="153"/>
      <c r="G194" s="94" t="s">
        <v>2849</v>
      </c>
      <c r="H194" s="73">
        <v>19.324</v>
      </c>
      <c r="I194" s="105">
        <v>0</v>
      </c>
      <c r="J194" s="15">
        <f t="shared" si="198"/>
        <v>0</v>
      </c>
      <c r="K194" s="15">
        <f t="shared" si="199"/>
        <v>0</v>
      </c>
      <c r="L194" s="15">
        <f t="shared" si="200"/>
        <v>0</v>
      </c>
      <c r="M194" s="25" t="s">
        <v>2872</v>
      </c>
      <c r="N194" s="5"/>
      <c r="Z194" s="29">
        <f t="shared" si="201"/>
        <v>0</v>
      </c>
      <c r="AB194" s="29">
        <f t="shared" si="202"/>
        <v>0</v>
      </c>
      <c r="AC194" s="29">
        <f t="shared" si="203"/>
        <v>0</v>
      </c>
      <c r="AD194" s="29">
        <f t="shared" si="204"/>
        <v>0</v>
      </c>
      <c r="AE194" s="29">
        <f t="shared" si="205"/>
        <v>0</v>
      </c>
      <c r="AF194" s="29">
        <f t="shared" si="206"/>
        <v>0</v>
      </c>
      <c r="AG194" s="29">
        <f t="shared" si="207"/>
        <v>0</v>
      </c>
      <c r="AH194" s="29">
        <f t="shared" si="208"/>
        <v>0</v>
      </c>
      <c r="AI194" s="28" t="s">
        <v>2882</v>
      </c>
      <c r="AJ194" s="15">
        <f t="shared" si="209"/>
        <v>0</v>
      </c>
      <c r="AK194" s="15">
        <f t="shared" si="210"/>
        <v>0</v>
      </c>
      <c r="AL194" s="15">
        <f t="shared" si="211"/>
        <v>0</v>
      </c>
      <c r="AN194" s="29">
        <v>15</v>
      </c>
      <c r="AO194" s="29">
        <f>I194*0.543648327026246</f>
        <v>0</v>
      </c>
      <c r="AP194" s="29">
        <f>I194*(1-0.543648327026246)</f>
        <v>0</v>
      </c>
      <c r="AQ194" s="30" t="s">
        <v>13</v>
      </c>
      <c r="AV194" s="29">
        <f t="shared" si="212"/>
        <v>0</v>
      </c>
      <c r="AW194" s="29">
        <f t="shared" si="213"/>
        <v>0</v>
      </c>
      <c r="AX194" s="29">
        <f t="shared" si="214"/>
        <v>0</v>
      </c>
      <c r="AY194" s="32" t="s">
        <v>2911</v>
      </c>
      <c r="AZ194" s="32" t="s">
        <v>2942</v>
      </c>
      <c r="BA194" s="28" t="s">
        <v>2957</v>
      </c>
      <c r="BC194" s="29">
        <f t="shared" si="215"/>
        <v>0</v>
      </c>
      <c r="BD194" s="29">
        <f t="shared" si="216"/>
        <v>0</v>
      </c>
      <c r="BE194" s="29">
        <v>0</v>
      </c>
      <c r="BF194" s="29">
        <f>194</f>
        <v>194</v>
      </c>
      <c r="BH194" s="15">
        <f t="shared" si="217"/>
        <v>0</v>
      </c>
      <c r="BI194" s="15">
        <f t="shared" si="218"/>
        <v>0</v>
      </c>
      <c r="BJ194" s="15">
        <f t="shared" si="219"/>
        <v>0</v>
      </c>
      <c r="BK194" s="15" t="s">
        <v>2969</v>
      </c>
      <c r="BL194" s="29">
        <v>712</v>
      </c>
    </row>
    <row r="195" spans="1:64" ht="12.75">
      <c r="A195" s="4" t="s">
        <v>157</v>
      </c>
      <c r="B195" s="94" t="s">
        <v>1158</v>
      </c>
      <c r="C195" s="152" t="s">
        <v>2115</v>
      </c>
      <c r="D195" s="153"/>
      <c r="E195" s="153"/>
      <c r="F195" s="153"/>
      <c r="G195" s="94" t="s">
        <v>2849</v>
      </c>
      <c r="H195" s="73">
        <v>19.324</v>
      </c>
      <c r="I195" s="105">
        <v>0</v>
      </c>
      <c r="J195" s="15">
        <f t="shared" si="198"/>
        <v>0</v>
      </c>
      <c r="K195" s="15">
        <f t="shared" si="199"/>
        <v>0</v>
      </c>
      <c r="L195" s="15">
        <f t="shared" si="200"/>
        <v>0</v>
      </c>
      <c r="M195" s="25" t="s">
        <v>2872</v>
      </c>
      <c r="N195" s="5"/>
      <c r="Z195" s="29">
        <f t="shared" si="201"/>
        <v>0</v>
      </c>
      <c r="AB195" s="29">
        <f t="shared" si="202"/>
        <v>0</v>
      </c>
      <c r="AC195" s="29">
        <f t="shared" si="203"/>
        <v>0</v>
      </c>
      <c r="AD195" s="29">
        <f t="shared" si="204"/>
        <v>0</v>
      </c>
      <c r="AE195" s="29">
        <f t="shared" si="205"/>
        <v>0</v>
      </c>
      <c r="AF195" s="29">
        <f t="shared" si="206"/>
        <v>0</v>
      </c>
      <c r="AG195" s="29">
        <f t="shared" si="207"/>
        <v>0</v>
      </c>
      <c r="AH195" s="29">
        <f t="shared" si="208"/>
        <v>0</v>
      </c>
      <c r="AI195" s="28" t="s">
        <v>2882</v>
      </c>
      <c r="AJ195" s="15">
        <f t="shared" si="209"/>
        <v>0</v>
      </c>
      <c r="AK195" s="15">
        <f t="shared" si="210"/>
        <v>0</v>
      </c>
      <c r="AL195" s="15">
        <f t="shared" si="211"/>
        <v>0</v>
      </c>
      <c r="AN195" s="29">
        <v>15</v>
      </c>
      <c r="AO195" s="29">
        <f>I195*0.509429599247101</f>
        <v>0</v>
      </c>
      <c r="AP195" s="29">
        <f>I195*(1-0.509429599247101)</f>
        <v>0</v>
      </c>
      <c r="AQ195" s="30" t="s">
        <v>13</v>
      </c>
      <c r="AV195" s="29">
        <f t="shared" si="212"/>
        <v>0</v>
      </c>
      <c r="AW195" s="29">
        <f t="shared" si="213"/>
        <v>0</v>
      </c>
      <c r="AX195" s="29">
        <f t="shared" si="214"/>
        <v>0</v>
      </c>
      <c r="AY195" s="32" t="s">
        <v>2911</v>
      </c>
      <c r="AZ195" s="32" t="s">
        <v>2942</v>
      </c>
      <c r="BA195" s="28" t="s">
        <v>2957</v>
      </c>
      <c r="BC195" s="29">
        <f t="shared" si="215"/>
        <v>0</v>
      </c>
      <c r="BD195" s="29">
        <f t="shared" si="216"/>
        <v>0</v>
      </c>
      <c r="BE195" s="29">
        <v>0</v>
      </c>
      <c r="BF195" s="29">
        <f>195</f>
        <v>195</v>
      </c>
      <c r="BH195" s="15">
        <f t="shared" si="217"/>
        <v>0</v>
      </c>
      <c r="BI195" s="15">
        <f t="shared" si="218"/>
        <v>0</v>
      </c>
      <c r="BJ195" s="15">
        <f t="shared" si="219"/>
        <v>0</v>
      </c>
      <c r="BK195" s="15" t="s">
        <v>2969</v>
      </c>
      <c r="BL195" s="29">
        <v>712</v>
      </c>
    </row>
    <row r="196" spans="1:64" ht="12.75">
      <c r="A196" s="4" t="s">
        <v>158</v>
      </c>
      <c r="B196" s="94" t="s">
        <v>1159</v>
      </c>
      <c r="C196" s="152" t="s">
        <v>2116</v>
      </c>
      <c r="D196" s="153"/>
      <c r="E196" s="153"/>
      <c r="F196" s="153"/>
      <c r="G196" s="94" t="s">
        <v>2849</v>
      </c>
      <c r="H196" s="73">
        <v>10.889</v>
      </c>
      <c r="I196" s="105">
        <v>0</v>
      </c>
      <c r="J196" s="15">
        <f t="shared" si="198"/>
        <v>0</v>
      </c>
      <c r="K196" s="15">
        <f t="shared" si="199"/>
        <v>0</v>
      </c>
      <c r="L196" s="15">
        <f t="shared" si="200"/>
        <v>0</v>
      </c>
      <c r="M196" s="25" t="s">
        <v>2872</v>
      </c>
      <c r="N196" s="5"/>
      <c r="Z196" s="29">
        <f t="shared" si="201"/>
        <v>0</v>
      </c>
      <c r="AB196" s="29">
        <f t="shared" si="202"/>
        <v>0</v>
      </c>
      <c r="AC196" s="29">
        <f t="shared" si="203"/>
        <v>0</v>
      </c>
      <c r="AD196" s="29">
        <f t="shared" si="204"/>
        <v>0</v>
      </c>
      <c r="AE196" s="29">
        <f t="shared" si="205"/>
        <v>0</v>
      </c>
      <c r="AF196" s="29">
        <f t="shared" si="206"/>
        <v>0</v>
      </c>
      <c r="AG196" s="29">
        <f t="shared" si="207"/>
        <v>0</v>
      </c>
      <c r="AH196" s="29">
        <f t="shared" si="208"/>
        <v>0</v>
      </c>
      <c r="AI196" s="28" t="s">
        <v>2882</v>
      </c>
      <c r="AJ196" s="15">
        <f t="shared" si="209"/>
        <v>0</v>
      </c>
      <c r="AK196" s="15">
        <f t="shared" si="210"/>
        <v>0</v>
      </c>
      <c r="AL196" s="15">
        <f t="shared" si="211"/>
        <v>0</v>
      </c>
      <c r="AN196" s="29">
        <v>15</v>
      </c>
      <c r="AO196" s="29">
        <f>I196*0.624967155800795</f>
        <v>0</v>
      </c>
      <c r="AP196" s="29">
        <f>I196*(1-0.624967155800795)</f>
        <v>0</v>
      </c>
      <c r="AQ196" s="30" t="s">
        <v>13</v>
      </c>
      <c r="AV196" s="29">
        <f t="shared" si="212"/>
        <v>0</v>
      </c>
      <c r="AW196" s="29">
        <f t="shared" si="213"/>
        <v>0</v>
      </c>
      <c r="AX196" s="29">
        <f t="shared" si="214"/>
        <v>0</v>
      </c>
      <c r="AY196" s="32" t="s">
        <v>2911</v>
      </c>
      <c r="AZ196" s="32" t="s">
        <v>2942</v>
      </c>
      <c r="BA196" s="28" t="s">
        <v>2957</v>
      </c>
      <c r="BC196" s="29">
        <f t="shared" si="215"/>
        <v>0</v>
      </c>
      <c r="BD196" s="29">
        <f t="shared" si="216"/>
        <v>0</v>
      </c>
      <c r="BE196" s="29">
        <v>0</v>
      </c>
      <c r="BF196" s="29">
        <f>196</f>
        <v>196</v>
      </c>
      <c r="BH196" s="15">
        <f t="shared" si="217"/>
        <v>0</v>
      </c>
      <c r="BI196" s="15">
        <f t="shared" si="218"/>
        <v>0</v>
      </c>
      <c r="BJ196" s="15">
        <f t="shared" si="219"/>
        <v>0</v>
      </c>
      <c r="BK196" s="15" t="s">
        <v>2969</v>
      </c>
      <c r="BL196" s="29">
        <v>712</v>
      </c>
    </row>
    <row r="197" spans="1:64" ht="12.75">
      <c r="A197" s="4" t="s">
        <v>159</v>
      </c>
      <c r="B197" s="94" t="s">
        <v>1160</v>
      </c>
      <c r="C197" s="152" t="s">
        <v>2117</v>
      </c>
      <c r="D197" s="153"/>
      <c r="E197" s="153"/>
      <c r="F197" s="153"/>
      <c r="G197" s="94" t="s">
        <v>2851</v>
      </c>
      <c r="H197" s="73">
        <v>223.285</v>
      </c>
      <c r="I197" s="105">
        <v>0</v>
      </c>
      <c r="J197" s="15">
        <f t="shared" si="198"/>
        <v>0</v>
      </c>
      <c r="K197" s="15">
        <f t="shared" si="199"/>
        <v>0</v>
      </c>
      <c r="L197" s="15">
        <f t="shared" si="200"/>
        <v>0</v>
      </c>
      <c r="M197" s="25" t="s">
        <v>2872</v>
      </c>
      <c r="N197" s="5"/>
      <c r="Z197" s="29">
        <f t="shared" si="201"/>
        <v>0</v>
      </c>
      <c r="AB197" s="29">
        <f t="shared" si="202"/>
        <v>0</v>
      </c>
      <c r="AC197" s="29">
        <f t="shared" si="203"/>
        <v>0</v>
      </c>
      <c r="AD197" s="29">
        <f t="shared" si="204"/>
        <v>0</v>
      </c>
      <c r="AE197" s="29">
        <f t="shared" si="205"/>
        <v>0</v>
      </c>
      <c r="AF197" s="29">
        <f t="shared" si="206"/>
        <v>0</v>
      </c>
      <c r="AG197" s="29">
        <f t="shared" si="207"/>
        <v>0</v>
      </c>
      <c r="AH197" s="29">
        <f t="shared" si="208"/>
        <v>0</v>
      </c>
      <c r="AI197" s="28" t="s">
        <v>2882</v>
      </c>
      <c r="AJ197" s="15">
        <f t="shared" si="209"/>
        <v>0</v>
      </c>
      <c r="AK197" s="15">
        <f t="shared" si="210"/>
        <v>0</v>
      </c>
      <c r="AL197" s="15">
        <f t="shared" si="211"/>
        <v>0</v>
      </c>
      <c r="AN197" s="29">
        <v>15</v>
      </c>
      <c r="AO197" s="29">
        <f>I197*0.65409595018718</f>
        <v>0</v>
      </c>
      <c r="AP197" s="29">
        <f>I197*(1-0.65409595018718)</f>
        <v>0</v>
      </c>
      <c r="AQ197" s="30" t="s">
        <v>13</v>
      </c>
      <c r="AV197" s="29">
        <f t="shared" si="212"/>
        <v>0</v>
      </c>
      <c r="AW197" s="29">
        <f t="shared" si="213"/>
        <v>0</v>
      </c>
      <c r="AX197" s="29">
        <f t="shared" si="214"/>
        <v>0</v>
      </c>
      <c r="AY197" s="32" t="s">
        <v>2911</v>
      </c>
      <c r="AZ197" s="32" t="s">
        <v>2942</v>
      </c>
      <c r="BA197" s="28" t="s">
        <v>2957</v>
      </c>
      <c r="BC197" s="29">
        <f t="shared" si="215"/>
        <v>0</v>
      </c>
      <c r="BD197" s="29">
        <f t="shared" si="216"/>
        <v>0</v>
      </c>
      <c r="BE197" s="29">
        <v>0</v>
      </c>
      <c r="BF197" s="29">
        <f>197</f>
        <v>197</v>
      </c>
      <c r="BH197" s="15">
        <f t="shared" si="217"/>
        <v>0</v>
      </c>
      <c r="BI197" s="15">
        <f t="shared" si="218"/>
        <v>0</v>
      </c>
      <c r="BJ197" s="15">
        <f t="shared" si="219"/>
        <v>0</v>
      </c>
      <c r="BK197" s="15" t="s">
        <v>2969</v>
      </c>
      <c r="BL197" s="29">
        <v>712</v>
      </c>
    </row>
    <row r="198" spans="1:64" ht="12.75">
      <c r="A198" s="4" t="s">
        <v>160</v>
      </c>
      <c r="B198" s="94" t="s">
        <v>1161</v>
      </c>
      <c r="C198" s="152" t="s">
        <v>2118</v>
      </c>
      <c r="D198" s="153"/>
      <c r="E198" s="153"/>
      <c r="F198" s="153"/>
      <c r="G198" s="94" t="s">
        <v>2848</v>
      </c>
      <c r="H198" s="73">
        <v>1.132</v>
      </c>
      <c r="I198" s="105">
        <v>0</v>
      </c>
      <c r="J198" s="15">
        <f t="shared" si="198"/>
        <v>0</v>
      </c>
      <c r="K198" s="15">
        <f t="shared" si="199"/>
        <v>0</v>
      </c>
      <c r="L198" s="15">
        <f t="shared" si="200"/>
        <v>0</v>
      </c>
      <c r="M198" s="25" t="s">
        <v>2872</v>
      </c>
      <c r="N198" s="5"/>
      <c r="Z198" s="29">
        <f t="shared" si="201"/>
        <v>0</v>
      </c>
      <c r="AB198" s="29">
        <f t="shared" si="202"/>
        <v>0</v>
      </c>
      <c r="AC198" s="29">
        <f t="shared" si="203"/>
        <v>0</v>
      </c>
      <c r="AD198" s="29">
        <f t="shared" si="204"/>
        <v>0</v>
      </c>
      <c r="AE198" s="29">
        <f t="shared" si="205"/>
        <v>0</v>
      </c>
      <c r="AF198" s="29">
        <f t="shared" si="206"/>
        <v>0</v>
      </c>
      <c r="AG198" s="29">
        <f t="shared" si="207"/>
        <v>0</v>
      </c>
      <c r="AH198" s="29">
        <f t="shared" si="208"/>
        <v>0</v>
      </c>
      <c r="AI198" s="28" t="s">
        <v>2882</v>
      </c>
      <c r="AJ198" s="15">
        <f t="shared" si="209"/>
        <v>0</v>
      </c>
      <c r="AK198" s="15">
        <f t="shared" si="210"/>
        <v>0</v>
      </c>
      <c r="AL198" s="15">
        <f t="shared" si="211"/>
        <v>0</v>
      </c>
      <c r="AN198" s="29">
        <v>15</v>
      </c>
      <c r="AO198" s="29">
        <f>I198*0</f>
        <v>0</v>
      </c>
      <c r="AP198" s="29">
        <f>I198*(1-0)</f>
        <v>0</v>
      </c>
      <c r="AQ198" s="30" t="s">
        <v>11</v>
      </c>
      <c r="AV198" s="29">
        <f t="shared" si="212"/>
        <v>0</v>
      </c>
      <c r="AW198" s="29">
        <f t="shared" si="213"/>
        <v>0</v>
      </c>
      <c r="AX198" s="29">
        <f t="shared" si="214"/>
        <v>0</v>
      </c>
      <c r="AY198" s="32" t="s">
        <v>2911</v>
      </c>
      <c r="AZ198" s="32" t="s">
        <v>2942</v>
      </c>
      <c r="BA198" s="28" t="s">
        <v>2957</v>
      </c>
      <c r="BC198" s="29">
        <f t="shared" si="215"/>
        <v>0</v>
      </c>
      <c r="BD198" s="29">
        <f t="shared" si="216"/>
        <v>0</v>
      </c>
      <c r="BE198" s="29">
        <v>0</v>
      </c>
      <c r="BF198" s="29">
        <f>198</f>
        <v>198</v>
      </c>
      <c r="BH198" s="15">
        <f t="shared" si="217"/>
        <v>0</v>
      </c>
      <c r="BI198" s="15">
        <f t="shared" si="218"/>
        <v>0</v>
      </c>
      <c r="BJ198" s="15">
        <f t="shared" si="219"/>
        <v>0</v>
      </c>
      <c r="BK198" s="15" t="s">
        <v>2969</v>
      </c>
      <c r="BL198" s="29">
        <v>712</v>
      </c>
    </row>
    <row r="199" spans="1:47" ht="12.75">
      <c r="A199" s="3"/>
      <c r="B199" s="97" t="s">
        <v>719</v>
      </c>
      <c r="C199" s="161" t="s">
        <v>2119</v>
      </c>
      <c r="D199" s="162"/>
      <c r="E199" s="162"/>
      <c r="F199" s="162"/>
      <c r="G199" s="13" t="s">
        <v>6</v>
      </c>
      <c r="H199" s="13" t="s">
        <v>6</v>
      </c>
      <c r="I199" s="13" t="s">
        <v>6</v>
      </c>
      <c r="J199" s="34">
        <f>SUM(J200:J223)</f>
        <v>0</v>
      </c>
      <c r="K199" s="34">
        <f>SUM(K200:K223)</f>
        <v>0</v>
      </c>
      <c r="L199" s="34">
        <f>SUM(L200:L223)</f>
        <v>0</v>
      </c>
      <c r="M199" s="24"/>
      <c r="N199" s="5"/>
      <c r="AI199" s="28" t="s">
        <v>2882</v>
      </c>
      <c r="AS199" s="34">
        <f>SUM(AJ200:AJ223)</f>
        <v>0</v>
      </c>
      <c r="AT199" s="34">
        <f>SUM(AK200:AK223)</f>
        <v>0</v>
      </c>
      <c r="AU199" s="34">
        <f>SUM(AL200:AL223)</f>
        <v>0</v>
      </c>
    </row>
    <row r="200" spans="1:64" ht="12.75">
      <c r="A200" s="4" t="s">
        <v>161</v>
      </c>
      <c r="B200" s="94" t="s">
        <v>1162</v>
      </c>
      <c r="C200" s="152" t="s">
        <v>2120</v>
      </c>
      <c r="D200" s="153"/>
      <c r="E200" s="153"/>
      <c r="F200" s="153"/>
      <c r="G200" s="94" t="s">
        <v>2849</v>
      </c>
      <c r="H200" s="73">
        <v>141.503</v>
      </c>
      <c r="I200" s="105">
        <v>0</v>
      </c>
      <c r="J200" s="15">
        <f aca="true" t="shared" si="220" ref="J200:J223">H200*AO200</f>
        <v>0</v>
      </c>
      <c r="K200" s="15">
        <f aca="true" t="shared" si="221" ref="K200:K223">H200*AP200</f>
        <v>0</v>
      </c>
      <c r="L200" s="15">
        <f aca="true" t="shared" si="222" ref="L200:L223">H200*I200</f>
        <v>0</v>
      </c>
      <c r="M200" s="25" t="s">
        <v>2872</v>
      </c>
      <c r="N200" s="5"/>
      <c r="Z200" s="29">
        <f aca="true" t="shared" si="223" ref="Z200:Z223">IF(AQ200="5",BJ200,0)</f>
        <v>0</v>
      </c>
      <c r="AB200" s="29">
        <f aca="true" t="shared" si="224" ref="AB200:AB223">IF(AQ200="1",BH200,0)</f>
        <v>0</v>
      </c>
      <c r="AC200" s="29">
        <f aca="true" t="shared" si="225" ref="AC200:AC223">IF(AQ200="1",BI200,0)</f>
        <v>0</v>
      </c>
      <c r="AD200" s="29">
        <f aca="true" t="shared" si="226" ref="AD200:AD223">IF(AQ200="7",BH200,0)</f>
        <v>0</v>
      </c>
      <c r="AE200" s="29">
        <f aca="true" t="shared" si="227" ref="AE200:AE223">IF(AQ200="7",BI200,0)</f>
        <v>0</v>
      </c>
      <c r="AF200" s="29">
        <f aca="true" t="shared" si="228" ref="AF200:AF223">IF(AQ200="2",BH200,0)</f>
        <v>0</v>
      </c>
      <c r="AG200" s="29">
        <f aca="true" t="shared" si="229" ref="AG200:AG223">IF(AQ200="2",BI200,0)</f>
        <v>0</v>
      </c>
      <c r="AH200" s="29">
        <f aca="true" t="shared" si="230" ref="AH200:AH223">IF(AQ200="0",BJ200,0)</f>
        <v>0</v>
      </c>
      <c r="AI200" s="28" t="s">
        <v>2882</v>
      </c>
      <c r="AJ200" s="15">
        <f aca="true" t="shared" si="231" ref="AJ200:AJ223">IF(AN200=0,L200,0)</f>
        <v>0</v>
      </c>
      <c r="AK200" s="15">
        <f aca="true" t="shared" si="232" ref="AK200:AK223">IF(AN200=15,L200,0)</f>
        <v>0</v>
      </c>
      <c r="AL200" s="15">
        <f aca="true" t="shared" si="233" ref="AL200:AL223">IF(AN200=21,L200,0)</f>
        <v>0</v>
      </c>
      <c r="AN200" s="29">
        <v>15</v>
      </c>
      <c r="AO200" s="29">
        <f>I200*0</f>
        <v>0</v>
      </c>
      <c r="AP200" s="29">
        <f>I200*(1-0)</f>
        <v>0</v>
      </c>
      <c r="AQ200" s="30" t="s">
        <v>13</v>
      </c>
      <c r="AV200" s="29">
        <f aca="true" t="shared" si="234" ref="AV200:AV223">AW200+AX200</f>
        <v>0</v>
      </c>
      <c r="AW200" s="29">
        <f aca="true" t="shared" si="235" ref="AW200:AW223">H200*AO200</f>
        <v>0</v>
      </c>
      <c r="AX200" s="29">
        <f aca="true" t="shared" si="236" ref="AX200:AX223">H200*AP200</f>
        <v>0</v>
      </c>
      <c r="AY200" s="32" t="s">
        <v>2912</v>
      </c>
      <c r="AZ200" s="32" t="s">
        <v>2942</v>
      </c>
      <c r="BA200" s="28" t="s">
        <v>2957</v>
      </c>
      <c r="BC200" s="29">
        <f aca="true" t="shared" si="237" ref="BC200:BC223">AW200+AX200</f>
        <v>0</v>
      </c>
      <c r="BD200" s="29">
        <f aca="true" t="shared" si="238" ref="BD200:BD223">I200/(100-BE200)*100</f>
        <v>0</v>
      </c>
      <c r="BE200" s="29">
        <v>0</v>
      </c>
      <c r="BF200" s="29">
        <f>200</f>
        <v>200</v>
      </c>
      <c r="BH200" s="15">
        <f aca="true" t="shared" si="239" ref="BH200:BH223">H200*AO200</f>
        <v>0</v>
      </c>
      <c r="BI200" s="15">
        <f aca="true" t="shared" si="240" ref="BI200:BI223">H200*AP200</f>
        <v>0</v>
      </c>
      <c r="BJ200" s="15">
        <f aca="true" t="shared" si="241" ref="BJ200:BJ223">H200*I200</f>
        <v>0</v>
      </c>
      <c r="BK200" s="15" t="s">
        <v>2969</v>
      </c>
      <c r="BL200" s="29">
        <v>713</v>
      </c>
    </row>
    <row r="201" spans="1:64" ht="12.75">
      <c r="A201" s="6" t="s">
        <v>162</v>
      </c>
      <c r="B201" s="98" t="s">
        <v>1163</v>
      </c>
      <c r="C201" s="163" t="s">
        <v>2121</v>
      </c>
      <c r="D201" s="164"/>
      <c r="E201" s="164"/>
      <c r="F201" s="164"/>
      <c r="G201" s="98" t="s">
        <v>2849</v>
      </c>
      <c r="H201" s="76">
        <v>148.578</v>
      </c>
      <c r="I201" s="106">
        <v>0</v>
      </c>
      <c r="J201" s="16">
        <f t="shared" si="220"/>
        <v>0</v>
      </c>
      <c r="K201" s="16">
        <f t="shared" si="221"/>
        <v>0</v>
      </c>
      <c r="L201" s="16">
        <f t="shared" si="222"/>
        <v>0</v>
      </c>
      <c r="M201" s="26" t="s">
        <v>2872</v>
      </c>
      <c r="N201" s="5"/>
      <c r="Z201" s="29">
        <f t="shared" si="223"/>
        <v>0</v>
      </c>
      <c r="AB201" s="29">
        <f t="shared" si="224"/>
        <v>0</v>
      </c>
      <c r="AC201" s="29">
        <f t="shared" si="225"/>
        <v>0</v>
      </c>
      <c r="AD201" s="29">
        <f t="shared" si="226"/>
        <v>0</v>
      </c>
      <c r="AE201" s="29">
        <f t="shared" si="227"/>
        <v>0</v>
      </c>
      <c r="AF201" s="29">
        <f t="shared" si="228"/>
        <v>0</v>
      </c>
      <c r="AG201" s="29">
        <f t="shared" si="229"/>
        <v>0</v>
      </c>
      <c r="AH201" s="29">
        <f t="shared" si="230"/>
        <v>0</v>
      </c>
      <c r="AI201" s="28" t="s">
        <v>2882</v>
      </c>
      <c r="AJ201" s="16">
        <f t="shared" si="231"/>
        <v>0</v>
      </c>
      <c r="AK201" s="16">
        <f t="shared" si="232"/>
        <v>0</v>
      </c>
      <c r="AL201" s="16">
        <f t="shared" si="233"/>
        <v>0</v>
      </c>
      <c r="AN201" s="29">
        <v>15</v>
      </c>
      <c r="AO201" s="29">
        <f>I201*1</f>
        <v>0</v>
      </c>
      <c r="AP201" s="29">
        <f>I201*(1-1)</f>
        <v>0</v>
      </c>
      <c r="AQ201" s="31" t="s">
        <v>13</v>
      </c>
      <c r="AV201" s="29">
        <f t="shared" si="234"/>
        <v>0</v>
      </c>
      <c r="AW201" s="29">
        <f t="shared" si="235"/>
        <v>0</v>
      </c>
      <c r="AX201" s="29">
        <f t="shared" si="236"/>
        <v>0</v>
      </c>
      <c r="AY201" s="32" t="s">
        <v>2912</v>
      </c>
      <c r="AZ201" s="32" t="s">
        <v>2942</v>
      </c>
      <c r="BA201" s="28" t="s">
        <v>2957</v>
      </c>
      <c r="BC201" s="29">
        <f t="shared" si="237"/>
        <v>0</v>
      </c>
      <c r="BD201" s="29">
        <f t="shared" si="238"/>
        <v>0</v>
      </c>
      <c r="BE201" s="29">
        <v>0</v>
      </c>
      <c r="BF201" s="29">
        <f>201</f>
        <v>201</v>
      </c>
      <c r="BH201" s="16">
        <f t="shared" si="239"/>
        <v>0</v>
      </c>
      <c r="BI201" s="16">
        <f t="shared" si="240"/>
        <v>0</v>
      </c>
      <c r="BJ201" s="16">
        <f t="shared" si="241"/>
        <v>0</v>
      </c>
      <c r="BK201" s="16" t="s">
        <v>2970</v>
      </c>
      <c r="BL201" s="29">
        <v>713</v>
      </c>
    </row>
    <row r="202" spans="1:64" ht="12.75">
      <c r="A202" s="4" t="s">
        <v>163</v>
      </c>
      <c r="B202" s="94" t="s">
        <v>1162</v>
      </c>
      <c r="C202" s="152" t="s">
        <v>2122</v>
      </c>
      <c r="D202" s="153"/>
      <c r="E202" s="153"/>
      <c r="F202" s="153"/>
      <c r="G202" s="94" t="s">
        <v>2849</v>
      </c>
      <c r="H202" s="73">
        <v>188.67</v>
      </c>
      <c r="I202" s="105">
        <v>0</v>
      </c>
      <c r="J202" s="15">
        <f t="shared" si="220"/>
        <v>0</v>
      </c>
      <c r="K202" s="15">
        <f t="shared" si="221"/>
        <v>0</v>
      </c>
      <c r="L202" s="15">
        <f t="shared" si="222"/>
        <v>0</v>
      </c>
      <c r="M202" s="25" t="s">
        <v>2872</v>
      </c>
      <c r="N202" s="5"/>
      <c r="Z202" s="29">
        <f t="shared" si="223"/>
        <v>0</v>
      </c>
      <c r="AB202" s="29">
        <f t="shared" si="224"/>
        <v>0</v>
      </c>
      <c r="AC202" s="29">
        <f t="shared" si="225"/>
        <v>0</v>
      </c>
      <c r="AD202" s="29">
        <f t="shared" si="226"/>
        <v>0</v>
      </c>
      <c r="AE202" s="29">
        <f t="shared" si="227"/>
        <v>0</v>
      </c>
      <c r="AF202" s="29">
        <f t="shared" si="228"/>
        <v>0</v>
      </c>
      <c r="AG202" s="29">
        <f t="shared" si="229"/>
        <v>0</v>
      </c>
      <c r="AH202" s="29">
        <f t="shared" si="230"/>
        <v>0</v>
      </c>
      <c r="AI202" s="28" t="s">
        <v>2882</v>
      </c>
      <c r="AJ202" s="15">
        <f t="shared" si="231"/>
        <v>0</v>
      </c>
      <c r="AK202" s="15">
        <f t="shared" si="232"/>
        <v>0</v>
      </c>
      <c r="AL202" s="15">
        <f t="shared" si="233"/>
        <v>0</v>
      </c>
      <c r="AN202" s="29">
        <v>15</v>
      </c>
      <c r="AO202" s="29">
        <f>I202*0</f>
        <v>0</v>
      </c>
      <c r="AP202" s="29">
        <f>I202*(1-0)</f>
        <v>0</v>
      </c>
      <c r="AQ202" s="30" t="s">
        <v>13</v>
      </c>
      <c r="AV202" s="29">
        <f t="shared" si="234"/>
        <v>0</v>
      </c>
      <c r="AW202" s="29">
        <f t="shared" si="235"/>
        <v>0</v>
      </c>
      <c r="AX202" s="29">
        <f t="shared" si="236"/>
        <v>0</v>
      </c>
      <c r="AY202" s="32" t="s">
        <v>2912</v>
      </c>
      <c r="AZ202" s="32" t="s">
        <v>2942</v>
      </c>
      <c r="BA202" s="28" t="s">
        <v>2957</v>
      </c>
      <c r="BC202" s="29">
        <f t="shared" si="237"/>
        <v>0</v>
      </c>
      <c r="BD202" s="29">
        <f t="shared" si="238"/>
        <v>0</v>
      </c>
      <c r="BE202" s="29">
        <v>0</v>
      </c>
      <c r="BF202" s="29">
        <f>202</f>
        <v>202</v>
      </c>
      <c r="BH202" s="15">
        <f t="shared" si="239"/>
        <v>0</v>
      </c>
      <c r="BI202" s="15">
        <f t="shared" si="240"/>
        <v>0</v>
      </c>
      <c r="BJ202" s="15">
        <f t="shared" si="241"/>
        <v>0</v>
      </c>
      <c r="BK202" s="15" t="s">
        <v>2969</v>
      </c>
      <c r="BL202" s="29">
        <v>713</v>
      </c>
    </row>
    <row r="203" spans="1:64" ht="12.75">
      <c r="A203" s="6" t="s">
        <v>164</v>
      </c>
      <c r="B203" s="98" t="s">
        <v>1164</v>
      </c>
      <c r="C203" s="163" t="s">
        <v>2123</v>
      </c>
      <c r="D203" s="164"/>
      <c r="E203" s="164"/>
      <c r="F203" s="164"/>
      <c r="G203" s="98" t="s">
        <v>2849</v>
      </c>
      <c r="H203" s="76">
        <v>198.104</v>
      </c>
      <c r="I203" s="106">
        <v>0</v>
      </c>
      <c r="J203" s="16">
        <f t="shared" si="220"/>
        <v>0</v>
      </c>
      <c r="K203" s="16">
        <f t="shared" si="221"/>
        <v>0</v>
      </c>
      <c r="L203" s="16">
        <f t="shared" si="222"/>
        <v>0</v>
      </c>
      <c r="M203" s="26" t="s">
        <v>2872</v>
      </c>
      <c r="N203" s="5"/>
      <c r="Z203" s="29">
        <f t="shared" si="223"/>
        <v>0</v>
      </c>
      <c r="AB203" s="29">
        <f t="shared" si="224"/>
        <v>0</v>
      </c>
      <c r="AC203" s="29">
        <f t="shared" si="225"/>
        <v>0</v>
      </c>
      <c r="AD203" s="29">
        <f t="shared" si="226"/>
        <v>0</v>
      </c>
      <c r="AE203" s="29">
        <f t="shared" si="227"/>
        <v>0</v>
      </c>
      <c r="AF203" s="29">
        <f t="shared" si="228"/>
        <v>0</v>
      </c>
      <c r="AG203" s="29">
        <f t="shared" si="229"/>
        <v>0</v>
      </c>
      <c r="AH203" s="29">
        <f t="shared" si="230"/>
        <v>0</v>
      </c>
      <c r="AI203" s="28" t="s">
        <v>2882</v>
      </c>
      <c r="AJ203" s="16">
        <f t="shared" si="231"/>
        <v>0</v>
      </c>
      <c r="AK203" s="16">
        <f t="shared" si="232"/>
        <v>0</v>
      </c>
      <c r="AL203" s="16">
        <f t="shared" si="233"/>
        <v>0</v>
      </c>
      <c r="AN203" s="29">
        <v>15</v>
      </c>
      <c r="AO203" s="29">
        <f>I203*1</f>
        <v>0</v>
      </c>
      <c r="AP203" s="29">
        <f>I203*(1-1)</f>
        <v>0</v>
      </c>
      <c r="AQ203" s="31" t="s">
        <v>13</v>
      </c>
      <c r="AV203" s="29">
        <f t="shared" si="234"/>
        <v>0</v>
      </c>
      <c r="AW203" s="29">
        <f t="shared" si="235"/>
        <v>0</v>
      </c>
      <c r="AX203" s="29">
        <f t="shared" si="236"/>
        <v>0</v>
      </c>
      <c r="AY203" s="32" t="s">
        <v>2912</v>
      </c>
      <c r="AZ203" s="32" t="s">
        <v>2942</v>
      </c>
      <c r="BA203" s="28" t="s">
        <v>2957</v>
      </c>
      <c r="BC203" s="29">
        <f t="shared" si="237"/>
        <v>0</v>
      </c>
      <c r="BD203" s="29">
        <f t="shared" si="238"/>
        <v>0</v>
      </c>
      <c r="BE203" s="29">
        <v>0</v>
      </c>
      <c r="BF203" s="29">
        <f>203</f>
        <v>203</v>
      </c>
      <c r="BH203" s="16">
        <f t="shared" si="239"/>
        <v>0</v>
      </c>
      <c r="BI203" s="16">
        <f t="shared" si="240"/>
        <v>0</v>
      </c>
      <c r="BJ203" s="16">
        <f t="shared" si="241"/>
        <v>0</v>
      </c>
      <c r="BK203" s="16" t="s">
        <v>2970</v>
      </c>
      <c r="BL203" s="29">
        <v>713</v>
      </c>
    </row>
    <row r="204" spans="1:64" ht="12.75">
      <c r="A204" s="4" t="s">
        <v>165</v>
      </c>
      <c r="B204" s="94" t="s">
        <v>1165</v>
      </c>
      <c r="C204" s="152" t="s">
        <v>2124</v>
      </c>
      <c r="D204" s="153"/>
      <c r="E204" s="153"/>
      <c r="F204" s="153"/>
      <c r="G204" s="94" t="s">
        <v>2849</v>
      </c>
      <c r="H204" s="73">
        <v>181.67</v>
      </c>
      <c r="I204" s="105">
        <v>0</v>
      </c>
      <c r="J204" s="15">
        <f t="shared" si="220"/>
        <v>0</v>
      </c>
      <c r="K204" s="15">
        <f t="shared" si="221"/>
        <v>0</v>
      </c>
      <c r="L204" s="15">
        <f t="shared" si="222"/>
        <v>0</v>
      </c>
      <c r="M204" s="25" t="s">
        <v>2872</v>
      </c>
      <c r="N204" s="5"/>
      <c r="Z204" s="29">
        <f t="shared" si="223"/>
        <v>0</v>
      </c>
      <c r="AB204" s="29">
        <f t="shared" si="224"/>
        <v>0</v>
      </c>
      <c r="AC204" s="29">
        <f t="shared" si="225"/>
        <v>0</v>
      </c>
      <c r="AD204" s="29">
        <f t="shared" si="226"/>
        <v>0</v>
      </c>
      <c r="AE204" s="29">
        <f t="shared" si="227"/>
        <v>0</v>
      </c>
      <c r="AF204" s="29">
        <f t="shared" si="228"/>
        <v>0</v>
      </c>
      <c r="AG204" s="29">
        <f t="shared" si="229"/>
        <v>0</v>
      </c>
      <c r="AH204" s="29">
        <f t="shared" si="230"/>
        <v>0</v>
      </c>
      <c r="AI204" s="28" t="s">
        <v>2882</v>
      </c>
      <c r="AJ204" s="15">
        <f t="shared" si="231"/>
        <v>0</v>
      </c>
      <c r="AK204" s="15">
        <f t="shared" si="232"/>
        <v>0</v>
      </c>
      <c r="AL204" s="15">
        <f t="shared" si="233"/>
        <v>0</v>
      </c>
      <c r="AN204" s="29">
        <v>15</v>
      </c>
      <c r="AO204" s="29">
        <f>I204*0.769999845331203</f>
        <v>0</v>
      </c>
      <c r="AP204" s="29">
        <f>I204*(1-0.769999845331203)</f>
        <v>0</v>
      </c>
      <c r="AQ204" s="30" t="s">
        <v>13</v>
      </c>
      <c r="AV204" s="29">
        <f t="shared" si="234"/>
        <v>0</v>
      </c>
      <c r="AW204" s="29">
        <f t="shared" si="235"/>
        <v>0</v>
      </c>
      <c r="AX204" s="29">
        <f t="shared" si="236"/>
        <v>0</v>
      </c>
      <c r="AY204" s="32" t="s">
        <v>2912</v>
      </c>
      <c r="AZ204" s="32" t="s">
        <v>2942</v>
      </c>
      <c r="BA204" s="28" t="s">
        <v>2957</v>
      </c>
      <c r="BC204" s="29">
        <f t="shared" si="237"/>
        <v>0</v>
      </c>
      <c r="BD204" s="29">
        <f t="shared" si="238"/>
        <v>0</v>
      </c>
      <c r="BE204" s="29">
        <v>0</v>
      </c>
      <c r="BF204" s="29">
        <f>204</f>
        <v>204</v>
      </c>
      <c r="BH204" s="15">
        <f t="shared" si="239"/>
        <v>0</v>
      </c>
      <c r="BI204" s="15">
        <f t="shared" si="240"/>
        <v>0</v>
      </c>
      <c r="BJ204" s="15">
        <f t="shared" si="241"/>
        <v>0</v>
      </c>
      <c r="BK204" s="15" t="s">
        <v>2969</v>
      </c>
      <c r="BL204" s="29">
        <v>713</v>
      </c>
    </row>
    <row r="205" spans="1:64" ht="12.75">
      <c r="A205" s="4" t="s">
        <v>166</v>
      </c>
      <c r="B205" s="94" t="s">
        <v>1166</v>
      </c>
      <c r="C205" s="152" t="s">
        <v>2125</v>
      </c>
      <c r="D205" s="153"/>
      <c r="E205" s="153"/>
      <c r="F205" s="153"/>
      <c r="G205" s="94" t="s">
        <v>2851</v>
      </c>
      <c r="H205" s="73">
        <v>484.94</v>
      </c>
      <c r="I205" s="105">
        <v>0</v>
      </c>
      <c r="J205" s="15">
        <f t="shared" si="220"/>
        <v>0</v>
      </c>
      <c r="K205" s="15">
        <f t="shared" si="221"/>
        <v>0</v>
      </c>
      <c r="L205" s="15">
        <f t="shared" si="222"/>
        <v>0</v>
      </c>
      <c r="M205" s="25" t="s">
        <v>2872</v>
      </c>
      <c r="N205" s="5"/>
      <c r="Z205" s="29">
        <f t="shared" si="223"/>
        <v>0</v>
      </c>
      <c r="AB205" s="29">
        <f t="shared" si="224"/>
        <v>0</v>
      </c>
      <c r="AC205" s="29">
        <f t="shared" si="225"/>
        <v>0</v>
      </c>
      <c r="AD205" s="29">
        <f t="shared" si="226"/>
        <v>0</v>
      </c>
      <c r="AE205" s="29">
        <f t="shared" si="227"/>
        <v>0</v>
      </c>
      <c r="AF205" s="29">
        <f t="shared" si="228"/>
        <v>0</v>
      </c>
      <c r="AG205" s="29">
        <f t="shared" si="229"/>
        <v>0</v>
      </c>
      <c r="AH205" s="29">
        <f t="shared" si="230"/>
        <v>0</v>
      </c>
      <c r="AI205" s="28" t="s">
        <v>2882</v>
      </c>
      <c r="AJ205" s="15">
        <f t="shared" si="231"/>
        <v>0</v>
      </c>
      <c r="AK205" s="15">
        <f t="shared" si="232"/>
        <v>0</v>
      </c>
      <c r="AL205" s="15">
        <f t="shared" si="233"/>
        <v>0</v>
      </c>
      <c r="AN205" s="29">
        <v>15</v>
      </c>
      <c r="AO205" s="29">
        <f>I205*0.604333482213031</f>
        <v>0</v>
      </c>
      <c r="AP205" s="29">
        <f>I205*(1-0.604333482213031)</f>
        <v>0</v>
      </c>
      <c r="AQ205" s="30" t="s">
        <v>13</v>
      </c>
      <c r="AV205" s="29">
        <f t="shared" si="234"/>
        <v>0</v>
      </c>
      <c r="AW205" s="29">
        <f t="shared" si="235"/>
        <v>0</v>
      </c>
      <c r="AX205" s="29">
        <f t="shared" si="236"/>
        <v>0</v>
      </c>
      <c r="AY205" s="32" t="s">
        <v>2912</v>
      </c>
      <c r="AZ205" s="32" t="s">
        <v>2942</v>
      </c>
      <c r="BA205" s="28" t="s">
        <v>2957</v>
      </c>
      <c r="BC205" s="29">
        <f t="shared" si="237"/>
        <v>0</v>
      </c>
      <c r="BD205" s="29">
        <f t="shared" si="238"/>
        <v>0</v>
      </c>
      <c r="BE205" s="29">
        <v>0</v>
      </c>
      <c r="BF205" s="29">
        <f>205</f>
        <v>205</v>
      </c>
      <c r="BH205" s="15">
        <f t="shared" si="239"/>
        <v>0</v>
      </c>
      <c r="BI205" s="15">
        <f t="shared" si="240"/>
        <v>0</v>
      </c>
      <c r="BJ205" s="15">
        <f t="shared" si="241"/>
        <v>0</v>
      </c>
      <c r="BK205" s="15" t="s">
        <v>2969</v>
      </c>
      <c r="BL205" s="29">
        <v>713</v>
      </c>
    </row>
    <row r="206" spans="1:64" ht="12.75">
      <c r="A206" s="4" t="s">
        <v>167</v>
      </c>
      <c r="B206" s="94" t="s">
        <v>1167</v>
      </c>
      <c r="C206" s="152" t="s">
        <v>2126</v>
      </c>
      <c r="D206" s="153"/>
      <c r="E206" s="153"/>
      <c r="F206" s="153"/>
      <c r="G206" s="94" t="s">
        <v>2849</v>
      </c>
      <c r="H206" s="73">
        <v>188.67</v>
      </c>
      <c r="I206" s="105">
        <v>0</v>
      </c>
      <c r="J206" s="15">
        <f t="shared" si="220"/>
        <v>0</v>
      </c>
      <c r="K206" s="15">
        <f t="shared" si="221"/>
        <v>0</v>
      </c>
      <c r="L206" s="15">
        <f t="shared" si="222"/>
        <v>0</v>
      </c>
      <c r="M206" s="25" t="s">
        <v>2872</v>
      </c>
      <c r="N206" s="5"/>
      <c r="Z206" s="29">
        <f t="shared" si="223"/>
        <v>0</v>
      </c>
      <c r="AB206" s="29">
        <f t="shared" si="224"/>
        <v>0</v>
      </c>
      <c r="AC206" s="29">
        <f t="shared" si="225"/>
        <v>0</v>
      </c>
      <c r="AD206" s="29">
        <f t="shared" si="226"/>
        <v>0</v>
      </c>
      <c r="AE206" s="29">
        <f t="shared" si="227"/>
        <v>0</v>
      </c>
      <c r="AF206" s="29">
        <f t="shared" si="228"/>
        <v>0</v>
      </c>
      <c r="AG206" s="29">
        <f t="shared" si="229"/>
        <v>0</v>
      </c>
      <c r="AH206" s="29">
        <f t="shared" si="230"/>
        <v>0</v>
      </c>
      <c r="AI206" s="28" t="s">
        <v>2882</v>
      </c>
      <c r="AJ206" s="15">
        <f t="shared" si="231"/>
        <v>0</v>
      </c>
      <c r="AK206" s="15">
        <f t="shared" si="232"/>
        <v>0</v>
      </c>
      <c r="AL206" s="15">
        <f t="shared" si="233"/>
        <v>0</v>
      </c>
      <c r="AN206" s="29">
        <v>15</v>
      </c>
      <c r="AO206" s="29">
        <f>I206*0</f>
        <v>0</v>
      </c>
      <c r="AP206" s="29">
        <f>I206*(1-0)</f>
        <v>0</v>
      </c>
      <c r="AQ206" s="30" t="s">
        <v>13</v>
      </c>
      <c r="AV206" s="29">
        <f t="shared" si="234"/>
        <v>0</v>
      </c>
      <c r="AW206" s="29">
        <f t="shared" si="235"/>
        <v>0</v>
      </c>
      <c r="AX206" s="29">
        <f t="shared" si="236"/>
        <v>0</v>
      </c>
      <c r="AY206" s="32" t="s">
        <v>2912</v>
      </c>
      <c r="AZ206" s="32" t="s">
        <v>2942</v>
      </c>
      <c r="BA206" s="28" t="s">
        <v>2957</v>
      </c>
      <c r="BC206" s="29">
        <f t="shared" si="237"/>
        <v>0</v>
      </c>
      <c r="BD206" s="29">
        <f t="shared" si="238"/>
        <v>0</v>
      </c>
      <c r="BE206" s="29">
        <v>0</v>
      </c>
      <c r="BF206" s="29">
        <f>206</f>
        <v>206</v>
      </c>
      <c r="BH206" s="15">
        <f t="shared" si="239"/>
        <v>0</v>
      </c>
      <c r="BI206" s="15">
        <f t="shared" si="240"/>
        <v>0</v>
      </c>
      <c r="BJ206" s="15">
        <f t="shared" si="241"/>
        <v>0</v>
      </c>
      <c r="BK206" s="15" t="s">
        <v>2969</v>
      </c>
      <c r="BL206" s="29">
        <v>713</v>
      </c>
    </row>
    <row r="207" spans="1:64" ht="12.75">
      <c r="A207" s="6" t="s">
        <v>168</v>
      </c>
      <c r="B207" s="98" t="s">
        <v>1164</v>
      </c>
      <c r="C207" s="163" t="s">
        <v>2123</v>
      </c>
      <c r="D207" s="164"/>
      <c r="E207" s="164"/>
      <c r="F207" s="164"/>
      <c r="G207" s="98" t="s">
        <v>2849</v>
      </c>
      <c r="H207" s="76">
        <v>198.104</v>
      </c>
      <c r="I207" s="106">
        <v>0</v>
      </c>
      <c r="J207" s="16">
        <f t="shared" si="220"/>
        <v>0</v>
      </c>
      <c r="K207" s="16">
        <f t="shared" si="221"/>
        <v>0</v>
      </c>
      <c r="L207" s="16">
        <f t="shared" si="222"/>
        <v>0</v>
      </c>
      <c r="M207" s="26" t="s">
        <v>2872</v>
      </c>
      <c r="N207" s="5"/>
      <c r="Z207" s="29">
        <f t="shared" si="223"/>
        <v>0</v>
      </c>
      <c r="AB207" s="29">
        <f t="shared" si="224"/>
        <v>0</v>
      </c>
      <c r="AC207" s="29">
        <f t="shared" si="225"/>
        <v>0</v>
      </c>
      <c r="AD207" s="29">
        <f t="shared" si="226"/>
        <v>0</v>
      </c>
      <c r="AE207" s="29">
        <f t="shared" si="227"/>
        <v>0</v>
      </c>
      <c r="AF207" s="29">
        <f t="shared" si="228"/>
        <v>0</v>
      </c>
      <c r="AG207" s="29">
        <f t="shared" si="229"/>
        <v>0</v>
      </c>
      <c r="AH207" s="29">
        <f t="shared" si="230"/>
        <v>0</v>
      </c>
      <c r="AI207" s="28" t="s">
        <v>2882</v>
      </c>
      <c r="AJ207" s="16">
        <f t="shared" si="231"/>
        <v>0</v>
      </c>
      <c r="AK207" s="16">
        <f t="shared" si="232"/>
        <v>0</v>
      </c>
      <c r="AL207" s="16">
        <f t="shared" si="233"/>
        <v>0</v>
      </c>
      <c r="AN207" s="29">
        <v>15</v>
      </c>
      <c r="AO207" s="29">
        <f>I207*1</f>
        <v>0</v>
      </c>
      <c r="AP207" s="29">
        <f>I207*(1-1)</f>
        <v>0</v>
      </c>
      <c r="AQ207" s="31" t="s">
        <v>13</v>
      </c>
      <c r="AV207" s="29">
        <f t="shared" si="234"/>
        <v>0</v>
      </c>
      <c r="AW207" s="29">
        <f t="shared" si="235"/>
        <v>0</v>
      </c>
      <c r="AX207" s="29">
        <f t="shared" si="236"/>
        <v>0</v>
      </c>
      <c r="AY207" s="32" t="s">
        <v>2912</v>
      </c>
      <c r="AZ207" s="32" t="s">
        <v>2942</v>
      </c>
      <c r="BA207" s="28" t="s">
        <v>2957</v>
      </c>
      <c r="BC207" s="29">
        <f t="shared" si="237"/>
        <v>0</v>
      </c>
      <c r="BD207" s="29">
        <f t="shared" si="238"/>
        <v>0</v>
      </c>
      <c r="BE207" s="29">
        <v>0</v>
      </c>
      <c r="BF207" s="29">
        <f>207</f>
        <v>207</v>
      </c>
      <c r="BH207" s="16">
        <f t="shared" si="239"/>
        <v>0</v>
      </c>
      <c r="BI207" s="16">
        <f t="shared" si="240"/>
        <v>0</v>
      </c>
      <c r="BJ207" s="16">
        <f t="shared" si="241"/>
        <v>0</v>
      </c>
      <c r="BK207" s="16" t="s">
        <v>2970</v>
      </c>
      <c r="BL207" s="29">
        <v>713</v>
      </c>
    </row>
    <row r="208" spans="1:64" ht="12.75">
      <c r="A208" s="6" t="s">
        <v>169</v>
      </c>
      <c r="B208" s="98" t="s">
        <v>1168</v>
      </c>
      <c r="C208" s="163" t="s">
        <v>2127</v>
      </c>
      <c r="D208" s="164"/>
      <c r="E208" s="164"/>
      <c r="F208" s="164"/>
      <c r="G208" s="98" t="s">
        <v>2849</v>
      </c>
      <c r="H208" s="76">
        <v>198.104</v>
      </c>
      <c r="I208" s="106">
        <v>0</v>
      </c>
      <c r="J208" s="16">
        <f t="shared" si="220"/>
        <v>0</v>
      </c>
      <c r="K208" s="16">
        <f t="shared" si="221"/>
        <v>0</v>
      </c>
      <c r="L208" s="16">
        <f t="shared" si="222"/>
        <v>0</v>
      </c>
      <c r="M208" s="26" t="s">
        <v>2872</v>
      </c>
      <c r="N208" s="5"/>
      <c r="Z208" s="29">
        <f t="shared" si="223"/>
        <v>0</v>
      </c>
      <c r="AB208" s="29">
        <f t="shared" si="224"/>
        <v>0</v>
      </c>
      <c r="AC208" s="29">
        <f t="shared" si="225"/>
        <v>0</v>
      </c>
      <c r="AD208" s="29">
        <f t="shared" si="226"/>
        <v>0</v>
      </c>
      <c r="AE208" s="29">
        <f t="shared" si="227"/>
        <v>0</v>
      </c>
      <c r="AF208" s="29">
        <f t="shared" si="228"/>
        <v>0</v>
      </c>
      <c r="AG208" s="29">
        <f t="shared" si="229"/>
        <v>0</v>
      </c>
      <c r="AH208" s="29">
        <f t="shared" si="230"/>
        <v>0</v>
      </c>
      <c r="AI208" s="28" t="s">
        <v>2882</v>
      </c>
      <c r="AJ208" s="16">
        <f t="shared" si="231"/>
        <v>0</v>
      </c>
      <c r="AK208" s="16">
        <f t="shared" si="232"/>
        <v>0</v>
      </c>
      <c r="AL208" s="16">
        <f t="shared" si="233"/>
        <v>0</v>
      </c>
      <c r="AN208" s="29">
        <v>15</v>
      </c>
      <c r="AO208" s="29">
        <f>I208*1</f>
        <v>0</v>
      </c>
      <c r="AP208" s="29">
        <f>I208*(1-1)</f>
        <v>0</v>
      </c>
      <c r="AQ208" s="31" t="s">
        <v>13</v>
      </c>
      <c r="AV208" s="29">
        <f t="shared" si="234"/>
        <v>0</v>
      </c>
      <c r="AW208" s="29">
        <f t="shared" si="235"/>
        <v>0</v>
      </c>
      <c r="AX208" s="29">
        <f t="shared" si="236"/>
        <v>0</v>
      </c>
      <c r="AY208" s="32" t="s">
        <v>2912</v>
      </c>
      <c r="AZ208" s="32" t="s">
        <v>2942</v>
      </c>
      <c r="BA208" s="28" t="s">
        <v>2957</v>
      </c>
      <c r="BC208" s="29">
        <f t="shared" si="237"/>
        <v>0</v>
      </c>
      <c r="BD208" s="29">
        <f t="shared" si="238"/>
        <v>0</v>
      </c>
      <c r="BE208" s="29">
        <v>0</v>
      </c>
      <c r="BF208" s="29">
        <f>208</f>
        <v>208</v>
      </c>
      <c r="BH208" s="16">
        <f t="shared" si="239"/>
        <v>0</v>
      </c>
      <c r="BI208" s="16">
        <f t="shared" si="240"/>
        <v>0</v>
      </c>
      <c r="BJ208" s="16">
        <f t="shared" si="241"/>
        <v>0</v>
      </c>
      <c r="BK208" s="16" t="s">
        <v>2970</v>
      </c>
      <c r="BL208" s="29">
        <v>713</v>
      </c>
    </row>
    <row r="209" spans="1:64" ht="12.75">
      <c r="A209" s="4" t="s">
        <v>170</v>
      </c>
      <c r="B209" s="94" t="s">
        <v>1169</v>
      </c>
      <c r="C209" s="152" t="s">
        <v>2128</v>
      </c>
      <c r="D209" s="153"/>
      <c r="E209" s="153"/>
      <c r="F209" s="153"/>
      <c r="G209" s="94" t="s">
        <v>2849</v>
      </c>
      <c r="H209" s="73">
        <v>181.67</v>
      </c>
      <c r="I209" s="105">
        <v>0</v>
      </c>
      <c r="J209" s="15">
        <f t="shared" si="220"/>
        <v>0</v>
      </c>
      <c r="K209" s="15">
        <f t="shared" si="221"/>
        <v>0</v>
      </c>
      <c r="L209" s="15">
        <f t="shared" si="222"/>
        <v>0</v>
      </c>
      <c r="M209" s="25" t="s">
        <v>2872</v>
      </c>
      <c r="N209" s="5"/>
      <c r="Z209" s="29">
        <f t="shared" si="223"/>
        <v>0</v>
      </c>
      <c r="AB209" s="29">
        <f t="shared" si="224"/>
        <v>0</v>
      </c>
      <c r="AC209" s="29">
        <f t="shared" si="225"/>
        <v>0</v>
      </c>
      <c r="AD209" s="29">
        <f t="shared" si="226"/>
        <v>0</v>
      </c>
      <c r="AE209" s="29">
        <f t="shared" si="227"/>
        <v>0</v>
      </c>
      <c r="AF209" s="29">
        <f t="shared" si="228"/>
        <v>0</v>
      </c>
      <c r="AG209" s="29">
        <f t="shared" si="229"/>
        <v>0</v>
      </c>
      <c r="AH209" s="29">
        <f t="shared" si="230"/>
        <v>0</v>
      </c>
      <c r="AI209" s="28" t="s">
        <v>2882</v>
      </c>
      <c r="AJ209" s="15">
        <f t="shared" si="231"/>
        <v>0</v>
      </c>
      <c r="AK209" s="15">
        <f t="shared" si="232"/>
        <v>0</v>
      </c>
      <c r="AL209" s="15">
        <f t="shared" si="233"/>
        <v>0</v>
      </c>
      <c r="AN209" s="29">
        <v>15</v>
      </c>
      <c r="AO209" s="29">
        <f>I209*0</f>
        <v>0</v>
      </c>
      <c r="AP209" s="29">
        <f>I209*(1-0)</f>
        <v>0</v>
      </c>
      <c r="AQ209" s="30" t="s">
        <v>13</v>
      </c>
      <c r="AV209" s="29">
        <f t="shared" si="234"/>
        <v>0</v>
      </c>
      <c r="AW209" s="29">
        <f t="shared" si="235"/>
        <v>0</v>
      </c>
      <c r="AX209" s="29">
        <f t="shared" si="236"/>
        <v>0</v>
      </c>
      <c r="AY209" s="32" t="s">
        <v>2912</v>
      </c>
      <c r="AZ209" s="32" t="s">
        <v>2942</v>
      </c>
      <c r="BA209" s="28" t="s">
        <v>2957</v>
      </c>
      <c r="BC209" s="29">
        <f t="shared" si="237"/>
        <v>0</v>
      </c>
      <c r="BD209" s="29">
        <f t="shared" si="238"/>
        <v>0</v>
      </c>
      <c r="BE209" s="29">
        <v>0</v>
      </c>
      <c r="BF209" s="29">
        <f>209</f>
        <v>209</v>
      </c>
      <c r="BH209" s="15">
        <f t="shared" si="239"/>
        <v>0</v>
      </c>
      <c r="BI209" s="15">
        <f t="shared" si="240"/>
        <v>0</v>
      </c>
      <c r="BJ209" s="15">
        <f t="shared" si="241"/>
        <v>0</v>
      </c>
      <c r="BK209" s="15" t="s">
        <v>2969</v>
      </c>
      <c r="BL209" s="29">
        <v>713</v>
      </c>
    </row>
    <row r="210" spans="1:64" ht="12.75">
      <c r="A210" s="6" t="s">
        <v>171</v>
      </c>
      <c r="B210" s="98" t="s">
        <v>1170</v>
      </c>
      <c r="C210" s="163" t="s">
        <v>2129</v>
      </c>
      <c r="D210" s="164"/>
      <c r="E210" s="164"/>
      <c r="F210" s="164"/>
      <c r="G210" s="98" t="s">
        <v>2849</v>
      </c>
      <c r="H210" s="76">
        <v>190.754</v>
      </c>
      <c r="I210" s="106">
        <v>0</v>
      </c>
      <c r="J210" s="16">
        <f t="shared" si="220"/>
        <v>0</v>
      </c>
      <c r="K210" s="16">
        <f t="shared" si="221"/>
        <v>0</v>
      </c>
      <c r="L210" s="16">
        <f t="shared" si="222"/>
        <v>0</v>
      </c>
      <c r="M210" s="26" t="s">
        <v>2872</v>
      </c>
      <c r="N210" s="5"/>
      <c r="Z210" s="29">
        <f t="shared" si="223"/>
        <v>0</v>
      </c>
      <c r="AB210" s="29">
        <f t="shared" si="224"/>
        <v>0</v>
      </c>
      <c r="AC210" s="29">
        <f t="shared" si="225"/>
        <v>0</v>
      </c>
      <c r="AD210" s="29">
        <f t="shared" si="226"/>
        <v>0</v>
      </c>
      <c r="AE210" s="29">
        <f t="shared" si="227"/>
        <v>0</v>
      </c>
      <c r="AF210" s="29">
        <f t="shared" si="228"/>
        <v>0</v>
      </c>
      <c r="AG210" s="29">
        <f t="shared" si="229"/>
        <v>0</v>
      </c>
      <c r="AH210" s="29">
        <f t="shared" si="230"/>
        <v>0</v>
      </c>
      <c r="AI210" s="28" t="s">
        <v>2882</v>
      </c>
      <c r="AJ210" s="16">
        <f t="shared" si="231"/>
        <v>0</v>
      </c>
      <c r="AK210" s="16">
        <f t="shared" si="232"/>
        <v>0</v>
      </c>
      <c r="AL210" s="16">
        <f t="shared" si="233"/>
        <v>0</v>
      </c>
      <c r="AN210" s="29">
        <v>15</v>
      </c>
      <c r="AO210" s="29">
        <f>I210*1</f>
        <v>0</v>
      </c>
      <c r="AP210" s="29">
        <f>I210*(1-1)</f>
        <v>0</v>
      </c>
      <c r="AQ210" s="31" t="s">
        <v>13</v>
      </c>
      <c r="AV210" s="29">
        <f t="shared" si="234"/>
        <v>0</v>
      </c>
      <c r="AW210" s="29">
        <f t="shared" si="235"/>
        <v>0</v>
      </c>
      <c r="AX210" s="29">
        <f t="shared" si="236"/>
        <v>0</v>
      </c>
      <c r="AY210" s="32" t="s">
        <v>2912</v>
      </c>
      <c r="AZ210" s="32" t="s">
        <v>2942</v>
      </c>
      <c r="BA210" s="28" t="s">
        <v>2957</v>
      </c>
      <c r="BC210" s="29">
        <f t="shared" si="237"/>
        <v>0</v>
      </c>
      <c r="BD210" s="29">
        <f t="shared" si="238"/>
        <v>0</v>
      </c>
      <c r="BE210" s="29">
        <v>0</v>
      </c>
      <c r="BF210" s="29">
        <f>210</f>
        <v>210</v>
      </c>
      <c r="BH210" s="16">
        <f t="shared" si="239"/>
        <v>0</v>
      </c>
      <c r="BI210" s="16">
        <f t="shared" si="240"/>
        <v>0</v>
      </c>
      <c r="BJ210" s="16">
        <f t="shared" si="241"/>
        <v>0</v>
      </c>
      <c r="BK210" s="16" t="s">
        <v>2970</v>
      </c>
      <c r="BL210" s="29">
        <v>713</v>
      </c>
    </row>
    <row r="211" spans="1:64" ht="12.75">
      <c r="A211" s="4" t="s">
        <v>172</v>
      </c>
      <c r="B211" s="94" t="s">
        <v>1171</v>
      </c>
      <c r="C211" s="152" t="s">
        <v>2130</v>
      </c>
      <c r="D211" s="153"/>
      <c r="E211" s="153"/>
      <c r="F211" s="153"/>
      <c r="G211" s="94" t="s">
        <v>2849</v>
      </c>
      <c r="H211" s="73">
        <v>65.67</v>
      </c>
      <c r="I211" s="105">
        <v>0</v>
      </c>
      <c r="J211" s="15">
        <f t="shared" si="220"/>
        <v>0</v>
      </c>
      <c r="K211" s="15">
        <f t="shared" si="221"/>
        <v>0</v>
      </c>
      <c r="L211" s="15">
        <f t="shared" si="222"/>
        <v>0</v>
      </c>
      <c r="M211" s="25" t="s">
        <v>2872</v>
      </c>
      <c r="N211" s="5"/>
      <c r="Z211" s="29">
        <f t="shared" si="223"/>
        <v>0</v>
      </c>
      <c r="AB211" s="29">
        <f t="shared" si="224"/>
        <v>0</v>
      </c>
      <c r="AC211" s="29">
        <f t="shared" si="225"/>
        <v>0</v>
      </c>
      <c r="AD211" s="29">
        <f t="shared" si="226"/>
        <v>0</v>
      </c>
      <c r="AE211" s="29">
        <f t="shared" si="227"/>
        <v>0</v>
      </c>
      <c r="AF211" s="29">
        <f t="shared" si="228"/>
        <v>0</v>
      </c>
      <c r="AG211" s="29">
        <f t="shared" si="229"/>
        <v>0</v>
      </c>
      <c r="AH211" s="29">
        <f t="shared" si="230"/>
        <v>0</v>
      </c>
      <c r="AI211" s="28" t="s">
        <v>2882</v>
      </c>
      <c r="AJ211" s="15">
        <f t="shared" si="231"/>
        <v>0</v>
      </c>
      <c r="AK211" s="15">
        <f t="shared" si="232"/>
        <v>0</v>
      </c>
      <c r="AL211" s="15">
        <f t="shared" si="233"/>
        <v>0</v>
      </c>
      <c r="AN211" s="29">
        <v>15</v>
      </c>
      <c r="AO211" s="29">
        <f>I211*0.205629562307388</f>
        <v>0</v>
      </c>
      <c r="AP211" s="29">
        <f>I211*(1-0.205629562307388)</f>
        <v>0</v>
      </c>
      <c r="AQ211" s="30" t="s">
        <v>13</v>
      </c>
      <c r="AV211" s="29">
        <f t="shared" si="234"/>
        <v>0</v>
      </c>
      <c r="AW211" s="29">
        <f t="shared" si="235"/>
        <v>0</v>
      </c>
      <c r="AX211" s="29">
        <f t="shared" si="236"/>
        <v>0</v>
      </c>
      <c r="AY211" s="32" t="s">
        <v>2912</v>
      </c>
      <c r="AZ211" s="32" t="s">
        <v>2942</v>
      </c>
      <c r="BA211" s="28" t="s">
        <v>2957</v>
      </c>
      <c r="BC211" s="29">
        <f t="shared" si="237"/>
        <v>0</v>
      </c>
      <c r="BD211" s="29">
        <f t="shared" si="238"/>
        <v>0</v>
      </c>
      <c r="BE211" s="29">
        <v>0</v>
      </c>
      <c r="BF211" s="29">
        <f>211</f>
        <v>211</v>
      </c>
      <c r="BH211" s="15">
        <f t="shared" si="239"/>
        <v>0</v>
      </c>
      <c r="BI211" s="15">
        <f t="shared" si="240"/>
        <v>0</v>
      </c>
      <c r="BJ211" s="15">
        <f t="shared" si="241"/>
        <v>0</v>
      </c>
      <c r="BK211" s="15" t="s">
        <v>2969</v>
      </c>
      <c r="BL211" s="29">
        <v>713</v>
      </c>
    </row>
    <row r="212" spans="1:64" ht="12.75">
      <c r="A212" s="6" t="s">
        <v>173</v>
      </c>
      <c r="B212" s="98" t="s">
        <v>1172</v>
      </c>
      <c r="C212" s="163" t="s">
        <v>2131</v>
      </c>
      <c r="D212" s="164"/>
      <c r="E212" s="164"/>
      <c r="F212" s="164"/>
      <c r="G212" s="98" t="s">
        <v>2849</v>
      </c>
      <c r="H212" s="76">
        <v>68.954</v>
      </c>
      <c r="I212" s="106">
        <v>0</v>
      </c>
      <c r="J212" s="16">
        <f t="shared" si="220"/>
        <v>0</v>
      </c>
      <c r="K212" s="16">
        <f t="shared" si="221"/>
        <v>0</v>
      </c>
      <c r="L212" s="16">
        <f t="shared" si="222"/>
        <v>0</v>
      </c>
      <c r="M212" s="26" t="s">
        <v>2872</v>
      </c>
      <c r="N212" s="5"/>
      <c r="Z212" s="29">
        <f t="shared" si="223"/>
        <v>0</v>
      </c>
      <c r="AB212" s="29">
        <f t="shared" si="224"/>
        <v>0</v>
      </c>
      <c r="AC212" s="29">
        <f t="shared" si="225"/>
        <v>0</v>
      </c>
      <c r="AD212" s="29">
        <f t="shared" si="226"/>
        <v>0</v>
      </c>
      <c r="AE212" s="29">
        <f t="shared" si="227"/>
        <v>0</v>
      </c>
      <c r="AF212" s="29">
        <f t="shared" si="228"/>
        <v>0</v>
      </c>
      <c r="AG212" s="29">
        <f t="shared" si="229"/>
        <v>0</v>
      </c>
      <c r="AH212" s="29">
        <f t="shared" si="230"/>
        <v>0</v>
      </c>
      <c r="AI212" s="28" t="s">
        <v>2882</v>
      </c>
      <c r="AJ212" s="16">
        <f t="shared" si="231"/>
        <v>0</v>
      </c>
      <c r="AK212" s="16">
        <f t="shared" si="232"/>
        <v>0</v>
      </c>
      <c r="AL212" s="16">
        <f t="shared" si="233"/>
        <v>0</v>
      </c>
      <c r="AN212" s="29">
        <v>15</v>
      </c>
      <c r="AO212" s="29">
        <f>I212*1</f>
        <v>0</v>
      </c>
      <c r="AP212" s="29">
        <f>I212*(1-1)</f>
        <v>0</v>
      </c>
      <c r="AQ212" s="31" t="s">
        <v>13</v>
      </c>
      <c r="AV212" s="29">
        <f t="shared" si="234"/>
        <v>0</v>
      </c>
      <c r="AW212" s="29">
        <f t="shared" si="235"/>
        <v>0</v>
      </c>
      <c r="AX212" s="29">
        <f t="shared" si="236"/>
        <v>0</v>
      </c>
      <c r="AY212" s="32" t="s">
        <v>2912</v>
      </c>
      <c r="AZ212" s="32" t="s">
        <v>2942</v>
      </c>
      <c r="BA212" s="28" t="s">
        <v>2957</v>
      </c>
      <c r="BC212" s="29">
        <f t="shared" si="237"/>
        <v>0</v>
      </c>
      <c r="BD212" s="29">
        <f t="shared" si="238"/>
        <v>0</v>
      </c>
      <c r="BE212" s="29">
        <v>0</v>
      </c>
      <c r="BF212" s="29">
        <f>212</f>
        <v>212</v>
      </c>
      <c r="BH212" s="16">
        <f t="shared" si="239"/>
        <v>0</v>
      </c>
      <c r="BI212" s="16">
        <f t="shared" si="240"/>
        <v>0</v>
      </c>
      <c r="BJ212" s="16">
        <f t="shared" si="241"/>
        <v>0</v>
      </c>
      <c r="BK212" s="16" t="s">
        <v>2970</v>
      </c>
      <c r="BL212" s="29">
        <v>713</v>
      </c>
    </row>
    <row r="213" spans="1:64" ht="12.75">
      <c r="A213" s="4" t="s">
        <v>174</v>
      </c>
      <c r="B213" s="94" t="s">
        <v>1173</v>
      </c>
      <c r="C213" s="152" t="s">
        <v>2132</v>
      </c>
      <c r="D213" s="153"/>
      <c r="E213" s="153"/>
      <c r="F213" s="153"/>
      <c r="G213" s="94" t="s">
        <v>2849</v>
      </c>
      <c r="H213" s="73">
        <v>54.107</v>
      </c>
      <c r="I213" s="105">
        <v>0</v>
      </c>
      <c r="J213" s="15">
        <f t="shared" si="220"/>
        <v>0</v>
      </c>
      <c r="K213" s="15">
        <f t="shared" si="221"/>
        <v>0</v>
      </c>
      <c r="L213" s="15">
        <f t="shared" si="222"/>
        <v>0</v>
      </c>
      <c r="M213" s="25" t="s">
        <v>2872</v>
      </c>
      <c r="N213" s="5"/>
      <c r="Z213" s="29">
        <f t="shared" si="223"/>
        <v>0</v>
      </c>
      <c r="AB213" s="29">
        <f t="shared" si="224"/>
        <v>0</v>
      </c>
      <c r="AC213" s="29">
        <f t="shared" si="225"/>
        <v>0</v>
      </c>
      <c r="AD213" s="29">
        <f t="shared" si="226"/>
        <v>0</v>
      </c>
      <c r="AE213" s="29">
        <f t="shared" si="227"/>
        <v>0</v>
      </c>
      <c r="AF213" s="29">
        <f t="shared" si="228"/>
        <v>0</v>
      </c>
      <c r="AG213" s="29">
        <f t="shared" si="229"/>
        <v>0</v>
      </c>
      <c r="AH213" s="29">
        <f t="shared" si="230"/>
        <v>0</v>
      </c>
      <c r="AI213" s="28" t="s">
        <v>2882</v>
      </c>
      <c r="AJ213" s="15">
        <f t="shared" si="231"/>
        <v>0</v>
      </c>
      <c r="AK213" s="15">
        <f t="shared" si="232"/>
        <v>0</v>
      </c>
      <c r="AL213" s="15">
        <f t="shared" si="233"/>
        <v>0</v>
      </c>
      <c r="AN213" s="29">
        <v>15</v>
      </c>
      <c r="AO213" s="29">
        <f>I213*0.658114770281104</f>
        <v>0</v>
      </c>
      <c r="AP213" s="29">
        <f>I213*(1-0.658114770281104)</f>
        <v>0</v>
      </c>
      <c r="AQ213" s="30" t="s">
        <v>13</v>
      </c>
      <c r="AV213" s="29">
        <f t="shared" si="234"/>
        <v>0</v>
      </c>
      <c r="AW213" s="29">
        <f t="shared" si="235"/>
        <v>0</v>
      </c>
      <c r="AX213" s="29">
        <f t="shared" si="236"/>
        <v>0</v>
      </c>
      <c r="AY213" s="32" t="s">
        <v>2912</v>
      </c>
      <c r="AZ213" s="32" t="s">
        <v>2942</v>
      </c>
      <c r="BA213" s="28" t="s">
        <v>2957</v>
      </c>
      <c r="BC213" s="29">
        <f t="shared" si="237"/>
        <v>0</v>
      </c>
      <c r="BD213" s="29">
        <f t="shared" si="238"/>
        <v>0</v>
      </c>
      <c r="BE213" s="29">
        <v>0</v>
      </c>
      <c r="BF213" s="29">
        <f>213</f>
        <v>213</v>
      </c>
      <c r="BH213" s="15">
        <f t="shared" si="239"/>
        <v>0</v>
      </c>
      <c r="BI213" s="15">
        <f t="shared" si="240"/>
        <v>0</v>
      </c>
      <c r="BJ213" s="15">
        <f t="shared" si="241"/>
        <v>0</v>
      </c>
      <c r="BK213" s="15" t="s">
        <v>2969</v>
      </c>
      <c r="BL213" s="29">
        <v>713</v>
      </c>
    </row>
    <row r="214" spans="1:64" ht="12.75">
      <c r="A214" s="6" t="s">
        <v>175</v>
      </c>
      <c r="B214" s="98" t="s">
        <v>1174</v>
      </c>
      <c r="C214" s="163" t="s">
        <v>2133</v>
      </c>
      <c r="D214" s="164"/>
      <c r="E214" s="164"/>
      <c r="F214" s="164"/>
      <c r="G214" s="98" t="s">
        <v>2849</v>
      </c>
      <c r="H214" s="76">
        <v>56.812</v>
      </c>
      <c r="I214" s="106">
        <v>0</v>
      </c>
      <c r="J214" s="16">
        <f t="shared" si="220"/>
        <v>0</v>
      </c>
      <c r="K214" s="16">
        <f t="shared" si="221"/>
        <v>0</v>
      </c>
      <c r="L214" s="16">
        <f t="shared" si="222"/>
        <v>0</v>
      </c>
      <c r="M214" s="26" t="s">
        <v>2872</v>
      </c>
      <c r="N214" s="5"/>
      <c r="Z214" s="29">
        <f t="shared" si="223"/>
        <v>0</v>
      </c>
      <c r="AB214" s="29">
        <f t="shared" si="224"/>
        <v>0</v>
      </c>
      <c r="AC214" s="29">
        <f t="shared" si="225"/>
        <v>0</v>
      </c>
      <c r="AD214" s="29">
        <f t="shared" si="226"/>
        <v>0</v>
      </c>
      <c r="AE214" s="29">
        <f t="shared" si="227"/>
        <v>0</v>
      </c>
      <c r="AF214" s="29">
        <f t="shared" si="228"/>
        <v>0</v>
      </c>
      <c r="AG214" s="29">
        <f t="shared" si="229"/>
        <v>0</v>
      </c>
      <c r="AH214" s="29">
        <f t="shared" si="230"/>
        <v>0</v>
      </c>
      <c r="AI214" s="28" t="s">
        <v>2882</v>
      </c>
      <c r="AJ214" s="16">
        <f t="shared" si="231"/>
        <v>0</v>
      </c>
      <c r="AK214" s="16">
        <f t="shared" si="232"/>
        <v>0</v>
      </c>
      <c r="AL214" s="16">
        <f t="shared" si="233"/>
        <v>0</v>
      </c>
      <c r="AN214" s="29">
        <v>15</v>
      </c>
      <c r="AO214" s="29">
        <f>I214*1</f>
        <v>0</v>
      </c>
      <c r="AP214" s="29">
        <f>I214*(1-1)</f>
        <v>0</v>
      </c>
      <c r="AQ214" s="31" t="s">
        <v>13</v>
      </c>
      <c r="AV214" s="29">
        <f t="shared" si="234"/>
        <v>0</v>
      </c>
      <c r="AW214" s="29">
        <f t="shared" si="235"/>
        <v>0</v>
      </c>
      <c r="AX214" s="29">
        <f t="shared" si="236"/>
        <v>0</v>
      </c>
      <c r="AY214" s="32" t="s">
        <v>2912</v>
      </c>
      <c r="AZ214" s="32" t="s">
        <v>2942</v>
      </c>
      <c r="BA214" s="28" t="s">
        <v>2957</v>
      </c>
      <c r="BC214" s="29">
        <f t="shared" si="237"/>
        <v>0</v>
      </c>
      <c r="BD214" s="29">
        <f t="shared" si="238"/>
        <v>0</v>
      </c>
      <c r="BE214" s="29">
        <v>0</v>
      </c>
      <c r="BF214" s="29">
        <f>214</f>
        <v>214</v>
      </c>
      <c r="BH214" s="16">
        <f t="shared" si="239"/>
        <v>0</v>
      </c>
      <c r="BI214" s="16">
        <f t="shared" si="240"/>
        <v>0</v>
      </c>
      <c r="BJ214" s="16">
        <f t="shared" si="241"/>
        <v>0</v>
      </c>
      <c r="BK214" s="16" t="s">
        <v>2970</v>
      </c>
      <c r="BL214" s="29">
        <v>713</v>
      </c>
    </row>
    <row r="215" spans="1:64" ht="12.75">
      <c r="A215" s="4" t="s">
        <v>176</v>
      </c>
      <c r="B215" s="94" t="s">
        <v>1175</v>
      </c>
      <c r="C215" s="152" t="s">
        <v>2134</v>
      </c>
      <c r="D215" s="153"/>
      <c r="E215" s="153"/>
      <c r="F215" s="153"/>
      <c r="G215" s="94" t="s">
        <v>2849</v>
      </c>
      <c r="H215" s="73">
        <v>19.324</v>
      </c>
      <c r="I215" s="105">
        <v>0</v>
      </c>
      <c r="J215" s="15">
        <f t="shared" si="220"/>
        <v>0</v>
      </c>
      <c r="K215" s="15">
        <f t="shared" si="221"/>
        <v>0</v>
      </c>
      <c r="L215" s="15">
        <f t="shared" si="222"/>
        <v>0</v>
      </c>
      <c r="M215" s="25" t="s">
        <v>2872</v>
      </c>
      <c r="N215" s="5"/>
      <c r="Z215" s="29">
        <f t="shared" si="223"/>
        <v>0</v>
      </c>
      <c r="AB215" s="29">
        <f t="shared" si="224"/>
        <v>0</v>
      </c>
      <c r="AC215" s="29">
        <f t="shared" si="225"/>
        <v>0</v>
      </c>
      <c r="AD215" s="29">
        <f t="shared" si="226"/>
        <v>0</v>
      </c>
      <c r="AE215" s="29">
        <f t="shared" si="227"/>
        <v>0</v>
      </c>
      <c r="AF215" s="29">
        <f t="shared" si="228"/>
        <v>0</v>
      </c>
      <c r="AG215" s="29">
        <f t="shared" si="229"/>
        <v>0</v>
      </c>
      <c r="AH215" s="29">
        <f t="shared" si="230"/>
        <v>0</v>
      </c>
      <c r="AI215" s="28" t="s">
        <v>2882</v>
      </c>
      <c r="AJ215" s="15">
        <f t="shared" si="231"/>
        <v>0</v>
      </c>
      <c r="AK215" s="15">
        <f t="shared" si="232"/>
        <v>0</v>
      </c>
      <c r="AL215" s="15">
        <f t="shared" si="233"/>
        <v>0</v>
      </c>
      <c r="AN215" s="29">
        <v>15</v>
      </c>
      <c r="AO215" s="29">
        <f>I215*0.240475604604381</f>
        <v>0</v>
      </c>
      <c r="AP215" s="29">
        <f>I215*(1-0.240475604604381)</f>
        <v>0</v>
      </c>
      <c r="AQ215" s="30" t="s">
        <v>13</v>
      </c>
      <c r="AV215" s="29">
        <f t="shared" si="234"/>
        <v>0</v>
      </c>
      <c r="AW215" s="29">
        <f t="shared" si="235"/>
        <v>0</v>
      </c>
      <c r="AX215" s="29">
        <f t="shared" si="236"/>
        <v>0</v>
      </c>
      <c r="AY215" s="32" t="s">
        <v>2912</v>
      </c>
      <c r="AZ215" s="32" t="s">
        <v>2942</v>
      </c>
      <c r="BA215" s="28" t="s">
        <v>2957</v>
      </c>
      <c r="BC215" s="29">
        <f t="shared" si="237"/>
        <v>0</v>
      </c>
      <c r="BD215" s="29">
        <f t="shared" si="238"/>
        <v>0</v>
      </c>
      <c r="BE215" s="29">
        <v>0</v>
      </c>
      <c r="BF215" s="29">
        <f>215</f>
        <v>215</v>
      </c>
      <c r="BH215" s="15">
        <f t="shared" si="239"/>
        <v>0</v>
      </c>
      <c r="BI215" s="15">
        <f t="shared" si="240"/>
        <v>0</v>
      </c>
      <c r="BJ215" s="15">
        <f t="shared" si="241"/>
        <v>0</v>
      </c>
      <c r="BK215" s="15" t="s">
        <v>2969</v>
      </c>
      <c r="BL215" s="29">
        <v>713</v>
      </c>
    </row>
    <row r="216" spans="1:64" ht="12.75">
      <c r="A216" s="6" t="s">
        <v>177</v>
      </c>
      <c r="B216" s="98" t="s">
        <v>1176</v>
      </c>
      <c r="C216" s="163" t="s">
        <v>2135</v>
      </c>
      <c r="D216" s="164"/>
      <c r="E216" s="164"/>
      <c r="F216" s="164"/>
      <c r="G216" s="98" t="s">
        <v>2849</v>
      </c>
      <c r="H216" s="76">
        <v>20.29</v>
      </c>
      <c r="I216" s="106">
        <v>0</v>
      </c>
      <c r="J216" s="16">
        <f t="shared" si="220"/>
        <v>0</v>
      </c>
      <c r="K216" s="16">
        <f t="shared" si="221"/>
        <v>0</v>
      </c>
      <c r="L216" s="16">
        <f t="shared" si="222"/>
        <v>0</v>
      </c>
      <c r="M216" s="26" t="s">
        <v>2872</v>
      </c>
      <c r="N216" s="5"/>
      <c r="Z216" s="29">
        <f t="shared" si="223"/>
        <v>0</v>
      </c>
      <c r="AB216" s="29">
        <f t="shared" si="224"/>
        <v>0</v>
      </c>
      <c r="AC216" s="29">
        <f t="shared" si="225"/>
        <v>0</v>
      </c>
      <c r="AD216" s="29">
        <f t="shared" si="226"/>
        <v>0</v>
      </c>
      <c r="AE216" s="29">
        <f t="shared" si="227"/>
        <v>0</v>
      </c>
      <c r="AF216" s="29">
        <f t="shared" si="228"/>
        <v>0</v>
      </c>
      <c r="AG216" s="29">
        <f t="shared" si="229"/>
        <v>0</v>
      </c>
      <c r="AH216" s="29">
        <f t="shared" si="230"/>
        <v>0</v>
      </c>
      <c r="AI216" s="28" t="s">
        <v>2882</v>
      </c>
      <c r="AJ216" s="16">
        <f t="shared" si="231"/>
        <v>0</v>
      </c>
      <c r="AK216" s="16">
        <f t="shared" si="232"/>
        <v>0</v>
      </c>
      <c r="AL216" s="16">
        <f t="shared" si="233"/>
        <v>0</v>
      </c>
      <c r="AN216" s="29">
        <v>15</v>
      </c>
      <c r="AO216" s="29">
        <f>I216*1</f>
        <v>0</v>
      </c>
      <c r="AP216" s="29">
        <f>I216*(1-1)</f>
        <v>0</v>
      </c>
      <c r="AQ216" s="31" t="s">
        <v>13</v>
      </c>
      <c r="AV216" s="29">
        <f t="shared" si="234"/>
        <v>0</v>
      </c>
      <c r="AW216" s="29">
        <f t="shared" si="235"/>
        <v>0</v>
      </c>
      <c r="AX216" s="29">
        <f t="shared" si="236"/>
        <v>0</v>
      </c>
      <c r="AY216" s="32" t="s">
        <v>2912</v>
      </c>
      <c r="AZ216" s="32" t="s">
        <v>2942</v>
      </c>
      <c r="BA216" s="28" t="s">
        <v>2957</v>
      </c>
      <c r="BC216" s="29">
        <f t="shared" si="237"/>
        <v>0</v>
      </c>
      <c r="BD216" s="29">
        <f t="shared" si="238"/>
        <v>0</v>
      </c>
      <c r="BE216" s="29">
        <v>0</v>
      </c>
      <c r="BF216" s="29">
        <f>216</f>
        <v>216</v>
      </c>
      <c r="BH216" s="16">
        <f t="shared" si="239"/>
        <v>0</v>
      </c>
      <c r="BI216" s="16">
        <f t="shared" si="240"/>
        <v>0</v>
      </c>
      <c r="BJ216" s="16">
        <f t="shared" si="241"/>
        <v>0</v>
      </c>
      <c r="BK216" s="16" t="s">
        <v>2970</v>
      </c>
      <c r="BL216" s="29">
        <v>713</v>
      </c>
    </row>
    <row r="217" spans="1:64" ht="12.75">
      <c r="A217" s="4" t="s">
        <v>178</v>
      </c>
      <c r="B217" s="94" t="s">
        <v>1177</v>
      </c>
      <c r="C217" s="152" t="s">
        <v>2136</v>
      </c>
      <c r="D217" s="153"/>
      <c r="E217" s="153"/>
      <c r="F217" s="153"/>
      <c r="G217" s="94" t="s">
        <v>2849</v>
      </c>
      <c r="H217" s="73">
        <v>237.83</v>
      </c>
      <c r="I217" s="105">
        <v>0</v>
      </c>
      <c r="J217" s="15">
        <f t="shared" si="220"/>
        <v>0</v>
      </c>
      <c r="K217" s="15">
        <f t="shared" si="221"/>
        <v>0</v>
      </c>
      <c r="L217" s="15">
        <f t="shared" si="222"/>
        <v>0</v>
      </c>
      <c r="M217" s="25" t="s">
        <v>2872</v>
      </c>
      <c r="N217" s="5"/>
      <c r="Z217" s="29">
        <f t="shared" si="223"/>
        <v>0</v>
      </c>
      <c r="AB217" s="29">
        <f t="shared" si="224"/>
        <v>0</v>
      </c>
      <c r="AC217" s="29">
        <f t="shared" si="225"/>
        <v>0</v>
      </c>
      <c r="AD217" s="29">
        <f t="shared" si="226"/>
        <v>0</v>
      </c>
      <c r="AE217" s="29">
        <f t="shared" si="227"/>
        <v>0</v>
      </c>
      <c r="AF217" s="29">
        <f t="shared" si="228"/>
        <v>0</v>
      </c>
      <c r="AG217" s="29">
        <f t="shared" si="229"/>
        <v>0</v>
      </c>
      <c r="AH217" s="29">
        <f t="shared" si="230"/>
        <v>0</v>
      </c>
      <c r="AI217" s="28" t="s">
        <v>2882</v>
      </c>
      <c r="AJ217" s="15">
        <f t="shared" si="231"/>
        <v>0</v>
      </c>
      <c r="AK217" s="15">
        <f t="shared" si="232"/>
        <v>0</v>
      </c>
      <c r="AL217" s="15">
        <f t="shared" si="233"/>
        <v>0</v>
      </c>
      <c r="AN217" s="29">
        <v>15</v>
      </c>
      <c r="AO217" s="29">
        <f>I217*0.548508791197211</f>
        <v>0</v>
      </c>
      <c r="AP217" s="29">
        <f>I217*(1-0.548508791197211)</f>
        <v>0</v>
      </c>
      <c r="AQ217" s="30" t="s">
        <v>13</v>
      </c>
      <c r="AV217" s="29">
        <f t="shared" si="234"/>
        <v>0</v>
      </c>
      <c r="AW217" s="29">
        <f t="shared" si="235"/>
        <v>0</v>
      </c>
      <c r="AX217" s="29">
        <f t="shared" si="236"/>
        <v>0</v>
      </c>
      <c r="AY217" s="32" t="s">
        <v>2912</v>
      </c>
      <c r="AZ217" s="32" t="s">
        <v>2942</v>
      </c>
      <c r="BA217" s="28" t="s">
        <v>2957</v>
      </c>
      <c r="BC217" s="29">
        <f t="shared" si="237"/>
        <v>0</v>
      </c>
      <c r="BD217" s="29">
        <f t="shared" si="238"/>
        <v>0</v>
      </c>
      <c r="BE217" s="29">
        <v>0</v>
      </c>
      <c r="BF217" s="29">
        <f>217</f>
        <v>217</v>
      </c>
      <c r="BH217" s="15">
        <f t="shared" si="239"/>
        <v>0</v>
      </c>
      <c r="BI217" s="15">
        <f t="shared" si="240"/>
        <v>0</v>
      </c>
      <c r="BJ217" s="15">
        <f t="shared" si="241"/>
        <v>0</v>
      </c>
      <c r="BK217" s="15" t="s">
        <v>2969</v>
      </c>
      <c r="BL217" s="29">
        <v>713</v>
      </c>
    </row>
    <row r="218" spans="1:64" ht="12.75">
      <c r="A218" s="6" t="s">
        <v>179</v>
      </c>
      <c r="B218" s="98" t="s">
        <v>1178</v>
      </c>
      <c r="C218" s="163" t="s">
        <v>2137</v>
      </c>
      <c r="D218" s="164"/>
      <c r="E218" s="164"/>
      <c r="F218" s="164"/>
      <c r="G218" s="98" t="s">
        <v>2849</v>
      </c>
      <c r="H218" s="76">
        <v>249.722</v>
      </c>
      <c r="I218" s="106">
        <v>0</v>
      </c>
      <c r="J218" s="16">
        <f t="shared" si="220"/>
        <v>0</v>
      </c>
      <c r="K218" s="16">
        <f t="shared" si="221"/>
        <v>0</v>
      </c>
      <c r="L218" s="16">
        <f t="shared" si="222"/>
        <v>0</v>
      </c>
      <c r="M218" s="26" t="s">
        <v>2872</v>
      </c>
      <c r="N218" s="5"/>
      <c r="Z218" s="29">
        <f t="shared" si="223"/>
        <v>0</v>
      </c>
      <c r="AB218" s="29">
        <f t="shared" si="224"/>
        <v>0</v>
      </c>
      <c r="AC218" s="29">
        <f t="shared" si="225"/>
        <v>0</v>
      </c>
      <c r="AD218" s="29">
        <f t="shared" si="226"/>
        <v>0</v>
      </c>
      <c r="AE218" s="29">
        <f t="shared" si="227"/>
        <v>0</v>
      </c>
      <c r="AF218" s="29">
        <f t="shared" si="228"/>
        <v>0</v>
      </c>
      <c r="AG218" s="29">
        <f t="shared" si="229"/>
        <v>0</v>
      </c>
      <c r="AH218" s="29">
        <f t="shared" si="230"/>
        <v>0</v>
      </c>
      <c r="AI218" s="28" t="s">
        <v>2882</v>
      </c>
      <c r="AJ218" s="16">
        <f t="shared" si="231"/>
        <v>0</v>
      </c>
      <c r="AK218" s="16">
        <f t="shared" si="232"/>
        <v>0</v>
      </c>
      <c r="AL218" s="16">
        <f t="shared" si="233"/>
        <v>0</v>
      </c>
      <c r="AN218" s="29">
        <v>15</v>
      </c>
      <c r="AO218" s="29">
        <f>I218*1</f>
        <v>0</v>
      </c>
      <c r="AP218" s="29">
        <f>I218*(1-1)</f>
        <v>0</v>
      </c>
      <c r="AQ218" s="31" t="s">
        <v>13</v>
      </c>
      <c r="AV218" s="29">
        <f t="shared" si="234"/>
        <v>0</v>
      </c>
      <c r="AW218" s="29">
        <f t="shared" si="235"/>
        <v>0</v>
      </c>
      <c r="AX218" s="29">
        <f t="shared" si="236"/>
        <v>0</v>
      </c>
      <c r="AY218" s="32" t="s">
        <v>2912</v>
      </c>
      <c r="AZ218" s="32" t="s">
        <v>2942</v>
      </c>
      <c r="BA218" s="28" t="s">
        <v>2957</v>
      </c>
      <c r="BC218" s="29">
        <f t="shared" si="237"/>
        <v>0</v>
      </c>
      <c r="BD218" s="29">
        <f t="shared" si="238"/>
        <v>0</v>
      </c>
      <c r="BE218" s="29">
        <v>0</v>
      </c>
      <c r="BF218" s="29">
        <f>218</f>
        <v>218</v>
      </c>
      <c r="BH218" s="16">
        <f t="shared" si="239"/>
        <v>0</v>
      </c>
      <c r="BI218" s="16">
        <f t="shared" si="240"/>
        <v>0</v>
      </c>
      <c r="BJ218" s="16">
        <f t="shared" si="241"/>
        <v>0</v>
      </c>
      <c r="BK218" s="16" t="s">
        <v>2970</v>
      </c>
      <c r="BL218" s="29">
        <v>713</v>
      </c>
    </row>
    <row r="219" spans="1:64" ht="12.75">
      <c r="A219" s="6" t="s">
        <v>180</v>
      </c>
      <c r="B219" s="98" t="s">
        <v>1179</v>
      </c>
      <c r="C219" s="163" t="s">
        <v>2138</v>
      </c>
      <c r="D219" s="164"/>
      <c r="E219" s="164"/>
      <c r="F219" s="164"/>
      <c r="G219" s="98" t="s">
        <v>2849</v>
      </c>
      <c r="H219" s="76">
        <v>249.722</v>
      </c>
      <c r="I219" s="106">
        <v>0</v>
      </c>
      <c r="J219" s="16">
        <f t="shared" si="220"/>
        <v>0</v>
      </c>
      <c r="K219" s="16">
        <f t="shared" si="221"/>
        <v>0</v>
      </c>
      <c r="L219" s="16">
        <f t="shared" si="222"/>
        <v>0</v>
      </c>
      <c r="M219" s="26" t="s">
        <v>2872</v>
      </c>
      <c r="N219" s="5"/>
      <c r="Z219" s="29">
        <f t="shared" si="223"/>
        <v>0</v>
      </c>
      <c r="AB219" s="29">
        <f t="shared" si="224"/>
        <v>0</v>
      </c>
      <c r="AC219" s="29">
        <f t="shared" si="225"/>
        <v>0</v>
      </c>
      <c r="AD219" s="29">
        <f t="shared" si="226"/>
        <v>0</v>
      </c>
      <c r="AE219" s="29">
        <f t="shared" si="227"/>
        <v>0</v>
      </c>
      <c r="AF219" s="29">
        <f t="shared" si="228"/>
        <v>0</v>
      </c>
      <c r="AG219" s="29">
        <f t="shared" si="229"/>
        <v>0</v>
      </c>
      <c r="AH219" s="29">
        <f t="shared" si="230"/>
        <v>0</v>
      </c>
      <c r="AI219" s="28" t="s">
        <v>2882</v>
      </c>
      <c r="AJ219" s="16">
        <f t="shared" si="231"/>
        <v>0</v>
      </c>
      <c r="AK219" s="16">
        <f t="shared" si="232"/>
        <v>0</v>
      </c>
      <c r="AL219" s="16">
        <f t="shared" si="233"/>
        <v>0</v>
      </c>
      <c r="AN219" s="29">
        <v>15</v>
      </c>
      <c r="AO219" s="29">
        <f>I219*1</f>
        <v>0</v>
      </c>
      <c r="AP219" s="29">
        <f>I219*(1-1)</f>
        <v>0</v>
      </c>
      <c r="AQ219" s="31" t="s">
        <v>13</v>
      </c>
      <c r="AV219" s="29">
        <f t="shared" si="234"/>
        <v>0</v>
      </c>
      <c r="AW219" s="29">
        <f t="shared" si="235"/>
        <v>0</v>
      </c>
      <c r="AX219" s="29">
        <f t="shared" si="236"/>
        <v>0</v>
      </c>
      <c r="AY219" s="32" t="s">
        <v>2912</v>
      </c>
      <c r="AZ219" s="32" t="s">
        <v>2942</v>
      </c>
      <c r="BA219" s="28" t="s">
        <v>2957</v>
      </c>
      <c r="BC219" s="29">
        <f t="shared" si="237"/>
        <v>0</v>
      </c>
      <c r="BD219" s="29">
        <f t="shared" si="238"/>
        <v>0</v>
      </c>
      <c r="BE219" s="29">
        <v>0</v>
      </c>
      <c r="BF219" s="29">
        <f>219</f>
        <v>219</v>
      </c>
      <c r="BH219" s="16">
        <f t="shared" si="239"/>
        <v>0</v>
      </c>
      <c r="BI219" s="16">
        <f t="shared" si="240"/>
        <v>0</v>
      </c>
      <c r="BJ219" s="16">
        <f t="shared" si="241"/>
        <v>0</v>
      </c>
      <c r="BK219" s="16" t="s">
        <v>2970</v>
      </c>
      <c r="BL219" s="29">
        <v>713</v>
      </c>
    </row>
    <row r="220" spans="1:64" ht="12.75">
      <c r="A220" s="4" t="s">
        <v>181</v>
      </c>
      <c r="B220" s="94" t="s">
        <v>1180</v>
      </c>
      <c r="C220" s="152" t="s">
        <v>2139</v>
      </c>
      <c r="D220" s="153"/>
      <c r="E220" s="153"/>
      <c r="F220" s="153"/>
      <c r="G220" s="94" t="s">
        <v>2849</v>
      </c>
      <c r="H220" s="73">
        <v>237.83</v>
      </c>
      <c r="I220" s="105">
        <v>0</v>
      </c>
      <c r="J220" s="15">
        <f t="shared" si="220"/>
        <v>0</v>
      </c>
      <c r="K220" s="15">
        <f t="shared" si="221"/>
        <v>0</v>
      </c>
      <c r="L220" s="15">
        <f t="shared" si="222"/>
        <v>0</v>
      </c>
      <c r="M220" s="25" t="s">
        <v>2872</v>
      </c>
      <c r="N220" s="5"/>
      <c r="Z220" s="29">
        <f t="shared" si="223"/>
        <v>0</v>
      </c>
      <c r="AB220" s="29">
        <f t="shared" si="224"/>
        <v>0</v>
      </c>
      <c r="AC220" s="29">
        <f t="shared" si="225"/>
        <v>0</v>
      </c>
      <c r="AD220" s="29">
        <f t="shared" si="226"/>
        <v>0</v>
      </c>
      <c r="AE220" s="29">
        <f t="shared" si="227"/>
        <v>0</v>
      </c>
      <c r="AF220" s="29">
        <f t="shared" si="228"/>
        <v>0</v>
      </c>
      <c r="AG220" s="29">
        <f t="shared" si="229"/>
        <v>0</v>
      </c>
      <c r="AH220" s="29">
        <f t="shared" si="230"/>
        <v>0</v>
      </c>
      <c r="AI220" s="28" t="s">
        <v>2882</v>
      </c>
      <c r="AJ220" s="15">
        <f t="shared" si="231"/>
        <v>0</v>
      </c>
      <c r="AK220" s="15">
        <f t="shared" si="232"/>
        <v>0</v>
      </c>
      <c r="AL220" s="15">
        <f t="shared" si="233"/>
        <v>0</v>
      </c>
      <c r="AN220" s="29">
        <v>15</v>
      </c>
      <c r="AO220" s="29">
        <f>I220*0.456410239630815</f>
        <v>0</v>
      </c>
      <c r="AP220" s="29">
        <f>I220*(1-0.456410239630815)</f>
        <v>0</v>
      </c>
      <c r="AQ220" s="30" t="s">
        <v>13</v>
      </c>
      <c r="AV220" s="29">
        <f t="shared" si="234"/>
        <v>0</v>
      </c>
      <c r="AW220" s="29">
        <f t="shared" si="235"/>
        <v>0</v>
      </c>
      <c r="AX220" s="29">
        <f t="shared" si="236"/>
        <v>0</v>
      </c>
      <c r="AY220" s="32" t="s">
        <v>2912</v>
      </c>
      <c r="AZ220" s="32" t="s">
        <v>2942</v>
      </c>
      <c r="BA220" s="28" t="s">
        <v>2957</v>
      </c>
      <c r="BC220" s="29">
        <f t="shared" si="237"/>
        <v>0</v>
      </c>
      <c r="BD220" s="29">
        <f t="shared" si="238"/>
        <v>0</v>
      </c>
      <c r="BE220" s="29">
        <v>0</v>
      </c>
      <c r="BF220" s="29">
        <f>220</f>
        <v>220</v>
      </c>
      <c r="BH220" s="15">
        <f t="shared" si="239"/>
        <v>0</v>
      </c>
      <c r="BI220" s="15">
        <f t="shared" si="240"/>
        <v>0</v>
      </c>
      <c r="BJ220" s="15">
        <f t="shared" si="241"/>
        <v>0</v>
      </c>
      <c r="BK220" s="15" t="s">
        <v>2969</v>
      </c>
      <c r="BL220" s="29">
        <v>713</v>
      </c>
    </row>
    <row r="221" spans="1:64" ht="12.75">
      <c r="A221" s="4" t="s">
        <v>182</v>
      </c>
      <c r="B221" s="94" t="s">
        <v>1181</v>
      </c>
      <c r="C221" s="152" t="s">
        <v>2140</v>
      </c>
      <c r="D221" s="153"/>
      <c r="E221" s="153"/>
      <c r="F221" s="153"/>
      <c r="G221" s="94" t="s">
        <v>2849</v>
      </c>
      <c r="H221" s="73">
        <v>188.67</v>
      </c>
      <c r="I221" s="105">
        <v>0</v>
      </c>
      <c r="J221" s="15">
        <f t="shared" si="220"/>
        <v>0</v>
      </c>
      <c r="K221" s="15">
        <f t="shared" si="221"/>
        <v>0</v>
      </c>
      <c r="L221" s="15">
        <f t="shared" si="222"/>
        <v>0</v>
      </c>
      <c r="M221" s="25" t="s">
        <v>2872</v>
      </c>
      <c r="N221" s="5"/>
      <c r="Z221" s="29">
        <f t="shared" si="223"/>
        <v>0</v>
      </c>
      <c r="AB221" s="29">
        <f t="shared" si="224"/>
        <v>0</v>
      </c>
      <c r="AC221" s="29">
        <f t="shared" si="225"/>
        <v>0</v>
      </c>
      <c r="AD221" s="29">
        <f t="shared" si="226"/>
        <v>0</v>
      </c>
      <c r="AE221" s="29">
        <f t="shared" si="227"/>
        <v>0</v>
      </c>
      <c r="AF221" s="29">
        <f t="shared" si="228"/>
        <v>0</v>
      </c>
      <c r="AG221" s="29">
        <f t="shared" si="229"/>
        <v>0</v>
      </c>
      <c r="AH221" s="29">
        <f t="shared" si="230"/>
        <v>0</v>
      </c>
      <c r="AI221" s="28" t="s">
        <v>2882</v>
      </c>
      <c r="AJ221" s="15">
        <f t="shared" si="231"/>
        <v>0</v>
      </c>
      <c r="AK221" s="15">
        <f t="shared" si="232"/>
        <v>0</v>
      </c>
      <c r="AL221" s="15">
        <f t="shared" si="233"/>
        <v>0</v>
      </c>
      <c r="AN221" s="29">
        <v>15</v>
      </c>
      <c r="AO221" s="29">
        <f>I221*0.157995222815516</f>
        <v>0</v>
      </c>
      <c r="AP221" s="29">
        <f>I221*(1-0.157995222815516)</f>
        <v>0</v>
      </c>
      <c r="AQ221" s="30" t="s">
        <v>13</v>
      </c>
      <c r="AV221" s="29">
        <f t="shared" si="234"/>
        <v>0</v>
      </c>
      <c r="AW221" s="29">
        <f t="shared" si="235"/>
        <v>0</v>
      </c>
      <c r="AX221" s="29">
        <f t="shared" si="236"/>
        <v>0</v>
      </c>
      <c r="AY221" s="32" t="s">
        <v>2912</v>
      </c>
      <c r="AZ221" s="32" t="s">
        <v>2942</v>
      </c>
      <c r="BA221" s="28" t="s">
        <v>2957</v>
      </c>
      <c r="BC221" s="29">
        <f t="shared" si="237"/>
        <v>0</v>
      </c>
      <c r="BD221" s="29">
        <f t="shared" si="238"/>
        <v>0</v>
      </c>
      <c r="BE221" s="29">
        <v>0</v>
      </c>
      <c r="BF221" s="29">
        <f>221</f>
        <v>221</v>
      </c>
      <c r="BH221" s="15">
        <f t="shared" si="239"/>
        <v>0</v>
      </c>
      <c r="BI221" s="15">
        <f t="shared" si="240"/>
        <v>0</v>
      </c>
      <c r="BJ221" s="15">
        <f t="shared" si="241"/>
        <v>0</v>
      </c>
      <c r="BK221" s="15" t="s">
        <v>2969</v>
      </c>
      <c r="BL221" s="29">
        <v>713</v>
      </c>
    </row>
    <row r="222" spans="1:64" ht="12.75">
      <c r="A222" s="4" t="s">
        <v>183</v>
      </c>
      <c r="B222" s="94" t="s">
        <v>1182</v>
      </c>
      <c r="C222" s="152" t="s">
        <v>2141</v>
      </c>
      <c r="D222" s="153"/>
      <c r="E222" s="153"/>
      <c r="F222" s="153"/>
      <c r="G222" s="94" t="s">
        <v>2849</v>
      </c>
      <c r="H222" s="73">
        <v>514.309</v>
      </c>
      <c r="I222" s="105">
        <v>0</v>
      </c>
      <c r="J222" s="15">
        <f t="shared" si="220"/>
        <v>0</v>
      </c>
      <c r="K222" s="15">
        <f t="shared" si="221"/>
        <v>0</v>
      </c>
      <c r="L222" s="15">
        <f t="shared" si="222"/>
        <v>0</v>
      </c>
      <c r="M222" s="25" t="s">
        <v>2872</v>
      </c>
      <c r="N222" s="5"/>
      <c r="Z222" s="29">
        <f t="shared" si="223"/>
        <v>0</v>
      </c>
      <c r="AB222" s="29">
        <f t="shared" si="224"/>
        <v>0</v>
      </c>
      <c r="AC222" s="29">
        <f t="shared" si="225"/>
        <v>0</v>
      </c>
      <c r="AD222" s="29">
        <f t="shared" si="226"/>
        <v>0</v>
      </c>
      <c r="AE222" s="29">
        <f t="shared" si="227"/>
        <v>0</v>
      </c>
      <c r="AF222" s="29">
        <f t="shared" si="228"/>
        <v>0</v>
      </c>
      <c r="AG222" s="29">
        <f t="shared" si="229"/>
        <v>0</v>
      </c>
      <c r="AH222" s="29">
        <f t="shared" si="230"/>
        <v>0</v>
      </c>
      <c r="AI222" s="28" t="s">
        <v>2882</v>
      </c>
      <c r="AJ222" s="15">
        <f t="shared" si="231"/>
        <v>0</v>
      </c>
      <c r="AK222" s="15">
        <f t="shared" si="232"/>
        <v>0</v>
      </c>
      <c r="AL222" s="15">
        <f t="shared" si="233"/>
        <v>0</v>
      </c>
      <c r="AN222" s="29">
        <v>15</v>
      </c>
      <c r="AO222" s="29">
        <f>I222*0.444251938423299</f>
        <v>0</v>
      </c>
      <c r="AP222" s="29">
        <f>I222*(1-0.444251938423299)</f>
        <v>0</v>
      </c>
      <c r="AQ222" s="30" t="s">
        <v>13</v>
      </c>
      <c r="AV222" s="29">
        <f t="shared" si="234"/>
        <v>0</v>
      </c>
      <c r="AW222" s="29">
        <f t="shared" si="235"/>
        <v>0</v>
      </c>
      <c r="AX222" s="29">
        <f t="shared" si="236"/>
        <v>0</v>
      </c>
      <c r="AY222" s="32" t="s">
        <v>2912</v>
      </c>
      <c r="AZ222" s="32" t="s">
        <v>2942</v>
      </c>
      <c r="BA222" s="28" t="s">
        <v>2957</v>
      </c>
      <c r="BC222" s="29">
        <f t="shared" si="237"/>
        <v>0</v>
      </c>
      <c r="BD222" s="29">
        <f t="shared" si="238"/>
        <v>0</v>
      </c>
      <c r="BE222" s="29">
        <v>0</v>
      </c>
      <c r="BF222" s="29">
        <f>222</f>
        <v>222</v>
      </c>
      <c r="BH222" s="15">
        <f t="shared" si="239"/>
        <v>0</v>
      </c>
      <c r="BI222" s="15">
        <f t="shared" si="240"/>
        <v>0</v>
      </c>
      <c r="BJ222" s="15">
        <f t="shared" si="241"/>
        <v>0</v>
      </c>
      <c r="BK222" s="15" t="s">
        <v>2969</v>
      </c>
      <c r="BL222" s="29">
        <v>713</v>
      </c>
    </row>
    <row r="223" spans="1:64" ht="12.75">
      <c r="A223" s="4" t="s">
        <v>184</v>
      </c>
      <c r="B223" s="94" t="s">
        <v>1183</v>
      </c>
      <c r="C223" s="152" t="s">
        <v>2142</v>
      </c>
      <c r="D223" s="153"/>
      <c r="E223" s="153"/>
      <c r="F223" s="153"/>
      <c r="G223" s="94" t="s">
        <v>2848</v>
      </c>
      <c r="H223" s="73">
        <v>4.701</v>
      </c>
      <c r="I223" s="105">
        <v>0</v>
      </c>
      <c r="J223" s="15">
        <f t="shared" si="220"/>
        <v>0</v>
      </c>
      <c r="K223" s="15">
        <f t="shared" si="221"/>
        <v>0</v>
      </c>
      <c r="L223" s="15">
        <f t="shared" si="222"/>
        <v>0</v>
      </c>
      <c r="M223" s="25" t="s">
        <v>2872</v>
      </c>
      <c r="N223" s="5"/>
      <c r="Z223" s="29">
        <f t="shared" si="223"/>
        <v>0</v>
      </c>
      <c r="AB223" s="29">
        <f t="shared" si="224"/>
        <v>0</v>
      </c>
      <c r="AC223" s="29">
        <f t="shared" si="225"/>
        <v>0</v>
      </c>
      <c r="AD223" s="29">
        <f t="shared" si="226"/>
        <v>0</v>
      </c>
      <c r="AE223" s="29">
        <f t="shared" si="227"/>
        <v>0</v>
      </c>
      <c r="AF223" s="29">
        <f t="shared" si="228"/>
        <v>0</v>
      </c>
      <c r="AG223" s="29">
        <f t="shared" si="229"/>
        <v>0</v>
      </c>
      <c r="AH223" s="29">
        <f t="shared" si="230"/>
        <v>0</v>
      </c>
      <c r="AI223" s="28" t="s">
        <v>2882</v>
      </c>
      <c r="AJ223" s="15">
        <f t="shared" si="231"/>
        <v>0</v>
      </c>
      <c r="AK223" s="15">
        <f t="shared" si="232"/>
        <v>0</v>
      </c>
      <c r="AL223" s="15">
        <f t="shared" si="233"/>
        <v>0</v>
      </c>
      <c r="AN223" s="29">
        <v>15</v>
      </c>
      <c r="AO223" s="29">
        <f>I223*0</f>
        <v>0</v>
      </c>
      <c r="AP223" s="29">
        <f>I223*(1-0)</f>
        <v>0</v>
      </c>
      <c r="AQ223" s="30" t="s">
        <v>11</v>
      </c>
      <c r="AV223" s="29">
        <f t="shared" si="234"/>
        <v>0</v>
      </c>
      <c r="AW223" s="29">
        <f t="shared" si="235"/>
        <v>0</v>
      </c>
      <c r="AX223" s="29">
        <f t="shared" si="236"/>
        <v>0</v>
      </c>
      <c r="AY223" s="32" t="s">
        <v>2912</v>
      </c>
      <c r="AZ223" s="32" t="s">
        <v>2942</v>
      </c>
      <c r="BA223" s="28" t="s">
        <v>2957</v>
      </c>
      <c r="BC223" s="29">
        <f t="shared" si="237"/>
        <v>0</v>
      </c>
      <c r="BD223" s="29">
        <f t="shared" si="238"/>
        <v>0</v>
      </c>
      <c r="BE223" s="29">
        <v>0</v>
      </c>
      <c r="BF223" s="29">
        <f>223</f>
        <v>223</v>
      </c>
      <c r="BH223" s="15">
        <f t="shared" si="239"/>
        <v>0</v>
      </c>
      <c r="BI223" s="15">
        <f t="shared" si="240"/>
        <v>0</v>
      </c>
      <c r="BJ223" s="15">
        <f t="shared" si="241"/>
        <v>0</v>
      </c>
      <c r="BK223" s="15" t="s">
        <v>2969</v>
      </c>
      <c r="BL223" s="29">
        <v>713</v>
      </c>
    </row>
    <row r="224" spans="1:47" ht="12.75">
      <c r="A224" s="3"/>
      <c r="B224" s="97" t="s">
        <v>727</v>
      </c>
      <c r="C224" s="161" t="s">
        <v>2143</v>
      </c>
      <c r="D224" s="162"/>
      <c r="E224" s="162"/>
      <c r="F224" s="162"/>
      <c r="G224" s="13" t="s">
        <v>6</v>
      </c>
      <c r="H224" s="13" t="s">
        <v>6</v>
      </c>
      <c r="I224" s="13" t="s">
        <v>6</v>
      </c>
      <c r="J224" s="34">
        <f>SUM(J225:J277)</f>
        <v>0</v>
      </c>
      <c r="K224" s="34">
        <f>SUM(K225:K277)</f>
        <v>0</v>
      </c>
      <c r="L224" s="34">
        <f>SUM(L225:L277)</f>
        <v>0</v>
      </c>
      <c r="M224" s="24"/>
      <c r="N224" s="5"/>
      <c r="AI224" s="28" t="s">
        <v>2882</v>
      </c>
      <c r="AS224" s="34">
        <f>SUM(AJ225:AJ277)</f>
        <v>0</v>
      </c>
      <c r="AT224" s="34">
        <f>SUM(AK225:AK277)</f>
        <v>0</v>
      </c>
      <c r="AU224" s="34">
        <f>SUM(AL225:AL277)</f>
        <v>0</v>
      </c>
    </row>
    <row r="225" spans="1:64" ht="12.75">
      <c r="A225" s="4" t="s">
        <v>185</v>
      </c>
      <c r="B225" s="94" t="s">
        <v>1184</v>
      </c>
      <c r="C225" s="152" t="s">
        <v>2144</v>
      </c>
      <c r="D225" s="153"/>
      <c r="E225" s="153"/>
      <c r="F225" s="153"/>
      <c r="G225" s="94" t="s">
        <v>2851</v>
      </c>
      <c r="H225" s="73">
        <v>29.5</v>
      </c>
      <c r="I225" s="105">
        <v>0</v>
      </c>
      <c r="J225" s="15">
        <f aca="true" t="shared" si="242" ref="J225:J256">H225*AO225</f>
        <v>0</v>
      </c>
      <c r="K225" s="15">
        <f aca="true" t="shared" si="243" ref="K225:K256">H225*AP225</f>
        <v>0</v>
      </c>
      <c r="L225" s="15">
        <f aca="true" t="shared" si="244" ref="L225:L256">H225*I225</f>
        <v>0</v>
      </c>
      <c r="M225" s="25"/>
      <c r="N225" s="5"/>
      <c r="Z225" s="29">
        <f aca="true" t="shared" si="245" ref="Z225:Z256">IF(AQ225="5",BJ225,0)</f>
        <v>0</v>
      </c>
      <c r="AB225" s="29">
        <f aca="true" t="shared" si="246" ref="AB225:AB256">IF(AQ225="1",BH225,0)</f>
        <v>0</v>
      </c>
      <c r="AC225" s="29">
        <f aca="true" t="shared" si="247" ref="AC225:AC256">IF(AQ225="1",BI225,0)</f>
        <v>0</v>
      </c>
      <c r="AD225" s="29">
        <f aca="true" t="shared" si="248" ref="AD225:AD256">IF(AQ225="7",BH225,0)</f>
        <v>0</v>
      </c>
      <c r="AE225" s="29">
        <f aca="true" t="shared" si="249" ref="AE225:AE256">IF(AQ225="7",BI225,0)</f>
        <v>0</v>
      </c>
      <c r="AF225" s="29">
        <f aca="true" t="shared" si="250" ref="AF225:AF256">IF(AQ225="2",BH225,0)</f>
        <v>0</v>
      </c>
      <c r="AG225" s="29">
        <f aca="true" t="shared" si="251" ref="AG225:AG256">IF(AQ225="2",BI225,0)</f>
        <v>0</v>
      </c>
      <c r="AH225" s="29">
        <f aca="true" t="shared" si="252" ref="AH225:AH256">IF(AQ225="0",BJ225,0)</f>
        <v>0</v>
      </c>
      <c r="AI225" s="28" t="s">
        <v>2882</v>
      </c>
      <c r="AJ225" s="15">
        <f aca="true" t="shared" si="253" ref="AJ225:AJ256">IF(AN225=0,L225,0)</f>
        <v>0</v>
      </c>
      <c r="AK225" s="15">
        <f aca="true" t="shared" si="254" ref="AK225:AK256">IF(AN225=15,L225,0)</f>
        <v>0</v>
      </c>
      <c r="AL225" s="15">
        <f aca="true" t="shared" si="255" ref="AL225:AL256">IF(AN225=21,L225,0)</f>
        <v>0</v>
      </c>
      <c r="AN225" s="29">
        <v>15</v>
      </c>
      <c r="AO225" s="29">
        <f aca="true" t="shared" si="256" ref="AO225:AO256">I225*0</f>
        <v>0</v>
      </c>
      <c r="AP225" s="29">
        <f aca="true" t="shared" si="257" ref="AP225:AP256">I225*(1-0)</f>
        <v>0</v>
      </c>
      <c r="AQ225" s="30" t="s">
        <v>13</v>
      </c>
      <c r="AV225" s="29">
        <f aca="true" t="shared" si="258" ref="AV225:AV256">AW225+AX225</f>
        <v>0</v>
      </c>
      <c r="AW225" s="29">
        <f aca="true" t="shared" si="259" ref="AW225:AW256">H225*AO225</f>
        <v>0</v>
      </c>
      <c r="AX225" s="29">
        <f aca="true" t="shared" si="260" ref="AX225:AX256">H225*AP225</f>
        <v>0</v>
      </c>
      <c r="AY225" s="32" t="s">
        <v>2913</v>
      </c>
      <c r="AZ225" s="32" t="s">
        <v>2943</v>
      </c>
      <c r="BA225" s="28" t="s">
        <v>2957</v>
      </c>
      <c r="BC225" s="29">
        <f aca="true" t="shared" si="261" ref="BC225:BC256">AW225+AX225</f>
        <v>0</v>
      </c>
      <c r="BD225" s="29">
        <f aca="true" t="shared" si="262" ref="BD225:BD256">I225/(100-BE225)*100</f>
        <v>0</v>
      </c>
      <c r="BE225" s="29">
        <v>0</v>
      </c>
      <c r="BF225" s="29">
        <f>225</f>
        <v>225</v>
      </c>
      <c r="BH225" s="15">
        <f aca="true" t="shared" si="263" ref="BH225:BH256">H225*AO225</f>
        <v>0</v>
      </c>
      <c r="BI225" s="15">
        <f aca="true" t="shared" si="264" ref="BI225:BI256">H225*AP225</f>
        <v>0</v>
      </c>
      <c r="BJ225" s="15">
        <f aca="true" t="shared" si="265" ref="BJ225:BJ256">H225*I225</f>
        <v>0</v>
      </c>
      <c r="BK225" s="15" t="s">
        <v>2969</v>
      </c>
      <c r="BL225" s="29">
        <v>721</v>
      </c>
    </row>
    <row r="226" spans="1:64" ht="12.75">
      <c r="A226" s="4" t="s">
        <v>186</v>
      </c>
      <c r="B226" s="94" t="s">
        <v>1185</v>
      </c>
      <c r="C226" s="152" t="s">
        <v>2145</v>
      </c>
      <c r="D226" s="153"/>
      <c r="E226" s="153"/>
      <c r="F226" s="153"/>
      <c r="G226" s="94" t="s">
        <v>2851</v>
      </c>
      <c r="H226" s="73">
        <v>10.5</v>
      </c>
      <c r="I226" s="105">
        <v>0</v>
      </c>
      <c r="J226" s="15">
        <f t="shared" si="242"/>
        <v>0</v>
      </c>
      <c r="K226" s="15">
        <f t="shared" si="243"/>
        <v>0</v>
      </c>
      <c r="L226" s="15">
        <f t="shared" si="244"/>
        <v>0</v>
      </c>
      <c r="M226" s="25"/>
      <c r="N226" s="5"/>
      <c r="Z226" s="29">
        <f t="shared" si="245"/>
        <v>0</v>
      </c>
      <c r="AB226" s="29">
        <f t="shared" si="246"/>
        <v>0</v>
      </c>
      <c r="AC226" s="29">
        <f t="shared" si="247"/>
        <v>0</v>
      </c>
      <c r="AD226" s="29">
        <f t="shared" si="248"/>
        <v>0</v>
      </c>
      <c r="AE226" s="29">
        <f t="shared" si="249"/>
        <v>0</v>
      </c>
      <c r="AF226" s="29">
        <f t="shared" si="250"/>
        <v>0</v>
      </c>
      <c r="AG226" s="29">
        <f t="shared" si="251"/>
        <v>0</v>
      </c>
      <c r="AH226" s="29">
        <f t="shared" si="252"/>
        <v>0</v>
      </c>
      <c r="AI226" s="28" t="s">
        <v>2882</v>
      </c>
      <c r="AJ226" s="15">
        <f t="shared" si="253"/>
        <v>0</v>
      </c>
      <c r="AK226" s="15">
        <f t="shared" si="254"/>
        <v>0</v>
      </c>
      <c r="AL226" s="15">
        <f t="shared" si="255"/>
        <v>0</v>
      </c>
      <c r="AN226" s="29">
        <v>15</v>
      </c>
      <c r="AO226" s="29">
        <f t="shared" si="256"/>
        <v>0</v>
      </c>
      <c r="AP226" s="29">
        <f t="shared" si="257"/>
        <v>0</v>
      </c>
      <c r="AQ226" s="30" t="s">
        <v>13</v>
      </c>
      <c r="AV226" s="29">
        <f t="shared" si="258"/>
        <v>0</v>
      </c>
      <c r="AW226" s="29">
        <f t="shared" si="259"/>
        <v>0</v>
      </c>
      <c r="AX226" s="29">
        <f t="shared" si="260"/>
        <v>0</v>
      </c>
      <c r="AY226" s="32" t="s">
        <v>2913</v>
      </c>
      <c r="AZ226" s="32" t="s">
        <v>2943</v>
      </c>
      <c r="BA226" s="28" t="s">
        <v>2957</v>
      </c>
      <c r="BC226" s="29">
        <f t="shared" si="261"/>
        <v>0</v>
      </c>
      <c r="BD226" s="29">
        <f t="shared" si="262"/>
        <v>0</v>
      </c>
      <c r="BE226" s="29">
        <v>0</v>
      </c>
      <c r="BF226" s="29">
        <f>226</f>
        <v>226</v>
      </c>
      <c r="BH226" s="15">
        <f t="shared" si="263"/>
        <v>0</v>
      </c>
      <c r="BI226" s="15">
        <f t="shared" si="264"/>
        <v>0</v>
      </c>
      <c r="BJ226" s="15">
        <f t="shared" si="265"/>
        <v>0</v>
      </c>
      <c r="BK226" s="15" t="s">
        <v>2969</v>
      </c>
      <c r="BL226" s="29">
        <v>721</v>
      </c>
    </row>
    <row r="227" spans="1:64" ht="12.75">
      <c r="A227" s="4" t="s">
        <v>187</v>
      </c>
      <c r="B227" s="94" t="s">
        <v>1186</v>
      </c>
      <c r="C227" s="152" t="s">
        <v>2146</v>
      </c>
      <c r="D227" s="153"/>
      <c r="E227" s="153"/>
      <c r="F227" s="153"/>
      <c r="G227" s="94" t="s">
        <v>2851</v>
      </c>
      <c r="H227" s="73">
        <v>72</v>
      </c>
      <c r="I227" s="105">
        <v>0</v>
      </c>
      <c r="J227" s="15">
        <f t="shared" si="242"/>
        <v>0</v>
      </c>
      <c r="K227" s="15">
        <f t="shared" si="243"/>
        <v>0</v>
      </c>
      <c r="L227" s="15">
        <f t="shared" si="244"/>
        <v>0</v>
      </c>
      <c r="M227" s="25"/>
      <c r="N227" s="5"/>
      <c r="Z227" s="29">
        <f t="shared" si="245"/>
        <v>0</v>
      </c>
      <c r="AB227" s="29">
        <f t="shared" si="246"/>
        <v>0</v>
      </c>
      <c r="AC227" s="29">
        <f t="shared" si="247"/>
        <v>0</v>
      </c>
      <c r="AD227" s="29">
        <f t="shared" si="248"/>
        <v>0</v>
      </c>
      <c r="AE227" s="29">
        <f t="shared" si="249"/>
        <v>0</v>
      </c>
      <c r="AF227" s="29">
        <f t="shared" si="250"/>
        <v>0</v>
      </c>
      <c r="AG227" s="29">
        <f t="shared" si="251"/>
        <v>0</v>
      </c>
      <c r="AH227" s="29">
        <f t="shared" si="252"/>
        <v>0</v>
      </c>
      <c r="AI227" s="28" t="s">
        <v>2882</v>
      </c>
      <c r="AJ227" s="15">
        <f t="shared" si="253"/>
        <v>0</v>
      </c>
      <c r="AK227" s="15">
        <f t="shared" si="254"/>
        <v>0</v>
      </c>
      <c r="AL227" s="15">
        <f t="shared" si="255"/>
        <v>0</v>
      </c>
      <c r="AN227" s="29">
        <v>15</v>
      </c>
      <c r="AO227" s="29">
        <f t="shared" si="256"/>
        <v>0</v>
      </c>
      <c r="AP227" s="29">
        <f t="shared" si="257"/>
        <v>0</v>
      </c>
      <c r="AQ227" s="30" t="s">
        <v>13</v>
      </c>
      <c r="AV227" s="29">
        <f t="shared" si="258"/>
        <v>0</v>
      </c>
      <c r="AW227" s="29">
        <f t="shared" si="259"/>
        <v>0</v>
      </c>
      <c r="AX227" s="29">
        <f t="shared" si="260"/>
        <v>0</v>
      </c>
      <c r="AY227" s="32" t="s">
        <v>2913</v>
      </c>
      <c r="AZ227" s="32" t="s">
        <v>2943</v>
      </c>
      <c r="BA227" s="28" t="s">
        <v>2957</v>
      </c>
      <c r="BC227" s="29">
        <f t="shared" si="261"/>
        <v>0</v>
      </c>
      <c r="BD227" s="29">
        <f t="shared" si="262"/>
        <v>0</v>
      </c>
      <c r="BE227" s="29">
        <v>0</v>
      </c>
      <c r="BF227" s="29">
        <f>227</f>
        <v>227</v>
      </c>
      <c r="BH227" s="15">
        <f t="shared" si="263"/>
        <v>0</v>
      </c>
      <c r="BI227" s="15">
        <f t="shared" si="264"/>
        <v>0</v>
      </c>
      <c r="BJ227" s="15">
        <f t="shared" si="265"/>
        <v>0</v>
      </c>
      <c r="BK227" s="15" t="s">
        <v>2969</v>
      </c>
      <c r="BL227" s="29">
        <v>721</v>
      </c>
    </row>
    <row r="228" spans="1:64" ht="12.75">
      <c r="A228" s="4" t="s">
        <v>188</v>
      </c>
      <c r="B228" s="94" t="s">
        <v>1187</v>
      </c>
      <c r="C228" s="152" t="s">
        <v>2147</v>
      </c>
      <c r="D228" s="153"/>
      <c r="E228" s="153"/>
      <c r="F228" s="153"/>
      <c r="G228" s="94" t="s">
        <v>2851</v>
      </c>
      <c r="H228" s="73">
        <v>8.5</v>
      </c>
      <c r="I228" s="105">
        <v>0</v>
      </c>
      <c r="J228" s="15">
        <f t="shared" si="242"/>
        <v>0</v>
      </c>
      <c r="K228" s="15">
        <f t="shared" si="243"/>
        <v>0</v>
      </c>
      <c r="L228" s="15">
        <f t="shared" si="244"/>
        <v>0</v>
      </c>
      <c r="M228" s="25"/>
      <c r="N228" s="5"/>
      <c r="Z228" s="29">
        <f t="shared" si="245"/>
        <v>0</v>
      </c>
      <c r="AB228" s="29">
        <f t="shared" si="246"/>
        <v>0</v>
      </c>
      <c r="AC228" s="29">
        <f t="shared" si="247"/>
        <v>0</v>
      </c>
      <c r="AD228" s="29">
        <f t="shared" si="248"/>
        <v>0</v>
      </c>
      <c r="AE228" s="29">
        <f t="shared" si="249"/>
        <v>0</v>
      </c>
      <c r="AF228" s="29">
        <f t="shared" si="250"/>
        <v>0</v>
      </c>
      <c r="AG228" s="29">
        <f t="shared" si="251"/>
        <v>0</v>
      </c>
      <c r="AH228" s="29">
        <f t="shared" si="252"/>
        <v>0</v>
      </c>
      <c r="AI228" s="28" t="s">
        <v>2882</v>
      </c>
      <c r="AJ228" s="15">
        <f t="shared" si="253"/>
        <v>0</v>
      </c>
      <c r="AK228" s="15">
        <f t="shared" si="254"/>
        <v>0</v>
      </c>
      <c r="AL228" s="15">
        <f t="shared" si="255"/>
        <v>0</v>
      </c>
      <c r="AN228" s="29">
        <v>15</v>
      </c>
      <c r="AO228" s="29">
        <f t="shared" si="256"/>
        <v>0</v>
      </c>
      <c r="AP228" s="29">
        <f t="shared" si="257"/>
        <v>0</v>
      </c>
      <c r="AQ228" s="30" t="s">
        <v>13</v>
      </c>
      <c r="AV228" s="29">
        <f t="shared" si="258"/>
        <v>0</v>
      </c>
      <c r="AW228" s="29">
        <f t="shared" si="259"/>
        <v>0</v>
      </c>
      <c r="AX228" s="29">
        <f t="shared" si="260"/>
        <v>0</v>
      </c>
      <c r="AY228" s="32" t="s">
        <v>2913</v>
      </c>
      <c r="AZ228" s="32" t="s">
        <v>2943</v>
      </c>
      <c r="BA228" s="28" t="s">
        <v>2957</v>
      </c>
      <c r="BC228" s="29">
        <f t="shared" si="261"/>
        <v>0</v>
      </c>
      <c r="BD228" s="29">
        <f t="shared" si="262"/>
        <v>0</v>
      </c>
      <c r="BE228" s="29">
        <v>0</v>
      </c>
      <c r="BF228" s="29">
        <f>228</f>
        <v>228</v>
      </c>
      <c r="BH228" s="15">
        <f t="shared" si="263"/>
        <v>0</v>
      </c>
      <c r="BI228" s="15">
        <f t="shared" si="264"/>
        <v>0</v>
      </c>
      <c r="BJ228" s="15">
        <f t="shared" si="265"/>
        <v>0</v>
      </c>
      <c r="BK228" s="15" t="s">
        <v>2969</v>
      </c>
      <c r="BL228" s="29">
        <v>721</v>
      </c>
    </row>
    <row r="229" spans="1:64" ht="12.75">
      <c r="A229" s="4" t="s">
        <v>189</v>
      </c>
      <c r="B229" s="94" t="s">
        <v>1188</v>
      </c>
      <c r="C229" s="152" t="s">
        <v>2148</v>
      </c>
      <c r="D229" s="153"/>
      <c r="E229" s="153"/>
      <c r="F229" s="153"/>
      <c r="G229" s="94" t="s">
        <v>2851</v>
      </c>
      <c r="H229" s="73">
        <v>34.5</v>
      </c>
      <c r="I229" s="105">
        <v>0</v>
      </c>
      <c r="J229" s="15">
        <f t="shared" si="242"/>
        <v>0</v>
      </c>
      <c r="K229" s="15">
        <f t="shared" si="243"/>
        <v>0</v>
      </c>
      <c r="L229" s="15">
        <f t="shared" si="244"/>
        <v>0</v>
      </c>
      <c r="M229" s="25"/>
      <c r="N229" s="5"/>
      <c r="Z229" s="29">
        <f t="shared" si="245"/>
        <v>0</v>
      </c>
      <c r="AB229" s="29">
        <f t="shared" si="246"/>
        <v>0</v>
      </c>
      <c r="AC229" s="29">
        <f t="shared" si="247"/>
        <v>0</v>
      </c>
      <c r="AD229" s="29">
        <f t="shared" si="248"/>
        <v>0</v>
      </c>
      <c r="AE229" s="29">
        <f t="shared" si="249"/>
        <v>0</v>
      </c>
      <c r="AF229" s="29">
        <f t="shared" si="250"/>
        <v>0</v>
      </c>
      <c r="AG229" s="29">
        <f t="shared" si="251"/>
        <v>0</v>
      </c>
      <c r="AH229" s="29">
        <f t="shared" si="252"/>
        <v>0</v>
      </c>
      <c r="AI229" s="28" t="s">
        <v>2882</v>
      </c>
      <c r="AJ229" s="15">
        <f t="shared" si="253"/>
        <v>0</v>
      </c>
      <c r="AK229" s="15">
        <f t="shared" si="254"/>
        <v>0</v>
      </c>
      <c r="AL229" s="15">
        <f t="shared" si="255"/>
        <v>0</v>
      </c>
      <c r="AN229" s="29">
        <v>15</v>
      </c>
      <c r="AO229" s="29">
        <f t="shared" si="256"/>
        <v>0</v>
      </c>
      <c r="AP229" s="29">
        <f t="shared" si="257"/>
        <v>0</v>
      </c>
      <c r="AQ229" s="30" t="s">
        <v>13</v>
      </c>
      <c r="AV229" s="29">
        <f t="shared" si="258"/>
        <v>0</v>
      </c>
      <c r="AW229" s="29">
        <f t="shared" si="259"/>
        <v>0</v>
      </c>
      <c r="AX229" s="29">
        <f t="shared" si="260"/>
        <v>0</v>
      </c>
      <c r="AY229" s="32" t="s">
        <v>2913</v>
      </c>
      <c r="AZ229" s="32" t="s">
        <v>2943</v>
      </c>
      <c r="BA229" s="28" t="s">
        <v>2957</v>
      </c>
      <c r="BC229" s="29">
        <f t="shared" si="261"/>
        <v>0</v>
      </c>
      <c r="BD229" s="29">
        <f t="shared" si="262"/>
        <v>0</v>
      </c>
      <c r="BE229" s="29">
        <v>0</v>
      </c>
      <c r="BF229" s="29">
        <f>229</f>
        <v>229</v>
      </c>
      <c r="BH229" s="15">
        <f t="shared" si="263"/>
        <v>0</v>
      </c>
      <c r="BI229" s="15">
        <f t="shared" si="264"/>
        <v>0</v>
      </c>
      <c r="BJ229" s="15">
        <f t="shared" si="265"/>
        <v>0</v>
      </c>
      <c r="BK229" s="15" t="s">
        <v>2969</v>
      </c>
      <c r="BL229" s="29">
        <v>721</v>
      </c>
    </row>
    <row r="230" spans="1:64" ht="12.75">
      <c r="A230" s="4" t="s">
        <v>190</v>
      </c>
      <c r="B230" s="94" t="s">
        <v>1189</v>
      </c>
      <c r="C230" s="152" t="s">
        <v>2149</v>
      </c>
      <c r="D230" s="153"/>
      <c r="E230" s="153"/>
      <c r="F230" s="153"/>
      <c r="G230" s="94" t="s">
        <v>2851</v>
      </c>
      <c r="H230" s="73">
        <v>13.5</v>
      </c>
      <c r="I230" s="105">
        <v>0</v>
      </c>
      <c r="J230" s="15">
        <f t="shared" si="242"/>
        <v>0</v>
      </c>
      <c r="K230" s="15">
        <f t="shared" si="243"/>
        <v>0</v>
      </c>
      <c r="L230" s="15">
        <f t="shared" si="244"/>
        <v>0</v>
      </c>
      <c r="M230" s="25"/>
      <c r="N230" s="5"/>
      <c r="Z230" s="29">
        <f t="shared" si="245"/>
        <v>0</v>
      </c>
      <c r="AB230" s="29">
        <f t="shared" si="246"/>
        <v>0</v>
      </c>
      <c r="AC230" s="29">
        <f t="shared" si="247"/>
        <v>0</v>
      </c>
      <c r="AD230" s="29">
        <f t="shared" si="248"/>
        <v>0</v>
      </c>
      <c r="AE230" s="29">
        <f t="shared" si="249"/>
        <v>0</v>
      </c>
      <c r="AF230" s="29">
        <f t="shared" si="250"/>
        <v>0</v>
      </c>
      <c r="AG230" s="29">
        <f t="shared" si="251"/>
        <v>0</v>
      </c>
      <c r="AH230" s="29">
        <f t="shared" si="252"/>
        <v>0</v>
      </c>
      <c r="AI230" s="28" t="s">
        <v>2882</v>
      </c>
      <c r="AJ230" s="15">
        <f t="shared" si="253"/>
        <v>0</v>
      </c>
      <c r="AK230" s="15">
        <f t="shared" si="254"/>
        <v>0</v>
      </c>
      <c r="AL230" s="15">
        <f t="shared" si="255"/>
        <v>0</v>
      </c>
      <c r="AN230" s="29">
        <v>15</v>
      </c>
      <c r="AO230" s="29">
        <f t="shared" si="256"/>
        <v>0</v>
      </c>
      <c r="AP230" s="29">
        <f t="shared" si="257"/>
        <v>0</v>
      </c>
      <c r="AQ230" s="30" t="s">
        <v>13</v>
      </c>
      <c r="AV230" s="29">
        <f t="shared" si="258"/>
        <v>0</v>
      </c>
      <c r="AW230" s="29">
        <f t="shared" si="259"/>
        <v>0</v>
      </c>
      <c r="AX230" s="29">
        <f t="shared" si="260"/>
        <v>0</v>
      </c>
      <c r="AY230" s="32" t="s">
        <v>2913</v>
      </c>
      <c r="AZ230" s="32" t="s">
        <v>2943</v>
      </c>
      <c r="BA230" s="28" t="s">
        <v>2957</v>
      </c>
      <c r="BC230" s="29">
        <f t="shared" si="261"/>
        <v>0</v>
      </c>
      <c r="BD230" s="29">
        <f t="shared" si="262"/>
        <v>0</v>
      </c>
      <c r="BE230" s="29">
        <v>0</v>
      </c>
      <c r="BF230" s="29">
        <f>230</f>
        <v>230</v>
      </c>
      <c r="BH230" s="15">
        <f t="shared" si="263"/>
        <v>0</v>
      </c>
      <c r="BI230" s="15">
        <f t="shared" si="264"/>
        <v>0</v>
      </c>
      <c r="BJ230" s="15">
        <f t="shared" si="265"/>
        <v>0</v>
      </c>
      <c r="BK230" s="15" t="s">
        <v>2969</v>
      </c>
      <c r="BL230" s="29">
        <v>721</v>
      </c>
    </row>
    <row r="231" spans="1:64" ht="12.75">
      <c r="A231" s="4" t="s">
        <v>191</v>
      </c>
      <c r="B231" s="94" t="s">
        <v>1190</v>
      </c>
      <c r="C231" s="152" t="s">
        <v>2150</v>
      </c>
      <c r="D231" s="153"/>
      <c r="E231" s="153"/>
      <c r="F231" s="153"/>
      <c r="G231" s="94" t="s">
        <v>2851</v>
      </c>
      <c r="H231" s="73">
        <v>82.5</v>
      </c>
      <c r="I231" s="105">
        <v>0</v>
      </c>
      <c r="J231" s="15">
        <f t="shared" si="242"/>
        <v>0</v>
      </c>
      <c r="K231" s="15">
        <f t="shared" si="243"/>
        <v>0</v>
      </c>
      <c r="L231" s="15">
        <f t="shared" si="244"/>
        <v>0</v>
      </c>
      <c r="M231" s="25"/>
      <c r="N231" s="5"/>
      <c r="Z231" s="29">
        <f t="shared" si="245"/>
        <v>0</v>
      </c>
      <c r="AB231" s="29">
        <f t="shared" si="246"/>
        <v>0</v>
      </c>
      <c r="AC231" s="29">
        <f t="shared" si="247"/>
        <v>0</v>
      </c>
      <c r="AD231" s="29">
        <f t="shared" si="248"/>
        <v>0</v>
      </c>
      <c r="AE231" s="29">
        <f t="shared" si="249"/>
        <v>0</v>
      </c>
      <c r="AF231" s="29">
        <f t="shared" si="250"/>
        <v>0</v>
      </c>
      <c r="AG231" s="29">
        <f t="shared" si="251"/>
        <v>0</v>
      </c>
      <c r="AH231" s="29">
        <f t="shared" si="252"/>
        <v>0</v>
      </c>
      <c r="AI231" s="28" t="s">
        <v>2882</v>
      </c>
      <c r="AJ231" s="15">
        <f t="shared" si="253"/>
        <v>0</v>
      </c>
      <c r="AK231" s="15">
        <f t="shared" si="254"/>
        <v>0</v>
      </c>
      <c r="AL231" s="15">
        <f t="shared" si="255"/>
        <v>0</v>
      </c>
      <c r="AN231" s="29">
        <v>15</v>
      </c>
      <c r="AO231" s="29">
        <f t="shared" si="256"/>
        <v>0</v>
      </c>
      <c r="AP231" s="29">
        <f t="shared" si="257"/>
        <v>0</v>
      </c>
      <c r="AQ231" s="30" t="s">
        <v>13</v>
      </c>
      <c r="AV231" s="29">
        <f t="shared" si="258"/>
        <v>0</v>
      </c>
      <c r="AW231" s="29">
        <f t="shared" si="259"/>
        <v>0</v>
      </c>
      <c r="AX231" s="29">
        <f t="shared" si="260"/>
        <v>0</v>
      </c>
      <c r="AY231" s="32" t="s">
        <v>2913</v>
      </c>
      <c r="AZ231" s="32" t="s">
        <v>2943</v>
      </c>
      <c r="BA231" s="28" t="s">
        <v>2957</v>
      </c>
      <c r="BC231" s="29">
        <f t="shared" si="261"/>
        <v>0</v>
      </c>
      <c r="BD231" s="29">
        <f t="shared" si="262"/>
        <v>0</v>
      </c>
      <c r="BE231" s="29">
        <v>0</v>
      </c>
      <c r="BF231" s="29">
        <f>231</f>
        <v>231</v>
      </c>
      <c r="BH231" s="15">
        <f t="shared" si="263"/>
        <v>0</v>
      </c>
      <c r="BI231" s="15">
        <f t="shared" si="264"/>
        <v>0</v>
      </c>
      <c r="BJ231" s="15">
        <f t="shared" si="265"/>
        <v>0</v>
      </c>
      <c r="BK231" s="15" t="s">
        <v>2969</v>
      </c>
      <c r="BL231" s="29">
        <v>721</v>
      </c>
    </row>
    <row r="232" spans="1:64" ht="12.75">
      <c r="A232" s="4" t="s">
        <v>192</v>
      </c>
      <c r="B232" s="94" t="s">
        <v>1191</v>
      </c>
      <c r="C232" s="152" t="s">
        <v>2151</v>
      </c>
      <c r="D232" s="153"/>
      <c r="E232" s="153"/>
      <c r="F232" s="153"/>
      <c r="G232" s="94" t="s">
        <v>2851</v>
      </c>
      <c r="H232" s="73">
        <v>46</v>
      </c>
      <c r="I232" s="105">
        <v>0</v>
      </c>
      <c r="J232" s="15">
        <f t="shared" si="242"/>
        <v>0</v>
      </c>
      <c r="K232" s="15">
        <f t="shared" si="243"/>
        <v>0</v>
      </c>
      <c r="L232" s="15">
        <f t="shared" si="244"/>
        <v>0</v>
      </c>
      <c r="M232" s="25"/>
      <c r="N232" s="5"/>
      <c r="Z232" s="29">
        <f t="shared" si="245"/>
        <v>0</v>
      </c>
      <c r="AB232" s="29">
        <f t="shared" si="246"/>
        <v>0</v>
      </c>
      <c r="AC232" s="29">
        <f t="shared" si="247"/>
        <v>0</v>
      </c>
      <c r="AD232" s="29">
        <f t="shared" si="248"/>
        <v>0</v>
      </c>
      <c r="AE232" s="29">
        <f t="shared" si="249"/>
        <v>0</v>
      </c>
      <c r="AF232" s="29">
        <f t="shared" si="250"/>
        <v>0</v>
      </c>
      <c r="AG232" s="29">
        <f t="shared" si="251"/>
        <v>0</v>
      </c>
      <c r="AH232" s="29">
        <f t="shared" si="252"/>
        <v>0</v>
      </c>
      <c r="AI232" s="28" t="s">
        <v>2882</v>
      </c>
      <c r="AJ232" s="15">
        <f t="shared" si="253"/>
        <v>0</v>
      </c>
      <c r="AK232" s="15">
        <f t="shared" si="254"/>
        <v>0</v>
      </c>
      <c r="AL232" s="15">
        <f t="shared" si="255"/>
        <v>0</v>
      </c>
      <c r="AN232" s="29">
        <v>15</v>
      </c>
      <c r="AO232" s="29">
        <f t="shared" si="256"/>
        <v>0</v>
      </c>
      <c r="AP232" s="29">
        <f t="shared" si="257"/>
        <v>0</v>
      </c>
      <c r="AQ232" s="30" t="s">
        <v>13</v>
      </c>
      <c r="AV232" s="29">
        <f t="shared" si="258"/>
        <v>0</v>
      </c>
      <c r="AW232" s="29">
        <f t="shared" si="259"/>
        <v>0</v>
      </c>
      <c r="AX232" s="29">
        <f t="shared" si="260"/>
        <v>0</v>
      </c>
      <c r="AY232" s="32" t="s">
        <v>2913</v>
      </c>
      <c r="AZ232" s="32" t="s">
        <v>2943</v>
      </c>
      <c r="BA232" s="28" t="s">
        <v>2957</v>
      </c>
      <c r="BC232" s="29">
        <f t="shared" si="261"/>
        <v>0</v>
      </c>
      <c r="BD232" s="29">
        <f t="shared" si="262"/>
        <v>0</v>
      </c>
      <c r="BE232" s="29">
        <v>0</v>
      </c>
      <c r="BF232" s="29">
        <f>232</f>
        <v>232</v>
      </c>
      <c r="BH232" s="15">
        <f t="shared" si="263"/>
        <v>0</v>
      </c>
      <c r="BI232" s="15">
        <f t="shared" si="264"/>
        <v>0</v>
      </c>
      <c r="BJ232" s="15">
        <f t="shared" si="265"/>
        <v>0</v>
      </c>
      <c r="BK232" s="15" t="s">
        <v>2969</v>
      </c>
      <c r="BL232" s="29">
        <v>721</v>
      </c>
    </row>
    <row r="233" spans="1:64" ht="12.75">
      <c r="A233" s="4" t="s">
        <v>193</v>
      </c>
      <c r="B233" s="94" t="s">
        <v>1192</v>
      </c>
      <c r="C233" s="152" t="s">
        <v>2152</v>
      </c>
      <c r="D233" s="153"/>
      <c r="E233" s="153"/>
      <c r="F233" s="153"/>
      <c r="G233" s="94" t="s">
        <v>2851</v>
      </c>
      <c r="H233" s="73">
        <v>8.5</v>
      </c>
      <c r="I233" s="105">
        <v>0</v>
      </c>
      <c r="J233" s="15">
        <f t="shared" si="242"/>
        <v>0</v>
      </c>
      <c r="K233" s="15">
        <f t="shared" si="243"/>
        <v>0</v>
      </c>
      <c r="L233" s="15">
        <f t="shared" si="244"/>
        <v>0</v>
      </c>
      <c r="M233" s="25"/>
      <c r="N233" s="5"/>
      <c r="Z233" s="29">
        <f t="shared" si="245"/>
        <v>0</v>
      </c>
      <c r="AB233" s="29">
        <f t="shared" si="246"/>
        <v>0</v>
      </c>
      <c r="AC233" s="29">
        <f t="shared" si="247"/>
        <v>0</v>
      </c>
      <c r="AD233" s="29">
        <f t="shared" si="248"/>
        <v>0</v>
      </c>
      <c r="AE233" s="29">
        <f t="shared" si="249"/>
        <v>0</v>
      </c>
      <c r="AF233" s="29">
        <f t="shared" si="250"/>
        <v>0</v>
      </c>
      <c r="AG233" s="29">
        <f t="shared" si="251"/>
        <v>0</v>
      </c>
      <c r="AH233" s="29">
        <f t="shared" si="252"/>
        <v>0</v>
      </c>
      <c r="AI233" s="28" t="s">
        <v>2882</v>
      </c>
      <c r="AJ233" s="15">
        <f t="shared" si="253"/>
        <v>0</v>
      </c>
      <c r="AK233" s="15">
        <f t="shared" si="254"/>
        <v>0</v>
      </c>
      <c r="AL233" s="15">
        <f t="shared" si="255"/>
        <v>0</v>
      </c>
      <c r="AN233" s="29">
        <v>15</v>
      </c>
      <c r="AO233" s="29">
        <f t="shared" si="256"/>
        <v>0</v>
      </c>
      <c r="AP233" s="29">
        <f t="shared" si="257"/>
        <v>0</v>
      </c>
      <c r="AQ233" s="30" t="s">
        <v>13</v>
      </c>
      <c r="AV233" s="29">
        <f t="shared" si="258"/>
        <v>0</v>
      </c>
      <c r="AW233" s="29">
        <f t="shared" si="259"/>
        <v>0</v>
      </c>
      <c r="AX233" s="29">
        <f t="shared" si="260"/>
        <v>0</v>
      </c>
      <c r="AY233" s="32" t="s">
        <v>2913</v>
      </c>
      <c r="AZ233" s="32" t="s">
        <v>2943</v>
      </c>
      <c r="BA233" s="28" t="s">
        <v>2957</v>
      </c>
      <c r="BC233" s="29">
        <f t="shared" si="261"/>
        <v>0</v>
      </c>
      <c r="BD233" s="29">
        <f t="shared" si="262"/>
        <v>0</v>
      </c>
      <c r="BE233" s="29">
        <v>0</v>
      </c>
      <c r="BF233" s="29">
        <f>233</f>
        <v>233</v>
      </c>
      <c r="BH233" s="15">
        <f t="shared" si="263"/>
        <v>0</v>
      </c>
      <c r="BI233" s="15">
        <f t="shared" si="264"/>
        <v>0</v>
      </c>
      <c r="BJ233" s="15">
        <f t="shared" si="265"/>
        <v>0</v>
      </c>
      <c r="BK233" s="15" t="s">
        <v>2969</v>
      </c>
      <c r="BL233" s="29">
        <v>721</v>
      </c>
    </row>
    <row r="234" spans="1:64" ht="12.75">
      <c r="A234" s="4" t="s">
        <v>194</v>
      </c>
      <c r="B234" s="94" t="s">
        <v>1193</v>
      </c>
      <c r="C234" s="152" t="s">
        <v>2153</v>
      </c>
      <c r="D234" s="153"/>
      <c r="E234" s="153"/>
      <c r="F234" s="153"/>
      <c r="G234" s="94" t="s">
        <v>2850</v>
      </c>
      <c r="H234" s="73">
        <v>44</v>
      </c>
      <c r="I234" s="105">
        <v>0</v>
      </c>
      <c r="J234" s="15">
        <f t="shared" si="242"/>
        <v>0</v>
      </c>
      <c r="K234" s="15">
        <f t="shared" si="243"/>
        <v>0</v>
      </c>
      <c r="L234" s="15">
        <f t="shared" si="244"/>
        <v>0</v>
      </c>
      <c r="M234" s="25"/>
      <c r="N234" s="5"/>
      <c r="Z234" s="29">
        <f t="shared" si="245"/>
        <v>0</v>
      </c>
      <c r="AB234" s="29">
        <f t="shared" si="246"/>
        <v>0</v>
      </c>
      <c r="AC234" s="29">
        <f t="shared" si="247"/>
        <v>0</v>
      </c>
      <c r="AD234" s="29">
        <f t="shared" si="248"/>
        <v>0</v>
      </c>
      <c r="AE234" s="29">
        <f t="shared" si="249"/>
        <v>0</v>
      </c>
      <c r="AF234" s="29">
        <f t="shared" si="250"/>
        <v>0</v>
      </c>
      <c r="AG234" s="29">
        <f t="shared" si="251"/>
        <v>0</v>
      </c>
      <c r="AH234" s="29">
        <f t="shared" si="252"/>
        <v>0</v>
      </c>
      <c r="AI234" s="28" t="s">
        <v>2882</v>
      </c>
      <c r="AJ234" s="15">
        <f t="shared" si="253"/>
        <v>0</v>
      </c>
      <c r="AK234" s="15">
        <f t="shared" si="254"/>
        <v>0</v>
      </c>
      <c r="AL234" s="15">
        <f t="shared" si="255"/>
        <v>0</v>
      </c>
      <c r="AN234" s="29">
        <v>15</v>
      </c>
      <c r="AO234" s="29">
        <f t="shared" si="256"/>
        <v>0</v>
      </c>
      <c r="AP234" s="29">
        <f t="shared" si="257"/>
        <v>0</v>
      </c>
      <c r="AQ234" s="30" t="s">
        <v>13</v>
      </c>
      <c r="AV234" s="29">
        <f t="shared" si="258"/>
        <v>0</v>
      </c>
      <c r="AW234" s="29">
        <f t="shared" si="259"/>
        <v>0</v>
      </c>
      <c r="AX234" s="29">
        <f t="shared" si="260"/>
        <v>0</v>
      </c>
      <c r="AY234" s="32" t="s">
        <v>2913</v>
      </c>
      <c r="AZ234" s="32" t="s">
        <v>2943</v>
      </c>
      <c r="BA234" s="28" t="s">
        <v>2957</v>
      </c>
      <c r="BC234" s="29">
        <f t="shared" si="261"/>
        <v>0</v>
      </c>
      <c r="BD234" s="29">
        <f t="shared" si="262"/>
        <v>0</v>
      </c>
      <c r="BE234" s="29">
        <v>0</v>
      </c>
      <c r="BF234" s="29">
        <f>234</f>
        <v>234</v>
      </c>
      <c r="BH234" s="15">
        <f t="shared" si="263"/>
        <v>0</v>
      </c>
      <c r="BI234" s="15">
        <f t="shared" si="264"/>
        <v>0</v>
      </c>
      <c r="BJ234" s="15">
        <f t="shared" si="265"/>
        <v>0</v>
      </c>
      <c r="BK234" s="15" t="s">
        <v>2969</v>
      </c>
      <c r="BL234" s="29">
        <v>721</v>
      </c>
    </row>
    <row r="235" spans="1:64" ht="12.75">
      <c r="A235" s="4" t="s">
        <v>195</v>
      </c>
      <c r="B235" s="94" t="s">
        <v>1194</v>
      </c>
      <c r="C235" s="152" t="s">
        <v>2154</v>
      </c>
      <c r="D235" s="153"/>
      <c r="E235" s="153"/>
      <c r="F235" s="153"/>
      <c r="G235" s="94" t="s">
        <v>2850</v>
      </c>
      <c r="H235" s="73">
        <v>3</v>
      </c>
      <c r="I235" s="105">
        <v>0</v>
      </c>
      <c r="J235" s="15">
        <f t="shared" si="242"/>
        <v>0</v>
      </c>
      <c r="K235" s="15">
        <f t="shared" si="243"/>
        <v>0</v>
      </c>
      <c r="L235" s="15">
        <f t="shared" si="244"/>
        <v>0</v>
      </c>
      <c r="M235" s="25"/>
      <c r="N235" s="5"/>
      <c r="Z235" s="29">
        <f t="shared" si="245"/>
        <v>0</v>
      </c>
      <c r="AB235" s="29">
        <f t="shared" si="246"/>
        <v>0</v>
      </c>
      <c r="AC235" s="29">
        <f t="shared" si="247"/>
        <v>0</v>
      </c>
      <c r="AD235" s="29">
        <f t="shared" si="248"/>
        <v>0</v>
      </c>
      <c r="AE235" s="29">
        <f t="shared" si="249"/>
        <v>0</v>
      </c>
      <c r="AF235" s="29">
        <f t="shared" si="250"/>
        <v>0</v>
      </c>
      <c r="AG235" s="29">
        <f t="shared" si="251"/>
        <v>0</v>
      </c>
      <c r="AH235" s="29">
        <f t="shared" si="252"/>
        <v>0</v>
      </c>
      <c r="AI235" s="28" t="s">
        <v>2882</v>
      </c>
      <c r="AJ235" s="15">
        <f t="shared" si="253"/>
        <v>0</v>
      </c>
      <c r="AK235" s="15">
        <f t="shared" si="254"/>
        <v>0</v>
      </c>
      <c r="AL235" s="15">
        <f t="shared" si="255"/>
        <v>0</v>
      </c>
      <c r="AN235" s="29">
        <v>15</v>
      </c>
      <c r="AO235" s="29">
        <f t="shared" si="256"/>
        <v>0</v>
      </c>
      <c r="AP235" s="29">
        <f t="shared" si="257"/>
        <v>0</v>
      </c>
      <c r="AQ235" s="30" t="s">
        <v>13</v>
      </c>
      <c r="AV235" s="29">
        <f t="shared" si="258"/>
        <v>0</v>
      </c>
      <c r="AW235" s="29">
        <f t="shared" si="259"/>
        <v>0</v>
      </c>
      <c r="AX235" s="29">
        <f t="shared" si="260"/>
        <v>0</v>
      </c>
      <c r="AY235" s="32" t="s">
        <v>2913</v>
      </c>
      <c r="AZ235" s="32" t="s">
        <v>2943</v>
      </c>
      <c r="BA235" s="28" t="s">
        <v>2957</v>
      </c>
      <c r="BC235" s="29">
        <f t="shared" si="261"/>
        <v>0</v>
      </c>
      <c r="BD235" s="29">
        <f t="shared" si="262"/>
        <v>0</v>
      </c>
      <c r="BE235" s="29">
        <v>0</v>
      </c>
      <c r="BF235" s="29">
        <f>235</f>
        <v>235</v>
      </c>
      <c r="BH235" s="15">
        <f t="shared" si="263"/>
        <v>0</v>
      </c>
      <c r="BI235" s="15">
        <f t="shared" si="264"/>
        <v>0</v>
      </c>
      <c r="BJ235" s="15">
        <f t="shared" si="265"/>
        <v>0</v>
      </c>
      <c r="BK235" s="15" t="s">
        <v>2969</v>
      </c>
      <c r="BL235" s="29">
        <v>721</v>
      </c>
    </row>
    <row r="236" spans="1:64" ht="12.75">
      <c r="A236" s="4" t="s">
        <v>196</v>
      </c>
      <c r="B236" s="94" t="s">
        <v>1195</v>
      </c>
      <c r="C236" s="152" t="s">
        <v>2155</v>
      </c>
      <c r="D236" s="153"/>
      <c r="E236" s="153"/>
      <c r="F236" s="153"/>
      <c r="G236" s="94" t="s">
        <v>2850</v>
      </c>
      <c r="H236" s="73">
        <v>10</v>
      </c>
      <c r="I236" s="105">
        <v>0</v>
      </c>
      <c r="J236" s="15">
        <f t="shared" si="242"/>
        <v>0</v>
      </c>
      <c r="K236" s="15">
        <f t="shared" si="243"/>
        <v>0</v>
      </c>
      <c r="L236" s="15">
        <f t="shared" si="244"/>
        <v>0</v>
      </c>
      <c r="M236" s="25"/>
      <c r="N236" s="5"/>
      <c r="Z236" s="29">
        <f t="shared" si="245"/>
        <v>0</v>
      </c>
      <c r="AB236" s="29">
        <f t="shared" si="246"/>
        <v>0</v>
      </c>
      <c r="AC236" s="29">
        <f t="shared" si="247"/>
        <v>0</v>
      </c>
      <c r="AD236" s="29">
        <f t="shared" si="248"/>
        <v>0</v>
      </c>
      <c r="AE236" s="29">
        <f t="shared" si="249"/>
        <v>0</v>
      </c>
      <c r="AF236" s="29">
        <f t="shared" si="250"/>
        <v>0</v>
      </c>
      <c r="AG236" s="29">
        <f t="shared" si="251"/>
        <v>0</v>
      </c>
      <c r="AH236" s="29">
        <f t="shared" si="252"/>
        <v>0</v>
      </c>
      <c r="AI236" s="28" t="s">
        <v>2882</v>
      </c>
      <c r="AJ236" s="15">
        <f t="shared" si="253"/>
        <v>0</v>
      </c>
      <c r="AK236" s="15">
        <f t="shared" si="254"/>
        <v>0</v>
      </c>
      <c r="AL236" s="15">
        <f t="shared" si="255"/>
        <v>0</v>
      </c>
      <c r="AN236" s="29">
        <v>15</v>
      </c>
      <c r="AO236" s="29">
        <f t="shared" si="256"/>
        <v>0</v>
      </c>
      <c r="AP236" s="29">
        <f t="shared" si="257"/>
        <v>0</v>
      </c>
      <c r="AQ236" s="30" t="s">
        <v>13</v>
      </c>
      <c r="AV236" s="29">
        <f t="shared" si="258"/>
        <v>0</v>
      </c>
      <c r="AW236" s="29">
        <f t="shared" si="259"/>
        <v>0</v>
      </c>
      <c r="AX236" s="29">
        <f t="shared" si="260"/>
        <v>0</v>
      </c>
      <c r="AY236" s="32" t="s">
        <v>2913</v>
      </c>
      <c r="AZ236" s="32" t="s">
        <v>2943</v>
      </c>
      <c r="BA236" s="28" t="s">
        <v>2957</v>
      </c>
      <c r="BC236" s="29">
        <f t="shared" si="261"/>
        <v>0</v>
      </c>
      <c r="BD236" s="29">
        <f t="shared" si="262"/>
        <v>0</v>
      </c>
      <c r="BE236" s="29">
        <v>0</v>
      </c>
      <c r="BF236" s="29">
        <f>236</f>
        <v>236</v>
      </c>
      <c r="BH236" s="15">
        <f t="shared" si="263"/>
        <v>0</v>
      </c>
      <c r="BI236" s="15">
        <f t="shared" si="264"/>
        <v>0</v>
      </c>
      <c r="BJ236" s="15">
        <f t="shared" si="265"/>
        <v>0</v>
      </c>
      <c r="BK236" s="15" t="s">
        <v>2969</v>
      </c>
      <c r="BL236" s="29">
        <v>721</v>
      </c>
    </row>
    <row r="237" spans="1:64" ht="12.75">
      <c r="A237" s="4" t="s">
        <v>197</v>
      </c>
      <c r="B237" s="94" t="s">
        <v>1196</v>
      </c>
      <c r="C237" s="152" t="s">
        <v>2156</v>
      </c>
      <c r="D237" s="153"/>
      <c r="E237" s="153"/>
      <c r="F237" s="153"/>
      <c r="G237" s="94" t="s">
        <v>2850</v>
      </c>
      <c r="H237" s="73">
        <v>5</v>
      </c>
      <c r="I237" s="105">
        <v>0</v>
      </c>
      <c r="J237" s="15">
        <f t="shared" si="242"/>
        <v>0</v>
      </c>
      <c r="K237" s="15">
        <f t="shared" si="243"/>
        <v>0</v>
      </c>
      <c r="L237" s="15">
        <f t="shared" si="244"/>
        <v>0</v>
      </c>
      <c r="M237" s="25"/>
      <c r="N237" s="5"/>
      <c r="Z237" s="29">
        <f t="shared" si="245"/>
        <v>0</v>
      </c>
      <c r="AB237" s="29">
        <f t="shared" si="246"/>
        <v>0</v>
      </c>
      <c r="AC237" s="29">
        <f t="shared" si="247"/>
        <v>0</v>
      </c>
      <c r="AD237" s="29">
        <f t="shared" si="248"/>
        <v>0</v>
      </c>
      <c r="AE237" s="29">
        <f t="shared" si="249"/>
        <v>0</v>
      </c>
      <c r="AF237" s="29">
        <f t="shared" si="250"/>
        <v>0</v>
      </c>
      <c r="AG237" s="29">
        <f t="shared" si="251"/>
        <v>0</v>
      </c>
      <c r="AH237" s="29">
        <f t="shared" si="252"/>
        <v>0</v>
      </c>
      <c r="AI237" s="28" t="s">
        <v>2882</v>
      </c>
      <c r="AJ237" s="15">
        <f t="shared" si="253"/>
        <v>0</v>
      </c>
      <c r="AK237" s="15">
        <f t="shared" si="254"/>
        <v>0</v>
      </c>
      <c r="AL237" s="15">
        <f t="shared" si="255"/>
        <v>0</v>
      </c>
      <c r="AN237" s="29">
        <v>15</v>
      </c>
      <c r="AO237" s="29">
        <f t="shared" si="256"/>
        <v>0</v>
      </c>
      <c r="AP237" s="29">
        <f t="shared" si="257"/>
        <v>0</v>
      </c>
      <c r="AQ237" s="30" t="s">
        <v>13</v>
      </c>
      <c r="AV237" s="29">
        <f t="shared" si="258"/>
        <v>0</v>
      </c>
      <c r="AW237" s="29">
        <f t="shared" si="259"/>
        <v>0</v>
      </c>
      <c r="AX237" s="29">
        <f t="shared" si="260"/>
        <v>0</v>
      </c>
      <c r="AY237" s="32" t="s">
        <v>2913</v>
      </c>
      <c r="AZ237" s="32" t="s">
        <v>2943</v>
      </c>
      <c r="BA237" s="28" t="s">
        <v>2957</v>
      </c>
      <c r="BC237" s="29">
        <f t="shared" si="261"/>
        <v>0</v>
      </c>
      <c r="BD237" s="29">
        <f t="shared" si="262"/>
        <v>0</v>
      </c>
      <c r="BE237" s="29">
        <v>0</v>
      </c>
      <c r="BF237" s="29">
        <f>237</f>
        <v>237</v>
      </c>
      <c r="BH237" s="15">
        <f t="shared" si="263"/>
        <v>0</v>
      </c>
      <c r="BI237" s="15">
        <f t="shared" si="264"/>
        <v>0</v>
      </c>
      <c r="BJ237" s="15">
        <f t="shared" si="265"/>
        <v>0</v>
      </c>
      <c r="BK237" s="15" t="s">
        <v>2969</v>
      </c>
      <c r="BL237" s="29">
        <v>721</v>
      </c>
    </row>
    <row r="238" spans="1:64" ht="12.75">
      <c r="A238" s="4" t="s">
        <v>198</v>
      </c>
      <c r="B238" s="94" t="s">
        <v>1197</v>
      </c>
      <c r="C238" s="152" t="s">
        <v>2157</v>
      </c>
      <c r="D238" s="153"/>
      <c r="E238" s="153"/>
      <c r="F238" s="153"/>
      <c r="G238" s="94" t="s">
        <v>2850</v>
      </c>
      <c r="H238" s="73">
        <v>1</v>
      </c>
      <c r="I238" s="105">
        <v>0</v>
      </c>
      <c r="J238" s="15">
        <f t="shared" si="242"/>
        <v>0</v>
      </c>
      <c r="K238" s="15">
        <f t="shared" si="243"/>
        <v>0</v>
      </c>
      <c r="L238" s="15">
        <f t="shared" si="244"/>
        <v>0</v>
      </c>
      <c r="M238" s="25"/>
      <c r="N238" s="5"/>
      <c r="Z238" s="29">
        <f t="shared" si="245"/>
        <v>0</v>
      </c>
      <c r="AB238" s="29">
        <f t="shared" si="246"/>
        <v>0</v>
      </c>
      <c r="AC238" s="29">
        <f t="shared" si="247"/>
        <v>0</v>
      </c>
      <c r="AD238" s="29">
        <f t="shared" si="248"/>
        <v>0</v>
      </c>
      <c r="AE238" s="29">
        <f t="shared" si="249"/>
        <v>0</v>
      </c>
      <c r="AF238" s="29">
        <f t="shared" si="250"/>
        <v>0</v>
      </c>
      <c r="AG238" s="29">
        <f t="shared" si="251"/>
        <v>0</v>
      </c>
      <c r="AH238" s="29">
        <f t="shared" si="252"/>
        <v>0</v>
      </c>
      <c r="AI238" s="28" t="s">
        <v>2882</v>
      </c>
      <c r="AJ238" s="15">
        <f t="shared" si="253"/>
        <v>0</v>
      </c>
      <c r="AK238" s="15">
        <f t="shared" si="254"/>
        <v>0</v>
      </c>
      <c r="AL238" s="15">
        <f t="shared" si="255"/>
        <v>0</v>
      </c>
      <c r="AN238" s="29">
        <v>15</v>
      </c>
      <c r="AO238" s="29">
        <f t="shared" si="256"/>
        <v>0</v>
      </c>
      <c r="AP238" s="29">
        <f t="shared" si="257"/>
        <v>0</v>
      </c>
      <c r="AQ238" s="30" t="s">
        <v>13</v>
      </c>
      <c r="AV238" s="29">
        <f t="shared" si="258"/>
        <v>0</v>
      </c>
      <c r="AW238" s="29">
        <f t="shared" si="259"/>
        <v>0</v>
      </c>
      <c r="AX238" s="29">
        <f t="shared" si="260"/>
        <v>0</v>
      </c>
      <c r="AY238" s="32" t="s">
        <v>2913</v>
      </c>
      <c r="AZ238" s="32" t="s">
        <v>2943</v>
      </c>
      <c r="BA238" s="28" t="s">
        <v>2957</v>
      </c>
      <c r="BC238" s="29">
        <f t="shared" si="261"/>
        <v>0</v>
      </c>
      <c r="BD238" s="29">
        <f t="shared" si="262"/>
        <v>0</v>
      </c>
      <c r="BE238" s="29">
        <v>0</v>
      </c>
      <c r="BF238" s="29">
        <f>238</f>
        <v>238</v>
      </c>
      <c r="BH238" s="15">
        <f t="shared" si="263"/>
        <v>0</v>
      </c>
      <c r="BI238" s="15">
        <f t="shared" si="264"/>
        <v>0</v>
      </c>
      <c r="BJ238" s="15">
        <f t="shared" si="265"/>
        <v>0</v>
      </c>
      <c r="BK238" s="15" t="s">
        <v>2969</v>
      </c>
      <c r="BL238" s="29">
        <v>721</v>
      </c>
    </row>
    <row r="239" spans="1:64" ht="12.75">
      <c r="A239" s="4" t="s">
        <v>199</v>
      </c>
      <c r="B239" s="94" t="s">
        <v>1198</v>
      </c>
      <c r="C239" s="152" t="s">
        <v>2158</v>
      </c>
      <c r="D239" s="153"/>
      <c r="E239" s="153"/>
      <c r="F239" s="153"/>
      <c r="G239" s="94" t="s">
        <v>2850</v>
      </c>
      <c r="H239" s="73">
        <v>4</v>
      </c>
      <c r="I239" s="105">
        <v>0</v>
      </c>
      <c r="J239" s="15">
        <f t="shared" si="242"/>
        <v>0</v>
      </c>
      <c r="K239" s="15">
        <f t="shared" si="243"/>
        <v>0</v>
      </c>
      <c r="L239" s="15">
        <f t="shared" si="244"/>
        <v>0</v>
      </c>
      <c r="M239" s="25"/>
      <c r="N239" s="5"/>
      <c r="Z239" s="29">
        <f t="shared" si="245"/>
        <v>0</v>
      </c>
      <c r="AB239" s="29">
        <f t="shared" si="246"/>
        <v>0</v>
      </c>
      <c r="AC239" s="29">
        <f t="shared" si="247"/>
        <v>0</v>
      </c>
      <c r="AD239" s="29">
        <f t="shared" si="248"/>
        <v>0</v>
      </c>
      <c r="AE239" s="29">
        <f t="shared" si="249"/>
        <v>0</v>
      </c>
      <c r="AF239" s="29">
        <f t="shared" si="250"/>
        <v>0</v>
      </c>
      <c r="AG239" s="29">
        <f t="shared" si="251"/>
        <v>0</v>
      </c>
      <c r="AH239" s="29">
        <f t="shared" si="252"/>
        <v>0</v>
      </c>
      <c r="AI239" s="28" t="s">
        <v>2882</v>
      </c>
      <c r="AJ239" s="15">
        <f t="shared" si="253"/>
        <v>0</v>
      </c>
      <c r="AK239" s="15">
        <f t="shared" si="254"/>
        <v>0</v>
      </c>
      <c r="AL239" s="15">
        <f t="shared" si="255"/>
        <v>0</v>
      </c>
      <c r="AN239" s="29">
        <v>15</v>
      </c>
      <c r="AO239" s="29">
        <f t="shared" si="256"/>
        <v>0</v>
      </c>
      <c r="AP239" s="29">
        <f t="shared" si="257"/>
        <v>0</v>
      </c>
      <c r="AQ239" s="30" t="s">
        <v>13</v>
      </c>
      <c r="AV239" s="29">
        <f t="shared" si="258"/>
        <v>0</v>
      </c>
      <c r="AW239" s="29">
        <f t="shared" si="259"/>
        <v>0</v>
      </c>
      <c r="AX239" s="29">
        <f t="shared" si="260"/>
        <v>0</v>
      </c>
      <c r="AY239" s="32" t="s">
        <v>2913</v>
      </c>
      <c r="AZ239" s="32" t="s">
        <v>2943</v>
      </c>
      <c r="BA239" s="28" t="s">
        <v>2957</v>
      </c>
      <c r="BC239" s="29">
        <f t="shared" si="261"/>
        <v>0</v>
      </c>
      <c r="BD239" s="29">
        <f t="shared" si="262"/>
        <v>0</v>
      </c>
      <c r="BE239" s="29">
        <v>0</v>
      </c>
      <c r="BF239" s="29">
        <f>239</f>
        <v>239</v>
      </c>
      <c r="BH239" s="15">
        <f t="shared" si="263"/>
        <v>0</v>
      </c>
      <c r="BI239" s="15">
        <f t="shared" si="264"/>
        <v>0</v>
      </c>
      <c r="BJ239" s="15">
        <f t="shared" si="265"/>
        <v>0</v>
      </c>
      <c r="BK239" s="15" t="s">
        <v>2969</v>
      </c>
      <c r="BL239" s="29">
        <v>721</v>
      </c>
    </row>
    <row r="240" spans="1:64" ht="12.75">
      <c r="A240" s="4" t="s">
        <v>200</v>
      </c>
      <c r="B240" s="94" t="s">
        <v>1199</v>
      </c>
      <c r="C240" s="152" t="s">
        <v>2159</v>
      </c>
      <c r="D240" s="153"/>
      <c r="E240" s="153"/>
      <c r="F240" s="153"/>
      <c r="G240" s="94" t="s">
        <v>2850</v>
      </c>
      <c r="H240" s="73">
        <v>6</v>
      </c>
      <c r="I240" s="105">
        <v>0</v>
      </c>
      <c r="J240" s="15">
        <f t="shared" si="242"/>
        <v>0</v>
      </c>
      <c r="K240" s="15">
        <f t="shared" si="243"/>
        <v>0</v>
      </c>
      <c r="L240" s="15">
        <f t="shared" si="244"/>
        <v>0</v>
      </c>
      <c r="M240" s="25"/>
      <c r="N240" s="5"/>
      <c r="Z240" s="29">
        <f t="shared" si="245"/>
        <v>0</v>
      </c>
      <c r="AB240" s="29">
        <f t="shared" si="246"/>
        <v>0</v>
      </c>
      <c r="AC240" s="29">
        <f t="shared" si="247"/>
        <v>0</v>
      </c>
      <c r="AD240" s="29">
        <f t="shared" si="248"/>
        <v>0</v>
      </c>
      <c r="AE240" s="29">
        <f t="shared" si="249"/>
        <v>0</v>
      </c>
      <c r="AF240" s="29">
        <f t="shared" si="250"/>
        <v>0</v>
      </c>
      <c r="AG240" s="29">
        <f t="shared" si="251"/>
        <v>0</v>
      </c>
      <c r="AH240" s="29">
        <f t="shared" si="252"/>
        <v>0</v>
      </c>
      <c r="AI240" s="28" t="s">
        <v>2882</v>
      </c>
      <c r="AJ240" s="15">
        <f t="shared" si="253"/>
        <v>0</v>
      </c>
      <c r="AK240" s="15">
        <f t="shared" si="254"/>
        <v>0</v>
      </c>
      <c r="AL240" s="15">
        <f t="shared" si="255"/>
        <v>0</v>
      </c>
      <c r="AN240" s="29">
        <v>15</v>
      </c>
      <c r="AO240" s="29">
        <f t="shared" si="256"/>
        <v>0</v>
      </c>
      <c r="AP240" s="29">
        <f t="shared" si="257"/>
        <v>0</v>
      </c>
      <c r="AQ240" s="30" t="s">
        <v>13</v>
      </c>
      <c r="AV240" s="29">
        <f t="shared" si="258"/>
        <v>0</v>
      </c>
      <c r="AW240" s="29">
        <f t="shared" si="259"/>
        <v>0</v>
      </c>
      <c r="AX240" s="29">
        <f t="shared" si="260"/>
        <v>0</v>
      </c>
      <c r="AY240" s="32" t="s">
        <v>2913</v>
      </c>
      <c r="AZ240" s="32" t="s">
        <v>2943</v>
      </c>
      <c r="BA240" s="28" t="s">
        <v>2957</v>
      </c>
      <c r="BC240" s="29">
        <f t="shared" si="261"/>
        <v>0</v>
      </c>
      <c r="BD240" s="29">
        <f t="shared" si="262"/>
        <v>0</v>
      </c>
      <c r="BE240" s="29">
        <v>0</v>
      </c>
      <c r="BF240" s="29">
        <f>240</f>
        <v>240</v>
      </c>
      <c r="BH240" s="15">
        <f t="shared" si="263"/>
        <v>0</v>
      </c>
      <c r="BI240" s="15">
        <f t="shared" si="264"/>
        <v>0</v>
      </c>
      <c r="BJ240" s="15">
        <f t="shared" si="265"/>
        <v>0</v>
      </c>
      <c r="BK240" s="15" t="s">
        <v>2969</v>
      </c>
      <c r="BL240" s="29">
        <v>721</v>
      </c>
    </row>
    <row r="241" spans="1:64" ht="12.75">
      <c r="A241" s="4" t="s">
        <v>201</v>
      </c>
      <c r="B241" s="94" t="s">
        <v>1200</v>
      </c>
      <c r="C241" s="152" t="s">
        <v>2160</v>
      </c>
      <c r="D241" s="153"/>
      <c r="E241" s="153"/>
      <c r="F241" s="153"/>
      <c r="G241" s="94" t="s">
        <v>2850</v>
      </c>
      <c r="H241" s="73">
        <v>1</v>
      </c>
      <c r="I241" s="105">
        <v>0</v>
      </c>
      <c r="J241" s="15">
        <f t="shared" si="242"/>
        <v>0</v>
      </c>
      <c r="K241" s="15">
        <f t="shared" si="243"/>
        <v>0</v>
      </c>
      <c r="L241" s="15">
        <f t="shared" si="244"/>
        <v>0</v>
      </c>
      <c r="M241" s="25"/>
      <c r="N241" s="5"/>
      <c r="Z241" s="29">
        <f t="shared" si="245"/>
        <v>0</v>
      </c>
      <c r="AB241" s="29">
        <f t="shared" si="246"/>
        <v>0</v>
      </c>
      <c r="AC241" s="29">
        <f t="shared" si="247"/>
        <v>0</v>
      </c>
      <c r="AD241" s="29">
        <f t="shared" si="248"/>
        <v>0</v>
      </c>
      <c r="AE241" s="29">
        <f t="shared" si="249"/>
        <v>0</v>
      </c>
      <c r="AF241" s="29">
        <f t="shared" si="250"/>
        <v>0</v>
      </c>
      <c r="AG241" s="29">
        <f t="shared" si="251"/>
        <v>0</v>
      </c>
      <c r="AH241" s="29">
        <f t="shared" si="252"/>
        <v>0</v>
      </c>
      <c r="AI241" s="28" t="s">
        <v>2882</v>
      </c>
      <c r="AJ241" s="15">
        <f t="shared" si="253"/>
        <v>0</v>
      </c>
      <c r="AK241" s="15">
        <f t="shared" si="254"/>
        <v>0</v>
      </c>
      <c r="AL241" s="15">
        <f t="shared" si="255"/>
        <v>0</v>
      </c>
      <c r="AN241" s="29">
        <v>15</v>
      </c>
      <c r="AO241" s="29">
        <f t="shared" si="256"/>
        <v>0</v>
      </c>
      <c r="AP241" s="29">
        <f t="shared" si="257"/>
        <v>0</v>
      </c>
      <c r="AQ241" s="30" t="s">
        <v>13</v>
      </c>
      <c r="AV241" s="29">
        <f t="shared" si="258"/>
        <v>0</v>
      </c>
      <c r="AW241" s="29">
        <f t="shared" si="259"/>
        <v>0</v>
      </c>
      <c r="AX241" s="29">
        <f t="shared" si="260"/>
        <v>0</v>
      </c>
      <c r="AY241" s="32" t="s">
        <v>2913</v>
      </c>
      <c r="AZ241" s="32" t="s">
        <v>2943</v>
      </c>
      <c r="BA241" s="28" t="s">
        <v>2957</v>
      </c>
      <c r="BC241" s="29">
        <f t="shared" si="261"/>
        <v>0</v>
      </c>
      <c r="BD241" s="29">
        <f t="shared" si="262"/>
        <v>0</v>
      </c>
      <c r="BE241" s="29">
        <v>0</v>
      </c>
      <c r="BF241" s="29">
        <f>241</f>
        <v>241</v>
      </c>
      <c r="BH241" s="15">
        <f t="shared" si="263"/>
        <v>0</v>
      </c>
      <c r="BI241" s="15">
        <f t="shared" si="264"/>
        <v>0</v>
      </c>
      <c r="BJ241" s="15">
        <f t="shared" si="265"/>
        <v>0</v>
      </c>
      <c r="BK241" s="15" t="s">
        <v>2969</v>
      </c>
      <c r="BL241" s="29">
        <v>721</v>
      </c>
    </row>
    <row r="242" spans="1:64" ht="12.75">
      <c r="A242" s="4" t="s">
        <v>202</v>
      </c>
      <c r="B242" s="94" t="s">
        <v>1201</v>
      </c>
      <c r="C242" s="152" t="s">
        <v>2161</v>
      </c>
      <c r="D242" s="153"/>
      <c r="E242" s="153"/>
      <c r="F242" s="153"/>
      <c r="G242" s="94" t="s">
        <v>2850</v>
      </c>
      <c r="H242" s="73">
        <v>8</v>
      </c>
      <c r="I242" s="105">
        <v>0</v>
      </c>
      <c r="J242" s="15">
        <f t="shared" si="242"/>
        <v>0</v>
      </c>
      <c r="K242" s="15">
        <f t="shared" si="243"/>
        <v>0</v>
      </c>
      <c r="L242" s="15">
        <f t="shared" si="244"/>
        <v>0</v>
      </c>
      <c r="M242" s="25"/>
      <c r="N242" s="5"/>
      <c r="Z242" s="29">
        <f t="shared" si="245"/>
        <v>0</v>
      </c>
      <c r="AB242" s="29">
        <f t="shared" si="246"/>
        <v>0</v>
      </c>
      <c r="AC242" s="29">
        <f t="shared" si="247"/>
        <v>0</v>
      </c>
      <c r="AD242" s="29">
        <f t="shared" si="248"/>
        <v>0</v>
      </c>
      <c r="AE242" s="29">
        <f t="shared" si="249"/>
        <v>0</v>
      </c>
      <c r="AF242" s="29">
        <f t="shared" si="250"/>
        <v>0</v>
      </c>
      <c r="AG242" s="29">
        <f t="shared" si="251"/>
        <v>0</v>
      </c>
      <c r="AH242" s="29">
        <f t="shared" si="252"/>
        <v>0</v>
      </c>
      <c r="AI242" s="28" t="s">
        <v>2882</v>
      </c>
      <c r="AJ242" s="15">
        <f t="shared" si="253"/>
        <v>0</v>
      </c>
      <c r="AK242" s="15">
        <f t="shared" si="254"/>
        <v>0</v>
      </c>
      <c r="AL242" s="15">
        <f t="shared" si="255"/>
        <v>0</v>
      </c>
      <c r="AN242" s="29">
        <v>15</v>
      </c>
      <c r="AO242" s="29">
        <f t="shared" si="256"/>
        <v>0</v>
      </c>
      <c r="AP242" s="29">
        <f t="shared" si="257"/>
        <v>0</v>
      </c>
      <c r="AQ242" s="30" t="s">
        <v>13</v>
      </c>
      <c r="AV242" s="29">
        <f t="shared" si="258"/>
        <v>0</v>
      </c>
      <c r="AW242" s="29">
        <f t="shared" si="259"/>
        <v>0</v>
      </c>
      <c r="AX242" s="29">
        <f t="shared" si="260"/>
        <v>0</v>
      </c>
      <c r="AY242" s="32" t="s">
        <v>2913</v>
      </c>
      <c r="AZ242" s="32" t="s">
        <v>2943</v>
      </c>
      <c r="BA242" s="28" t="s">
        <v>2957</v>
      </c>
      <c r="BC242" s="29">
        <f t="shared" si="261"/>
        <v>0</v>
      </c>
      <c r="BD242" s="29">
        <f t="shared" si="262"/>
        <v>0</v>
      </c>
      <c r="BE242" s="29">
        <v>0</v>
      </c>
      <c r="BF242" s="29">
        <f>242</f>
        <v>242</v>
      </c>
      <c r="BH242" s="15">
        <f t="shared" si="263"/>
        <v>0</v>
      </c>
      <c r="BI242" s="15">
        <f t="shared" si="264"/>
        <v>0</v>
      </c>
      <c r="BJ242" s="15">
        <f t="shared" si="265"/>
        <v>0</v>
      </c>
      <c r="BK242" s="15" t="s">
        <v>2969</v>
      </c>
      <c r="BL242" s="29">
        <v>721</v>
      </c>
    </row>
    <row r="243" spans="1:64" ht="12.75">
      <c r="A243" s="4" t="s">
        <v>203</v>
      </c>
      <c r="B243" s="94" t="s">
        <v>1202</v>
      </c>
      <c r="C243" s="152" t="s">
        <v>2162</v>
      </c>
      <c r="D243" s="153"/>
      <c r="E243" s="153"/>
      <c r="F243" s="153"/>
      <c r="G243" s="94" t="s">
        <v>2850</v>
      </c>
      <c r="H243" s="73">
        <v>1</v>
      </c>
      <c r="I243" s="105">
        <v>0</v>
      </c>
      <c r="J243" s="15">
        <f t="shared" si="242"/>
        <v>0</v>
      </c>
      <c r="K243" s="15">
        <f t="shared" si="243"/>
        <v>0</v>
      </c>
      <c r="L243" s="15">
        <f t="shared" si="244"/>
        <v>0</v>
      </c>
      <c r="M243" s="25"/>
      <c r="N243" s="5"/>
      <c r="Z243" s="29">
        <f t="shared" si="245"/>
        <v>0</v>
      </c>
      <c r="AB243" s="29">
        <f t="shared" si="246"/>
        <v>0</v>
      </c>
      <c r="AC243" s="29">
        <f t="shared" si="247"/>
        <v>0</v>
      </c>
      <c r="AD243" s="29">
        <f t="shared" si="248"/>
        <v>0</v>
      </c>
      <c r="AE243" s="29">
        <f t="shared" si="249"/>
        <v>0</v>
      </c>
      <c r="AF243" s="29">
        <f t="shared" si="250"/>
        <v>0</v>
      </c>
      <c r="AG243" s="29">
        <f t="shared" si="251"/>
        <v>0</v>
      </c>
      <c r="AH243" s="29">
        <f t="shared" si="252"/>
        <v>0</v>
      </c>
      <c r="AI243" s="28" t="s">
        <v>2882</v>
      </c>
      <c r="AJ243" s="15">
        <f t="shared" si="253"/>
        <v>0</v>
      </c>
      <c r="AK243" s="15">
        <f t="shared" si="254"/>
        <v>0</v>
      </c>
      <c r="AL243" s="15">
        <f t="shared" si="255"/>
        <v>0</v>
      </c>
      <c r="AN243" s="29">
        <v>15</v>
      </c>
      <c r="AO243" s="29">
        <f t="shared" si="256"/>
        <v>0</v>
      </c>
      <c r="AP243" s="29">
        <f t="shared" si="257"/>
        <v>0</v>
      </c>
      <c r="AQ243" s="30" t="s">
        <v>13</v>
      </c>
      <c r="AV243" s="29">
        <f t="shared" si="258"/>
        <v>0</v>
      </c>
      <c r="AW243" s="29">
        <f t="shared" si="259"/>
        <v>0</v>
      </c>
      <c r="AX243" s="29">
        <f t="shared" si="260"/>
        <v>0</v>
      </c>
      <c r="AY243" s="32" t="s">
        <v>2913</v>
      </c>
      <c r="AZ243" s="32" t="s">
        <v>2943</v>
      </c>
      <c r="BA243" s="28" t="s">
        <v>2957</v>
      </c>
      <c r="BC243" s="29">
        <f t="shared" si="261"/>
        <v>0</v>
      </c>
      <c r="BD243" s="29">
        <f t="shared" si="262"/>
        <v>0</v>
      </c>
      <c r="BE243" s="29">
        <v>0</v>
      </c>
      <c r="BF243" s="29">
        <f>243</f>
        <v>243</v>
      </c>
      <c r="BH243" s="15">
        <f t="shared" si="263"/>
        <v>0</v>
      </c>
      <c r="BI243" s="15">
        <f t="shared" si="264"/>
        <v>0</v>
      </c>
      <c r="BJ243" s="15">
        <f t="shared" si="265"/>
        <v>0</v>
      </c>
      <c r="BK243" s="15" t="s">
        <v>2969</v>
      </c>
      <c r="BL243" s="29">
        <v>721</v>
      </c>
    </row>
    <row r="244" spans="1:64" ht="12.75">
      <c r="A244" s="4" t="s">
        <v>204</v>
      </c>
      <c r="B244" s="94" t="s">
        <v>1203</v>
      </c>
      <c r="C244" s="152" t="s">
        <v>2163</v>
      </c>
      <c r="D244" s="153"/>
      <c r="E244" s="153"/>
      <c r="F244" s="153"/>
      <c r="G244" s="94" t="s">
        <v>2850</v>
      </c>
      <c r="H244" s="73">
        <v>4</v>
      </c>
      <c r="I244" s="105">
        <v>0</v>
      </c>
      <c r="J244" s="15">
        <f t="shared" si="242"/>
        <v>0</v>
      </c>
      <c r="K244" s="15">
        <f t="shared" si="243"/>
        <v>0</v>
      </c>
      <c r="L244" s="15">
        <f t="shared" si="244"/>
        <v>0</v>
      </c>
      <c r="M244" s="25"/>
      <c r="N244" s="5"/>
      <c r="Z244" s="29">
        <f t="shared" si="245"/>
        <v>0</v>
      </c>
      <c r="AB244" s="29">
        <f t="shared" si="246"/>
        <v>0</v>
      </c>
      <c r="AC244" s="29">
        <f t="shared" si="247"/>
        <v>0</v>
      </c>
      <c r="AD244" s="29">
        <f t="shared" si="248"/>
        <v>0</v>
      </c>
      <c r="AE244" s="29">
        <f t="shared" si="249"/>
        <v>0</v>
      </c>
      <c r="AF244" s="29">
        <f t="shared" si="250"/>
        <v>0</v>
      </c>
      <c r="AG244" s="29">
        <f t="shared" si="251"/>
        <v>0</v>
      </c>
      <c r="AH244" s="29">
        <f t="shared" si="252"/>
        <v>0</v>
      </c>
      <c r="AI244" s="28" t="s">
        <v>2882</v>
      </c>
      <c r="AJ244" s="15">
        <f t="shared" si="253"/>
        <v>0</v>
      </c>
      <c r="AK244" s="15">
        <f t="shared" si="254"/>
        <v>0</v>
      </c>
      <c r="AL244" s="15">
        <f t="shared" si="255"/>
        <v>0</v>
      </c>
      <c r="AN244" s="29">
        <v>15</v>
      </c>
      <c r="AO244" s="29">
        <f t="shared" si="256"/>
        <v>0</v>
      </c>
      <c r="AP244" s="29">
        <f t="shared" si="257"/>
        <v>0</v>
      </c>
      <c r="AQ244" s="30" t="s">
        <v>13</v>
      </c>
      <c r="AV244" s="29">
        <f t="shared" si="258"/>
        <v>0</v>
      </c>
      <c r="AW244" s="29">
        <f t="shared" si="259"/>
        <v>0</v>
      </c>
      <c r="AX244" s="29">
        <f t="shared" si="260"/>
        <v>0</v>
      </c>
      <c r="AY244" s="32" t="s">
        <v>2913</v>
      </c>
      <c r="AZ244" s="32" t="s">
        <v>2943</v>
      </c>
      <c r="BA244" s="28" t="s">
        <v>2957</v>
      </c>
      <c r="BC244" s="29">
        <f t="shared" si="261"/>
        <v>0</v>
      </c>
      <c r="BD244" s="29">
        <f t="shared" si="262"/>
        <v>0</v>
      </c>
      <c r="BE244" s="29">
        <v>0</v>
      </c>
      <c r="BF244" s="29">
        <f>244</f>
        <v>244</v>
      </c>
      <c r="BH244" s="15">
        <f t="shared" si="263"/>
        <v>0</v>
      </c>
      <c r="BI244" s="15">
        <f t="shared" si="264"/>
        <v>0</v>
      </c>
      <c r="BJ244" s="15">
        <f t="shared" si="265"/>
        <v>0</v>
      </c>
      <c r="BK244" s="15" t="s">
        <v>2969</v>
      </c>
      <c r="BL244" s="29">
        <v>721</v>
      </c>
    </row>
    <row r="245" spans="1:64" ht="12.75">
      <c r="A245" s="4" t="s">
        <v>205</v>
      </c>
      <c r="B245" s="94" t="s">
        <v>1204</v>
      </c>
      <c r="C245" s="152" t="s">
        <v>2164</v>
      </c>
      <c r="D245" s="153"/>
      <c r="E245" s="153"/>
      <c r="F245" s="153"/>
      <c r="G245" s="94" t="s">
        <v>2850</v>
      </c>
      <c r="H245" s="73">
        <v>2</v>
      </c>
      <c r="I245" s="105">
        <v>0</v>
      </c>
      <c r="J245" s="15">
        <f t="shared" si="242"/>
        <v>0</v>
      </c>
      <c r="K245" s="15">
        <f t="shared" si="243"/>
        <v>0</v>
      </c>
      <c r="L245" s="15">
        <f t="shared" si="244"/>
        <v>0</v>
      </c>
      <c r="M245" s="25"/>
      <c r="N245" s="5"/>
      <c r="Z245" s="29">
        <f t="shared" si="245"/>
        <v>0</v>
      </c>
      <c r="AB245" s="29">
        <f t="shared" si="246"/>
        <v>0</v>
      </c>
      <c r="AC245" s="29">
        <f t="shared" si="247"/>
        <v>0</v>
      </c>
      <c r="AD245" s="29">
        <f t="shared" si="248"/>
        <v>0</v>
      </c>
      <c r="AE245" s="29">
        <f t="shared" si="249"/>
        <v>0</v>
      </c>
      <c r="AF245" s="29">
        <f t="shared" si="250"/>
        <v>0</v>
      </c>
      <c r="AG245" s="29">
        <f t="shared" si="251"/>
        <v>0</v>
      </c>
      <c r="AH245" s="29">
        <f t="shared" si="252"/>
        <v>0</v>
      </c>
      <c r="AI245" s="28" t="s">
        <v>2882</v>
      </c>
      <c r="AJ245" s="15">
        <f t="shared" si="253"/>
        <v>0</v>
      </c>
      <c r="AK245" s="15">
        <f t="shared" si="254"/>
        <v>0</v>
      </c>
      <c r="AL245" s="15">
        <f t="shared" si="255"/>
        <v>0</v>
      </c>
      <c r="AN245" s="29">
        <v>15</v>
      </c>
      <c r="AO245" s="29">
        <f t="shared" si="256"/>
        <v>0</v>
      </c>
      <c r="AP245" s="29">
        <f t="shared" si="257"/>
        <v>0</v>
      </c>
      <c r="AQ245" s="30" t="s">
        <v>13</v>
      </c>
      <c r="AV245" s="29">
        <f t="shared" si="258"/>
        <v>0</v>
      </c>
      <c r="AW245" s="29">
        <f t="shared" si="259"/>
        <v>0</v>
      </c>
      <c r="AX245" s="29">
        <f t="shared" si="260"/>
        <v>0</v>
      </c>
      <c r="AY245" s="32" t="s">
        <v>2913</v>
      </c>
      <c r="AZ245" s="32" t="s">
        <v>2943</v>
      </c>
      <c r="BA245" s="28" t="s">
        <v>2957</v>
      </c>
      <c r="BC245" s="29">
        <f t="shared" si="261"/>
        <v>0</v>
      </c>
      <c r="BD245" s="29">
        <f t="shared" si="262"/>
        <v>0</v>
      </c>
      <c r="BE245" s="29">
        <v>0</v>
      </c>
      <c r="BF245" s="29">
        <f>245</f>
        <v>245</v>
      </c>
      <c r="BH245" s="15">
        <f t="shared" si="263"/>
        <v>0</v>
      </c>
      <c r="BI245" s="15">
        <f t="shared" si="264"/>
        <v>0</v>
      </c>
      <c r="BJ245" s="15">
        <f t="shared" si="265"/>
        <v>0</v>
      </c>
      <c r="BK245" s="15" t="s">
        <v>2969</v>
      </c>
      <c r="BL245" s="29">
        <v>721</v>
      </c>
    </row>
    <row r="246" spans="1:64" ht="12.75">
      <c r="A246" s="4" t="s">
        <v>206</v>
      </c>
      <c r="B246" s="94" t="s">
        <v>1205</v>
      </c>
      <c r="C246" s="152" t="s">
        <v>2165</v>
      </c>
      <c r="D246" s="153"/>
      <c r="E246" s="153"/>
      <c r="F246" s="153"/>
      <c r="G246" s="94" t="s">
        <v>2850</v>
      </c>
      <c r="H246" s="73">
        <v>3</v>
      </c>
      <c r="I246" s="105">
        <v>0</v>
      </c>
      <c r="J246" s="15">
        <f t="shared" si="242"/>
        <v>0</v>
      </c>
      <c r="K246" s="15">
        <f t="shared" si="243"/>
        <v>0</v>
      </c>
      <c r="L246" s="15">
        <f t="shared" si="244"/>
        <v>0</v>
      </c>
      <c r="M246" s="25"/>
      <c r="N246" s="5"/>
      <c r="Z246" s="29">
        <f t="shared" si="245"/>
        <v>0</v>
      </c>
      <c r="AB246" s="29">
        <f t="shared" si="246"/>
        <v>0</v>
      </c>
      <c r="AC246" s="29">
        <f t="shared" si="247"/>
        <v>0</v>
      </c>
      <c r="AD246" s="29">
        <f t="shared" si="248"/>
        <v>0</v>
      </c>
      <c r="AE246" s="29">
        <f t="shared" si="249"/>
        <v>0</v>
      </c>
      <c r="AF246" s="29">
        <f t="shared" si="250"/>
        <v>0</v>
      </c>
      <c r="AG246" s="29">
        <f t="shared" si="251"/>
        <v>0</v>
      </c>
      <c r="AH246" s="29">
        <f t="shared" si="252"/>
        <v>0</v>
      </c>
      <c r="AI246" s="28" t="s">
        <v>2882</v>
      </c>
      <c r="AJ246" s="15">
        <f t="shared" si="253"/>
        <v>0</v>
      </c>
      <c r="AK246" s="15">
        <f t="shared" si="254"/>
        <v>0</v>
      </c>
      <c r="AL246" s="15">
        <f t="shared" si="255"/>
        <v>0</v>
      </c>
      <c r="AN246" s="29">
        <v>15</v>
      </c>
      <c r="AO246" s="29">
        <f t="shared" si="256"/>
        <v>0</v>
      </c>
      <c r="AP246" s="29">
        <f t="shared" si="257"/>
        <v>0</v>
      </c>
      <c r="AQ246" s="30" t="s">
        <v>13</v>
      </c>
      <c r="AV246" s="29">
        <f t="shared" si="258"/>
        <v>0</v>
      </c>
      <c r="AW246" s="29">
        <f t="shared" si="259"/>
        <v>0</v>
      </c>
      <c r="AX246" s="29">
        <f t="shared" si="260"/>
        <v>0</v>
      </c>
      <c r="AY246" s="32" t="s">
        <v>2913</v>
      </c>
      <c r="AZ246" s="32" t="s">
        <v>2943</v>
      </c>
      <c r="BA246" s="28" t="s">
        <v>2957</v>
      </c>
      <c r="BC246" s="29">
        <f t="shared" si="261"/>
        <v>0</v>
      </c>
      <c r="BD246" s="29">
        <f t="shared" si="262"/>
        <v>0</v>
      </c>
      <c r="BE246" s="29">
        <v>0</v>
      </c>
      <c r="BF246" s="29">
        <f>246</f>
        <v>246</v>
      </c>
      <c r="BH246" s="15">
        <f t="shared" si="263"/>
        <v>0</v>
      </c>
      <c r="BI246" s="15">
        <f t="shared" si="264"/>
        <v>0</v>
      </c>
      <c r="BJ246" s="15">
        <f t="shared" si="265"/>
        <v>0</v>
      </c>
      <c r="BK246" s="15" t="s">
        <v>2969</v>
      </c>
      <c r="BL246" s="29">
        <v>721</v>
      </c>
    </row>
    <row r="247" spans="1:64" ht="12.75">
      <c r="A247" s="4" t="s">
        <v>207</v>
      </c>
      <c r="B247" s="94" t="s">
        <v>1206</v>
      </c>
      <c r="C247" s="152" t="s">
        <v>2166</v>
      </c>
      <c r="D247" s="153"/>
      <c r="E247" s="153"/>
      <c r="F247" s="153"/>
      <c r="G247" s="94" t="s">
        <v>2850</v>
      </c>
      <c r="H247" s="73">
        <v>2</v>
      </c>
      <c r="I247" s="105">
        <v>0</v>
      </c>
      <c r="J247" s="15">
        <f t="shared" si="242"/>
        <v>0</v>
      </c>
      <c r="K247" s="15">
        <f t="shared" si="243"/>
        <v>0</v>
      </c>
      <c r="L247" s="15">
        <f t="shared" si="244"/>
        <v>0</v>
      </c>
      <c r="M247" s="25"/>
      <c r="N247" s="5"/>
      <c r="Z247" s="29">
        <f t="shared" si="245"/>
        <v>0</v>
      </c>
      <c r="AB247" s="29">
        <f t="shared" si="246"/>
        <v>0</v>
      </c>
      <c r="AC247" s="29">
        <f t="shared" si="247"/>
        <v>0</v>
      </c>
      <c r="AD247" s="29">
        <f t="shared" si="248"/>
        <v>0</v>
      </c>
      <c r="AE247" s="29">
        <f t="shared" si="249"/>
        <v>0</v>
      </c>
      <c r="AF247" s="29">
        <f t="shared" si="250"/>
        <v>0</v>
      </c>
      <c r="AG247" s="29">
        <f t="shared" si="251"/>
        <v>0</v>
      </c>
      <c r="AH247" s="29">
        <f t="shared" si="252"/>
        <v>0</v>
      </c>
      <c r="AI247" s="28" t="s">
        <v>2882</v>
      </c>
      <c r="AJ247" s="15">
        <f t="shared" si="253"/>
        <v>0</v>
      </c>
      <c r="AK247" s="15">
        <f t="shared" si="254"/>
        <v>0</v>
      </c>
      <c r="AL247" s="15">
        <f t="shared" si="255"/>
        <v>0</v>
      </c>
      <c r="AN247" s="29">
        <v>15</v>
      </c>
      <c r="AO247" s="29">
        <f t="shared" si="256"/>
        <v>0</v>
      </c>
      <c r="AP247" s="29">
        <f t="shared" si="257"/>
        <v>0</v>
      </c>
      <c r="AQ247" s="30" t="s">
        <v>13</v>
      </c>
      <c r="AV247" s="29">
        <f t="shared" si="258"/>
        <v>0</v>
      </c>
      <c r="AW247" s="29">
        <f t="shared" si="259"/>
        <v>0</v>
      </c>
      <c r="AX247" s="29">
        <f t="shared" si="260"/>
        <v>0</v>
      </c>
      <c r="AY247" s="32" t="s">
        <v>2913</v>
      </c>
      <c r="AZ247" s="32" t="s">
        <v>2943</v>
      </c>
      <c r="BA247" s="28" t="s">
        <v>2957</v>
      </c>
      <c r="BC247" s="29">
        <f t="shared" si="261"/>
        <v>0</v>
      </c>
      <c r="BD247" s="29">
        <f t="shared" si="262"/>
        <v>0</v>
      </c>
      <c r="BE247" s="29">
        <v>0</v>
      </c>
      <c r="BF247" s="29">
        <f>247</f>
        <v>247</v>
      </c>
      <c r="BH247" s="15">
        <f t="shared" si="263"/>
        <v>0</v>
      </c>
      <c r="BI247" s="15">
        <f t="shared" si="264"/>
        <v>0</v>
      </c>
      <c r="BJ247" s="15">
        <f t="shared" si="265"/>
        <v>0</v>
      </c>
      <c r="BK247" s="15" t="s">
        <v>2969</v>
      </c>
      <c r="BL247" s="29">
        <v>721</v>
      </c>
    </row>
    <row r="248" spans="1:64" ht="12.75">
      <c r="A248" s="4" t="s">
        <v>208</v>
      </c>
      <c r="B248" s="94" t="s">
        <v>1207</v>
      </c>
      <c r="C248" s="152" t="s">
        <v>2167</v>
      </c>
      <c r="D248" s="153"/>
      <c r="E248" s="153"/>
      <c r="F248" s="153"/>
      <c r="G248" s="94" t="s">
        <v>2850</v>
      </c>
      <c r="H248" s="73">
        <v>1</v>
      </c>
      <c r="I248" s="105">
        <v>0</v>
      </c>
      <c r="J248" s="15">
        <f t="shared" si="242"/>
        <v>0</v>
      </c>
      <c r="K248" s="15">
        <f t="shared" si="243"/>
        <v>0</v>
      </c>
      <c r="L248" s="15">
        <f t="shared" si="244"/>
        <v>0</v>
      </c>
      <c r="M248" s="25"/>
      <c r="N248" s="5"/>
      <c r="Z248" s="29">
        <f t="shared" si="245"/>
        <v>0</v>
      </c>
      <c r="AB248" s="29">
        <f t="shared" si="246"/>
        <v>0</v>
      </c>
      <c r="AC248" s="29">
        <f t="shared" si="247"/>
        <v>0</v>
      </c>
      <c r="AD248" s="29">
        <f t="shared" si="248"/>
        <v>0</v>
      </c>
      <c r="AE248" s="29">
        <f t="shared" si="249"/>
        <v>0</v>
      </c>
      <c r="AF248" s="29">
        <f t="shared" si="250"/>
        <v>0</v>
      </c>
      <c r="AG248" s="29">
        <f t="shared" si="251"/>
        <v>0</v>
      </c>
      <c r="AH248" s="29">
        <f t="shared" si="252"/>
        <v>0</v>
      </c>
      <c r="AI248" s="28" t="s">
        <v>2882</v>
      </c>
      <c r="AJ248" s="15">
        <f t="shared" si="253"/>
        <v>0</v>
      </c>
      <c r="AK248" s="15">
        <f t="shared" si="254"/>
        <v>0</v>
      </c>
      <c r="AL248" s="15">
        <f t="shared" si="255"/>
        <v>0</v>
      </c>
      <c r="AN248" s="29">
        <v>15</v>
      </c>
      <c r="AO248" s="29">
        <f t="shared" si="256"/>
        <v>0</v>
      </c>
      <c r="AP248" s="29">
        <f t="shared" si="257"/>
        <v>0</v>
      </c>
      <c r="AQ248" s="30" t="s">
        <v>13</v>
      </c>
      <c r="AV248" s="29">
        <f t="shared" si="258"/>
        <v>0</v>
      </c>
      <c r="AW248" s="29">
        <f t="shared" si="259"/>
        <v>0</v>
      </c>
      <c r="AX248" s="29">
        <f t="shared" si="260"/>
        <v>0</v>
      </c>
      <c r="AY248" s="32" t="s">
        <v>2913</v>
      </c>
      <c r="AZ248" s="32" t="s">
        <v>2943</v>
      </c>
      <c r="BA248" s="28" t="s">
        <v>2957</v>
      </c>
      <c r="BC248" s="29">
        <f t="shared" si="261"/>
        <v>0</v>
      </c>
      <c r="BD248" s="29">
        <f t="shared" si="262"/>
        <v>0</v>
      </c>
      <c r="BE248" s="29">
        <v>0</v>
      </c>
      <c r="BF248" s="29">
        <f>248</f>
        <v>248</v>
      </c>
      <c r="BH248" s="15">
        <f t="shared" si="263"/>
        <v>0</v>
      </c>
      <c r="BI248" s="15">
        <f t="shared" si="264"/>
        <v>0</v>
      </c>
      <c r="BJ248" s="15">
        <f t="shared" si="265"/>
        <v>0</v>
      </c>
      <c r="BK248" s="15" t="s">
        <v>2969</v>
      </c>
      <c r="BL248" s="29">
        <v>721</v>
      </c>
    </row>
    <row r="249" spans="1:64" ht="12.75">
      <c r="A249" s="4" t="s">
        <v>209</v>
      </c>
      <c r="B249" s="94" t="s">
        <v>1208</v>
      </c>
      <c r="C249" s="152" t="s">
        <v>2168</v>
      </c>
      <c r="D249" s="153"/>
      <c r="E249" s="153"/>
      <c r="F249" s="153"/>
      <c r="G249" s="94" t="s">
        <v>2850</v>
      </c>
      <c r="H249" s="73">
        <v>2</v>
      </c>
      <c r="I249" s="105">
        <v>0</v>
      </c>
      <c r="J249" s="15">
        <f t="shared" si="242"/>
        <v>0</v>
      </c>
      <c r="K249" s="15">
        <f t="shared" si="243"/>
        <v>0</v>
      </c>
      <c r="L249" s="15">
        <f t="shared" si="244"/>
        <v>0</v>
      </c>
      <c r="M249" s="25"/>
      <c r="N249" s="5"/>
      <c r="Z249" s="29">
        <f t="shared" si="245"/>
        <v>0</v>
      </c>
      <c r="AB249" s="29">
        <f t="shared" si="246"/>
        <v>0</v>
      </c>
      <c r="AC249" s="29">
        <f t="shared" si="247"/>
        <v>0</v>
      </c>
      <c r="AD249" s="29">
        <f t="shared" si="248"/>
        <v>0</v>
      </c>
      <c r="AE249" s="29">
        <f t="shared" si="249"/>
        <v>0</v>
      </c>
      <c r="AF249" s="29">
        <f t="shared" si="250"/>
        <v>0</v>
      </c>
      <c r="AG249" s="29">
        <f t="shared" si="251"/>
        <v>0</v>
      </c>
      <c r="AH249" s="29">
        <f t="shared" si="252"/>
        <v>0</v>
      </c>
      <c r="AI249" s="28" t="s">
        <v>2882</v>
      </c>
      <c r="AJ249" s="15">
        <f t="shared" si="253"/>
        <v>0</v>
      </c>
      <c r="AK249" s="15">
        <f t="shared" si="254"/>
        <v>0</v>
      </c>
      <c r="AL249" s="15">
        <f t="shared" si="255"/>
        <v>0</v>
      </c>
      <c r="AN249" s="29">
        <v>15</v>
      </c>
      <c r="AO249" s="29">
        <f t="shared" si="256"/>
        <v>0</v>
      </c>
      <c r="AP249" s="29">
        <f t="shared" si="257"/>
        <v>0</v>
      </c>
      <c r="AQ249" s="30" t="s">
        <v>13</v>
      </c>
      <c r="AV249" s="29">
        <f t="shared" si="258"/>
        <v>0</v>
      </c>
      <c r="AW249" s="29">
        <f t="shared" si="259"/>
        <v>0</v>
      </c>
      <c r="AX249" s="29">
        <f t="shared" si="260"/>
        <v>0</v>
      </c>
      <c r="AY249" s="32" t="s">
        <v>2913</v>
      </c>
      <c r="AZ249" s="32" t="s">
        <v>2943</v>
      </c>
      <c r="BA249" s="28" t="s">
        <v>2957</v>
      </c>
      <c r="BC249" s="29">
        <f t="shared" si="261"/>
        <v>0</v>
      </c>
      <c r="BD249" s="29">
        <f t="shared" si="262"/>
        <v>0</v>
      </c>
      <c r="BE249" s="29">
        <v>0</v>
      </c>
      <c r="BF249" s="29">
        <f>249</f>
        <v>249</v>
      </c>
      <c r="BH249" s="15">
        <f t="shared" si="263"/>
        <v>0</v>
      </c>
      <c r="BI249" s="15">
        <f t="shared" si="264"/>
        <v>0</v>
      </c>
      <c r="BJ249" s="15">
        <f t="shared" si="265"/>
        <v>0</v>
      </c>
      <c r="BK249" s="15" t="s">
        <v>2969</v>
      </c>
      <c r="BL249" s="29">
        <v>721</v>
      </c>
    </row>
    <row r="250" spans="1:64" ht="12.75">
      <c r="A250" s="4" t="s">
        <v>210</v>
      </c>
      <c r="B250" s="94" t="s">
        <v>1209</v>
      </c>
      <c r="C250" s="152" t="s">
        <v>2169</v>
      </c>
      <c r="D250" s="153"/>
      <c r="E250" s="153"/>
      <c r="F250" s="153"/>
      <c r="G250" s="94" t="s">
        <v>2850</v>
      </c>
      <c r="H250" s="73">
        <v>2</v>
      </c>
      <c r="I250" s="105">
        <v>0</v>
      </c>
      <c r="J250" s="15">
        <f t="shared" si="242"/>
        <v>0</v>
      </c>
      <c r="K250" s="15">
        <f t="shared" si="243"/>
        <v>0</v>
      </c>
      <c r="L250" s="15">
        <f t="shared" si="244"/>
        <v>0</v>
      </c>
      <c r="M250" s="25"/>
      <c r="N250" s="5"/>
      <c r="Z250" s="29">
        <f t="shared" si="245"/>
        <v>0</v>
      </c>
      <c r="AB250" s="29">
        <f t="shared" si="246"/>
        <v>0</v>
      </c>
      <c r="AC250" s="29">
        <f t="shared" si="247"/>
        <v>0</v>
      </c>
      <c r="AD250" s="29">
        <f t="shared" si="248"/>
        <v>0</v>
      </c>
      <c r="AE250" s="29">
        <f t="shared" si="249"/>
        <v>0</v>
      </c>
      <c r="AF250" s="29">
        <f t="shared" si="250"/>
        <v>0</v>
      </c>
      <c r="AG250" s="29">
        <f t="shared" si="251"/>
        <v>0</v>
      </c>
      <c r="AH250" s="29">
        <f t="shared" si="252"/>
        <v>0</v>
      </c>
      <c r="AI250" s="28" t="s">
        <v>2882</v>
      </c>
      <c r="AJ250" s="15">
        <f t="shared" si="253"/>
        <v>0</v>
      </c>
      <c r="AK250" s="15">
        <f t="shared" si="254"/>
        <v>0</v>
      </c>
      <c r="AL250" s="15">
        <f t="shared" si="255"/>
        <v>0</v>
      </c>
      <c r="AN250" s="29">
        <v>15</v>
      </c>
      <c r="AO250" s="29">
        <f t="shared" si="256"/>
        <v>0</v>
      </c>
      <c r="AP250" s="29">
        <f t="shared" si="257"/>
        <v>0</v>
      </c>
      <c r="AQ250" s="30" t="s">
        <v>13</v>
      </c>
      <c r="AV250" s="29">
        <f t="shared" si="258"/>
        <v>0</v>
      </c>
      <c r="AW250" s="29">
        <f t="shared" si="259"/>
        <v>0</v>
      </c>
      <c r="AX250" s="29">
        <f t="shared" si="260"/>
        <v>0</v>
      </c>
      <c r="AY250" s="32" t="s">
        <v>2913</v>
      </c>
      <c r="AZ250" s="32" t="s">
        <v>2943</v>
      </c>
      <c r="BA250" s="28" t="s">
        <v>2957</v>
      </c>
      <c r="BC250" s="29">
        <f t="shared" si="261"/>
        <v>0</v>
      </c>
      <c r="BD250" s="29">
        <f t="shared" si="262"/>
        <v>0</v>
      </c>
      <c r="BE250" s="29">
        <v>0</v>
      </c>
      <c r="BF250" s="29">
        <f>250</f>
        <v>250</v>
      </c>
      <c r="BH250" s="15">
        <f t="shared" si="263"/>
        <v>0</v>
      </c>
      <c r="BI250" s="15">
        <f t="shared" si="264"/>
        <v>0</v>
      </c>
      <c r="BJ250" s="15">
        <f t="shared" si="265"/>
        <v>0</v>
      </c>
      <c r="BK250" s="15" t="s">
        <v>2969</v>
      </c>
      <c r="BL250" s="29">
        <v>721</v>
      </c>
    </row>
    <row r="251" spans="1:64" ht="12.75">
      <c r="A251" s="4" t="s">
        <v>211</v>
      </c>
      <c r="B251" s="94" t="s">
        <v>1210</v>
      </c>
      <c r="C251" s="152" t="s">
        <v>2170</v>
      </c>
      <c r="D251" s="153"/>
      <c r="E251" s="153"/>
      <c r="F251" s="153"/>
      <c r="G251" s="94" t="s">
        <v>2850</v>
      </c>
      <c r="H251" s="73">
        <v>3</v>
      </c>
      <c r="I251" s="105">
        <v>0</v>
      </c>
      <c r="J251" s="15">
        <f t="shared" si="242"/>
        <v>0</v>
      </c>
      <c r="K251" s="15">
        <f t="shared" si="243"/>
        <v>0</v>
      </c>
      <c r="L251" s="15">
        <f t="shared" si="244"/>
        <v>0</v>
      </c>
      <c r="M251" s="25"/>
      <c r="N251" s="5"/>
      <c r="Z251" s="29">
        <f t="shared" si="245"/>
        <v>0</v>
      </c>
      <c r="AB251" s="29">
        <f t="shared" si="246"/>
        <v>0</v>
      </c>
      <c r="AC251" s="29">
        <f t="shared" si="247"/>
        <v>0</v>
      </c>
      <c r="AD251" s="29">
        <f t="shared" si="248"/>
        <v>0</v>
      </c>
      <c r="AE251" s="29">
        <f t="shared" si="249"/>
        <v>0</v>
      </c>
      <c r="AF251" s="29">
        <f t="shared" si="250"/>
        <v>0</v>
      </c>
      <c r="AG251" s="29">
        <f t="shared" si="251"/>
        <v>0</v>
      </c>
      <c r="AH251" s="29">
        <f t="shared" si="252"/>
        <v>0</v>
      </c>
      <c r="AI251" s="28" t="s">
        <v>2882</v>
      </c>
      <c r="AJ251" s="15">
        <f t="shared" si="253"/>
        <v>0</v>
      </c>
      <c r="AK251" s="15">
        <f t="shared" si="254"/>
        <v>0</v>
      </c>
      <c r="AL251" s="15">
        <f t="shared" si="255"/>
        <v>0</v>
      </c>
      <c r="AN251" s="29">
        <v>15</v>
      </c>
      <c r="AO251" s="29">
        <f t="shared" si="256"/>
        <v>0</v>
      </c>
      <c r="AP251" s="29">
        <f t="shared" si="257"/>
        <v>0</v>
      </c>
      <c r="AQ251" s="30" t="s">
        <v>13</v>
      </c>
      <c r="AV251" s="29">
        <f t="shared" si="258"/>
        <v>0</v>
      </c>
      <c r="AW251" s="29">
        <f t="shared" si="259"/>
        <v>0</v>
      </c>
      <c r="AX251" s="29">
        <f t="shared" si="260"/>
        <v>0</v>
      </c>
      <c r="AY251" s="32" t="s">
        <v>2913</v>
      </c>
      <c r="AZ251" s="32" t="s">
        <v>2943</v>
      </c>
      <c r="BA251" s="28" t="s">
        <v>2957</v>
      </c>
      <c r="BC251" s="29">
        <f t="shared" si="261"/>
        <v>0</v>
      </c>
      <c r="BD251" s="29">
        <f t="shared" si="262"/>
        <v>0</v>
      </c>
      <c r="BE251" s="29">
        <v>0</v>
      </c>
      <c r="BF251" s="29">
        <f>251</f>
        <v>251</v>
      </c>
      <c r="BH251" s="15">
        <f t="shared" si="263"/>
        <v>0</v>
      </c>
      <c r="BI251" s="15">
        <f t="shared" si="264"/>
        <v>0</v>
      </c>
      <c r="BJ251" s="15">
        <f t="shared" si="265"/>
        <v>0</v>
      </c>
      <c r="BK251" s="15" t="s">
        <v>2969</v>
      </c>
      <c r="BL251" s="29">
        <v>721</v>
      </c>
    </row>
    <row r="252" spans="1:64" ht="12.75">
      <c r="A252" s="4" t="s">
        <v>212</v>
      </c>
      <c r="B252" s="94" t="s">
        <v>1211</v>
      </c>
      <c r="C252" s="152" t="s">
        <v>2171</v>
      </c>
      <c r="D252" s="153"/>
      <c r="E252" s="153"/>
      <c r="F252" s="153"/>
      <c r="G252" s="94" t="s">
        <v>2850</v>
      </c>
      <c r="H252" s="73">
        <v>2</v>
      </c>
      <c r="I252" s="105">
        <v>0</v>
      </c>
      <c r="J252" s="15">
        <f t="shared" si="242"/>
        <v>0</v>
      </c>
      <c r="K252" s="15">
        <f t="shared" si="243"/>
        <v>0</v>
      </c>
      <c r="L252" s="15">
        <f t="shared" si="244"/>
        <v>0</v>
      </c>
      <c r="M252" s="25"/>
      <c r="N252" s="5"/>
      <c r="Z252" s="29">
        <f t="shared" si="245"/>
        <v>0</v>
      </c>
      <c r="AB252" s="29">
        <f t="shared" si="246"/>
        <v>0</v>
      </c>
      <c r="AC252" s="29">
        <f t="shared" si="247"/>
        <v>0</v>
      </c>
      <c r="AD252" s="29">
        <f t="shared" si="248"/>
        <v>0</v>
      </c>
      <c r="AE252" s="29">
        <f t="shared" si="249"/>
        <v>0</v>
      </c>
      <c r="AF252" s="29">
        <f t="shared" si="250"/>
        <v>0</v>
      </c>
      <c r="AG252" s="29">
        <f t="shared" si="251"/>
        <v>0</v>
      </c>
      <c r="AH252" s="29">
        <f t="shared" si="252"/>
        <v>0</v>
      </c>
      <c r="AI252" s="28" t="s">
        <v>2882</v>
      </c>
      <c r="AJ252" s="15">
        <f t="shared" si="253"/>
        <v>0</v>
      </c>
      <c r="AK252" s="15">
        <f t="shared" si="254"/>
        <v>0</v>
      </c>
      <c r="AL252" s="15">
        <f t="shared" si="255"/>
        <v>0</v>
      </c>
      <c r="AN252" s="29">
        <v>15</v>
      </c>
      <c r="AO252" s="29">
        <f t="shared" si="256"/>
        <v>0</v>
      </c>
      <c r="AP252" s="29">
        <f t="shared" si="257"/>
        <v>0</v>
      </c>
      <c r="AQ252" s="30" t="s">
        <v>13</v>
      </c>
      <c r="AV252" s="29">
        <f t="shared" si="258"/>
        <v>0</v>
      </c>
      <c r="AW252" s="29">
        <f t="shared" si="259"/>
        <v>0</v>
      </c>
      <c r="AX252" s="29">
        <f t="shared" si="260"/>
        <v>0</v>
      </c>
      <c r="AY252" s="32" t="s">
        <v>2913</v>
      </c>
      <c r="AZ252" s="32" t="s">
        <v>2943</v>
      </c>
      <c r="BA252" s="28" t="s">
        <v>2957</v>
      </c>
      <c r="BC252" s="29">
        <f t="shared" si="261"/>
        <v>0</v>
      </c>
      <c r="BD252" s="29">
        <f t="shared" si="262"/>
        <v>0</v>
      </c>
      <c r="BE252" s="29">
        <v>0</v>
      </c>
      <c r="BF252" s="29">
        <f>252</f>
        <v>252</v>
      </c>
      <c r="BH252" s="15">
        <f t="shared" si="263"/>
        <v>0</v>
      </c>
      <c r="BI252" s="15">
        <f t="shared" si="264"/>
        <v>0</v>
      </c>
      <c r="BJ252" s="15">
        <f t="shared" si="265"/>
        <v>0</v>
      </c>
      <c r="BK252" s="15" t="s">
        <v>2969</v>
      </c>
      <c r="BL252" s="29">
        <v>721</v>
      </c>
    </row>
    <row r="253" spans="1:64" ht="12.75">
      <c r="A253" s="4" t="s">
        <v>213</v>
      </c>
      <c r="B253" s="94" t="s">
        <v>1212</v>
      </c>
      <c r="C253" s="152" t="s">
        <v>2172</v>
      </c>
      <c r="D253" s="153"/>
      <c r="E253" s="153"/>
      <c r="F253" s="153"/>
      <c r="G253" s="94" t="s">
        <v>2850</v>
      </c>
      <c r="H253" s="73">
        <v>5</v>
      </c>
      <c r="I253" s="105">
        <v>0</v>
      </c>
      <c r="J253" s="15">
        <f t="shared" si="242"/>
        <v>0</v>
      </c>
      <c r="K253" s="15">
        <f t="shared" si="243"/>
        <v>0</v>
      </c>
      <c r="L253" s="15">
        <f t="shared" si="244"/>
        <v>0</v>
      </c>
      <c r="M253" s="25"/>
      <c r="N253" s="5"/>
      <c r="Z253" s="29">
        <f t="shared" si="245"/>
        <v>0</v>
      </c>
      <c r="AB253" s="29">
        <f t="shared" si="246"/>
        <v>0</v>
      </c>
      <c r="AC253" s="29">
        <f t="shared" si="247"/>
        <v>0</v>
      </c>
      <c r="AD253" s="29">
        <f t="shared" si="248"/>
        <v>0</v>
      </c>
      <c r="AE253" s="29">
        <f t="shared" si="249"/>
        <v>0</v>
      </c>
      <c r="AF253" s="29">
        <f t="shared" si="250"/>
        <v>0</v>
      </c>
      <c r="AG253" s="29">
        <f t="shared" si="251"/>
        <v>0</v>
      </c>
      <c r="AH253" s="29">
        <f t="shared" si="252"/>
        <v>0</v>
      </c>
      <c r="AI253" s="28" t="s">
        <v>2882</v>
      </c>
      <c r="AJ253" s="15">
        <f t="shared" si="253"/>
        <v>0</v>
      </c>
      <c r="AK253" s="15">
        <f t="shared" si="254"/>
        <v>0</v>
      </c>
      <c r="AL253" s="15">
        <f t="shared" si="255"/>
        <v>0</v>
      </c>
      <c r="AN253" s="29">
        <v>15</v>
      </c>
      <c r="AO253" s="29">
        <f t="shared" si="256"/>
        <v>0</v>
      </c>
      <c r="AP253" s="29">
        <f t="shared" si="257"/>
        <v>0</v>
      </c>
      <c r="AQ253" s="30" t="s">
        <v>13</v>
      </c>
      <c r="AV253" s="29">
        <f t="shared" si="258"/>
        <v>0</v>
      </c>
      <c r="AW253" s="29">
        <f t="shared" si="259"/>
        <v>0</v>
      </c>
      <c r="AX253" s="29">
        <f t="shared" si="260"/>
        <v>0</v>
      </c>
      <c r="AY253" s="32" t="s">
        <v>2913</v>
      </c>
      <c r="AZ253" s="32" t="s">
        <v>2943</v>
      </c>
      <c r="BA253" s="28" t="s">
        <v>2957</v>
      </c>
      <c r="BC253" s="29">
        <f t="shared" si="261"/>
        <v>0</v>
      </c>
      <c r="BD253" s="29">
        <f t="shared" si="262"/>
        <v>0</v>
      </c>
      <c r="BE253" s="29">
        <v>0</v>
      </c>
      <c r="BF253" s="29">
        <f>253</f>
        <v>253</v>
      </c>
      <c r="BH253" s="15">
        <f t="shared" si="263"/>
        <v>0</v>
      </c>
      <c r="BI253" s="15">
        <f t="shared" si="264"/>
        <v>0</v>
      </c>
      <c r="BJ253" s="15">
        <f t="shared" si="265"/>
        <v>0</v>
      </c>
      <c r="BK253" s="15" t="s">
        <v>2969</v>
      </c>
      <c r="BL253" s="29">
        <v>721</v>
      </c>
    </row>
    <row r="254" spans="1:64" ht="12.75">
      <c r="A254" s="4" t="s">
        <v>214</v>
      </c>
      <c r="B254" s="94" t="s">
        <v>1213</v>
      </c>
      <c r="C254" s="152" t="s">
        <v>2173</v>
      </c>
      <c r="D254" s="153"/>
      <c r="E254" s="153"/>
      <c r="F254" s="153"/>
      <c r="G254" s="94" t="s">
        <v>2850</v>
      </c>
      <c r="H254" s="73">
        <v>2</v>
      </c>
      <c r="I254" s="105">
        <v>0</v>
      </c>
      <c r="J254" s="15">
        <f t="shared" si="242"/>
        <v>0</v>
      </c>
      <c r="K254" s="15">
        <f t="shared" si="243"/>
        <v>0</v>
      </c>
      <c r="L254" s="15">
        <f t="shared" si="244"/>
        <v>0</v>
      </c>
      <c r="M254" s="25"/>
      <c r="N254" s="5"/>
      <c r="Z254" s="29">
        <f t="shared" si="245"/>
        <v>0</v>
      </c>
      <c r="AB254" s="29">
        <f t="shared" si="246"/>
        <v>0</v>
      </c>
      <c r="AC254" s="29">
        <f t="shared" si="247"/>
        <v>0</v>
      </c>
      <c r="AD254" s="29">
        <f t="shared" si="248"/>
        <v>0</v>
      </c>
      <c r="AE254" s="29">
        <f t="shared" si="249"/>
        <v>0</v>
      </c>
      <c r="AF254" s="29">
        <f t="shared" si="250"/>
        <v>0</v>
      </c>
      <c r="AG254" s="29">
        <f t="shared" si="251"/>
        <v>0</v>
      </c>
      <c r="AH254" s="29">
        <f t="shared" si="252"/>
        <v>0</v>
      </c>
      <c r="AI254" s="28" t="s">
        <v>2882</v>
      </c>
      <c r="AJ254" s="15">
        <f t="shared" si="253"/>
        <v>0</v>
      </c>
      <c r="AK254" s="15">
        <f t="shared" si="254"/>
        <v>0</v>
      </c>
      <c r="AL254" s="15">
        <f t="shared" si="255"/>
        <v>0</v>
      </c>
      <c r="AN254" s="29">
        <v>15</v>
      </c>
      <c r="AO254" s="29">
        <f t="shared" si="256"/>
        <v>0</v>
      </c>
      <c r="AP254" s="29">
        <f t="shared" si="257"/>
        <v>0</v>
      </c>
      <c r="AQ254" s="30" t="s">
        <v>13</v>
      </c>
      <c r="AV254" s="29">
        <f t="shared" si="258"/>
        <v>0</v>
      </c>
      <c r="AW254" s="29">
        <f t="shared" si="259"/>
        <v>0</v>
      </c>
      <c r="AX254" s="29">
        <f t="shared" si="260"/>
        <v>0</v>
      </c>
      <c r="AY254" s="32" t="s">
        <v>2913</v>
      </c>
      <c r="AZ254" s="32" t="s">
        <v>2943</v>
      </c>
      <c r="BA254" s="28" t="s">
        <v>2957</v>
      </c>
      <c r="BC254" s="29">
        <f t="shared" si="261"/>
        <v>0</v>
      </c>
      <c r="BD254" s="29">
        <f t="shared" si="262"/>
        <v>0</v>
      </c>
      <c r="BE254" s="29">
        <v>0</v>
      </c>
      <c r="BF254" s="29">
        <f>254</f>
        <v>254</v>
      </c>
      <c r="BH254" s="15">
        <f t="shared" si="263"/>
        <v>0</v>
      </c>
      <c r="BI254" s="15">
        <f t="shared" si="264"/>
        <v>0</v>
      </c>
      <c r="BJ254" s="15">
        <f t="shared" si="265"/>
        <v>0</v>
      </c>
      <c r="BK254" s="15" t="s">
        <v>2969</v>
      </c>
      <c r="BL254" s="29">
        <v>721</v>
      </c>
    </row>
    <row r="255" spans="1:64" ht="12.75">
      <c r="A255" s="4" t="s">
        <v>215</v>
      </c>
      <c r="B255" s="94" t="s">
        <v>1214</v>
      </c>
      <c r="C255" s="152" t="s">
        <v>2174</v>
      </c>
      <c r="D255" s="153"/>
      <c r="E255" s="153"/>
      <c r="F255" s="153"/>
      <c r="G255" s="94" t="s">
        <v>2850</v>
      </c>
      <c r="H255" s="73">
        <v>2</v>
      </c>
      <c r="I255" s="105">
        <v>0</v>
      </c>
      <c r="J255" s="15">
        <f t="shared" si="242"/>
        <v>0</v>
      </c>
      <c r="K255" s="15">
        <f t="shared" si="243"/>
        <v>0</v>
      </c>
      <c r="L255" s="15">
        <f t="shared" si="244"/>
        <v>0</v>
      </c>
      <c r="M255" s="25"/>
      <c r="N255" s="5"/>
      <c r="Z255" s="29">
        <f t="shared" si="245"/>
        <v>0</v>
      </c>
      <c r="AB255" s="29">
        <f t="shared" si="246"/>
        <v>0</v>
      </c>
      <c r="AC255" s="29">
        <f t="shared" si="247"/>
        <v>0</v>
      </c>
      <c r="AD255" s="29">
        <f t="shared" si="248"/>
        <v>0</v>
      </c>
      <c r="AE255" s="29">
        <f t="shared" si="249"/>
        <v>0</v>
      </c>
      <c r="AF255" s="29">
        <f t="shared" si="250"/>
        <v>0</v>
      </c>
      <c r="AG255" s="29">
        <f t="shared" si="251"/>
        <v>0</v>
      </c>
      <c r="AH255" s="29">
        <f t="shared" si="252"/>
        <v>0</v>
      </c>
      <c r="AI255" s="28" t="s">
        <v>2882</v>
      </c>
      <c r="AJ255" s="15">
        <f t="shared" si="253"/>
        <v>0</v>
      </c>
      <c r="AK255" s="15">
        <f t="shared" si="254"/>
        <v>0</v>
      </c>
      <c r="AL255" s="15">
        <f t="shared" si="255"/>
        <v>0</v>
      </c>
      <c r="AN255" s="29">
        <v>15</v>
      </c>
      <c r="AO255" s="29">
        <f t="shared" si="256"/>
        <v>0</v>
      </c>
      <c r="AP255" s="29">
        <f t="shared" si="257"/>
        <v>0</v>
      </c>
      <c r="AQ255" s="30" t="s">
        <v>13</v>
      </c>
      <c r="AV255" s="29">
        <f t="shared" si="258"/>
        <v>0</v>
      </c>
      <c r="AW255" s="29">
        <f t="shared" si="259"/>
        <v>0</v>
      </c>
      <c r="AX255" s="29">
        <f t="shared" si="260"/>
        <v>0</v>
      </c>
      <c r="AY255" s="32" t="s">
        <v>2913</v>
      </c>
      <c r="AZ255" s="32" t="s">
        <v>2943</v>
      </c>
      <c r="BA255" s="28" t="s">
        <v>2957</v>
      </c>
      <c r="BC255" s="29">
        <f t="shared" si="261"/>
        <v>0</v>
      </c>
      <c r="BD255" s="29">
        <f t="shared" si="262"/>
        <v>0</v>
      </c>
      <c r="BE255" s="29">
        <v>0</v>
      </c>
      <c r="BF255" s="29">
        <f>255</f>
        <v>255</v>
      </c>
      <c r="BH255" s="15">
        <f t="shared" si="263"/>
        <v>0</v>
      </c>
      <c r="BI255" s="15">
        <f t="shared" si="264"/>
        <v>0</v>
      </c>
      <c r="BJ255" s="15">
        <f t="shared" si="265"/>
        <v>0</v>
      </c>
      <c r="BK255" s="15" t="s">
        <v>2969</v>
      </c>
      <c r="BL255" s="29">
        <v>721</v>
      </c>
    </row>
    <row r="256" spans="1:64" ht="12.75">
      <c r="A256" s="4" t="s">
        <v>216</v>
      </c>
      <c r="B256" s="94" t="s">
        <v>1215</v>
      </c>
      <c r="C256" s="152" t="s">
        <v>2175</v>
      </c>
      <c r="D256" s="153"/>
      <c r="E256" s="153"/>
      <c r="F256" s="153"/>
      <c r="G256" s="94" t="s">
        <v>2850</v>
      </c>
      <c r="H256" s="73">
        <v>1</v>
      </c>
      <c r="I256" s="105">
        <v>0</v>
      </c>
      <c r="J256" s="15">
        <f t="shared" si="242"/>
        <v>0</v>
      </c>
      <c r="K256" s="15">
        <f t="shared" si="243"/>
        <v>0</v>
      </c>
      <c r="L256" s="15">
        <f t="shared" si="244"/>
        <v>0</v>
      </c>
      <c r="M256" s="25"/>
      <c r="N256" s="5"/>
      <c r="Z256" s="29">
        <f t="shared" si="245"/>
        <v>0</v>
      </c>
      <c r="AB256" s="29">
        <f t="shared" si="246"/>
        <v>0</v>
      </c>
      <c r="AC256" s="29">
        <f t="shared" si="247"/>
        <v>0</v>
      </c>
      <c r="AD256" s="29">
        <f t="shared" si="248"/>
        <v>0</v>
      </c>
      <c r="AE256" s="29">
        <f t="shared" si="249"/>
        <v>0</v>
      </c>
      <c r="AF256" s="29">
        <f t="shared" si="250"/>
        <v>0</v>
      </c>
      <c r="AG256" s="29">
        <f t="shared" si="251"/>
        <v>0</v>
      </c>
      <c r="AH256" s="29">
        <f t="shared" si="252"/>
        <v>0</v>
      </c>
      <c r="AI256" s="28" t="s">
        <v>2882</v>
      </c>
      <c r="AJ256" s="15">
        <f t="shared" si="253"/>
        <v>0</v>
      </c>
      <c r="AK256" s="15">
        <f t="shared" si="254"/>
        <v>0</v>
      </c>
      <c r="AL256" s="15">
        <f t="shared" si="255"/>
        <v>0</v>
      </c>
      <c r="AN256" s="29">
        <v>15</v>
      </c>
      <c r="AO256" s="29">
        <f t="shared" si="256"/>
        <v>0</v>
      </c>
      <c r="AP256" s="29">
        <f t="shared" si="257"/>
        <v>0</v>
      </c>
      <c r="AQ256" s="30" t="s">
        <v>13</v>
      </c>
      <c r="AV256" s="29">
        <f t="shared" si="258"/>
        <v>0</v>
      </c>
      <c r="AW256" s="29">
        <f t="shared" si="259"/>
        <v>0</v>
      </c>
      <c r="AX256" s="29">
        <f t="shared" si="260"/>
        <v>0</v>
      </c>
      <c r="AY256" s="32" t="s">
        <v>2913</v>
      </c>
      <c r="AZ256" s="32" t="s">
        <v>2943</v>
      </c>
      <c r="BA256" s="28" t="s">
        <v>2957</v>
      </c>
      <c r="BC256" s="29">
        <f t="shared" si="261"/>
        <v>0</v>
      </c>
      <c r="BD256" s="29">
        <f t="shared" si="262"/>
        <v>0</v>
      </c>
      <c r="BE256" s="29">
        <v>0</v>
      </c>
      <c r="BF256" s="29">
        <f>256</f>
        <v>256</v>
      </c>
      <c r="BH256" s="15">
        <f t="shared" si="263"/>
        <v>0</v>
      </c>
      <c r="BI256" s="15">
        <f t="shared" si="264"/>
        <v>0</v>
      </c>
      <c r="BJ256" s="15">
        <f t="shared" si="265"/>
        <v>0</v>
      </c>
      <c r="BK256" s="15" t="s">
        <v>2969</v>
      </c>
      <c r="BL256" s="29">
        <v>721</v>
      </c>
    </row>
    <row r="257" spans="1:64" ht="12.75">
      <c r="A257" s="4" t="s">
        <v>217</v>
      </c>
      <c r="B257" s="94" t="s">
        <v>1216</v>
      </c>
      <c r="C257" s="152" t="s">
        <v>2176</v>
      </c>
      <c r="D257" s="153"/>
      <c r="E257" s="153"/>
      <c r="F257" s="153"/>
      <c r="G257" s="94" t="s">
        <v>2850</v>
      </c>
      <c r="H257" s="73">
        <v>1</v>
      </c>
      <c r="I257" s="105">
        <v>0</v>
      </c>
      <c r="J257" s="15">
        <f aca="true" t="shared" si="266" ref="J257:J277">H257*AO257</f>
        <v>0</v>
      </c>
      <c r="K257" s="15">
        <f aca="true" t="shared" si="267" ref="K257:K277">H257*AP257</f>
        <v>0</v>
      </c>
      <c r="L257" s="15">
        <f aca="true" t="shared" si="268" ref="L257:L277">H257*I257</f>
        <v>0</v>
      </c>
      <c r="M257" s="25"/>
      <c r="N257" s="5"/>
      <c r="Z257" s="29">
        <f aca="true" t="shared" si="269" ref="Z257:Z277">IF(AQ257="5",BJ257,0)</f>
        <v>0</v>
      </c>
      <c r="AB257" s="29">
        <f aca="true" t="shared" si="270" ref="AB257:AB277">IF(AQ257="1",BH257,0)</f>
        <v>0</v>
      </c>
      <c r="AC257" s="29">
        <f aca="true" t="shared" si="271" ref="AC257:AC277">IF(AQ257="1",BI257,0)</f>
        <v>0</v>
      </c>
      <c r="AD257" s="29">
        <f aca="true" t="shared" si="272" ref="AD257:AD277">IF(AQ257="7",BH257,0)</f>
        <v>0</v>
      </c>
      <c r="AE257" s="29">
        <f aca="true" t="shared" si="273" ref="AE257:AE277">IF(AQ257="7",BI257,0)</f>
        <v>0</v>
      </c>
      <c r="AF257" s="29">
        <f aca="true" t="shared" si="274" ref="AF257:AF277">IF(AQ257="2",BH257,0)</f>
        <v>0</v>
      </c>
      <c r="AG257" s="29">
        <f aca="true" t="shared" si="275" ref="AG257:AG277">IF(AQ257="2",BI257,0)</f>
        <v>0</v>
      </c>
      <c r="AH257" s="29">
        <f aca="true" t="shared" si="276" ref="AH257:AH277">IF(AQ257="0",BJ257,0)</f>
        <v>0</v>
      </c>
      <c r="AI257" s="28" t="s">
        <v>2882</v>
      </c>
      <c r="AJ257" s="15">
        <f aca="true" t="shared" si="277" ref="AJ257:AJ277">IF(AN257=0,L257,0)</f>
        <v>0</v>
      </c>
      <c r="AK257" s="15">
        <f aca="true" t="shared" si="278" ref="AK257:AK277">IF(AN257=15,L257,0)</f>
        <v>0</v>
      </c>
      <c r="AL257" s="15">
        <f aca="true" t="shared" si="279" ref="AL257:AL277">IF(AN257=21,L257,0)</f>
        <v>0</v>
      </c>
      <c r="AN257" s="29">
        <v>15</v>
      </c>
      <c r="AO257" s="29">
        <f aca="true" t="shared" si="280" ref="AO257:AO277">I257*0</f>
        <v>0</v>
      </c>
      <c r="AP257" s="29">
        <f aca="true" t="shared" si="281" ref="AP257:AP277">I257*(1-0)</f>
        <v>0</v>
      </c>
      <c r="AQ257" s="30" t="s">
        <v>13</v>
      </c>
      <c r="AV257" s="29">
        <f aca="true" t="shared" si="282" ref="AV257:AV277">AW257+AX257</f>
        <v>0</v>
      </c>
      <c r="AW257" s="29">
        <f aca="true" t="shared" si="283" ref="AW257:AW277">H257*AO257</f>
        <v>0</v>
      </c>
      <c r="AX257" s="29">
        <f aca="true" t="shared" si="284" ref="AX257:AX277">H257*AP257</f>
        <v>0</v>
      </c>
      <c r="AY257" s="32" t="s">
        <v>2913</v>
      </c>
      <c r="AZ257" s="32" t="s">
        <v>2943</v>
      </c>
      <c r="BA257" s="28" t="s">
        <v>2957</v>
      </c>
      <c r="BC257" s="29">
        <f aca="true" t="shared" si="285" ref="BC257:BC277">AW257+AX257</f>
        <v>0</v>
      </c>
      <c r="BD257" s="29">
        <f aca="true" t="shared" si="286" ref="BD257:BD277">I257/(100-BE257)*100</f>
        <v>0</v>
      </c>
      <c r="BE257" s="29">
        <v>0</v>
      </c>
      <c r="BF257" s="29">
        <f>257</f>
        <v>257</v>
      </c>
      <c r="BH257" s="15">
        <f aca="true" t="shared" si="287" ref="BH257:BH277">H257*AO257</f>
        <v>0</v>
      </c>
      <c r="BI257" s="15">
        <f aca="true" t="shared" si="288" ref="BI257:BI277">H257*AP257</f>
        <v>0</v>
      </c>
      <c r="BJ257" s="15">
        <f aca="true" t="shared" si="289" ref="BJ257:BJ277">H257*I257</f>
        <v>0</v>
      </c>
      <c r="BK257" s="15" t="s">
        <v>2969</v>
      </c>
      <c r="BL257" s="29">
        <v>721</v>
      </c>
    </row>
    <row r="258" spans="1:64" ht="12.75">
      <c r="A258" s="4" t="s">
        <v>218</v>
      </c>
      <c r="B258" s="94" t="s">
        <v>1217</v>
      </c>
      <c r="C258" s="152" t="s">
        <v>2177</v>
      </c>
      <c r="D258" s="153"/>
      <c r="E258" s="153"/>
      <c r="F258" s="153"/>
      <c r="G258" s="94" t="s">
        <v>2850</v>
      </c>
      <c r="H258" s="73">
        <v>1</v>
      </c>
      <c r="I258" s="105">
        <v>0</v>
      </c>
      <c r="J258" s="15">
        <f t="shared" si="266"/>
        <v>0</v>
      </c>
      <c r="K258" s="15">
        <f t="shared" si="267"/>
        <v>0</v>
      </c>
      <c r="L258" s="15">
        <f t="shared" si="268"/>
        <v>0</v>
      </c>
      <c r="M258" s="25"/>
      <c r="N258" s="5"/>
      <c r="Z258" s="29">
        <f t="shared" si="269"/>
        <v>0</v>
      </c>
      <c r="AB258" s="29">
        <f t="shared" si="270"/>
        <v>0</v>
      </c>
      <c r="AC258" s="29">
        <f t="shared" si="271"/>
        <v>0</v>
      </c>
      <c r="AD258" s="29">
        <f t="shared" si="272"/>
        <v>0</v>
      </c>
      <c r="AE258" s="29">
        <f t="shared" si="273"/>
        <v>0</v>
      </c>
      <c r="AF258" s="29">
        <f t="shared" si="274"/>
        <v>0</v>
      </c>
      <c r="AG258" s="29">
        <f t="shared" si="275"/>
        <v>0</v>
      </c>
      <c r="AH258" s="29">
        <f t="shared" si="276"/>
        <v>0</v>
      </c>
      <c r="AI258" s="28" t="s">
        <v>2882</v>
      </c>
      <c r="AJ258" s="15">
        <f t="shared" si="277"/>
        <v>0</v>
      </c>
      <c r="AK258" s="15">
        <f t="shared" si="278"/>
        <v>0</v>
      </c>
      <c r="AL258" s="15">
        <f t="shared" si="279"/>
        <v>0</v>
      </c>
      <c r="AN258" s="29">
        <v>15</v>
      </c>
      <c r="AO258" s="29">
        <f t="shared" si="280"/>
        <v>0</v>
      </c>
      <c r="AP258" s="29">
        <f t="shared" si="281"/>
        <v>0</v>
      </c>
      <c r="AQ258" s="30" t="s">
        <v>13</v>
      </c>
      <c r="AV258" s="29">
        <f t="shared" si="282"/>
        <v>0</v>
      </c>
      <c r="AW258" s="29">
        <f t="shared" si="283"/>
        <v>0</v>
      </c>
      <c r="AX258" s="29">
        <f t="shared" si="284"/>
        <v>0</v>
      </c>
      <c r="AY258" s="32" t="s">
        <v>2913</v>
      </c>
      <c r="AZ258" s="32" t="s">
        <v>2943</v>
      </c>
      <c r="BA258" s="28" t="s">
        <v>2957</v>
      </c>
      <c r="BC258" s="29">
        <f t="shared" si="285"/>
        <v>0</v>
      </c>
      <c r="BD258" s="29">
        <f t="shared" si="286"/>
        <v>0</v>
      </c>
      <c r="BE258" s="29">
        <v>0</v>
      </c>
      <c r="BF258" s="29">
        <f>258</f>
        <v>258</v>
      </c>
      <c r="BH258" s="15">
        <f t="shared" si="287"/>
        <v>0</v>
      </c>
      <c r="BI258" s="15">
        <f t="shared" si="288"/>
        <v>0</v>
      </c>
      <c r="BJ258" s="15">
        <f t="shared" si="289"/>
        <v>0</v>
      </c>
      <c r="BK258" s="15" t="s">
        <v>2969</v>
      </c>
      <c r="BL258" s="29">
        <v>721</v>
      </c>
    </row>
    <row r="259" spans="1:64" ht="12.75">
      <c r="A259" s="4" t="s">
        <v>219</v>
      </c>
      <c r="B259" s="94" t="s">
        <v>1218</v>
      </c>
      <c r="C259" s="152" t="s">
        <v>2178</v>
      </c>
      <c r="D259" s="153"/>
      <c r="E259" s="153"/>
      <c r="F259" s="153"/>
      <c r="G259" s="94" t="s">
        <v>2850</v>
      </c>
      <c r="H259" s="73">
        <v>1</v>
      </c>
      <c r="I259" s="105">
        <v>0</v>
      </c>
      <c r="J259" s="15">
        <f t="shared" si="266"/>
        <v>0</v>
      </c>
      <c r="K259" s="15">
        <f t="shared" si="267"/>
        <v>0</v>
      </c>
      <c r="L259" s="15">
        <f t="shared" si="268"/>
        <v>0</v>
      </c>
      <c r="M259" s="25"/>
      <c r="N259" s="5"/>
      <c r="Z259" s="29">
        <f t="shared" si="269"/>
        <v>0</v>
      </c>
      <c r="AB259" s="29">
        <f t="shared" si="270"/>
        <v>0</v>
      </c>
      <c r="AC259" s="29">
        <f t="shared" si="271"/>
        <v>0</v>
      </c>
      <c r="AD259" s="29">
        <f t="shared" si="272"/>
        <v>0</v>
      </c>
      <c r="AE259" s="29">
        <f t="shared" si="273"/>
        <v>0</v>
      </c>
      <c r="AF259" s="29">
        <f t="shared" si="274"/>
        <v>0</v>
      </c>
      <c r="AG259" s="29">
        <f t="shared" si="275"/>
        <v>0</v>
      </c>
      <c r="AH259" s="29">
        <f t="shared" si="276"/>
        <v>0</v>
      </c>
      <c r="AI259" s="28" t="s">
        <v>2882</v>
      </c>
      <c r="AJ259" s="15">
        <f t="shared" si="277"/>
        <v>0</v>
      </c>
      <c r="AK259" s="15">
        <f t="shared" si="278"/>
        <v>0</v>
      </c>
      <c r="AL259" s="15">
        <f t="shared" si="279"/>
        <v>0</v>
      </c>
      <c r="AN259" s="29">
        <v>15</v>
      </c>
      <c r="AO259" s="29">
        <f t="shared" si="280"/>
        <v>0</v>
      </c>
      <c r="AP259" s="29">
        <f t="shared" si="281"/>
        <v>0</v>
      </c>
      <c r="AQ259" s="30" t="s">
        <v>13</v>
      </c>
      <c r="AV259" s="29">
        <f t="shared" si="282"/>
        <v>0</v>
      </c>
      <c r="AW259" s="29">
        <f t="shared" si="283"/>
        <v>0</v>
      </c>
      <c r="AX259" s="29">
        <f t="shared" si="284"/>
        <v>0</v>
      </c>
      <c r="AY259" s="32" t="s">
        <v>2913</v>
      </c>
      <c r="AZ259" s="32" t="s">
        <v>2943</v>
      </c>
      <c r="BA259" s="28" t="s">
        <v>2957</v>
      </c>
      <c r="BC259" s="29">
        <f t="shared" si="285"/>
        <v>0</v>
      </c>
      <c r="BD259" s="29">
        <f t="shared" si="286"/>
        <v>0</v>
      </c>
      <c r="BE259" s="29">
        <v>0</v>
      </c>
      <c r="BF259" s="29">
        <f>259</f>
        <v>259</v>
      </c>
      <c r="BH259" s="15">
        <f t="shared" si="287"/>
        <v>0</v>
      </c>
      <c r="BI259" s="15">
        <f t="shared" si="288"/>
        <v>0</v>
      </c>
      <c r="BJ259" s="15">
        <f t="shared" si="289"/>
        <v>0</v>
      </c>
      <c r="BK259" s="15" t="s">
        <v>2969</v>
      </c>
      <c r="BL259" s="29">
        <v>721</v>
      </c>
    </row>
    <row r="260" spans="1:64" ht="12.75">
      <c r="A260" s="4" t="s">
        <v>220</v>
      </c>
      <c r="B260" s="94" t="s">
        <v>1219</v>
      </c>
      <c r="C260" s="152" t="s">
        <v>2179</v>
      </c>
      <c r="D260" s="153"/>
      <c r="E260" s="153"/>
      <c r="F260" s="153"/>
      <c r="G260" s="94" t="s">
        <v>2850</v>
      </c>
      <c r="H260" s="73">
        <v>1</v>
      </c>
      <c r="I260" s="105">
        <v>0</v>
      </c>
      <c r="J260" s="15">
        <f t="shared" si="266"/>
        <v>0</v>
      </c>
      <c r="K260" s="15">
        <f t="shared" si="267"/>
        <v>0</v>
      </c>
      <c r="L260" s="15">
        <f t="shared" si="268"/>
        <v>0</v>
      </c>
      <c r="M260" s="25"/>
      <c r="N260" s="5"/>
      <c r="Z260" s="29">
        <f t="shared" si="269"/>
        <v>0</v>
      </c>
      <c r="AB260" s="29">
        <f t="shared" si="270"/>
        <v>0</v>
      </c>
      <c r="AC260" s="29">
        <f t="shared" si="271"/>
        <v>0</v>
      </c>
      <c r="AD260" s="29">
        <f t="shared" si="272"/>
        <v>0</v>
      </c>
      <c r="AE260" s="29">
        <f t="shared" si="273"/>
        <v>0</v>
      </c>
      <c r="AF260" s="29">
        <f t="shared" si="274"/>
        <v>0</v>
      </c>
      <c r="AG260" s="29">
        <f t="shared" si="275"/>
        <v>0</v>
      </c>
      <c r="AH260" s="29">
        <f t="shared" si="276"/>
        <v>0</v>
      </c>
      <c r="AI260" s="28" t="s">
        <v>2882</v>
      </c>
      <c r="AJ260" s="15">
        <f t="shared" si="277"/>
        <v>0</v>
      </c>
      <c r="AK260" s="15">
        <f t="shared" si="278"/>
        <v>0</v>
      </c>
      <c r="AL260" s="15">
        <f t="shared" si="279"/>
        <v>0</v>
      </c>
      <c r="AN260" s="29">
        <v>15</v>
      </c>
      <c r="AO260" s="29">
        <f t="shared" si="280"/>
        <v>0</v>
      </c>
      <c r="AP260" s="29">
        <f t="shared" si="281"/>
        <v>0</v>
      </c>
      <c r="AQ260" s="30" t="s">
        <v>13</v>
      </c>
      <c r="AV260" s="29">
        <f t="shared" si="282"/>
        <v>0</v>
      </c>
      <c r="AW260" s="29">
        <f t="shared" si="283"/>
        <v>0</v>
      </c>
      <c r="AX260" s="29">
        <f t="shared" si="284"/>
        <v>0</v>
      </c>
      <c r="AY260" s="32" t="s">
        <v>2913</v>
      </c>
      <c r="AZ260" s="32" t="s">
        <v>2943</v>
      </c>
      <c r="BA260" s="28" t="s">
        <v>2957</v>
      </c>
      <c r="BC260" s="29">
        <f t="shared" si="285"/>
        <v>0</v>
      </c>
      <c r="BD260" s="29">
        <f t="shared" si="286"/>
        <v>0</v>
      </c>
      <c r="BE260" s="29">
        <v>0</v>
      </c>
      <c r="BF260" s="29">
        <f>260</f>
        <v>260</v>
      </c>
      <c r="BH260" s="15">
        <f t="shared" si="287"/>
        <v>0</v>
      </c>
      <c r="BI260" s="15">
        <f t="shared" si="288"/>
        <v>0</v>
      </c>
      <c r="BJ260" s="15">
        <f t="shared" si="289"/>
        <v>0</v>
      </c>
      <c r="BK260" s="15" t="s">
        <v>2969</v>
      </c>
      <c r="BL260" s="29">
        <v>721</v>
      </c>
    </row>
    <row r="261" spans="1:64" ht="12.75">
      <c r="A261" s="4" t="s">
        <v>221</v>
      </c>
      <c r="B261" s="94" t="s">
        <v>1220</v>
      </c>
      <c r="C261" s="152" t="s">
        <v>2180</v>
      </c>
      <c r="D261" s="153"/>
      <c r="E261" s="153"/>
      <c r="F261" s="153"/>
      <c r="G261" s="94" t="s">
        <v>2850</v>
      </c>
      <c r="H261" s="73">
        <v>1</v>
      </c>
      <c r="I261" s="105">
        <v>0</v>
      </c>
      <c r="J261" s="15">
        <f t="shared" si="266"/>
        <v>0</v>
      </c>
      <c r="K261" s="15">
        <f t="shared" si="267"/>
        <v>0</v>
      </c>
      <c r="L261" s="15">
        <f t="shared" si="268"/>
        <v>0</v>
      </c>
      <c r="M261" s="25"/>
      <c r="N261" s="5"/>
      <c r="Z261" s="29">
        <f t="shared" si="269"/>
        <v>0</v>
      </c>
      <c r="AB261" s="29">
        <f t="shared" si="270"/>
        <v>0</v>
      </c>
      <c r="AC261" s="29">
        <f t="shared" si="271"/>
        <v>0</v>
      </c>
      <c r="AD261" s="29">
        <f t="shared" si="272"/>
        <v>0</v>
      </c>
      <c r="AE261" s="29">
        <f t="shared" si="273"/>
        <v>0</v>
      </c>
      <c r="AF261" s="29">
        <f t="shared" si="274"/>
        <v>0</v>
      </c>
      <c r="AG261" s="29">
        <f t="shared" si="275"/>
        <v>0</v>
      </c>
      <c r="AH261" s="29">
        <f t="shared" si="276"/>
        <v>0</v>
      </c>
      <c r="AI261" s="28" t="s">
        <v>2882</v>
      </c>
      <c r="AJ261" s="15">
        <f t="shared" si="277"/>
        <v>0</v>
      </c>
      <c r="AK261" s="15">
        <f t="shared" si="278"/>
        <v>0</v>
      </c>
      <c r="AL261" s="15">
        <f t="shared" si="279"/>
        <v>0</v>
      </c>
      <c r="AN261" s="29">
        <v>15</v>
      </c>
      <c r="AO261" s="29">
        <f t="shared" si="280"/>
        <v>0</v>
      </c>
      <c r="AP261" s="29">
        <f t="shared" si="281"/>
        <v>0</v>
      </c>
      <c r="AQ261" s="30" t="s">
        <v>13</v>
      </c>
      <c r="AV261" s="29">
        <f t="shared" si="282"/>
        <v>0</v>
      </c>
      <c r="AW261" s="29">
        <f t="shared" si="283"/>
        <v>0</v>
      </c>
      <c r="AX261" s="29">
        <f t="shared" si="284"/>
        <v>0</v>
      </c>
      <c r="AY261" s="32" t="s">
        <v>2913</v>
      </c>
      <c r="AZ261" s="32" t="s">
        <v>2943</v>
      </c>
      <c r="BA261" s="28" t="s">
        <v>2957</v>
      </c>
      <c r="BC261" s="29">
        <f t="shared" si="285"/>
        <v>0</v>
      </c>
      <c r="BD261" s="29">
        <f t="shared" si="286"/>
        <v>0</v>
      </c>
      <c r="BE261" s="29">
        <v>0</v>
      </c>
      <c r="BF261" s="29">
        <f>261</f>
        <v>261</v>
      </c>
      <c r="BH261" s="15">
        <f t="shared" si="287"/>
        <v>0</v>
      </c>
      <c r="BI261" s="15">
        <f t="shared" si="288"/>
        <v>0</v>
      </c>
      <c r="BJ261" s="15">
        <f t="shared" si="289"/>
        <v>0</v>
      </c>
      <c r="BK261" s="15" t="s">
        <v>2969</v>
      </c>
      <c r="BL261" s="29">
        <v>721</v>
      </c>
    </row>
    <row r="262" spans="1:64" ht="12.75">
      <c r="A262" s="4" t="s">
        <v>222</v>
      </c>
      <c r="B262" s="94" t="s">
        <v>1221</v>
      </c>
      <c r="C262" s="152" t="s">
        <v>2181</v>
      </c>
      <c r="D262" s="153"/>
      <c r="E262" s="153"/>
      <c r="F262" s="153"/>
      <c r="G262" s="94" t="s">
        <v>2850</v>
      </c>
      <c r="H262" s="73">
        <v>18</v>
      </c>
      <c r="I262" s="105">
        <v>0</v>
      </c>
      <c r="J262" s="15">
        <f t="shared" si="266"/>
        <v>0</v>
      </c>
      <c r="K262" s="15">
        <f t="shared" si="267"/>
        <v>0</v>
      </c>
      <c r="L262" s="15">
        <f t="shared" si="268"/>
        <v>0</v>
      </c>
      <c r="M262" s="25"/>
      <c r="N262" s="5"/>
      <c r="Z262" s="29">
        <f t="shared" si="269"/>
        <v>0</v>
      </c>
      <c r="AB262" s="29">
        <f t="shared" si="270"/>
        <v>0</v>
      </c>
      <c r="AC262" s="29">
        <f t="shared" si="271"/>
        <v>0</v>
      </c>
      <c r="AD262" s="29">
        <f t="shared" si="272"/>
        <v>0</v>
      </c>
      <c r="AE262" s="29">
        <f t="shared" si="273"/>
        <v>0</v>
      </c>
      <c r="AF262" s="29">
        <f t="shared" si="274"/>
        <v>0</v>
      </c>
      <c r="AG262" s="29">
        <f t="shared" si="275"/>
        <v>0</v>
      </c>
      <c r="AH262" s="29">
        <f t="shared" si="276"/>
        <v>0</v>
      </c>
      <c r="AI262" s="28" t="s">
        <v>2882</v>
      </c>
      <c r="AJ262" s="15">
        <f t="shared" si="277"/>
        <v>0</v>
      </c>
      <c r="AK262" s="15">
        <f t="shared" si="278"/>
        <v>0</v>
      </c>
      <c r="AL262" s="15">
        <f t="shared" si="279"/>
        <v>0</v>
      </c>
      <c r="AN262" s="29">
        <v>15</v>
      </c>
      <c r="AO262" s="29">
        <f t="shared" si="280"/>
        <v>0</v>
      </c>
      <c r="AP262" s="29">
        <f t="shared" si="281"/>
        <v>0</v>
      </c>
      <c r="AQ262" s="30" t="s">
        <v>13</v>
      </c>
      <c r="AV262" s="29">
        <f t="shared" si="282"/>
        <v>0</v>
      </c>
      <c r="AW262" s="29">
        <f t="shared" si="283"/>
        <v>0</v>
      </c>
      <c r="AX262" s="29">
        <f t="shared" si="284"/>
        <v>0</v>
      </c>
      <c r="AY262" s="32" t="s">
        <v>2913</v>
      </c>
      <c r="AZ262" s="32" t="s">
        <v>2943</v>
      </c>
      <c r="BA262" s="28" t="s">
        <v>2957</v>
      </c>
      <c r="BC262" s="29">
        <f t="shared" si="285"/>
        <v>0</v>
      </c>
      <c r="BD262" s="29">
        <f t="shared" si="286"/>
        <v>0</v>
      </c>
      <c r="BE262" s="29">
        <v>0</v>
      </c>
      <c r="BF262" s="29">
        <f>262</f>
        <v>262</v>
      </c>
      <c r="BH262" s="15">
        <f t="shared" si="287"/>
        <v>0</v>
      </c>
      <c r="BI262" s="15">
        <f t="shared" si="288"/>
        <v>0</v>
      </c>
      <c r="BJ262" s="15">
        <f t="shared" si="289"/>
        <v>0</v>
      </c>
      <c r="BK262" s="15" t="s">
        <v>2969</v>
      </c>
      <c r="BL262" s="29">
        <v>721</v>
      </c>
    </row>
    <row r="263" spans="1:64" ht="12.75">
      <c r="A263" s="4" t="s">
        <v>223</v>
      </c>
      <c r="B263" s="94" t="s">
        <v>1222</v>
      </c>
      <c r="C263" s="152" t="s">
        <v>2182</v>
      </c>
      <c r="D263" s="153"/>
      <c r="E263" s="153"/>
      <c r="F263" s="153"/>
      <c r="G263" s="94" t="s">
        <v>2850</v>
      </c>
      <c r="H263" s="73">
        <v>11</v>
      </c>
      <c r="I263" s="105">
        <v>0</v>
      </c>
      <c r="J263" s="15">
        <f t="shared" si="266"/>
        <v>0</v>
      </c>
      <c r="K263" s="15">
        <f t="shared" si="267"/>
        <v>0</v>
      </c>
      <c r="L263" s="15">
        <f t="shared" si="268"/>
        <v>0</v>
      </c>
      <c r="M263" s="25"/>
      <c r="N263" s="5"/>
      <c r="Z263" s="29">
        <f t="shared" si="269"/>
        <v>0</v>
      </c>
      <c r="AB263" s="29">
        <f t="shared" si="270"/>
        <v>0</v>
      </c>
      <c r="AC263" s="29">
        <f t="shared" si="271"/>
        <v>0</v>
      </c>
      <c r="AD263" s="29">
        <f t="shared" si="272"/>
        <v>0</v>
      </c>
      <c r="AE263" s="29">
        <f t="shared" si="273"/>
        <v>0</v>
      </c>
      <c r="AF263" s="29">
        <f t="shared" si="274"/>
        <v>0</v>
      </c>
      <c r="AG263" s="29">
        <f t="shared" si="275"/>
        <v>0</v>
      </c>
      <c r="AH263" s="29">
        <f t="shared" si="276"/>
        <v>0</v>
      </c>
      <c r="AI263" s="28" t="s">
        <v>2882</v>
      </c>
      <c r="AJ263" s="15">
        <f t="shared" si="277"/>
        <v>0</v>
      </c>
      <c r="AK263" s="15">
        <f t="shared" si="278"/>
        <v>0</v>
      </c>
      <c r="AL263" s="15">
        <f t="shared" si="279"/>
        <v>0</v>
      </c>
      <c r="AN263" s="29">
        <v>15</v>
      </c>
      <c r="AO263" s="29">
        <f t="shared" si="280"/>
        <v>0</v>
      </c>
      <c r="AP263" s="29">
        <f t="shared" si="281"/>
        <v>0</v>
      </c>
      <c r="AQ263" s="30" t="s">
        <v>13</v>
      </c>
      <c r="AV263" s="29">
        <f t="shared" si="282"/>
        <v>0</v>
      </c>
      <c r="AW263" s="29">
        <f t="shared" si="283"/>
        <v>0</v>
      </c>
      <c r="AX263" s="29">
        <f t="shared" si="284"/>
        <v>0</v>
      </c>
      <c r="AY263" s="32" t="s">
        <v>2913</v>
      </c>
      <c r="AZ263" s="32" t="s">
        <v>2943</v>
      </c>
      <c r="BA263" s="28" t="s">
        <v>2957</v>
      </c>
      <c r="BC263" s="29">
        <f t="shared" si="285"/>
        <v>0</v>
      </c>
      <c r="BD263" s="29">
        <f t="shared" si="286"/>
        <v>0</v>
      </c>
      <c r="BE263" s="29">
        <v>0</v>
      </c>
      <c r="BF263" s="29">
        <f>263</f>
        <v>263</v>
      </c>
      <c r="BH263" s="15">
        <f t="shared" si="287"/>
        <v>0</v>
      </c>
      <c r="BI263" s="15">
        <f t="shared" si="288"/>
        <v>0</v>
      </c>
      <c r="BJ263" s="15">
        <f t="shared" si="289"/>
        <v>0</v>
      </c>
      <c r="BK263" s="15" t="s">
        <v>2969</v>
      </c>
      <c r="BL263" s="29">
        <v>721</v>
      </c>
    </row>
    <row r="264" spans="1:64" ht="12.75">
      <c r="A264" s="4" t="s">
        <v>224</v>
      </c>
      <c r="B264" s="94" t="s">
        <v>1223</v>
      </c>
      <c r="C264" s="152" t="s">
        <v>2183</v>
      </c>
      <c r="D264" s="153"/>
      <c r="E264" s="153"/>
      <c r="F264" s="153"/>
      <c r="G264" s="94" t="s">
        <v>2850</v>
      </c>
      <c r="H264" s="73">
        <v>11</v>
      </c>
      <c r="I264" s="105">
        <v>0</v>
      </c>
      <c r="J264" s="15">
        <f t="shared" si="266"/>
        <v>0</v>
      </c>
      <c r="K264" s="15">
        <f t="shared" si="267"/>
        <v>0</v>
      </c>
      <c r="L264" s="15">
        <f t="shared" si="268"/>
        <v>0</v>
      </c>
      <c r="M264" s="25"/>
      <c r="N264" s="5"/>
      <c r="Z264" s="29">
        <f t="shared" si="269"/>
        <v>0</v>
      </c>
      <c r="AB264" s="29">
        <f t="shared" si="270"/>
        <v>0</v>
      </c>
      <c r="AC264" s="29">
        <f t="shared" si="271"/>
        <v>0</v>
      </c>
      <c r="AD264" s="29">
        <f t="shared" si="272"/>
        <v>0</v>
      </c>
      <c r="AE264" s="29">
        <f t="shared" si="273"/>
        <v>0</v>
      </c>
      <c r="AF264" s="29">
        <f t="shared" si="274"/>
        <v>0</v>
      </c>
      <c r="AG264" s="29">
        <f t="shared" si="275"/>
        <v>0</v>
      </c>
      <c r="AH264" s="29">
        <f t="shared" si="276"/>
        <v>0</v>
      </c>
      <c r="AI264" s="28" t="s">
        <v>2882</v>
      </c>
      <c r="AJ264" s="15">
        <f t="shared" si="277"/>
        <v>0</v>
      </c>
      <c r="AK264" s="15">
        <f t="shared" si="278"/>
        <v>0</v>
      </c>
      <c r="AL264" s="15">
        <f t="shared" si="279"/>
        <v>0</v>
      </c>
      <c r="AN264" s="29">
        <v>15</v>
      </c>
      <c r="AO264" s="29">
        <f t="shared" si="280"/>
        <v>0</v>
      </c>
      <c r="AP264" s="29">
        <f t="shared" si="281"/>
        <v>0</v>
      </c>
      <c r="AQ264" s="30" t="s">
        <v>13</v>
      </c>
      <c r="AV264" s="29">
        <f t="shared" si="282"/>
        <v>0</v>
      </c>
      <c r="AW264" s="29">
        <f t="shared" si="283"/>
        <v>0</v>
      </c>
      <c r="AX264" s="29">
        <f t="shared" si="284"/>
        <v>0</v>
      </c>
      <c r="AY264" s="32" t="s">
        <v>2913</v>
      </c>
      <c r="AZ264" s="32" t="s">
        <v>2943</v>
      </c>
      <c r="BA264" s="28" t="s">
        <v>2957</v>
      </c>
      <c r="BC264" s="29">
        <f t="shared" si="285"/>
        <v>0</v>
      </c>
      <c r="BD264" s="29">
        <f t="shared" si="286"/>
        <v>0</v>
      </c>
      <c r="BE264" s="29">
        <v>0</v>
      </c>
      <c r="BF264" s="29">
        <f>264</f>
        <v>264</v>
      </c>
      <c r="BH264" s="15">
        <f t="shared" si="287"/>
        <v>0</v>
      </c>
      <c r="BI264" s="15">
        <f t="shared" si="288"/>
        <v>0</v>
      </c>
      <c r="BJ264" s="15">
        <f t="shared" si="289"/>
        <v>0</v>
      </c>
      <c r="BK264" s="15" t="s">
        <v>2969</v>
      </c>
      <c r="BL264" s="29">
        <v>721</v>
      </c>
    </row>
    <row r="265" spans="1:64" ht="12.75">
      <c r="A265" s="4" t="s">
        <v>225</v>
      </c>
      <c r="B265" s="94" t="s">
        <v>1224</v>
      </c>
      <c r="C265" s="152" t="s">
        <v>2184</v>
      </c>
      <c r="D265" s="153"/>
      <c r="E265" s="153"/>
      <c r="F265" s="153"/>
      <c r="G265" s="94" t="s">
        <v>2851</v>
      </c>
      <c r="H265" s="73">
        <v>43</v>
      </c>
      <c r="I265" s="105">
        <v>0</v>
      </c>
      <c r="J265" s="15">
        <f t="shared" si="266"/>
        <v>0</v>
      </c>
      <c r="K265" s="15">
        <f t="shared" si="267"/>
        <v>0</v>
      </c>
      <c r="L265" s="15">
        <f t="shared" si="268"/>
        <v>0</v>
      </c>
      <c r="M265" s="25"/>
      <c r="N265" s="5"/>
      <c r="Z265" s="29">
        <f t="shared" si="269"/>
        <v>0</v>
      </c>
      <c r="AB265" s="29">
        <f t="shared" si="270"/>
        <v>0</v>
      </c>
      <c r="AC265" s="29">
        <f t="shared" si="271"/>
        <v>0</v>
      </c>
      <c r="AD265" s="29">
        <f t="shared" si="272"/>
        <v>0</v>
      </c>
      <c r="AE265" s="29">
        <f t="shared" si="273"/>
        <v>0</v>
      </c>
      <c r="AF265" s="29">
        <f t="shared" si="274"/>
        <v>0</v>
      </c>
      <c r="AG265" s="29">
        <f t="shared" si="275"/>
        <v>0</v>
      </c>
      <c r="AH265" s="29">
        <f t="shared" si="276"/>
        <v>0</v>
      </c>
      <c r="AI265" s="28" t="s">
        <v>2882</v>
      </c>
      <c r="AJ265" s="15">
        <f t="shared" si="277"/>
        <v>0</v>
      </c>
      <c r="AK265" s="15">
        <f t="shared" si="278"/>
        <v>0</v>
      </c>
      <c r="AL265" s="15">
        <f t="shared" si="279"/>
        <v>0</v>
      </c>
      <c r="AN265" s="29">
        <v>15</v>
      </c>
      <c r="AO265" s="29">
        <f t="shared" si="280"/>
        <v>0</v>
      </c>
      <c r="AP265" s="29">
        <f t="shared" si="281"/>
        <v>0</v>
      </c>
      <c r="AQ265" s="30" t="s">
        <v>13</v>
      </c>
      <c r="AV265" s="29">
        <f t="shared" si="282"/>
        <v>0</v>
      </c>
      <c r="AW265" s="29">
        <f t="shared" si="283"/>
        <v>0</v>
      </c>
      <c r="AX265" s="29">
        <f t="shared" si="284"/>
        <v>0</v>
      </c>
      <c r="AY265" s="32" t="s">
        <v>2913</v>
      </c>
      <c r="AZ265" s="32" t="s">
        <v>2943</v>
      </c>
      <c r="BA265" s="28" t="s">
        <v>2957</v>
      </c>
      <c r="BC265" s="29">
        <f t="shared" si="285"/>
        <v>0</v>
      </c>
      <c r="BD265" s="29">
        <f t="shared" si="286"/>
        <v>0</v>
      </c>
      <c r="BE265" s="29">
        <v>0</v>
      </c>
      <c r="BF265" s="29">
        <f>265</f>
        <v>265</v>
      </c>
      <c r="BH265" s="15">
        <f t="shared" si="287"/>
        <v>0</v>
      </c>
      <c r="BI265" s="15">
        <f t="shared" si="288"/>
        <v>0</v>
      </c>
      <c r="BJ265" s="15">
        <f t="shared" si="289"/>
        <v>0</v>
      </c>
      <c r="BK265" s="15" t="s">
        <v>2969</v>
      </c>
      <c r="BL265" s="29">
        <v>721</v>
      </c>
    </row>
    <row r="266" spans="1:64" ht="12.75">
      <c r="A266" s="4" t="s">
        <v>226</v>
      </c>
      <c r="B266" s="94" t="s">
        <v>1225</v>
      </c>
      <c r="C266" s="152" t="s">
        <v>2185</v>
      </c>
      <c r="D266" s="153"/>
      <c r="E266" s="153"/>
      <c r="F266" s="153"/>
      <c r="G266" s="94" t="s">
        <v>2851</v>
      </c>
      <c r="H266" s="73">
        <v>96</v>
      </c>
      <c r="I266" s="105">
        <v>0</v>
      </c>
      <c r="J266" s="15">
        <f t="shared" si="266"/>
        <v>0</v>
      </c>
      <c r="K266" s="15">
        <f t="shared" si="267"/>
        <v>0</v>
      </c>
      <c r="L266" s="15">
        <f t="shared" si="268"/>
        <v>0</v>
      </c>
      <c r="M266" s="25"/>
      <c r="N266" s="5"/>
      <c r="Z266" s="29">
        <f t="shared" si="269"/>
        <v>0</v>
      </c>
      <c r="AB266" s="29">
        <f t="shared" si="270"/>
        <v>0</v>
      </c>
      <c r="AC266" s="29">
        <f t="shared" si="271"/>
        <v>0</v>
      </c>
      <c r="AD266" s="29">
        <f t="shared" si="272"/>
        <v>0</v>
      </c>
      <c r="AE266" s="29">
        <f t="shared" si="273"/>
        <v>0</v>
      </c>
      <c r="AF266" s="29">
        <f t="shared" si="274"/>
        <v>0</v>
      </c>
      <c r="AG266" s="29">
        <f t="shared" si="275"/>
        <v>0</v>
      </c>
      <c r="AH266" s="29">
        <f t="shared" si="276"/>
        <v>0</v>
      </c>
      <c r="AI266" s="28" t="s">
        <v>2882</v>
      </c>
      <c r="AJ266" s="15">
        <f t="shared" si="277"/>
        <v>0</v>
      </c>
      <c r="AK266" s="15">
        <f t="shared" si="278"/>
        <v>0</v>
      </c>
      <c r="AL266" s="15">
        <f t="shared" si="279"/>
        <v>0</v>
      </c>
      <c r="AN266" s="29">
        <v>15</v>
      </c>
      <c r="AO266" s="29">
        <f t="shared" si="280"/>
        <v>0</v>
      </c>
      <c r="AP266" s="29">
        <f t="shared" si="281"/>
        <v>0</v>
      </c>
      <c r="AQ266" s="30" t="s">
        <v>13</v>
      </c>
      <c r="AV266" s="29">
        <f t="shared" si="282"/>
        <v>0</v>
      </c>
      <c r="AW266" s="29">
        <f t="shared" si="283"/>
        <v>0</v>
      </c>
      <c r="AX266" s="29">
        <f t="shared" si="284"/>
        <v>0</v>
      </c>
      <c r="AY266" s="32" t="s">
        <v>2913</v>
      </c>
      <c r="AZ266" s="32" t="s">
        <v>2943</v>
      </c>
      <c r="BA266" s="28" t="s">
        <v>2957</v>
      </c>
      <c r="BC266" s="29">
        <f t="shared" si="285"/>
        <v>0</v>
      </c>
      <c r="BD266" s="29">
        <f t="shared" si="286"/>
        <v>0</v>
      </c>
      <c r="BE266" s="29">
        <v>0</v>
      </c>
      <c r="BF266" s="29">
        <f>266</f>
        <v>266</v>
      </c>
      <c r="BH266" s="15">
        <f t="shared" si="287"/>
        <v>0</v>
      </c>
      <c r="BI266" s="15">
        <f t="shared" si="288"/>
        <v>0</v>
      </c>
      <c r="BJ266" s="15">
        <f t="shared" si="289"/>
        <v>0</v>
      </c>
      <c r="BK266" s="15" t="s">
        <v>2969</v>
      </c>
      <c r="BL266" s="29">
        <v>721</v>
      </c>
    </row>
    <row r="267" spans="1:64" ht="12.75">
      <c r="A267" s="4" t="s">
        <v>227</v>
      </c>
      <c r="B267" s="94" t="s">
        <v>1226</v>
      </c>
      <c r="C267" s="152" t="s">
        <v>2186</v>
      </c>
      <c r="D267" s="153"/>
      <c r="E267" s="153"/>
      <c r="F267" s="153"/>
      <c r="G267" s="94" t="s">
        <v>2850</v>
      </c>
      <c r="H267" s="73">
        <v>11</v>
      </c>
      <c r="I267" s="105">
        <v>0</v>
      </c>
      <c r="J267" s="15">
        <f t="shared" si="266"/>
        <v>0</v>
      </c>
      <c r="K267" s="15">
        <f t="shared" si="267"/>
        <v>0</v>
      </c>
      <c r="L267" s="15">
        <f t="shared" si="268"/>
        <v>0</v>
      </c>
      <c r="M267" s="25"/>
      <c r="N267" s="5"/>
      <c r="Z267" s="29">
        <f t="shared" si="269"/>
        <v>0</v>
      </c>
      <c r="AB267" s="29">
        <f t="shared" si="270"/>
        <v>0</v>
      </c>
      <c r="AC267" s="29">
        <f t="shared" si="271"/>
        <v>0</v>
      </c>
      <c r="AD267" s="29">
        <f t="shared" si="272"/>
        <v>0</v>
      </c>
      <c r="AE267" s="29">
        <f t="shared" si="273"/>
        <v>0</v>
      </c>
      <c r="AF267" s="29">
        <f t="shared" si="274"/>
        <v>0</v>
      </c>
      <c r="AG267" s="29">
        <f t="shared" si="275"/>
        <v>0</v>
      </c>
      <c r="AH267" s="29">
        <f t="shared" si="276"/>
        <v>0</v>
      </c>
      <c r="AI267" s="28" t="s">
        <v>2882</v>
      </c>
      <c r="AJ267" s="15">
        <f t="shared" si="277"/>
        <v>0</v>
      </c>
      <c r="AK267" s="15">
        <f t="shared" si="278"/>
        <v>0</v>
      </c>
      <c r="AL267" s="15">
        <f t="shared" si="279"/>
        <v>0</v>
      </c>
      <c r="AN267" s="29">
        <v>15</v>
      </c>
      <c r="AO267" s="29">
        <f t="shared" si="280"/>
        <v>0</v>
      </c>
      <c r="AP267" s="29">
        <f t="shared" si="281"/>
        <v>0</v>
      </c>
      <c r="AQ267" s="30" t="s">
        <v>13</v>
      </c>
      <c r="AV267" s="29">
        <f t="shared" si="282"/>
        <v>0</v>
      </c>
      <c r="AW267" s="29">
        <f t="shared" si="283"/>
        <v>0</v>
      </c>
      <c r="AX267" s="29">
        <f t="shared" si="284"/>
        <v>0</v>
      </c>
      <c r="AY267" s="32" t="s">
        <v>2913</v>
      </c>
      <c r="AZ267" s="32" t="s">
        <v>2943</v>
      </c>
      <c r="BA267" s="28" t="s">
        <v>2957</v>
      </c>
      <c r="BC267" s="29">
        <f t="shared" si="285"/>
        <v>0</v>
      </c>
      <c r="BD267" s="29">
        <f t="shared" si="286"/>
        <v>0</v>
      </c>
      <c r="BE267" s="29">
        <v>0</v>
      </c>
      <c r="BF267" s="29">
        <f>267</f>
        <v>267</v>
      </c>
      <c r="BH267" s="15">
        <f t="shared" si="287"/>
        <v>0</v>
      </c>
      <c r="BI267" s="15">
        <f t="shared" si="288"/>
        <v>0</v>
      </c>
      <c r="BJ267" s="15">
        <f t="shared" si="289"/>
        <v>0</v>
      </c>
      <c r="BK267" s="15" t="s">
        <v>2969</v>
      </c>
      <c r="BL267" s="29">
        <v>721</v>
      </c>
    </row>
    <row r="268" spans="1:64" ht="12.75">
      <c r="A268" s="4" t="s">
        <v>228</v>
      </c>
      <c r="B268" s="94" t="s">
        <v>1227</v>
      </c>
      <c r="C268" s="152" t="s">
        <v>2187</v>
      </c>
      <c r="D268" s="153"/>
      <c r="E268" s="153"/>
      <c r="F268" s="153"/>
      <c r="G268" s="94" t="s">
        <v>2850</v>
      </c>
      <c r="H268" s="73">
        <v>8</v>
      </c>
      <c r="I268" s="105">
        <v>0</v>
      </c>
      <c r="J268" s="15">
        <f t="shared" si="266"/>
        <v>0</v>
      </c>
      <c r="K268" s="15">
        <f t="shared" si="267"/>
        <v>0</v>
      </c>
      <c r="L268" s="15">
        <f t="shared" si="268"/>
        <v>0</v>
      </c>
      <c r="M268" s="25"/>
      <c r="N268" s="5"/>
      <c r="Z268" s="29">
        <f t="shared" si="269"/>
        <v>0</v>
      </c>
      <c r="AB268" s="29">
        <f t="shared" si="270"/>
        <v>0</v>
      </c>
      <c r="AC268" s="29">
        <f t="shared" si="271"/>
        <v>0</v>
      </c>
      <c r="AD268" s="29">
        <f t="shared" si="272"/>
        <v>0</v>
      </c>
      <c r="AE268" s="29">
        <f t="shared" si="273"/>
        <v>0</v>
      </c>
      <c r="AF268" s="29">
        <f t="shared" si="274"/>
        <v>0</v>
      </c>
      <c r="AG268" s="29">
        <f t="shared" si="275"/>
        <v>0</v>
      </c>
      <c r="AH268" s="29">
        <f t="shared" si="276"/>
        <v>0</v>
      </c>
      <c r="AI268" s="28" t="s">
        <v>2882</v>
      </c>
      <c r="AJ268" s="15">
        <f t="shared" si="277"/>
        <v>0</v>
      </c>
      <c r="AK268" s="15">
        <f t="shared" si="278"/>
        <v>0</v>
      </c>
      <c r="AL268" s="15">
        <f t="shared" si="279"/>
        <v>0</v>
      </c>
      <c r="AN268" s="29">
        <v>15</v>
      </c>
      <c r="AO268" s="29">
        <f t="shared" si="280"/>
        <v>0</v>
      </c>
      <c r="AP268" s="29">
        <f t="shared" si="281"/>
        <v>0</v>
      </c>
      <c r="AQ268" s="30" t="s">
        <v>13</v>
      </c>
      <c r="AV268" s="29">
        <f t="shared" si="282"/>
        <v>0</v>
      </c>
      <c r="AW268" s="29">
        <f t="shared" si="283"/>
        <v>0</v>
      </c>
      <c r="AX268" s="29">
        <f t="shared" si="284"/>
        <v>0</v>
      </c>
      <c r="AY268" s="32" t="s">
        <v>2913</v>
      </c>
      <c r="AZ268" s="32" t="s">
        <v>2943</v>
      </c>
      <c r="BA268" s="28" t="s">
        <v>2957</v>
      </c>
      <c r="BC268" s="29">
        <f t="shared" si="285"/>
        <v>0</v>
      </c>
      <c r="BD268" s="29">
        <f t="shared" si="286"/>
        <v>0</v>
      </c>
      <c r="BE268" s="29">
        <v>0</v>
      </c>
      <c r="BF268" s="29">
        <f>268</f>
        <v>268</v>
      </c>
      <c r="BH268" s="15">
        <f t="shared" si="287"/>
        <v>0</v>
      </c>
      <c r="BI268" s="15">
        <f t="shared" si="288"/>
        <v>0</v>
      </c>
      <c r="BJ268" s="15">
        <f t="shared" si="289"/>
        <v>0</v>
      </c>
      <c r="BK268" s="15" t="s">
        <v>2969</v>
      </c>
      <c r="BL268" s="29">
        <v>721</v>
      </c>
    </row>
    <row r="269" spans="1:64" ht="12.75">
      <c r="A269" s="4" t="s">
        <v>229</v>
      </c>
      <c r="B269" s="94" t="s">
        <v>1228</v>
      </c>
      <c r="C269" s="152" t="s">
        <v>2188</v>
      </c>
      <c r="D269" s="153"/>
      <c r="E269" s="153"/>
      <c r="F269" s="153"/>
      <c r="G269" s="94" t="s">
        <v>2850</v>
      </c>
      <c r="H269" s="73">
        <v>2</v>
      </c>
      <c r="I269" s="105">
        <v>0</v>
      </c>
      <c r="J269" s="15">
        <f t="shared" si="266"/>
        <v>0</v>
      </c>
      <c r="K269" s="15">
        <f t="shared" si="267"/>
        <v>0</v>
      </c>
      <c r="L269" s="15">
        <f t="shared" si="268"/>
        <v>0</v>
      </c>
      <c r="M269" s="25"/>
      <c r="N269" s="5"/>
      <c r="Z269" s="29">
        <f t="shared" si="269"/>
        <v>0</v>
      </c>
      <c r="AB269" s="29">
        <f t="shared" si="270"/>
        <v>0</v>
      </c>
      <c r="AC269" s="29">
        <f t="shared" si="271"/>
        <v>0</v>
      </c>
      <c r="AD269" s="29">
        <f t="shared" si="272"/>
        <v>0</v>
      </c>
      <c r="AE269" s="29">
        <f t="shared" si="273"/>
        <v>0</v>
      </c>
      <c r="AF269" s="29">
        <f t="shared" si="274"/>
        <v>0</v>
      </c>
      <c r="AG269" s="29">
        <f t="shared" si="275"/>
        <v>0</v>
      </c>
      <c r="AH269" s="29">
        <f t="shared" si="276"/>
        <v>0</v>
      </c>
      <c r="AI269" s="28" t="s">
        <v>2882</v>
      </c>
      <c r="AJ269" s="15">
        <f t="shared" si="277"/>
        <v>0</v>
      </c>
      <c r="AK269" s="15">
        <f t="shared" si="278"/>
        <v>0</v>
      </c>
      <c r="AL269" s="15">
        <f t="shared" si="279"/>
        <v>0</v>
      </c>
      <c r="AN269" s="29">
        <v>15</v>
      </c>
      <c r="AO269" s="29">
        <f t="shared" si="280"/>
        <v>0</v>
      </c>
      <c r="AP269" s="29">
        <f t="shared" si="281"/>
        <v>0</v>
      </c>
      <c r="AQ269" s="30" t="s">
        <v>13</v>
      </c>
      <c r="AV269" s="29">
        <f t="shared" si="282"/>
        <v>0</v>
      </c>
      <c r="AW269" s="29">
        <f t="shared" si="283"/>
        <v>0</v>
      </c>
      <c r="AX269" s="29">
        <f t="shared" si="284"/>
        <v>0</v>
      </c>
      <c r="AY269" s="32" t="s">
        <v>2913</v>
      </c>
      <c r="AZ269" s="32" t="s">
        <v>2943</v>
      </c>
      <c r="BA269" s="28" t="s">
        <v>2957</v>
      </c>
      <c r="BC269" s="29">
        <f t="shared" si="285"/>
        <v>0</v>
      </c>
      <c r="BD269" s="29">
        <f t="shared" si="286"/>
        <v>0</v>
      </c>
      <c r="BE269" s="29">
        <v>0</v>
      </c>
      <c r="BF269" s="29">
        <f>269</f>
        <v>269</v>
      </c>
      <c r="BH269" s="15">
        <f t="shared" si="287"/>
        <v>0</v>
      </c>
      <c r="BI269" s="15">
        <f t="shared" si="288"/>
        <v>0</v>
      </c>
      <c r="BJ269" s="15">
        <f t="shared" si="289"/>
        <v>0</v>
      </c>
      <c r="BK269" s="15" t="s">
        <v>2969</v>
      </c>
      <c r="BL269" s="29">
        <v>721</v>
      </c>
    </row>
    <row r="270" spans="1:64" ht="12.75">
      <c r="A270" s="4" t="s">
        <v>230</v>
      </c>
      <c r="B270" s="94" t="s">
        <v>1229</v>
      </c>
      <c r="C270" s="152" t="s">
        <v>2189</v>
      </c>
      <c r="D270" s="153"/>
      <c r="E270" s="153"/>
      <c r="F270" s="153"/>
      <c r="G270" s="94" t="s">
        <v>2852</v>
      </c>
      <c r="H270" s="73">
        <v>100</v>
      </c>
      <c r="I270" s="105">
        <v>0</v>
      </c>
      <c r="J270" s="15">
        <f t="shared" si="266"/>
        <v>0</v>
      </c>
      <c r="K270" s="15">
        <f t="shared" si="267"/>
        <v>0</v>
      </c>
      <c r="L270" s="15">
        <f t="shared" si="268"/>
        <v>0</v>
      </c>
      <c r="M270" s="25"/>
      <c r="N270" s="5"/>
      <c r="Z270" s="29">
        <f t="shared" si="269"/>
        <v>0</v>
      </c>
      <c r="AB270" s="29">
        <f t="shared" si="270"/>
        <v>0</v>
      </c>
      <c r="AC270" s="29">
        <f t="shared" si="271"/>
        <v>0</v>
      </c>
      <c r="AD270" s="29">
        <f t="shared" si="272"/>
        <v>0</v>
      </c>
      <c r="AE270" s="29">
        <f t="shared" si="273"/>
        <v>0</v>
      </c>
      <c r="AF270" s="29">
        <f t="shared" si="274"/>
        <v>0</v>
      </c>
      <c r="AG270" s="29">
        <f t="shared" si="275"/>
        <v>0</v>
      </c>
      <c r="AH270" s="29">
        <f t="shared" si="276"/>
        <v>0</v>
      </c>
      <c r="AI270" s="28" t="s">
        <v>2882</v>
      </c>
      <c r="AJ270" s="15">
        <f t="shared" si="277"/>
        <v>0</v>
      </c>
      <c r="AK270" s="15">
        <f t="shared" si="278"/>
        <v>0</v>
      </c>
      <c r="AL270" s="15">
        <f t="shared" si="279"/>
        <v>0</v>
      </c>
      <c r="AN270" s="29">
        <v>15</v>
      </c>
      <c r="AO270" s="29">
        <f t="shared" si="280"/>
        <v>0</v>
      </c>
      <c r="AP270" s="29">
        <f t="shared" si="281"/>
        <v>0</v>
      </c>
      <c r="AQ270" s="30" t="s">
        <v>13</v>
      </c>
      <c r="AV270" s="29">
        <f t="shared" si="282"/>
        <v>0</v>
      </c>
      <c r="AW270" s="29">
        <f t="shared" si="283"/>
        <v>0</v>
      </c>
      <c r="AX270" s="29">
        <f t="shared" si="284"/>
        <v>0</v>
      </c>
      <c r="AY270" s="32" t="s">
        <v>2913</v>
      </c>
      <c r="AZ270" s="32" t="s">
        <v>2943</v>
      </c>
      <c r="BA270" s="28" t="s">
        <v>2957</v>
      </c>
      <c r="BC270" s="29">
        <f t="shared" si="285"/>
        <v>0</v>
      </c>
      <c r="BD270" s="29">
        <f t="shared" si="286"/>
        <v>0</v>
      </c>
      <c r="BE270" s="29">
        <v>0</v>
      </c>
      <c r="BF270" s="29">
        <f>270</f>
        <v>270</v>
      </c>
      <c r="BH270" s="15">
        <f t="shared" si="287"/>
        <v>0</v>
      </c>
      <c r="BI270" s="15">
        <f t="shared" si="288"/>
        <v>0</v>
      </c>
      <c r="BJ270" s="15">
        <f t="shared" si="289"/>
        <v>0</v>
      </c>
      <c r="BK270" s="15" t="s">
        <v>2969</v>
      </c>
      <c r="BL270" s="29">
        <v>721</v>
      </c>
    </row>
    <row r="271" spans="1:64" ht="12.75">
      <c r="A271" s="4" t="s">
        <v>231</v>
      </c>
      <c r="B271" s="94" t="s">
        <v>1230</v>
      </c>
      <c r="C271" s="152" t="s">
        <v>2190</v>
      </c>
      <c r="D271" s="153"/>
      <c r="E271" s="153"/>
      <c r="F271" s="153"/>
      <c r="G271" s="94" t="s">
        <v>2851</v>
      </c>
      <c r="H271" s="73">
        <v>305.5</v>
      </c>
      <c r="I271" s="105">
        <v>0</v>
      </c>
      <c r="J271" s="15">
        <f t="shared" si="266"/>
        <v>0</v>
      </c>
      <c r="K271" s="15">
        <f t="shared" si="267"/>
        <v>0</v>
      </c>
      <c r="L271" s="15">
        <f t="shared" si="268"/>
        <v>0</v>
      </c>
      <c r="M271" s="25"/>
      <c r="N271" s="5"/>
      <c r="Z271" s="29">
        <f t="shared" si="269"/>
        <v>0</v>
      </c>
      <c r="AB271" s="29">
        <f t="shared" si="270"/>
        <v>0</v>
      </c>
      <c r="AC271" s="29">
        <f t="shared" si="271"/>
        <v>0</v>
      </c>
      <c r="AD271" s="29">
        <f t="shared" si="272"/>
        <v>0</v>
      </c>
      <c r="AE271" s="29">
        <f t="shared" si="273"/>
        <v>0</v>
      </c>
      <c r="AF271" s="29">
        <f t="shared" si="274"/>
        <v>0</v>
      </c>
      <c r="AG271" s="29">
        <f t="shared" si="275"/>
        <v>0</v>
      </c>
      <c r="AH271" s="29">
        <f t="shared" si="276"/>
        <v>0</v>
      </c>
      <c r="AI271" s="28" t="s">
        <v>2882</v>
      </c>
      <c r="AJ271" s="15">
        <f t="shared" si="277"/>
        <v>0</v>
      </c>
      <c r="AK271" s="15">
        <f t="shared" si="278"/>
        <v>0</v>
      </c>
      <c r="AL271" s="15">
        <f t="shared" si="279"/>
        <v>0</v>
      </c>
      <c r="AN271" s="29">
        <v>15</v>
      </c>
      <c r="AO271" s="29">
        <f t="shared" si="280"/>
        <v>0</v>
      </c>
      <c r="AP271" s="29">
        <f t="shared" si="281"/>
        <v>0</v>
      </c>
      <c r="AQ271" s="30" t="s">
        <v>13</v>
      </c>
      <c r="AV271" s="29">
        <f t="shared" si="282"/>
        <v>0</v>
      </c>
      <c r="AW271" s="29">
        <f t="shared" si="283"/>
        <v>0</v>
      </c>
      <c r="AX271" s="29">
        <f t="shared" si="284"/>
        <v>0</v>
      </c>
      <c r="AY271" s="32" t="s">
        <v>2913</v>
      </c>
      <c r="AZ271" s="32" t="s">
        <v>2943</v>
      </c>
      <c r="BA271" s="28" t="s">
        <v>2957</v>
      </c>
      <c r="BC271" s="29">
        <f t="shared" si="285"/>
        <v>0</v>
      </c>
      <c r="BD271" s="29">
        <f t="shared" si="286"/>
        <v>0</v>
      </c>
      <c r="BE271" s="29">
        <v>0</v>
      </c>
      <c r="BF271" s="29">
        <f>271</f>
        <v>271</v>
      </c>
      <c r="BH271" s="15">
        <f t="shared" si="287"/>
        <v>0</v>
      </c>
      <c r="BI271" s="15">
        <f t="shared" si="288"/>
        <v>0</v>
      </c>
      <c r="BJ271" s="15">
        <f t="shared" si="289"/>
        <v>0</v>
      </c>
      <c r="BK271" s="15" t="s">
        <v>2969</v>
      </c>
      <c r="BL271" s="29">
        <v>721</v>
      </c>
    </row>
    <row r="272" spans="1:64" ht="12.75">
      <c r="A272" s="4" t="s">
        <v>232</v>
      </c>
      <c r="B272" s="94" t="s">
        <v>1231</v>
      </c>
      <c r="C272" s="152" t="s">
        <v>2191</v>
      </c>
      <c r="D272" s="153"/>
      <c r="E272" s="153"/>
      <c r="F272" s="153"/>
      <c r="G272" s="94" t="s">
        <v>2851</v>
      </c>
      <c r="H272" s="73">
        <v>305.5</v>
      </c>
      <c r="I272" s="105">
        <v>0</v>
      </c>
      <c r="J272" s="15">
        <f t="shared" si="266"/>
        <v>0</v>
      </c>
      <c r="K272" s="15">
        <f t="shared" si="267"/>
        <v>0</v>
      </c>
      <c r="L272" s="15">
        <f t="shared" si="268"/>
        <v>0</v>
      </c>
      <c r="M272" s="25"/>
      <c r="N272" s="5"/>
      <c r="Z272" s="29">
        <f t="shared" si="269"/>
        <v>0</v>
      </c>
      <c r="AB272" s="29">
        <f t="shared" si="270"/>
        <v>0</v>
      </c>
      <c r="AC272" s="29">
        <f t="shared" si="271"/>
        <v>0</v>
      </c>
      <c r="AD272" s="29">
        <f t="shared" si="272"/>
        <v>0</v>
      </c>
      <c r="AE272" s="29">
        <f t="shared" si="273"/>
        <v>0</v>
      </c>
      <c r="AF272" s="29">
        <f t="shared" si="274"/>
        <v>0</v>
      </c>
      <c r="AG272" s="29">
        <f t="shared" si="275"/>
        <v>0</v>
      </c>
      <c r="AH272" s="29">
        <f t="shared" si="276"/>
        <v>0</v>
      </c>
      <c r="AI272" s="28" t="s">
        <v>2882</v>
      </c>
      <c r="AJ272" s="15">
        <f t="shared" si="277"/>
        <v>0</v>
      </c>
      <c r="AK272" s="15">
        <f t="shared" si="278"/>
        <v>0</v>
      </c>
      <c r="AL272" s="15">
        <f t="shared" si="279"/>
        <v>0</v>
      </c>
      <c r="AN272" s="29">
        <v>15</v>
      </c>
      <c r="AO272" s="29">
        <f t="shared" si="280"/>
        <v>0</v>
      </c>
      <c r="AP272" s="29">
        <f t="shared" si="281"/>
        <v>0</v>
      </c>
      <c r="AQ272" s="30" t="s">
        <v>13</v>
      </c>
      <c r="AV272" s="29">
        <f t="shared" si="282"/>
        <v>0</v>
      </c>
      <c r="AW272" s="29">
        <f t="shared" si="283"/>
        <v>0</v>
      </c>
      <c r="AX272" s="29">
        <f t="shared" si="284"/>
        <v>0</v>
      </c>
      <c r="AY272" s="32" t="s">
        <v>2913</v>
      </c>
      <c r="AZ272" s="32" t="s">
        <v>2943</v>
      </c>
      <c r="BA272" s="28" t="s">
        <v>2957</v>
      </c>
      <c r="BC272" s="29">
        <f t="shared" si="285"/>
        <v>0</v>
      </c>
      <c r="BD272" s="29">
        <f t="shared" si="286"/>
        <v>0</v>
      </c>
      <c r="BE272" s="29">
        <v>0</v>
      </c>
      <c r="BF272" s="29">
        <f>272</f>
        <v>272</v>
      </c>
      <c r="BH272" s="15">
        <f t="shared" si="287"/>
        <v>0</v>
      </c>
      <c r="BI272" s="15">
        <f t="shared" si="288"/>
        <v>0</v>
      </c>
      <c r="BJ272" s="15">
        <f t="shared" si="289"/>
        <v>0</v>
      </c>
      <c r="BK272" s="15" t="s">
        <v>2969</v>
      </c>
      <c r="BL272" s="29">
        <v>721</v>
      </c>
    </row>
    <row r="273" spans="1:64" ht="12.75">
      <c r="A273" s="4" t="s">
        <v>233</v>
      </c>
      <c r="B273" s="94" t="s">
        <v>1232</v>
      </c>
      <c r="C273" s="152" t="s">
        <v>2192</v>
      </c>
      <c r="D273" s="153"/>
      <c r="E273" s="153"/>
      <c r="F273" s="153"/>
      <c r="G273" s="94" t="s">
        <v>2851</v>
      </c>
      <c r="H273" s="73">
        <v>305.5</v>
      </c>
      <c r="I273" s="105">
        <v>0</v>
      </c>
      <c r="J273" s="15">
        <f t="shared" si="266"/>
        <v>0</v>
      </c>
      <c r="K273" s="15">
        <f t="shared" si="267"/>
        <v>0</v>
      </c>
      <c r="L273" s="15">
        <f t="shared" si="268"/>
        <v>0</v>
      </c>
      <c r="M273" s="25"/>
      <c r="N273" s="5"/>
      <c r="Z273" s="29">
        <f t="shared" si="269"/>
        <v>0</v>
      </c>
      <c r="AB273" s="29">
        <f t="shared" si="270"/>
        <v>0</v>
      </c>
      <c r="AC273" s="29">
        <f t="shared" si="271"/>
        <v>0</v>
      </c>
      <c r="AD273" s="29">
        <f t="shared" si="272"/>
        <v>0</v>
      </c>
      <c r="AE273" s="29">
        <f t="shared" si="273"/>
        <v>0</v>
      </c>
      <c r="AF273" s="29">
        <f t="shared" si="274"/>
        <v>0</v>
      </c>
      <c r="AG273" s="29">
        <f t="shared" si="275"/>
        <v>0</v>
      </c>
      <c r="AH273" s="29">
        <f t="shared" si="276"/>
        <v>0</v>
      </c>
      <c r="AI273" s="28" t="s">
        <v>2882</v>
      </c>
      <c r="AJ273" s="15">
        <f t="shared" si="277"/>
        <v>0</v>
      </c>
      <c r="AK273" s="15">
        <f t="shared" si="278"/>
        <v>0</v>
      </c>
      <c r="AL273" s="15">
        <f t="shared" si="279"/>
        <v>0</v>
      </c>
      <c r="AN273" s="29">
        <v>15</v>
      </c>
      <c r="AO273" s="29">
        <f t="shared" si="280"/>
        <v>0</v>
      </c>
      <c r="AP273" s="29">
        <f t="shared" si="281"/>
        <v>0</v>
      </c>
      <c r="AQ273" s="30" t="s">
        <v>13</v>
      </c>
      <c r="AV273" s="29">
        <f t="shared" si="282"/>
        <v>0</v>
      </c>
      <c r="AW273" s="29">
        <f t="shared" si="283"/>
        <v>0</v>
      </c>
      <c r="AX273" s="29">
        <f t="shared" si="284"/>
        <v>0</v>
      </c>
      <c r="AY273" s="32" t="s">
        <v>2913</v>
      </c>
      <c r="AZ273" s="32" t="s">
        <v>2943</v>
      </c>
      <c r="BA273" s="28" t="s">
        <v>2957</v>
      </c>
      <c r="BC273" s="29">
        <f t="shared" si="285"/>
        <v>0</v>
      </c>
      <c r="BD273" s="29">
        <f t="shared" si="286"/>
        <v>0</v>
      </c>
      <c r="BE273" s="29">
        <v>0</v>
      </c>
      <c r="BF273" s="29">
        <f>273</f>
        <v>273</v>
      </c>
      <c r="BH273" s="15">
        <f t="shared" si="287"/>
        <v>0</v>
      </c>
      <c r="BI273" s="15">
        <f t="shared" si="288"/>
        <v>0</v>
      </c>
      <c r="BJ273" s="15">
        <f t="shared" si="289"/>
        <v>0</v>
      </c>
      <c r="BK273" s="15" t="s">
        <v>2969</v>
      </c>
      <c r="BL273" s="29">
        <v>721</v>
      </c>
    </row>
    <row r="274" spans="1:64" ht="12.75">
      <c r="A274" s="4" t="s">
        <v>234</v>
      </c>
      <c r="B274" s="94" t="s">
        <v>1233</v>
      </c>
      <c r="C274" s="152" t="s">
        <v>2193</v>
      </c>
      <c r="D274" s="153"/>
      <c r="E274" s="153"/>
      <c r="F274" s="153"/>
      <c r="G274" s="94" t="s">
        <v>2852</v>
      </c>
      <c r="H274" s="73">
        <v>60</v>
      </c>
      <c r="I274" s="105">
        <v>0</v>
      </c>
      <c r="J274" s="15">
        <f t="shared" si="266"/>
        <v>0</v>
      </c>
      <c r="K274" s="15">
        <f t="shared" si="267"/>
        <v>0</v>
      </c>
      <c r="L274" s="15">
        <f t="shared" si="268"/>
        <v>0</v>
      </c>
      <c r="M274" s="25"/>
      <c r="N274" s="5"/>
      <c r="Z274" s="29">
        <f t="shared" si="269"/>
        <v>0</v>
      </c>
      <c r="AB274" s="29">
        <f t="shared" si="270"/>
        <v>0</v>
      </c>
      <c r="AC274" s="29">
        <f t="shared" si="271"/>
        <v>0</v>
      </c>
      <c r="AD274" s="29">
        <f t="shared" si="272"/>
        <v>0</v>
      </c>
      <c r="AE274" s="29">
        <f t="shared" si="273"/>
        <v>0</v>
      </c>
      <c r="AF274" s="29">
        <f t="shared" si="274"/>
        <v>0</v>
      </c>
      <c r="AG274" s="29">
        <f t="shared" si="275"/>
        <v>0</v>
      </c>
      <c r="AH274" s="29">
        <f t="shared" si="276"/>
        <v>0</v>
      </c>
      <c r="AI274" s="28" t="s">
        <v>2882</v>
      </c>
      <c r="AJ274" s="15">
        <f t="shared" si="277"/>
        <v>0</v>
      </c>
      <c r="AK274" s="15">
        <f t="shared" si="278"/>
        <v>0</v>
      </c>
      <c r="AL274" s="15">
        <f t="shared" si="279"/>
        <v>0</v>
      </c>
      <c r="AN274" s="29">
        <v>15</v>
      </c>
      <c r="AO274" s="29">
        <f t="shared" si="280"/>
        <v>0</v>
      </c>
      <c r="AP274" s="29">
        <f t="shared" si="281"/>
        <v>0</v>
      </c>
      <c r="AQ274" s="30" t="s">
        <v>13</v>
      </c>
      <c r="AV274" s="29">
        <f t="shared" si="282"/>
        <v>0</v>
      </c>
      <c r="AW274" s="29">
        <f t="shared" si="283"/>
        <v>0</v>
      </c>
      <c r="AX274" s="29">
        <f t="shared" si="284"/>
        <v>0</v>
      </c>
      <c r="AY274" s="32" t="s">
        <v>2913</v>
      </c>
      <c r="AZ274" s="32" t="s">
        <v>2943</v>
      </c>
      <c r="BA274" s="28" t="s">
        <v>2957</v>
      </c>
      <c r="BC274" s="29">
        <f t="shared" si="285"/>
        <v>0</v>
      </c>
      <c r="BD274" s="29">
        <f t="shared" si="286"/>
        <v>0</v>
      </c>
      <c r="BE274" s="29">
        <v>0</v>
      </c>
      <c r="BF274" s="29">
        <f>274</f>
        <v>274</v>
      </c>
      <c r="BH274" s="15">
        <f t="shared" si="287"/>
        <v>0</v>
      </c>
      <c r="BI274" s="15">
        <f t="shared" si="288"/>
        <v>0</v>
      </c>
      <c r="BJ274" s="15">
        <f t="shared" si="289"/>
        <v>0</v>
      </c>
      <c r="BK274" s="15" t="s">
        <v>2969</v>
      </c>
      <c r="BL274" s="29">
        <v>721</v>
      </c>
    </row>
    <row r="275" spans="1:64" ht="12.75">
      <c r="A275" s="4" t="s">
        <v>235</v>
      </c>
      <c r="B275" s="94" t="s">
        <v>1234</v>
      </c>
      <c r="C275" s="152" t="s">
        <v>2194</v>
      </c>
      <c r="D275" s="153"/>
      <c r="E275" s="153"/>
      <c r="F275" s="153"/>
      <c r="G275" s="94" t="s">
        <v>2850</v>
      </c>
      <c r="H275" s="73">
        <v>1</v>
      </c>
      <c r="I275" s="105">
        <v>0</v>
      </c>
      <c r="J275" s="15">
        <f t="shared" si="266"/>
        <v>0</v>
      </c>
      <c r="K275" s="15">
        <f t="shared" si="267"/>
        <v>0</v>
      </c>
      <c r="L275" s="15">
        <f t="shared" si="268"/>
        <v>0</v>
      </c>
      <c r="M275" s="25"/>
      <c r="N275" s="5"/>
      <c r="Z275" s="29">
        <f t="shared" si="269"/>
        <v>0</v>
      </c>
      <c r="AB275" s="29">
        <f t="shared" si="270"/>
        <v>0</v>
      </c>
      <c r="AC275" s="29">
        <f t="shared" si="271"/>
        <v>0</v>
      </c>
      <c r="AD275" s="29">
        <f t="shared" si="272"/>
        <v>0</v>
      </c>
      <c r="AE275" s="29">
        <f t="shared" si="273"/>
        <v>0</v>
      </c>
      <c r="AF275" s="29">
        <f t="shared" si="274"/>
        <v>0</v>
      </c>
      <c r="AG275" s="29">
        <f t="shared" si="275"/>
        <v>0</v>
      </c>
      <c r="AH275" s="29">
        <f t="shared" si="276"/>
        <v>0</v>
      </c>
      <c r="AI275" s="28" t="s">
        <v>2882</v>
      </c>
      <c r="AJ275" s="15">
        <f t="shared" si="277"/>
        <v>0</v>
      </c>
      <c r="AK275" s="15">
        <f t="shared" si="278"/>
        <v>0</v>
      </c>
      <c r="AL275" s="15">
        <f t="shared" si="279"/>
        <v>0</v>
      </c>
      <c r="AN275" s="29">
        <v>15</v>
      </c>
      <c r="AO275" s="29">
        <f t="shared" si="280"/>
        <v>0</v>
      </c>
      <c r="AP275" s="29">
        <f t="shared" si="281"/>
        <v>0</v>
      </c>
      <c r="AQ275" s="30" t="s">
        <v>13</v>
      </c>
      <c r="AV275" s="29">
        <f t="shared" si="282"/>
        <v>0</v>
      </c>
      <c r="AW275" s="29">
        <f t="shared" si="283"/>
        <v>0</v>
      </c>
      <c r="AX275" s="29">
        <f t="shared" si="284"/>
        <v>0</v>
      </c>
      <c r="AY275" s="32" t="s">
        <v>2913</v>
      </c>
      <c r="AZ275" s="32" t="s">
        <v>2943</v>
      </c>
      <c r="BA275" s="28" t="s">
        <v>2957</v>
      </c>
      <c r="BC275" s="29">
        <f t="shared" si="285"/>
        <v>0</v>
      </c>
      <c r="BD275" s="29">
        <f t="shared" si="286"/>
        <v>0</v>
      </c>
      <c r="BE275" s="29">
        <v>0</v>
      </c>
      <c r="BF275" s="29">
        <f>275</f>
        <v>275</v>
      </c>
      <c r="BH275" s="15">
        <f t="shared" si="287"/>
        <v>0</v>
      </c>
      <c r="BI275" s="15">
        <f t="shared" si="288"/>
        <v>0</v>
      </c>
      <c r="BJ275" s="15">
        <f t="shared" si="289"/>
        <v>0</v>
      </c>
      <c r="BK275" s="15" t="s">
        <v>2969</v>
      </c>
      <c r="BL275" s="29">
        <v>721</v>
      </c>
    </row>
    <row r="276" spans="1:64" ht="12.75">
      <c r="A276" s="4" t="s">
        <v>236</v>
      </c>
      <c r="B276" s="94" t="s">
        <v>1235</v>
      </c>
      <c r="C276" s="152" t="s">
        <v>2195</v>
      </c>
      <c r="D276" s="153"/>
      <c r="E276" s="153"/>
      <c r="F276" s="153"/>
      <c r="G276" s="94" t="s">
        <v>2850</v>
      </c>
      <c r="H276" s="73">
        <v>1</v>
      </c>
      <c r="I276" s="105">
        <v>0</v>
      </c>
      <c r="J276" s="15">
        <f t="shared" si="266"/>
        <v>0</v>
      </c>
      <c r="K276" s="15">
        <f t="shared" si="267"/>
        <v>0</v>
      </c>
      <c r="L276" s="15">
        <f t="shared" si="268"/>
        <v>0</v>
      </c>
      <c r="M276" s="25"/>
      <c r="N276" s="5"/>
      <c r="Z276" s="29">
        <f t="shared" si="269"/>
        <v>0</v>
      </c>
      <c r="AB276" s="29">
        <f t="shared" si="270"/>
        <v>0</v>
      </c>
      <c r="AC276" s="29">
        <f t="shared" si="271"/>
        <v>0</v>
      </c>
      <c r="AD276" s="29">
        <f t="shared" si="272"/>
        <v>0</v>
      </c>
      <c r="AE276" s="29">
        <f t="shared" si="273"/>
        <v>0</v>
      </c>
      <c r="AF276" s="29">
        <f t="shared" si="274"/>
        <v>0</v>
      </c>
      <c r="AG276" s="29">
        <f t="shared" si="275"/>
        <v>0</v>
      </c>
      <c r="AH276" s="29">
        <f t="shared" si="276"/>
        <v>0</v>
      </c>
      <c r="AI276" s="28" t="s">
        <v>2882</v>
      </c>
      <c r="AJ276" s="15">
        <f t="shared" si="277"/>
        <v>0</v>
      </c>
      <c r="AK276" s="15">
        <f t="shared" si="278"/>
        <v>0</v>
      </c>
      <c r="AL276" s="15">
        <f t="shared" si="279"/>
        <v>0</v>
      </c>
      <c r="AN276" s="29">
        <v>15</v>
      </c>
      <c r="AO276" s="29">
        <f t="shared" si="280"/>
        <v>0</v>
      </c>
      <c r="AP276" s="29">
        <f t="shared" si="281"/>
        <v>0</v>
      </c>
      <c r="AQ276" s="30" t="s">
        <v>13</v>
      </c>
      <c r="AV276" s="29">
        <f t="shared" si="282"/>
        <v>0</v>
      </c>
      <c r="AW276" s="29">
        <f t="shared" si="283"/>
        <v>0</v>
      </c>
      <c r="AX276" s="29">
        <f t="shared" si="284"/>
        <v>0</v>
      </c>
      <c r="AY276" s="32" t="s">
        <v>2913</v>
      </c>
      <c r="AZ276" s="32" t="s">
        <v>2943</v>
      </c>
      <c r="BA276" s="28" t="s">
        <v>2957</v>
      </c>
      <c r="BC276" s="29">
        <f t="shared" si="285"/>
        <v>0</v>
      </c>
      <c r="BD276" s="29">
        <f t="shared" si="286"/>
        <v>0</v>
      </c>
      <c r="BE276" s="29">
        <v>0</v>
      </c>
      <c r="BF276" s="29">
        <f>276</f>
        <v>276</v>
      </c>
      <c r="BH276" s="15">
        <f t="shared" si="287"/>
        <v>0</v>
      </c>
      <c r="BI276" s="15">
        <f t="shared" si="288"/>
        <v>0</v>
      </c>
      <c r="BJ276" s="15">
        <f t="shared" si="289"/>
        <v>0</v>
      </c>
      <c r="BK276" s="15" t="s">
        <v>2969</v>
      </c>
      <c r="BL276" s="29">
        <v>721</v>
      </c>
    </row>
    <row r="277" spans="1:64" ht="12.75">
      <c r="A277" s="4" t="s">
        <v>237</v>
      </c>
      <c r="B277" s="94" t="s">
        <v>1236</v>
      </c>
      <c r="C277" s="152" t="s">
        <v>2196</v>
      </c>
      <c r="D277" s="153"/>
      <c r="E277" s="153"/>
      <c r="F277" s="153"/>
      <c r="G277" s="94" t="s">
        <v>2850</v>
      </c>
      <c r="H277" s="73">
        <v>1</v>
      </c>
      <c r="I277" s="105">
        <v>0</v>
      </c>
      <c r="J277" s="15">
        <f t="shared" si="266"/>
        <v>0</v>
      </c>
      <c r="K277" s="15">
        <f t="shared" si="267"/>
        <v>0</v>
      </c>
      <c r="L277" s="15">
        <f t="shared" si="268"/>
        <v>0</v>
      </c>
      <c r="M277" s="25"/>
      <c r="N277" s="5"/>
      <c r="Z277" s="29">
        <f t="shared" si="269"/>
        <v>0</v>
      </c>
      <c r="AB277" s="29">
        <f t="shared" si="270"/>
        <v>0</v>
      </c>
      <c r="AC277" s="29">
        <f t="shared" si="271"/>
        <v>0</v>
      </c>
      <c r="AD277" s="29">
        <f t="shared" si="272"/>
        <v>0</v>
      </c>
      <c r="AE277" s="29">
        <f t="shared" si="273"/>
        <v>0</v>
      </c>
      <c r="AF277" s="29">
        <f t="shared" si="274"/>
        <v>0</v>
      </c>
      <c r="AG277" s="29">
        <f t="shared" si="275"/>
        <v>0</v>
      </c>
      <c r="AH277" s="29">
        <f t="shared" si="276"/>
        <v>0</v>
      </c>
      <c r="AI277" s="28" t="s">
        <v>2882</v>
      </c>
      <c r="AJ277" s="15">
        <f t="shared" si="277"/>
        <v>0</v>
      </c>
      <c r="AK277" s="15">
        <f t="shared" si="278"/>
        <v>0</v>
      </c>
      <c r="AL277" s="15">
        <f t="shared" si="279"/>
        <v>0</v>
      </c>
      <c r="AN277" s="29">
        <v>15</v>
      </c>
      <c r="AO277" s="29">
        <f t="shared" si="280"/>
        <v>0</v>
      </c>
      <c r="AP277" s="29">
        <f t="shared" si="281"/>
        <v>0</v>
      </c>
      <c r="AQ277" s="30" t="s">
        <v>13</v>
      </c>
      <c r="AV277" s="29">
        <f t="shared" si="282"/>
        <v>0</v>
      </c>
      <c r="AW277" s="29">
        <f t="shared" si="283"/>
        <v>0</v>
      </c>
      <c r="AX277" s="29">
        <f t="shared" si="284"/>
        <v>0</v>
      </c>
      <c r="AY277" s="32" t="s">
        <v>2913</v>
      </c>
      <c r="AZ277" s="32" t="s">
        <v>2943</v>
      </c>
      <c r="BA277" s="28" t="s">
        <v>2957</v>
      </c>
      <c r="BC277" s="29">
        <f t="shared" si="285"/>
        <v>0</v>
      </c>
      <c r="BD277" s="29">
        <f t="shared" si="286"/>
        <v>0</v>
      </c>
      <c r="BE277" s="29">
        <v>0</v>
      </c>
      <c r="BF277" s="29">
        <f>277</f>
        <v>277</v>
      </c>
      <c r="BH277" s="15">
        <f t="shared" si="287"/>
        <v>0</v>
      </c>
      <c r="BI277" s="15">
        <f t="shared" si="288"/>
        <v>0</v>
      </c>
      <c r="BJ277" s="15">
        <f t="shared" si="289"/>
        <v>0</v>
      </c>
      <c r="BK277" s="15" t="s">
        <v>2969</v>
      </c>
      <c r="BL277" s="29">
        <v>721</v>
      </c>
    </row>
    <row r="278" spans="1:47" ht="12.75">
      <c r="A278" s="3"/>
      <c r="B278" s="97" t="s">
        <v>728</v>
      </c>
      <c r="C278" s="161" t="s">
        <v>2197</v>
      </c>
      <c r="D278" s="162"/>
      <c r="E278" s="162"/>
      <c r="F278" s="162"/>
      <c r="G278" s="13" t="s">
        <v>6</v>
      </c>
      <c r="H278" s="13" t="s">
        <v>6</v>
      </c>
      <c r="I278" s="13" t="s">
        <v>6</v>
      </c>
      <c r="J278" s="34">
        <f>SUM(J279:J343)</f>
        <v>0</v>
      </c>
      <c r="K278" s="34">
        <f>SUM(K279:K343)</f>
        <v>0</v>
      </c>
      <c r="L278" s="34">
        <f>SUM(L279:L343)</f>
        <v>0</v>
      </c>
      <c r="M278" s="24"/>
      <c r="N278" s="5"/>
      <c r="AI278" s="28" t="s">
        <v>2882</v>
      </c>
      <c r="AS278" s="34">
        <f>SUM(AJ279:AJ343)</f>
        <v>0</v>
      </c>
      <c r="AT278" s="34">
        <f>SUM(AK279:AK343)</f>
        <v>0</v>
      </c>
      <c r="AU278" s="34">
        <f>SUM(AL279:AL343)</f>
        <v>0</v>
      </c>
    </row>
    <row r="279" spans="1:64" ht="12.75">
      <c r="A279" s="4" t="s">
        <v>238</v>
      </c>
      <c r="B279" s="94" t="s">
        <v>1237</v>
      </c>
      <c r="C279" s="152" t="s">
        <v>2198</v>
      </c>
      <c r="D279" s="153"/>
      <c r="E279" s="153"/>
      <c r="F279" s="153"/>
      <c r="G279" s="94" t="s">
        <v>2851</v>
      </c>
      <c r="H279" s="73">
        <v>177</v>
      </c>
      <c r="I279" s="105">
        <v>0</v>
      </c>
      <c r="J279" s="15">
        <f aca="true" t="shared" si="290" ref="J279:J310">H279*AO279</f>
        <v>0</v>
      </c>
      <c r="K279" s="15">
        <f aca="true" t="shared" si="291" ref="K279:K310">H279*AP279</f>
        <v>0</v>
      </c>
      <c r="L279" s="15">
        <f aca="true" t="shared" si="292" ref="L279:L310">H279*I279</f>
        <v>0</v>
      </c>
      <c r="M279" s="25"/>
      <c r="N279" s="5"/>
      <c r="Z279" s="29">
        <f aca="true" t="shared" si="293" ref="Z279:Z310">IF(AQ279="5",BJ279,0)</f>
        <v>0</v>
      </c>
      <c r="AB279" s="29">
        <f aca="true" t="shared" si="294" ref="AB279:AB310">IF(AQ279="1",BH279,0)</f>
        <v>0</v>
      </c>
      <c r="AC279" s="29">
        <f aca="true" t="shared" si="295" ref="AC279:AC310">IF(AQ279="1",BI279,0)</f>
        <v>0</v>
      </c>
      <c r="AD279" s="29">
        <f aca="true" t="shared" si="296" ref="AD279:AD310">IF(AQ279="7",BH279,0)</f>
        <v>0</v>
      </c>
      <c r="AE279" s="29">
        <f aca="true" t="shared" si="297" ref="AE279:AE310">IF(AQ279="7",BI279,0)</f>
        <v>0</v>
      </c>
      <c r="AF279" s="29">
        <f aca="true" t="shared" si="298" ref="AF279:AF310">IF(AQ279="2",BH279,0)</f>
        <v>0</v>
      </c>
      <c r="AG279" s="29">
        <f aca="true" t="shared" si="299" ref="AG279:AG310">IF(AQ279="2",BI279,0)</f>
        <v>0</v>
      </c>
      <c r="AH279" s="29">
        <f aca="true" t="shared" si="300" ref="AH279:AH310">IF(AQ279="0",BJ279,0)</f>
        <v>0</v>
      </c>
      <c r="AI279" s="28" t="s">
        <v>2882</v>
      </c>
      <c r="AJ279" s="15">
        <f aca="true" t="shared" si="301" ref="AJ279:AJ310">IF(AN279=0,L279,0)</f>
        <v>0</v>
      </c>
      <c r="AK279" s="15">
        <f aca="true" t="shared" si="302" ref="AK279:AK310">IF(AN279=15,L279,0)</f>
        <v>0</v>
      </c>
      <c r="AL279" s="15">
        <f aca="true" t="shared" si="303" ref="AL279:AL310">IF(AN279=21,L279,0)</f>
        <v>0</v>
      </c>
      <c r="AN279" s="29">
        <v>15</v>
      </c>
      <c r="AO279" s="29">
        <f aca="true" t="shared" si="304" ref="AO279:AO310">I279*0</f>
        <v>0</v>
      </c>
      <c r="AP279" s="29">
        <f aca="true" t="shared" si="305" ref="AP279:AP310">I279*(1-0)</f>
        <v>0</v>
      </c>
      <c r="AQ279" s="30" t="s">
        <v>13</v>
      </c>
      <c r="AV279" s="29">
        <f aca="true" t="shared" si="306" ref="AV279:AV310">AW279+AX279</f>
        <v>0</v>
      </c>
      <c r="AW279" s="29">
        <f aca="true" t="shared" si="307" ref="AW279:AW310">H279*AO279</f>
        <v>0</v>
      </c>
      <c r="AX279" s="29">
        <f aca="true" t="shared" si="308" ref="AX279:AX310">H279*AP279</f>
        <v>0</v>
      </c>
      <c r="AY279" s="32" t="s">
        <v>2914</v>
      </c>
      <c r="AZ279" s="32" t="s">
        <v>2943</v>
      </c>
      <c r="BA279" s="28" t="s">
        <v>2957</v>
      </c>
      <c r="BC279" s="29">
        <f aca="true" t="shared" si="309" ref="BC279:BC310">AW279+AX279</f>
        <v>0</v>
      </c>
      <c r="BD279" s="29">
        <f aca="true" t="shared" si="310" ref="BD279:BD310">I279/(100-BE279)*100</f>
        <v>0</v>
      </c>
      <c r="BE279" s="29">
        <v>0</v>
      </c>
      <c r="BF279" s="29">
        <f>279</f>
        <v>279</v>
      </c>
      <c r="BH279" s="15">
        <f aca="true" t="shared" si="311" ref="BH279:BH310">H279*AO279</f>
        <v>0</v>
      </c>
      <c r="BI279" s="15">
        <f aca="true" t="shared" si="312" ref="BI279:BI310">H279*AP279</f>
        <v>0</v>
      </c>
      <c r="BJ279" s="15">
        <f aca="true" t="shared" si="313" ref="BJ279:BJ310">H279*I279</f>
        <v>0</v>
      </c>
      <c r="BK279" s="15" t="s">
        <v>2969</v>
      </c>
      <c r="BL279" s="29">
        <v>722</v>
      </c>
    </row>
    <row r="280" spans="1:64" ht="12.75">
      <c r="A280" s="4" t="s">
        <v>239</v>
      </c>
      <c r="B280" s="94" t="s">
        <v>1238</v>
      </c>
      <c r="C280" s="152" t="s">
        <v>2199</v>
      </c>
      <c r="D280" s="153"/>
      <c r="E280" s="153"/>
      <c r="F280" s="153"/>
      <c r="G280" s="94" t="s">
        <v>2851</v>
      </c>
      <c r="H280" s="73">
        <v>67</v>
      </c>
      <c r="I280" s="105">
        <v>0</v>
      </c>
      <c r="J280" s="15">
        <f t="shared" si="290"/>
        <v>0</v>
      </c>
      <c r="K280" s="15">
        <f t="shared" si="291"/>
        <v>0</v>
      </c>
      <c r="L280" s="15">
        <f t="shared" si="292"/>
        <v>0</v>
      </c>
      <c r="M280" s="25"/>
      <c r="N280" s="5"/>
      <c r="Z280" s="29">
        <f t="shared" si="293"/>
        <v>0</v>
      </c>
      <c r="AB280" s="29">
        <f t="shared" si="294"/>
        <v>0</v>
      </c>
      <c r="AC280" s="29">
        <f t="shared" si="295"/>
        <v>0</v>
      </c>
      <c r="AD280" s="29">
        <f t="shared" si="296"/>
        <v>0</v>
      </c>
      <c r="AE280" s="29">
        <f t="shared" si="297"/>
        <v>0</v>
      </c>
      <c r="AF280" s="29">
        <f t="shared" si="298"/>
        <v>0</v>
      </c>
      <c r="AG280" s="29">
        <f t="shared" si="299"/>
        <v>0</v>
      </c>
      <c r="AH280" s="29">
        <f t="shared" si="300"/>
        <v>0</v>
      </c>
      <c r="AI280" s="28" t="s">
        <v>2882</v>
      </c>
      <c r="AJ280" s="15">
        <f t="shared" si="301"/>
        <v>0</v>
      </c>
      <c r="AK280" s="15">
        <f t="shared" si="302"/>
        <v>0</v>
      </c>
      <c r="AL280" s="15">
        <f t="shared" si="303"/>
        <v>0</v>
      </c>
      <c r="AN280" s="29">
        <v>15</v>
      </c>
      <c r="AO280" s="29">
        <f t="shared" si="304"/>
        <v>0</v>
      </c>
      <c r="AP280" s="29">
        <f t="shared" si="305"/>
        <v>0</v>
      </c>
      <c r="AQ280" s="30" t="s">
        <v>13</v>
      </c>
      <c r="AV280" s="29">
        <f t="shared" si="306"/>
        <v>0</v>
      </c>
      <c r="AW280" s="29">
        <f t="shared" si="307"/>
        <v>0</v>
      </c>
      <c r="AX280" s="29">
        <f t="shared" si="308"/>
        <v>0</v>
      </c>
      <c r="AY280" s="32" t="s">
        <v>2914</v>
      </c>
      <c r="AZ280" s="32" t="s">
        <v>2943</v>
      </c>
      <c r="BA280" s="28" t="s">
        <v>2957</v>
      </c>
      <c r="BC280" s="29">
        <f t="shared" si="309"/>
        <v>0</v>
      </c>
      <c r="BD280" s="29">
        <f t="shared" si="310"/>
        <v>0</v>
      </c>
      <c r="BE280" s="29">
        <v>0</v>
      </c>
      <c r="BF280" s="29">
        <f>280</f>
        <v>280</v>
      </c>
      <c r="BH280" s="15">
        <f t="shared" si="311"/>
        <v>0</v>
      </c>
      <c r="BI280" s="15">
        <f t="shared" si="312"/>
        <v>0</v>
      </c>
      <c r="BJ280" s="15">
        <f t="shared" si="313"/>
        <v>0</v>
      </c>
      <c r="BK280" s="15" t="s">
        <v>2969</v>
      </c>
      <c r="BL280" s="29">
        <v>722</v>
      </c>
    </row>
    <row r="281" spans="1:64" ht="12.75">
      <c r="A281" s="4" t="s">
        <v>240</v>
      </c>
      <c r="B281" s="94" t="s">
        <v>1239</v>
      </c>
      <c r="C281" s="152" t="s">
        <v>2200</v>
      </c>
      <c r="D281" s="153"/>
      <c r="E281" s="153"/>
      <c r="F281" s="153"/>
      <c r="G281" s="94" t="s">
        <v>2851</v>
      </c>
      <c r="H281" s="73">
        <v>30.5</v>
      </c>
      <c r="I281" s="105">
        <v>0</v>
      </c>
      <c r="J281" s="15">
        <f t="shared" si="290"/>
        <v>0</v>
      </c>
      <c r="K281" s="15">
        <f t="shared" si="291"/>
        <v>0</v>
      </c>
      <c r="L281" s="15">
        <f t="shared" si="292"/>
        <v>0</v>
      </c>
      <c r="M281" s="25"/>
      <c r="N281" s="5"/>
      <c r="Z281" s="29">
        <f t="shared" si="293"/>
        <v>0</v>
      </c>
      <c r="AB281" s="29">
        <f t="shared" si="294"/>
        <v>0</v>
      </c>
      <c r="AC281" s="29">
        <f t="shared" si="295"/>
        <v>0</v>
      </c>
      <c r="AD281" s="29">
        <f t="shared" si="296"/>
        <v>0</v>
      </c>
      <c r="AE281" s="29">
        <f t="shared" si="297"/>
        <v>0</v>
      </c>
      <c r="AF281" s="29">
        <f t="shared" si="298"/>
        <v>0</v>
      </c>
      <c r="AG281" s="29">
        <f t="shared" si="299"/>
        <v>0</v>
      </c>
      <c r="AH281" s="29">
        <f t="shared" si="300"/>
        <v>0</v>
      </c>
      <c r="AI281" s="28" t="s">
        <v>2882</v>
      </c>
      <c r="AJ281" s="15">
        <f t="shared" si="301"/>
        <v>0</v>
      </c>
      <c r="AK281" s="15">
        <f t="shared" si="302"/>
        <v>0</v>
      </c>
      <c r="AL281" s="15">
        <f t="shared" si="303"/>
        <v>0</v>
      </c>
      <c r="AN281" s="29">
        <v>15</v>
      </c>
      <c r="AO281" s="29">
        <f t="shared" si="304"/>
        <v>0</v>
      </c>
      <c r="AP281" s="29">
        <f t="shared" si="305"/>
        <v>0</v>
      </c>
      <c r="AQ281" s="30" t="s">
        <v>13</v>
      </c>
      <c r="AV281" s="29">
        <f t="shared" si="306"/>
        <v>0</v>
      </c>
      <c r="AW281" s="29">
        <f t="shared" si="307"/>
        <v>0</v>
      </c>
      <c r="AX281" s="29">
        <f t="shared" si="308"/>
        <v>0</v>
      </c>
      <c r="AY281" s="32" t="s">
        <v>2914</v>
      </c>
      <c r="AZ281" s="32" t="s">
        <v>2943</v>
      </c>
      <c r="BA281" s="28" t="s">
        <v>2957</v>
      </c>
      <c r="BC281" s="29">
        <f t="shared" si="309"/>
        <v>0</v>
      </c>
      <c r="BD281" s="29">
        <f t="shared" si="310"/>
        <v>0</v>
      </c>
      <c r="BE281" s="29">
        <v>0</v>
      </c>
      <c r="BF281" s="29">
        <f>281</f>
        <v>281</v>
      </c>
      <c r="BH281" s="15">
        <f t="shared" si="311"/>
        <v>0</v>
      </c>
      <c r="BI281" s="15">
        <f t="shared" si="312"/>
        <v>0</v>
      </c>
      <c r="BJ281" s="15">
        <f t="shared" si="313"/>
        <v>0</v>
      </c>
      <c r="BK281" s="15" t="s">
        <v>2969</v>
      </c>
      <c r="BL281" s="29">
        <v>722</v>
      </c>
    </row>
    <row r="282" spans="1:64" ht="12.75">
      <c r="A282" s="4" t="s">
        <v>241</v>
      </c>
      <c r="B282" s="94" t="s">
        <v>1240</v>
      </c>
      <c r="C282" s="152" t="s">
        <v>2201</v>
      </c>
      <c r="D282" s="153"/>
      <c r="E282" s="153"/>
      <c r="F282" s="153"/>
      <c r="G282" s="94" t="s">
        <v>2851</v>
      </c>
      <c r="H282" s="73">
        <v>10.5</v>
      </c>
      <c r="I282" s="105">
        <v>0</v>
      </c>
      <c r="J282" s="15">
        <f t="shared" si="290"/>
        <v>0</v>
      </c>
      <c r="K282" s="15">
        <f t="shared" si="291"/>
        <v>0</v>
      </c>
      <c r="L282" s="15">
        <f t="shared" si="292"/>
        <v>0</v>
      </c>
      <c r="M282" s="25"/>
      <c r="N282" s="5"/>
      <c r="Z282" s="29">
        <f t="shared" si="293"/>
        <v>0</v>
      </c>
      <c r="AB282" s="29">
        <f t="shared" si="294"/>
        <v>0</v>
      </c>
      <c r="AC282" s="29">
        <f t="shared" si="295"/>
        <v>0</v>
      </c>
      <c r="AD282" s="29">
        <f t="shared" si="296"/>
        <v>0</v>
      </c>
      <c r="AE282" s="29">
        <f t="shared" si="297"/>
        <v>0</v>
      </c>
      <c r="AF282" s="29">
        <f t="shared" si="298"/>
        <v>0</v>
      </c>
      <c r="AG282" s="29">
        <f t="shared" si="299"/>
        <v>0</v>
      </c>
      <c r="AH282" s="29">
        <f t="shared" si="300"/>
        <v>0</v>
      </c>
      <c r="AI282" s="28" t="s">
        <v>2882</v>
      </c>
      <c r="AJ282" s="15">
        <f t="shared" si="301"/>
        <v>0</v>
      </c>
      <c r="AK282" s="15">
        <f t="shared" si="302"/>
        <v>0</v>
      </c>
      <c r="AL282" s="15">
        <f t="shared" si="303"/>
        <v>0</v>
      </c>
      <c r="AN282" s="29">
        <v>15</v>
      </c>
      <c r="AO282" s="29">
        <f t="shared" si="304"/>
        <v>0</v>
      </c>
      <c r="AP282" s="29">
        <f t="shared" si="305"/>
        <v>0</v>
      </c>
      <c r="AQ282" s="30" t="s">
        <v>13</v>
      </c>
      <c r="AV282" s="29">
        <f t="shared" si="306"/>
        <v>0</v>
      </c>
      <c r="AW282" s="29">
        <f t="shared" si="307"/>
        <v>0</v>
      </c>
      <c r="AX282" s="29">
        <f t="shared" si="308"/>
        <v>0</v>
      </c>
      <c r="AY282" s="32" t="s">
        <v>2914</v>
      </c>
      <c r="AZ282" s="32" t="s">
        <v>2943</v>
      </c>
      <c r="BA282" s="28" t="s">
        <v>2957</v>
      </c>
      <c r="BC282" s="29">
        <f t="shared" si="309"/>
        <v>0</v>
      </c>
      <c r="BD282" s="29">
        <f t="shared" si="310"/>
        <v>0</v>
      </c>
      <c r="BE282" s="29">
        <v>0</v>
      </c>
      <c r="BF282" s="29">
        <f>282</f>
        <v>282</v>
      </c>
      <c r="BH282" s="15">
        <f t="shared" si="311"/>
        <v>0</v>
      </c>
      <c r="BI282" s="15">
        <f t="shared" si="312"/>
        <v>0</v>
      </c>
      <c r="BJ282" s="15">
        <f t="shared" si="313"/>
        <v>0</v>
      </c>
      <c r="BK282" s="15" t="s">
        <v>2969</v>
      </c>
      <c r="BL282" s="29">
        <v>722</v>
      </c>
    </row>
    <row r="283" spans="1:64" ht="12.75">
      <c r="A283" s="4" t="s">
        <v>242</v>
      </c>
      <c r="B283" s="94" t="s">
        <v>1241</v>
      </c>
      <c r="C283" s="152" t="s">
        <v>2202</v>
      </c>
      <c r="D283" s="153"/>
      <c r="E283" s="153"/>
      <c r="F283" s="153"/>
      <c r="G283" s="94" t="s">
        <v>2851</v>
      </c>
      <c r="H283" s="73">
        <v>20</v>
      </c>
      <c r="I283" s="105">
        <v>0</v>
      </c>
      <c r="J283" s="15">
        <f t="shared" si="290"/>
        <v>0</v>
      </c>
      <c r="K283" s="15">
        <f t="shared" si="291"/>
        <v>0</v>
      </c>
      <c r="L283" s="15">
        <f t="shared" si="292"/>
        <v>0</v>
      </c>
      <c r="M283" s="25"/>
      <c r="N283" s="5"/>
      <c r="Z283" s="29">
        <f t="shared" si="293"/>
        <v>0</v>
      </c>
      <c r="AB283" s="29">
        <f t="shared" si="294"/>
        <v>0</v>
      </c>
      <c r="AC283" s="29">
        <f t="shared" si="295"/>
        <v>0</v>
      </c>
      <c r="AD283" s="29">
        <f t="shared" si="296"/>
        <v>0</v>
      </c>
      <c r="AE283" s="29">
        <f t="shared" si="297"/>
        <v>0</v>
      </c>
      <c r="AF283" s="29">
        <f t="shared" si="298"/>
        <v>0</v>
      </c>
      <c r="AG283" s="29">
        <f t="shared" si="299"/>
        <v>0</v>
      </c>
      <c r="AH283" s="29">
        <f t="shared" si="300"/>
        <v>0</v>
      </c>
      <c r="AI283" s="28" t="s">
        <v>2882</v>
      </c>
      <c r="AJ283" s="15">
        <f t="shared" si="301"/>
        <v>0</v>
      </c>
      <c r="AK283" s="15">
        <f t="shared" si="302"/>
        <v>0</v>
      </c>
      <c r="AL283" s="15">
        <f t="shared" si="303"/>
        <v>0</v>
      </c>
      <c r="AN283" s="29">
        <v>15</v>
      </c>
      <c r="AO283" s="29">
        <f t="shared" si="304"/>
        <v>0</v>
      </c>
      <c r="AP283" s="29">
        <f t="shared" si="305"/>
        <v>0</v>
      </c>
      <c r="AQ283" s="30" t="s">
        <v>13</v>
      </c>
      <c r="AV283" s="29">
        <f t="shared" si="306"/>
        <v>0</v>
      </c>
      <c r="AW283" s="29">
        <f t="shared" si="307"/>
        <v>0</v>
      </c>
      <c r="AX283" s="29">
        <f t="shared" si="308"/>
        <v>0</v>
      </c>
      <c r="AY283" s="32" t="s">
        <v>2914</v>
      </c>
      <c r="AZ283" s="32" t="s">
        <v>2943</v>
      </c>
      <c r="BA283" s="28" t="s">
        <v>2957</v>
      </c>
      <c r="BC283" s="29">
        <f t="shared" si="309"/>
        <v>0</v>
      </c>
      <c r="BD283" s="29">
        <f t="shared" si="310"/>
        <v>0</v>
      </c>
      <c r="BE283" s="29">
        <v>0</v>
      </c>
      <c r="BF283" s="29">
        <f>283</f>
        <v>283</v>
      </c>
      <c r="BH283" s="15">
        <f t="shared" si="311"/>
        <v>0</v>
      </c>
      <c r="BI283" s="15">
        <f t="shared" si="312"/>
        <v>0</v>
      </c>
      <c r="BJ283" s="15">
        <f t="shared" si="313"/>
        <v>0</v>
      </c>
      <c r="BK283" s="15" t="s">
        <v>2969</v>
      </c>
      <c r="BL283" s="29">
        <v>722</v>
      </c>
    </row>
    <row r="284" spans="1:64" ht="12.75">
      <c r="A284" s="4" t="s">
        <v>243</v>
      </c>
      <c r="B284" s="94" t="s">
        <v>1242</v>
      </c>
      <c r="C284" s="152" t="s">
        <v>2203</v>
      </c>
      <c r="D284" s="153"/>
      <c r="E284" s="153"/>
      <c r="F284" s="153"/>
      <c r="G284" s="94" t="s">
        <v>2851</v>
      </c>
      <c r="H284" s="73">
        <v>11</v>
      </c>
      <c r="I284" s="105">
        <v>0</v>
      </c>
      <c r="J284" s="15">
        <f t="shared" si="290"/>
        <v>0</v>
      </c>
      <c r="K284" s="15">
        <f t="shared" si="291"/>
        <v>0</v>
      </c>
      <c r="L284" s="15">
        <f t="shared" si="292"/>
        <v>0</v>
      </c>
      <c r="M284" s="25"/>
      <c r="N284" s="5"/>
      <c r="Z284" s="29">
        <f t="shared" si="293"/>
        <v>0</v>
      </c>
      <c r="AB284" s="29">
        <f t="shared" si="294"/>
        <v>0</v>
      </c>
      <c r="AC284" s="29">
        <f t="shared" si="295"/>
        <v>0</v>
      </c>
      <c r="AD284" s="29">
        <f t="shared" si="296"/>
        <v>0</v>
      </c>
      <c r="AE284" s="29">
        <f t="shared" si="297"/>
        <v>0</v>
      </c>
      <c r="AF284" s="29">
        <f t="shared" si="298"/>
        <v>0</v>
      </c>
      <c r="AG284" s="29">
        <f t="shared" si="299"/>
        <v>0</v>
      </c>
      <c r="AH284" s="29">
        <f t="shared" si="300"/>
        <v>0</v>
      </c>
      <c r="AI284" s="28" t="s">
        <v>2882</v>
      </c>
      <c r="AJ284" s="15">
        <f t="shared" si="301"/>
        <v>0</v>
      </c>
      <c r="AK284" s="15">
        <f t="shared" si="302"/>
        <v>0</v>
      </c>
      <c r="AL284" s="15">
        <f t="shared" si="303"/>
        <v>0</v>
      </c>
      <c r="AN284" s="29">
        <v>15</v>
      </c>
      <c r="AO284" s="29">
        <f t="shared" si="304"/>
        <v>0</v>
      </c>
      <c r="AP284" s="29">
        <f t="shared" si="305"/>
        <v>0</v>
      </c>
      <c r="AQ284" s="30" t="s">
        <v>13</v>
      </c>
      <c r="AV284" s="29">
        <f t="shared" si="306"/>
        <v>0</v>
      </c>
      <c r="AW284" s="29">
        <f t="shared" si="307"/>
        <v>0</v>
      </c>
      <c r="AX284" s="29">
        <f t="shared" si="308"/>
        <v>0</v>
      </c>
      <c r="AY284" s="32" t="s">
        <v>2914</v>
      </c>
      <c r="AZ284" s="32" t="s">
        <v>2943</v>
      </c>
      <c r="BA284" s="28" t="s">
        <v>2957</v>
      </c>
      <c r="BC284" s="29">
        <f t="shared" si="309"/>
        <v>0</v>
      </c>
      <c r="BD284" s="29">
        <f t="shared" si="310"/>
        <v>0</v>
      </c>
      <c r="BE284" s="29">
        <v>0</v>
      </c>
      <c r="BF284" s="29">
        <f>284</f>
        <v>284</v>
      </c>
      <c r="BH284" s="15">
        <f t="shared" si="311"/>
        <v>0</v>
      </c>
      <c r="BI284" s="15">
        <f t="shared" si="312"/>
        <v>0</v>
      </c>
      <c r="BJ284" s="15">
        <f t="shared" si="313"/>
        <v>0</v>
      </c>
      <c r="BK284" s="15" t="s">
        <v>2969</v>
      </c>
      <c r="BL284" s="29">
        <v>722</v>
      </c>
    </row>
    <row r="285" spans="1:64" ht="12.75">
      <c r="A285" s="4" t="s">
        <v>244</v>
      </c>
      <c r="B285" s="94" t="s">
        <v>1243</v>
      </c>
      <c r="C285" s="152" t="s">
        <v>2204</v>
      </c>
      <c r="D285" s="153"/>
      <c r="E285" s="153"/>
      <c r="F285" s="153"/>
      <c r="G285" s="94" t="s">
        <v>2851</v>
      </c>
      <c r="H285" s="73">
        <v>3</v>
      </c>
      <c r="I285" s="105">
        <v>0</v>
      </c>
      <c r="J285" s="15">
        <f t="shared" si="290"/>
        <v>0</v>
      </c>
      <c r="K285" s="15">
        <f t="shared" si="291"/>
        <v>0</v>
      </c>
      <c r="L285" s="15">
        <f t="shared" si="292"/>
        <v>0</v>
      </c>
      <c r="M285" s="25"/>
      <c r="N285" s="5"/>
      <c r="Z285" s="29">
        <f t="shared" si="293"/>
        <v>0</v>
      </c>
      <c r="AB285" s="29">
        <f t="shared" si="294"/>
        <v>0</v>
      </c>
      <c r="AC285" s="29">
        <f t="shared" si="295"/>
        <v>0</v>
      </c>
      <c r="AD285" s="29">
        <f t="shared" si="296"/>
        <v>0</v>
      </c>
      <c r="AE285" s="29">
        <f t="shared" si="297"/>
        <v>0</v>
      </c>
      <c r="AF285" s="29">
        <f t="shared" si="298"/>
        <v>0</v>
      </c>
      <c r="AG285" s="29">
        <f t="shared" si="299"/>
        <v>0</v>
      </c>
      <c r="AH285" s="29">
        <f t="shared" si="300"/>
        <v>0</v>
      </c>
      <c r="AI285" s="28" t="s">
        <v>2882</v>
      </c>
      <c r="AJ285" s="15">
        <f t="shared" si="301"/>
        <v>0</v>
      </c>
      <c r="AK285" s="15">
        <f t="shared" si="302"/>
        <v>0</v>
      </c>
      <c r="AL285" s="15">
        <f t="shared" si="303"/>
        <v>0</v>
      </c>
      <c r="AN285" s="29">
        <v>15</v>
      </c>
      <c r="AO285" s="29">
        <f t="shared" si="304"/>
        <v>0</v>
      </c>
      <c r="AP285" s="29">
        <f t="shared" si="305"/>
        <v>0</v>
      </c>
      <c r="AQ285" s="30" t="s">
        <v>13</v>
      </c>
      <c r="AV285" s="29">
        <f t="shared" si="306"/>
        <v>0</v>
      </c>
      <c r="AW285" s="29">
        <f t="shared" si="307"/>
        <v>0</v>
      </c>
      <c r="AX285" s="29">
        <f t="shared" si="308"/>
        <v>0</v>
      </c>
      <c r="AY285" s="32" t="s">
        <v>2914</v>
      </c>
      <c r="AZ285" s="32" t="s">
        <v>2943</v>
      </c>
      <c r="BA285" s="28" t="s">
        <v>2957</v>
      </c>
      <c r="BC285" s="29">
        <f t="shared" si="309"/>
        <v>0</v>
      </c>
      <c r="BD285" s="29">
        <f t="shared" si="310"/>
        <v>0</v>
      </c>
      <c r="BE285" s="29">
        <v>0</v>
      </c>
      <c r="BF285" s="29">
        <f>285</f>
        <v>285</v>
      </c>
      <c r="BH285" s="15">
        <f t="shared" si="311"/>
        <v>0</v>
      </c>
      <c r="BI285" s="15">
        <f t="shared" si="312"/>
        <v>0</v>
      </c>
      <c r="BJ285" s="15">
        <f t="shared" si="313"/>
        <v>0</v>
      </c>
      <c r="BK285" s="15" t="s">
        <v>2969</v>
      </c>
      <c r="BL285" s="29">
        <v>722</v>
      </c>
    </row>
    <row r="286" spans="1:64" ht="12.75">
      <c r="A286" s="4" t="s">
        <v>245</v>
      </c>
      <c r="B286" s="94" t="s">
        <v>1244</v>
      </c>
      <c r="C286" s="152" t="s">
        <v>2205</v>
      </c>
      <c r="D286" s="153"/>
      <c r="E286" s="153"/>
      <c r="F286" s="153"/>
      <c r="G286" s="94" t="s">
        <v>2851</v>
      </c>
      <c r="H286" s="73">
        <v>42</v>
      </c>
      <c r="I286" s="105">
        <v>0</v>
      </c>
      <c r="J286" s="15">
        <f t="shared" si="290"/>
        <v>0</v>
      </c>
      <c r="K286" s="15">
        <f t="shared" si="291"/>
        <v>0</v>
      </c>
      <c r="L286" s="15">
        <f t="shared" si="292"/>
        <v>0</v>
      </c>
      <c r="M286" s="25"/>
      <c r="N286" s="5"/>
      <c r="Z286" s="29">
        <f t="shared" si="293"/>
        <v>0</v>
      </c>
      <c r="AB286" s="29">
        <f t="shared" si="294"/>
        <v>0</v>
      </c>
      <c r="AC286" s="29">
        <f t="shared" si="295"/>
        <v>0</v>
      </c>
      <c r="AD286" s="29">
        <f t="shared" si="296"/>
        <v>0</v>
      </c>
      <c r="AE286" s="29">
        <f t="shared" si="297"/>
        <v>0</v>
      </c>
      <c r="AF286" s="29">
        <f t="shared" si="298"/>
        <v>0</v>
      </c>
      <c r="AG286" s="29">
        <f t="shared" si="299"/>
        <v>0</v>
      </c>
      <c r="AH286" s="29">
        <f t="shared" si="300"/>
        <v>0</v>
      </c>
      <c r="AI286" s="28" t="s">
        <v>2882</v>
      </c>
      <c r="AJ286" s="15">
        <f t="shared" si="301"/>
        <v>0</v>
      </c>
      <c r="AK286" s="15">
        <f t="shared" si="302"/>
        <v>0</v>
      </c>
      <c r="AL286" s="15">
        <f t="shared" si="303"/>
        <v>0</v>
      </c>
      <c r="AN286" s="29">
        <v>15</v>
      </c>
      <c r="AO286" s="29">
        <f t="shared" si="304"/>
        <v>0</v>
      </c>
      <c r="AP286" s="29">
        <f t="shared" si="305"/>
        <v>0</v>
      </c>
      <c r="AQ286" s="30" t="s">
        <v>13</v>
      </c>
      <c r="AV286" s="29">
        <f t="shared" si="306"/>
        <v>0</v>
      </c>
      <c r="AW286" s="29">
        <f t="shared" si="307"/>
        <v>0</v>
      </c>
      <c r="AX286" s="29">
        <f t="shared" si="308"/>
        <v>0</v>
      </c>
      <c r="AY286" s="32" t="s">
        <v>2914</v>
      </c>
      <c r="AZ286" s="32" t="s">
        <v>2943</v>
      </c>
      <c r="BA286" s="28" t="s">
        <v>2957</v>
      </c>
      <c r="BC286" s="29">
        <f t="shared" si="309"/>
        <v>0</v>
      </c>
      <c r="BD286" s="29">
        <f t="shared" si="310"/>
        <v>0</v>
      </c>
      <c r="BE286" s="29">
        <v>0</v>
      </c>
      <c r="BF286" s="29">
        <f>286</f>
        <v>286</v>
      </c>
      <c r="BH286" s="15">
        <f t="shared" si="311"/>
        <v>0</v>
      </c>
      <c r="BI286" s="15">
        <f t="shared" si="312"/>
        <v>0</v>
      </c>
      <c r="BJ286" s="15">
        <f t="shared" si="313"/>
        <v>0</v>
      </c>
      <c r="BK286" s="15" t="s">
        <v>2969</v>
      </c>
      <c r="BL286" s="29">
        <v>722</v>
      </c>
    </row>
    <row r="287" spans="1:64" ht="12.75">
      <c r="A287" s="4" t="s">
        <v>246</v>
      </c>
      <c r="B287" s="94" t="s">
        <v>1245</v>
      </c>
      <c r="C287" s="152" t="s">
        <v>2206</v>
      </c>
      <c r="D287" s="153"/>
      <c r="E287" s="153"/>
      <c r="F287" s="153"/>
      <c r="G287" s="94" t="s">
        <v>2851</v>
      </c>
      <c r="H287" s="73">
        <v>48</v>
      </c>
      <c r="I287" s="105">
        <v>0</v>
      </c>
      <c r="J287" s="15">
        <f t="shared" si="290"/>
        <v>0</v>
      </c>
      <c r="K287" s="15">
        <f t="shared" si="291"/>
        <v>0</v>
      </c>
      <c r="L287" s="15">
        <f t="shared" si="292"/>
        <v>0</v>
      </c>
      <c r="M287" s="25"/>
      <c r="N287" s="5"/>
      <c r="Z287" s="29">
        <f t="shared" si="293"/>
        <v>0</v>
      </c>
      <c r="AB287" s="29">
        <f t="shared" si="294"/>
        <v>0</v>
      </c>
      <c r="AC287" s="29">
        <f t="shared" si="295"/>
        <v>0</v>
      </c>
      <c r="AD287" s="29">
        <f t="shared" si="296"/>
        <v>0</v>
      </c>
      <c r="AE287" s="29">
        <f t="shared" si="297"/>
        <v>0</v>
      </c>
      <c r="AF287" s="29">
        <f t="shared" si="298"/>
        <v>0</v>
      </c>
      <c r="AG287" s="29">
        <f t="shared" si="299"/>
        <v>0</v>
      </c>
      <c r="AH287" s="29">
        <f t="shared" si="300"/>
        <v>0</v>
      </c>
      <c r="AI287" s="28" t="s">
        <v>2882</v>
      </c>
      <c r="AJ287" s="15">
        <f t="shared" si="301"/>
        <v>0</v>
      </c>
      <c r="AK287" s="15">
        <f t="shared" si="302"/>
        <v>0</v>
      </c>
      <c r="AL287" s="15">
        <f t="shared" si="303"/>
        <v>0</v>
      </c>
      <c r="AN287" s="29">
        <v>15</v>
      </c>
      <c r="AO287" s="29">
        <f t="shared" si="304"/>
        <v>0</v>
      </c>
      <c r="AP287" s="29">
        <f t="shared" si="305"/>
        <v>0</v>
      </c>
      <c r="AQ287" s="30" t="s">
        <v>13</v>
      </c>
      <c r="AV287" s="29">
        <f t="shared" si="306"/>
        <v>0</v>
      </c>
      <c r="AW287" s="29">
        <f t="shared" si="307"/>
        <v>0</v>
      </c>
      <c r="AX287" s="29">
        <f t="shared" si="308"/>
        <v>0</v>
      </c>
      <c r="AY287" s="32" t="s">
        <v>2914</v>
      </c>
      <c r="AZ287" s="32" t="s">
        <v>2943</v>
      </c>
      <c r="BA287" s="28" t="s">
        <v>2957</v>
      </c>
      <c r="BC287" s="29">
        <f t="shared" si="309"/>
        <v>0</v>
      </c>
      <c r="BD287" s="29">
        <f t="shared" si="310"/>
        <v>0</v>
      </c>
      <c r="BE287" s="29">
        <v>0</v>
      </c>
      <c r="BF287" s="29">
        <f>287</f>
        <v>287</v>
      </c>
      <c r="BH287" s="15">
        <f t="shared" si="311"/>
        <v>0</v>
      </c>
      <c r="BI287" s="15">
        <f t="shared" si="312"/>
        <v>0</v>
      </c>
      <c r="BJ287" s="15">
        <f t="shared" si="313"/>
        <v>0</v>
      </c>
      <c r="BK287" s="15" t="s">
        <v>2969</v>
      </c>
      <c r="BL287" s="29">
        <v>722</v>
      </c>
    </row>
    <row r="288" spans="1:64" ht="12.75">
      <c r="A288" s="4" t="s">
        <v>247</v>
      </c>
      <c r="B288" s="94" t="s">
        <v>1246</v>
      </c>
      <c r="C288" s="152" t="s">
        <v>2207</v>
      </c>
      <c r="D288" s="153"/>
      <c r="E288" s="153"/>
      <c r="F288" s="153"/>
      <c r="G288" s="94" t="s">
        <v>2851</v>
      </c>
      <c r="H288" s="73">
        <v>36</v>
      </c>
      <c r="I288" s="105">
        <v>0</v>
      </c>
      <c r="J288" s="15">
        <f t="shared" si="290"/>
        <v>0</v>
      </c>
      <c r="K288" s="15">
        <f t="shared" si="291"/>
        <v>0</v>
      </c>
      <c r="L288" s="15">
        <f t="shared" si="292"/>
        <v>0</v>
      </c>
      <c r="M288" s="25"/>
      <c r="N288" s="5"/>
      <c r="Z288" s="29">
        <f t="shared" si="293"/>
        <v>0</v>
      </c>
      <c r="AB288" s="29">
        <f t="shared" si="294"/>
        <v>0</v>
      </c>
      <c r="AC288" s="29">
        <f t="shared" si="295"/>
        <v>0</v>
      </c>
      <c r="AD288" s="29">
        <f t="shared" si="296"/>
        <v>0</v>
      </c>
      <c r="AE288" s="29">
        <f t="shared" si="297"/>
        <v>0</v>
      </c>
      <c r="AF288" s="29">
        <f t="shared" si="298"/>
        <v>0</v>
      </c>
      <c r="AG288" s="29">
        <f t="shared" si="299"/>
        <v>0</v>
      </c>
      <c r="AH288" s="29">
        <f t="shared" si="300"/>
        <v>0</v>
      </c>
      <c r="AI288" s="28" t="s">
        <v>2882</v>
      </c>
      <c r="AJ288" s="15">
        <f t="shared" si="301"/>
        <v>0</v>
      </c>
      <c r="AK288" s="15">
        <f t="shared" si="302"/>
        <v>0</v>
      </c>
      <c r="AL288" s="15">
        <f t="shared" si="303"/>
        <v>0</v>
      </c>
      <c r="AN288" s="29">
        <v>15</v>
      </c>
      <c r="AO288" s="29">
        <f t="shared" si="304"/>
        <v>0</v>
      </c>
      <c r="AP288" s="29">
        <f t="shared" si="305"/>
        <v>0</v>
      </c>
      <c r="AQ288" s="30" t="s">
        <v>13</v>
      </c>
      <c r="AV288" s="29">
        <f t="shared" si="306"/>
        <v>0</v>
      </c>
      <c r="AW288" s="29">
        <f t="shared" si="307"/>
        <v>0</v>
      </c>
      <c r="AX288" s="29">
        <f t="shared" si="308"/>
        <v>0</v>
      </c>
      <c r="AY288" s="32" t="s">
        <v>2914</v>
      </c>
      <c r="AZ288" s="32" t="s">
        <v>2943</v>
      </c>
      <c r="BA288" s="28" t="s">
        <v>2957</v>
      </c>
      <c r="BC288" s="29">
        <f t="shared" si="309"/>
        <v>0</v>
      </c>
      <c r="BD288" s="29">
        <f t="shared" si="310"/>
        <v>0</v>
      </c>
      <c r="BE288" s="29">
        <v>0</v>
      </c>
      <c r="BF288" s="29">
        <f>288</f>
        <v>288</v>
      </c>
      <c r="BH288" s="15">
        <f t="shared" si="311"/>
        <v>0</v>
      </c>
      <c r="BI288" s="15">
        <f t="shared" si="312"/>
        <v>0</v>
      </c>
      <c r="BJ288" s="15">
        <f t="shared" si="313"/>
        <v>0</v>
      </c>
      <c r="BK288" s="15" t="s">
        <v>2969</v>
      </c>
      <c r="BL288" s="29">
        <v>722</v>
      </c>
    </row>
    <row r="289" spans="1:64" ht="12.75">
      <c r="A289" s="4" t="s">
        <v>248</v>
      </c>
      <c r="B289" s="94" t="s">
        <v>1247</v>
      </c>
      <c r="C289" s="152" t="s">
        <v>2208</v>
      </c>
      <c r="D289" s="153"/>
      <c r="E289" s="153"/>
      <c r="F289" s="153"/>
      <c r="G289" s="94" t="s">
        <v>2851</v>
      </c>
      <c r="H289" s="73">
        <v>13.5</v>
      </c>
      <c r="I289" s="105">
        <v>0</v>
      </c>
      <c r="J289" s="15">
        <f t="shared" si="290"/>
        <v>0</v>
      </c>
      <c r="K289" s="15">
        <f t="shared" si="291"/>
        <v>0</v>
      </c>
      <c r="L289" s="15">
        <f t="shared" si="292"/>
        <v>0</v>
      </c>
      <c r="M289" s="25"/>
      <c r="N289" s="5"/>
      <c r="Z289" s="29">
        <f t="shared" si="293"/>
        <v>0</v>
      </c>
      <c r="AB289" s="29">
        <f t="shared" si="294"/>
        <v>0</v>
      </c>
      <c r="AC289" s="29">
        <f t="shared" si="295"/>
        <v>0</v>
      </c>
      <c r="AD289" s="29">
        <f t="shared" si="296"/>
        <v>0</v>
      </c>
      <c r="AE289" s="29">
        <f t="shared" si="297"/>
        <v>0</v>
      </c>
      <c r="AF289" s="29">
        <f t="shared" si="298"/>
        <v>0</v>
      </c>
      <c r="AG289" s="29">
        <f t="shared" si="299"/>
        <v>0</v>
      </c>
      <c r="AH289" s="29">
        <f t="shared" si="300"/>
        <v>0</v>
      </c>
      <c r="AI289" s="28" t="s">
        <v>2882</v>
      </c>
      <c r="AJ289" s="15">
        <f t="shared" si="301"/>
        <v>0</v>
      </c>
      <c r="AK289" s="15">
        <f t="shared" si="302"/>
        <v>0</v>
      </c>
      <c r="AL289" s="15">
        <f t="shared" si="303"/>
        <v>0</v>
      </c>
      <c r="AN289" s="29">
        <v>15</v>
      </c>
      <c r="AO289" s="29">
        <f t="shared" si="304"/>
        <v>0</v>
      </c>
      <c r="AP289" s="29">
        <f t="shared" si="305"/>
        <v>0</v>
      </c>
      <c r="AQ289" s="30" t="s">
        <v>13</v>
      </c>
      <c r="AV289" s="29">
        <f t="shared" si="306"/>
        <v>0</v>
      </c>
      <c r="AW289" s="29">
        <f t="shared" si="307"/>
        <v>0</v>
      </c>
      <c r="AX289" s="29">
        <f t="shared" si="308"/>
        <v>0</v>
      </c>
      <c r="AY289" s="32" t="s">
        <v>2914</v>
      </c>
      <c r="AZ289" s="32" t="s">
        <v>2943</v>
      </c>
      <c r="BA289" s="28" t="s">
        <v>2957</v>
      </c>
      <c r="BC289" s="29">
        <f t="shared" si="309"/>
        <v>0</v>
      </c>
      <c r="BD289" s="29">
        <f t="shared" si="310"/>
        <v>0</v>
      </c>
      <c r="BE289" s="29">
        <v>0</v>
      </c>
      <c r="BF289" s="29">
        <f>289</f>
        <v>289</v>
      </c>
      <c r="BH289" s="15">
        <f t="shared" si="311"/>
        <v>0</v>
      </c>
      <c r="BI289" s="15">
        <f t="shared" si="312"/>
        <v>0</v>
      </c>
      <c r="BJ289" s="15">
        <f t="shared" si="313"/>
        <v>0</v>
      </c>
      <c r="BK289" s="15" t="s">
        <v>2969</v>
      </c>
      <c r="BL289" s="29">
        <v>722</v>
      </c>
    </row>
    <row r="290" spans="1:64" ht="12.75">
      <c r="A290" s="4" t="s">
        <v>249</v>
      </c>
      <c r="B290" s="94" t="s">
        <v>1248</v>
      </c>
      <c r="C290" s="152" t="s">
        <v>2209</v>
      </c>
      <c r="D290" s="153"/>
      <c r="E290" s="153"/>
      <c r="F290" s="153"/>
      <c r="G290" s="94" t="s">
        <v>2851</v>
      </c>
      <c r="H290" s="73">
        <v>135</v>
      </c>
      <c r="I290" s="105">
        <v>0</v>
      </c>
      <c r="J290" s="15">
        <f t="shared" si="290"/>
        <v>0</v>
      </c>
      <c r="K290" s="15">
        <f t="shared" si="291"/>
        <v>0</v>
      </c>
      <c r="L290" s="15">
        <f t="shared" si="292"/>
        <v>0</v>
      </c>
      <c r="M290" s="25"/>
      <c r="N290" s="5"/>
      <c r="Z290" s="29">
        <f t="shared" si="293"/>
        <v>0</v>
      </c>
      <c r="AB290" s="29">
        <f t="shared" si="294"/>
        <v>0</v>
      </c>
      <c r="AC290" s="29">
        <f t="shared" si="295"/>
        <v>0</v>
      </c>
      <c r="AD290" s="29">
        <f t="shared" si="296"/>
        <v>0</v>
      </c>
      <c r="AE290" s="29">
        <f t="shared" si="297"/>
        <v>0</v>
      </c>
      <c r="AF290" s="29">
        <f t="shared" si="298"/>
        <v>0</v>
      </c>
      <c r="AG290" s="29">
        <f t="shared" si="299"/>
        <v>0</v>
      </c>
      <c r="AH290" s="29">
        <f t="shared" si="300"/>
        <v>0</v>
      </c>
      <c r="AI290" s="28" t="s">
        <v>2882</v>
      </c>
      <c r="AJ290" s="15">
        <f t="shared" si="301"/>
        <v>0</v>
      </c>
      <c r="AK290" s="15">
        <f t="shared" si="302"/>
        <v>0</v>
      </c>
      <c r="AL290" s="15">
        <f t="shared" si="303"/>
        <v>0</v>
      </c>
      <c r="AN290" s="29">
        <v>15</v>
      </c>
      <c r="AO290" s="29">
        <f t="shared" si="304"/>
        <v>0</v>
      </c>
      <c r="AP290" s="29">
        <f t="shared" si="305"/>
        <v>0</v>
      </c>
      <c r="AQ290" s="30" t="s">
        <v>13</v>
      </c>
      <c r="AV290" s="29">
        <f t="shared" si="306"/>
        <v>0</v>
      </c>
      <c r="AW290" s="29">
        <f t="shared" si="307"/>
        <v>0</v>
      </c>
      <c r="AX290" s="29">
        <f t="shared" si="308"/>
        <v>0</v>
      </c>
      <c r="AY290" s="32" t="s">
        <v>2914</v>
      </c>
      <c r="AZ290" s="32" t="s">
        <v>2943</v>
      </c>
      <c r="BA290" s="28" t="s">
        <v>2957</v>
      </c>
      <c r="BC290" s="29">
        <f t="shared" si="309"/>
        <v>0</v>
      </c>
      <c r="BD290" s="29">
        <f t="shared" si="310"/>
        <v>0</v>
      </c>
      <c r="BE290" s="29">
        <v>0</v>
      </c>
      <c r="BF290" s="29">
        <f>290</f>
        <v>290</v>
      </c>
      <c r="BH290" s="15">
        <f t="shared" si="311"/>
        <v>0</v>
      </c>
      <c r="BI290" s="15">
        <f t="shared" si="312"/>
        <v>0</v>
      </c>
      <c r="BJ290" s="15">
        <f t="shared" si="313"/>
        <v>0</v>
      </c>
      <c r="BK290" s="15" t="s">
        <v>2969</v>
      </c>
      <c r="BL290" s="29">
        <v>722</v>
      </c>
    </row>
    <row r="291" spans="1:64" ht="12.75">
      <c r="A291" s="4" t="s">
        <v>250</v>
      </c>
      <c r="B291" s="94" t="s">
        <v>1249</v>
      </c>
      <c r="C291" s="152" t="s">
        <v>2210</v>
      </c>
      <c r="D291" s="153"/>
      <c r="E291" s="153"/>
      <c r="F291" s="153"/>
      <c r="G291" s="94" t="s">
        <v>2851</v>
      </c>
      <c r="H291" s="73">
        <v>39</v>
      </c>
      <c r="I291" s="105">
        <v>0</v>
      </c>
      <c r="J291" s="15">
        <f t="shared" si="290"/>
        <v>0</v>
      </c>
      <c r="K291" s="15">
        <f t="shared" si="291"/>
        <v>0</v>
      </c>
      <c r="L291" s="15">
        <f t="shared" si="292"/>
        <v>0</v>
      </c>
      <c r="M291" s="25"/>
      <c r="N291" s="5"/>
      <c r="Z291" s="29">
        <f t="shared" si="293"/>
        <v>0</v>
      </c>
      <c r="AB291" s="29">
        <f t="shared" si="294"/>
        <v>0</v>
      </c>
      <c r="AC291" s="29">
        <f t="shared" si="295"/>
        <v>0</v>
      </c>
      <c r="AD291" s="29">
        <f t="shared" si="296"/>
        <v>0</v>
      </c>
      <c r="AE291" s="29">
        <f t="shared" si="297"/>
        <v>0</v>
      </c>
      <c r="AF291" s="29">
        <f t="shared" si="298"/>
        <v>0</v>
      </c>
      <c r="AG291" s="29">
        <f t="shared" si="299"/>
        <v>0</v>
      </c>
      <c r="AH291" s="29">
        <f t="shared" si="300"/>
        <v>0</v>
      </c>
      <c r="AI291" s="28" t="s">
        <v>2882</v>
      </c>
      <c r="AJ291" s="15">
        <f t="shared" si="301"/>
        <v>0</v>
      </c>
      <c r="AK291" s="15">
        <f t="shared" si="302"/>
        <v>0</v>
      </c>
      <c r="AL291" s="15">
        <f t="shared" si="303"/>
        <v>0</v>
      </c>
      <c r="AN291" s="29">
        <v>15</v>
      </c>
      <c r="AO291" s="29">
        <f t="shared" si="304"/>
        <v>0</v>
      </c>
      <c r="AP291" s="29">
        <f t="shared" si="305"/>
        <v>0</v>
      </c>
      <c r="AQ291" s="30" t="s">
        <v>13</v>
      </c>
      <c r="AV291" s="29">
        <f t="shared" si="306"/>
        <v>0</v>
      </c>
      <c r="AW291" s="29">
        <f t="shared" si="307"/>
        <v>0</v>
      </c>
      <c r="AX291" s="29">
        <f t="shared" si="308"/>
        <v>0</v>
      </c>
      <c r="AY291" s="32" t="s">
        <v>2914</v>
      </c>
      <c r="AZ291" s="32" t="s">
        <v>2943</v>
      </c>
      <c r="BA291" s="28" t="s">
        <v>2957</v>
      </c>
      <c r="BC291" s="29">
        <f t="shared" si="309"/>
        <v>0</v>
      </c>
      <c r="BD291" s="29">
        <f t="shared" si="310"/>
        <v>0</v>
      </c>
      <c r="BE291" s="29">
        <v>0</v>
      </c>
      <c r="BF291" s="29">
        <f>291</f>
        <v>291</v>
      </c>
      <c r="BH291" s="15">
        <f t="shared" si="311"/>
        <v>0</v>
      </c>
      <c r="BI291" s="15">
        <f t="shared" si="312"/>
        <v>0</v>
      </c>
      <c r="BJ291" s="15">
        <f t="shared" si="313"/>
        <v>0</v>
      </c>
      <c r="BK291" s="15" t="s">
        <v>2969</v>
      </c>
      <c r="BL291" s="29">
        <v>722</v>
      </c>
    </row>
    <row r="292" spans="1:64" ht="12.75">
      <c r="A292" s="4" t="s">
        <v>251</v>
      </c>
      <c r="B292" s="94" t="s">
        <v>1250</v>
      </c>
      <c r="C292" s="152" t="s">
        <v>2211</v>
      </c>
      <c r="D292" s="153"/>
      <c r="E292" s="153"/>
      <c r="F292" s="153"/>
      <c r="G292" s="94" t="s">
        <v>2851</v>
      </c>
      <c r="H292" s="73">
        <v>5.5</v>
      </c>
      <c r="I292" s="105">
        <v>0</v>
      </c>
      <c r="J292" s="15">
        <f t="shared" si="290"/>
        <v>0</v>
      </c>
      <c r="K292" s="15">
        <f t="shared" si="291"/>
        <v>0</v>
      </c>
      <c r="L292" s="15">
        <f t="shared" si="292"/>
        <v>0</v>
      </c>
      <c r="M292" s="25"/>
      <c r="N292" s="5"/>
      <c r="Z292" s="29">
        <f t="shared" si="293"/>
        <v>0</v>
      </c>
      <c r="AB292" s="29">
        <f t="shared" si="294"/>
        <v>0</v>
      </c>
      <c r="AC292" s="29">
        <f t="shared" si="295"/>
        <v>0</v>
      </c>
      <c r="AD292" s="29">
        <f t="shared" si="296"/>
        <v>0</v>
      </c>
      <c r="AE292" s="29">
        <f t="shared" si="297"/>
        <v>0</v>
      </c>
      <c r="AF292" s="29">
        <f t="shared" si="298"/>
        <v>0</v>
      </c>
      <c r="AG292" s="29">
        <f t="shared" si="299"/>
        <v>0</v>
      </c>
      <c r="AH292" s="29">
        <f t="shared" si="300"/>
        <v>0</v>
      </c>
      <c r="AI292" s="28" t="s">
        <v>2882</v>
      </c>
      <c r="AJ292" s="15">
        <f t="shared" si="301"/>
        <v>0</v>
      </c>
      <c r="AK292" s="15">
        <f t="shared" si="302"/>
        <v>0</v>
      </c>
      <c r="AL292" s="15">
        <f t="shared" si="303"/>
        <v>0</v>
      </c>
      <c r="AN292" s="29">
        <v>15</v>
      </c>
      <c r="AO292" s="29">
        <f t="shared" si="304"/>
        <v>0</v>
      </c>
      <c r="AP292" s="29">
        <f t="shared" si="305"/>
        <v>0</v>
      </c>
      <c r="AQ292" s="30" t="s">
        <v>13</v>
      </c>
      <c r="AV292" s="29">
        <f t="shared" si="306"/>
        <v>0</v>
      </c>
      <c r="AW292" s="29">
        <f t="shared" si="307"/>
        <v>0</v>
      </c>
      <c r="AX292" s="29">
        <f t="shared" si="308"/>
        <v>0</v>
      </c>
      <c r="AY292" s="32" t="s">
        <v>2914</v>
      </c>
      <c r="AZ292" s="32" t="s">
        <v>2943</v>
      </c>
      <c r="BA292" s="28" t="s">
        <v>2957</v>
      </c>
      <c r="BC292" s="29">
        <f t="shared" si="309"/>
        <v>0</v>
      </c>
      <c r="BD292" s="29">
        <f t="shared" si="310"/>
        <v>0</v>
      </c>
      <c r="BE292" s="29">
        <v>0</v>
      </c>
      <c r="BF292" s="29">
        <f>292</f>
        <v>292</v>
      </c>
      <c r="BH292" s="15">
        <f t="shared" si="311"/>
        <v>0</v>
      </c>
      <c r="BI292" s="15">
        <f t="shared" si="312"/>
        <v>0</v>
      </c>
      <c r="BJ292" s="15">
        <f t="shared" si="313"/>
        <v>0</v>
      </c>
      <c r="BK292" s="15" t="s">
        <v>2969</v>
      </c>
      <c r="BL292" s="29">
        <v>722</v>
      </c>
    </row>
    <row r="293" spans="1:64" ht="12.75">
      <c r="A293" s="4" t="s">
        <v>252</v>
      </c>
      <c r="B293" s="94" t="s">
        <v>1251</v>
      </c>
      <c r="C293" s="152" t="s">
        <v>2212</v>
      </c>
      <c r="D293" s="153"/>
      <c r="E293" s="153"/>
      <c r="F293" s="153"/>
      <c r="G293" s="94" t="s">
        <v>2850</v>
      </c>
      <c r="H293" s="73">
        <v>7</v>
      </c>
      <c r="I293" s="105">
        <v>0</v>
      </c>
      <c r="J293" s="15">
        <f t="shared" si="290"/>
        <v>0</v>
      </c>
      <c r="K293" s="15">
        <f t="shared" si="291"/>
        <v>0</v>
      </c>
      <c r="L293" s="15">
        <f t="shared" si="292"/>
        <v>0</v>
      </c>
      <c r="M293" s="25"/>
      <c r="N293" s="5"/>
      <c r="Z293" s="29">
        <f t="shared" si="293"/>
        <v>0</v>
      </c>
      <c r="AB293" s="29">
        <f t="shared" si="294"/>
        <v>0</v>
      </c>
      <c r="AC293" s="29">
        <f t="shared" si="295"/>
        <v>0</v>
      </c>
      <c r="AD293" s="29">
        <f t="shared" si="296"/>
        <v>0</v>
      </c>
      <c r="AE293" s="29">
        <f t="shared" si="297"/>
        <v>0</v>
      </c>
      <c r="AF293" s="29">
        <f t="shared" si="298"/>
        <v>0</v>
      </c>
      <c r="AG293" s="29">
        <f t="shared" si="299"/>
        <v>0</v>
      </c>
      <c r="AH293" s="29">
        <f t="shared" si="300"/>
        <v>0</v>
      </c>
      <c r="AI293" s="28" t="s">
        <v>2882</v>
      </c>
      <c r="AJ293" s="15">
        <f t="shared" si="301"/>
        <v>0</v>
      </c>
      <c r="AK293" s="15">
        <f t="shared" si="302"/>
        <v>0</v>
      </c>
      <c r="AL293" s="15">
        <f t="shared" si="303"/>
        <v>0</v>
      </c>
      <c r="AN293" s="29">
        <v>15</v>
      </c>
      <c r="AO293" s="29">
        <f t="shared" si="304"/>
        <v>0</v>
      </c>
      <c r="AP293" s="29">
        <f t="shared" si="305"/>
        <v>0</v>
      </c>
      <c r="AQ293" s="30" t="s">
        <v>13</v>
      </c>
      <c r="AV293" s="29">
        <f t="shared" si="306"/>
        <v>0</v>
      </c>
      <c r="AW293" s="29">
        <f t="shared" si="307"/>
        <v>0</v>
      </c>
      <c r="AX293" s="29">
        <f t="shared" si="308"/>
        <v>0</v>
      </c>
      <c r="AY293" s="32" t="s">
        <v>2914</v>
      </c>
      <c r="AZ293" s="32" t="s">
        <v>2943</v>
      </c>
      <c r="BA293" s="28" t="s">
        <v>2957</v>
      </c>
      <c r="BC293" s="29">
        <f t="shared" si="309"/>
        <v>0</v>
      </c>
      <c r="BD293" s="29">
        <f t="shared" si="310"/>
        <v>0</v>
      </c>
      <c r="BE293" s="29">
        <v>0</v>
      </c>
      <c r="BF293" s="29">
        <f>293</f>
        <v>293</v>
      </c>
      <c r="BH293" s="15">
        <f t="shared" si="311"/>
        <v>0</v>
      </c>
      <c r="BI293" s="15">
        <f t="shared" si="312"/>
        <v>0</v>
      </c>
      <c r="BJ293" s="15">
        <f t="shared" si="313"/>
        <v>0</v>
      </c>
      <c r="BK293" s="15" t="s">
        <v>2969</v>
      </c>
      <c r="BL293" s="29">
        <v>722</v>
      </c>
    </row>
    <row r="294" spans="1:64" ht="12.75">
      <c r="A294" s="4" t="s">
        <v>253</v>
      </c>
      <c r="B294" s="94" t="s">
        <v>1252</v>
      </c>
      <c r="C294" s="152" t="s">
        <v>2213</v>
      </c>
      <c r="D294" s="153"/>
      <c r="E294" s="153"/>
      <c r="F294" s="153"/>
      <c r="G294" s="94" t="s">
        <v>2850</v>
      </c>
      <c r="H294" s="73">
        <v>8</v>
      </c>
      <c r="I294" s="105">
        <v>0</v>
      </c>
      <c r="J294" s="15">
        <f t="shared" si="290"/>
        <v>0</v>
      </c>
      <c r="K294" s="15">
        <f t="shared" si="291"/>
        <v>0</v>
      </c>
      <c r="L294" s="15">
        <f t="shared" si="292"/>
        <v>0</v>
      </c>
      <c r="M294" s="25"/>
      <c r="N294" s="5"/>
      <c r="Z294" s="29">
        <f t="shared" si="293"/>
        <v>0</v>
      </c>
      <c r="AB294" s="29">
        <f t="shared" si="294"/>
        <v>0</v>
      </c>
      <c r="AC294" s="29">
        <f t="shared" si="295"/>
        <v>0</v>
      </c>
      <c r="AD294" s="29">
        <f t="shared" si="296"/>
        <v>0</v>
      </c>
      <c r="AE294" s="29">
        <f t="shared" si="297"/>
        <v>0</v>
      </c>
      <c r="AF294" s="29">
        <f t="shared" si="298"/>
        <v>0</v>
      </c>
      <c r="AG294" s="29">
        <f t="shared" si="299"/>
        <v>0</v>
      </c>
      <c r="AH294" s="29">
        <f t="shared" si="300"/>
        <v>0</v>
      </c>
      <c r="AI294" s="28" t="s">
        <v>2882</v>
      </c>
      <c r="AJ294" s="15">
        <f t="shared" si="301"/>
        <v>0</v>
      </c>
      <c r="AK294" s="15">
        <f t="shared" si="302"/>
        <v>0</v>
      </c>
      <c r="AL294" s="15">
        <f t="shared" si="303"/>
        <v>0</v>
      </c>
      <c r="AN294" s="29">
        <v>15</v>
      </c>
      <c r="AO294" s="29">
        <f t="shared" si="304"/>
        <v>0</v>
      </c>
      <c r="AP294" s="29">
        <f t="shared" si="305"/>
        <v>0</v>
      </c>
      <c r="AQ294" s="30" t="s">
        <v>13</v>
      </c>
      <c r="AV294" s="29">
        <f t="shared" si="306"/>
        <v>0</v>
      </c>
      <c r="AW294" s="29">
        <f t="shared" si="307"/>
        <v>0</v>
      </c>
      <c r="AX294" s="29">
        <f t="shared" si="308"/>
        <v>0</v>
      </c>
      <c r="AY294" s="32" t="s">
        <v>2914</v>
      </c>
      <c r="AZ294" s="32" t="s">
        <v>2943</v>
      </c>
      <c r="BA294" s="28" t="s">
        <v>2957</v>
      </c>
      <c r="BC294" s="29">
        <f t="shared" si="309"/>
        <v>0</v>
      </c>
      <c r="BD294" s="29">
        <f t="shared" si="310"/>
        <v>0</v>
      </c>
      <c r="BE294" s="29">
        <v>0</v>
      </c>
      <c r="BF294" s="29">
        <f>294</f>
        <v>294</v>
      </c>
      <c r="BH294" s="15">
        <f t="shared" si="311"/>
        <v>0</v>
      </c>
      <c r="BI294" s="15">
        <f t="shared" si="312"/>
        <v>0</v>
      </c>
      <c r="BJ294" s="15">
        <f t="shared" si="313"/>
        <v>0</v>
      </c>
      <c r="BK294" s="15" t="s">
        <v>2969</v>
      </c>
      <c r="BL294" s="29">
        <v>722</v>
      </c>
    </row>
    <row r="295" spans="1:64" ht="12.75">
      <c r="A295" s="4" t="s">
        <v>254</v>
      </c>
      <c r="B295" s="94" t="s">
        <v>1253</v>
      </c>
      <c r="C295" s="152" t="s">
        <v>2214</v>
      </c>
      <c r="D295" s="153"/>
      <c r="E295" s="153"/>
      <c r="F295" s="153"/>
      <c r="G295" s="94" t="s">
        <v>2850</v>
      </c>
      <c r="H295" s="73">
        <v>1</v>
      </c>
      <c r="I295" s="105">
        <v>0</v>
      </c>
      <c r="J295" s="15">
        <f t="shared" si="290"/>
        <v>0</v>
      </c>
      <c r="K295" s="15">
        <f t="shared" si="291"/>
        <v>0</v>
      </c>
      <c r="L295" s="15">
        <f t="shared" si="292"/>
        <v>0</v>
      </c>
      <c r="M295" s="25"/>
      <c r="N295" s="5"/>
      <c r="Z295" s="29">
        <f t="shared" si="293"/>
        <v>0</v>
      </c>
      <c r="AB295" s="29">
        <f t="shared" si="294"/>
        <v>0</v>
      </c>
      <c r="AC295" s="29">
        <f t="shared" si="295"/>
        <v>0</v>
      </c>
      <c r="AD295" s="29">
        <f t="shared" si="296"/>
        <v>0</v>
      </c>
      <c r="AE295" s="29">
        <f t="shared" si="297"/>
        <v>0</v>
      </c>
      <c r="AF295" s="29">
        <f t="shared" si="298"/>
        <v>0</v>
      </c>
      <c r="AG295" s="29">
        <f t="shared" si="299"/>
        <v>0</v>
      </c>
      <c r="AH295" s="29">
        <f t="shared" si="300"/>
        <v>0</v>
      </c>
      <c r="AI295" s="28" t="s">
        <v>2882</v>
      </c>
      <c r="AJ295" s="15">
        <f t="shared" si="301"/>
        <v>0</v>
      </c>
      <c r="AK295" s="15">
        <f t="shared" si="302"/>
        <v>0</v>
      </c>
      <c r="AL295" s="15">
        <f t="shared" si="303"/>
        <v>0</v>
      </c>
      <c r="AN295" s="29">
        <v>15</v>
      </c>
      <c r="AO295" s="29">
        <f t="shared" si="304"/>
        <v>0</v>
      </c>
      <c r="AP295" s="29">
        <f t="shared" si="305"/>
        <v>0</v>
      </c>
      <c r="AQ295" s="30" t="s">
        <v>13</v>
      </c>
      <c r="AV295" s="29">
        <f t="shared" si="306"/>
        <v>0</v>
      </c>
      <c r="AW295" s="29">
        <f t="shared" si="307"/>
        <v>0</v>
      </c>
      <c r="AX295" s="29">
        <f t="shared" si="308"/>
        <v>0</v>
      </c>
      <c r="AY295" s="32" t="s">
        <v>2914</v>
      </c>
      <c r="AZ295" s="32" t="s">
        <v>2943</v>
      </c>
      <c r="BA295" s="28" t="s">
        <v>2957</v>
      </c>
      <c r="BC295" s="29">
        <f t="shared" si="309"/>
        <v>0</v>
      </c>
      <c r="BD295" s="29">
        <f t="shared" si="310"/>
        <v>0</v>
      </c>
      <c r="BE295" s="29">
        <v>0</v>
      </c>
      <c r="BF295" s="29">
        <f>295</f>
        <v>295</v>
      </c>
      <c r="BH295" s="15">
        <f t="shared" si="311"/>
        <v>0</v>
      </c>
      <c r="BI295" s="15">
        <f t="shared" si="312"/>
        <v>0</v>
      </c>
      <c r="BJ295" s="15">
        <f t="shared" si="313"/>
        <v>0</v>
      </c>
      <c r="BK295" s="15" t="s">
        <v>2969</v>
      </c>
      <c r="BL295" s="29">
        <v>722</v>
      </c>
    </row>
    <row r="296" spans="1:64" ht="12.75">
      <c r="A296" s="4" t="s">
        <v>255</v>
      </c>
      <c r="B296" s="94" t="s">
        <v>1254</v>
      </c>
      <c r="C296" s="152" t="s">
        <v>2215</v>
      </c>
      <c r="D296" s="153"/>
      <c r="E296" s="153"/>
      <c r="F296" s="153"/>
      <c r="G296" s="94" t="s">
        <v>2850</v>
      </c>
      <c r="H296" s="73">
        <v>4</v>
      </c>
      <c r="I296" s="105">
        <v>0</v>
      </c>
      <c r="J296" s="15">
        <f t="shared" si="290"/>
        <v>0</v>
      </c>
      <c r="K296" s="15">
        <f t="shared" si="291"/>
        <v>0</v>
      </c>
      <c r="L296" s="15">
        <f t="shared" si="292"/>
        <v>0</v>
      </c>
      <c r="M296" s="25"/>
      <c r="N296" s="5"/>
      <c r="Z296" s="29">
        <f t="shared" si="293"/>
        <v>0</v>
      </c>
      <c r="AB296" s="29">
        <f t="shared" si="294"/>
        <v>0</v>
      </c>
      <c r="AC296" s="29">
        <f t="shared" si="295"/>
        <v>0</v>
      </c>
      <c r="AD296" s="29">
        <f t="shared" si="296"/>
        <v>0</v>
      </c>
      <c r="AE296" s="29">
        <f t="shared" si="297"/>
        <v>0</v>
      </c>
      <c r="AF296" s="29">
        <f t="shared" si="298"/>
        <v>0</v>
      </c>
      <c r="AG296" s="29">
        <f t="shared" si="299"/>
        <v>0</v>
      </c>
      <c r="AH296" s="29">
        <f t="shared" si="300"/>
        <v>0</v>
      </c>
      <c r="AI296" s="28" t="s">
        <v>2882</v>
      </c>
      <c r="AJ296" s="15">
        <f t="shared" si="301"/>
        <v>0</v>
      </c>
      <c r="AK296" s="15">
        <f t="shared" si="302"/>
        <v>0</v>
      </c>
      <c r="AL296" s="15">
        <f t="shared" si="303"/>
        <v>0</v>
      </c>
      <c r="AN296" s="29">
        <v>15</v>
      </c>
      <c r="AO296" s="29">
        <f t="shared" si="304"/>
        <v>0</v>
      </c>
      <c r="AP296" s="29">
        <f t="shared" si="305"/>
        <v>0</v>
      </c>
      <c r="AQ296" s="30" t="s">
        <v>13</v>
      </c>
      <c r="AV296" s="29">
        <f t="shared" si="306"/>
        <v>0</v>
      </c>
      <c r="AW296" s="29">
        <f t="shared" si="307"/>
        <v>0</v>
      </c>
      <c r="AX296" s="29">
        <f t="shared" si="308"/>
        <v>0</v>
      </c>
      <c r="AY296" s="32" t="s">
        <v>2914</v>
      </c>
      <c r="AZ296" s="32" t="s">
        <v>2943</v>
      </c>
      <c r="BA296" s="28" t="s">
        <v>2957</v>
      </c>
      <c r="BC296" s="29">
        <f t="shared" si="309"/>
        <v>0</v>
      </c>
      <c r="BD296" s="29">
        <f t="shared" si="310"/>
        <v>0</v>
      </c>
      <c r="BE296" s="29">
        <v>0</v>
      </c>
      <c r="BF296" s="29">
        <f>296</f>
        <v>296</v>
      </c>
      <c r="BH296" s="15">
        <f t="shared" si="311"/>
        <v>0</v>
      </c>
      <c r="BI296" s="15">
        <f t="shared" si="312"/>
        <v>0</v>
      </c>
      <c r="BJ296" s="15">
        <f t="shared" si="313"/>
        <v>0</v>
      </c>
      <c r="BK296" s="15" t="s">
        <v>2969</v>
      </c>
      <c r="BL296" s="29">
        <v>722</v>
      </c>
    </row>
    <row r="297" spans="1:64" ht="12.75">
      <c r="A297" s="4" t="s">
        <v>256</v>
      </c>
      <c r="B297" s="94" t="s">
        <v>1255</v>
      </c>
      <c r="C297" s="152" t="s">
        <v>2216</v>
      </c>
      <c r="D297" s="153"/>
      <c r="E297" s="153"/>
      <c r="F297" s="153"/>
      <c r="G297" s="94" t="s">
        <v>2850</v>
      </c>
      <c r="H297" s="73">
        <v>2</v>
      </c>
      <c r="I297" s="105">
        <v>0</v>
      </c>
      <c r="J297" s="15">
        <f t="shared" si="290"/>
        <v>0</v>
      </c>
      <c r="K297" s="15">
        <f t="shared" si="291"/>
        <v>0</v>
      </c>
      <c r="L297" s="15">
        <f t="shared" si="292"/>
        <v>0</v>
      </c>
      <c r="M297" s="25"/>
      <c r="N297" s="5"/>
      <c r="Z297" s="29">
        <f t="shared" si="293"/>
        <v>0</v>
      </c>
      <c r="AB297" s="29">
        <f t="shared" si="294"/>
        <v>0</v>
      </c>
      <c r="AC297" s="29">
        <f t="shared" si="295"/>
        <v>0</v>
      </c>
      <c r="AD297" s="29">
        <f t="shared" si="296"/>
        <v>0</v>
      </c>
      <c r="AE297" s="29">
        <f t="shared" si="297"/>
        <v>0</v>
      </c>
      <c r="AF297" s="29">
        <f t="shared" si="298"/>
        <v>0</v>
      </c>
      <c r="AG297" s="29">
        <f t="shared" si="299"/>
        <v>0</v>
      </c>
      <c r="AH297" s="29">
        <f t="shared" si="300"/>
        <v>0</v>
      </c>
      <c r="AI297" s="28" t="s">
        <v>2882</v>
      </c>
      <c r="AJ297" s="15">
        <f t="shared" si="301"/>
        <v>0</v>
      </c>
      <c r="AK297" s="15">
        <f t="shared" si="302"/>
        <v>0</v>
      </c>
      <c r="AL297" s="15">
        <f t="shared" si="303"/>
        <v>0</v>
      </c>
      <c r="AN297" s="29">
        <v>15</v>
      </c>
      <c r="AO297" s="29">
        <f t="shared" si="304"/>
        <v>0</v>
      </c>
      <c r="AP297" s="29">
        <f t="shared" si="305"/>
        <v>0</v>
      </c>
      <c r="AQ297" s="30" t="s">
        <v>13</v>
      </c>
      <c r="AV297" s="29">
        <f t="shared" si="306"/>
        <v>0</v>
      </c>
      <c r="AW297" s="29">
        <f t="shared" si="307"/>
        <v>0</v>
      </c>
      <c r="AX297" s="29">
        <f t="shared" si="308"/>
        <v>0</v>
      </c>
      <c r="AY297" s="32" t="s">
        <v>2914</v>
      </c>
      <c r="AZ297" s="32" t="s">
        <v>2943</v>
      </c>
      <c r="BA297" s="28" t="s">
        <v>2957</v>
      </c>
      <c r="BC297" s="29">
        <f t="shared" si="309"/>
        <v>0</v>
      </c>
      <c r="BD297" s="29">
        <f t="shared" si="310"/>
        <v>0</v>
      </c>
      <c r="BE297" s="29">
        <v>0</v>
      </c>
      <c r="BF297" s="29">
        <f>297</f>
        <v>297</v>
      </c>
      <c r="BH297" s="15">
        <f t="shared" si="311"/>
        <v>0</v>
      </c>
      <c r="BI297" s="15">
        <f t="shared" si="312"/>
        <v>0</v>
      </c>
      <c r="BJ297" s="15">
        <f t="shared" si="313"/>
        <v>0</v>
      </c>
      <c r="BK297" s="15" t="s">
        <v>2969</v>
      </c>
      <c r="BL297" s="29">
        <v>722</v>
      </c>
    </row>
    <row r="298" spans="1:64" ht="12.75">
      <c r="A298" s="4" t="s">
        <v>257</v>
      </c>
      <c r="B298" s="94" t="s">
        <v>1256</v>
      </c>
      <c r="C298" s="152" t="s">
        <v>2217</v>
      </c>
      <c r="D298" s="153"/>
      <c r="E298" s="153"/>
      <c r="F298" s="153"/>
      <c r="G298" s="94" t="s">
        <v>2850</v>
      </c>
      <c r="H298" s="73">
        <v>2</v>
      </c>
      <c r="I298" s="105">
        <v>0</v>
      </c>
      <c r="J298" s="15">
        <f t="shared" si="290"/>
        <v>0</v>
      </c>
      <c r="K298" s="15">
        <f t="shared" si="291"/>
        <v>0</v>
      </c>
      <c r="L298" s="15">
        <f t="shared" si="292"/>
        <v>0</v>
      </c>
      <c r="M298" s="25"/>
      <c r="N298" s="5"/>
      <c r="Z298" s="29">
        <f t="shared" si="293"/>
        <v>0</v>
      </c>
      <c r="AB298" s="29">
        <f t="shared" si="294"/>
        <v>0</v>
      </c>
      <c r="AC298" s="29">
        <f t="shared" si="295"/>
        <v>0</v>
      </c>
      <c r="AD298" s="29">
        <f t="shared" si="296"/>
        <v>0</v>
      </c>
      <c r="AE298" s="29">
        <f t="shared" si="297"/>
        <v>0</v>
      </c>
      <c r="AF298" s="29">
        <f t="shared" si="298"/>
        <v>0</v>
      </c>
      <c r="AG298" s="29">
        <f t="shared" si="299"/>
        <v>0</v>
      </c>
      <c r="AH298" s="29">
        <f t="shared" si="300"/>
        <v>0</v>
      </c>
      <c r="AI298" s="28" t="s">
        <v>2882</v>
      </c>
      <c r="AJ298" s="15">
        <f t="shared" si="301"/>
        <v>0</v>
      </c>
      <c r="AK298" s="15">
        <f t="shared" si="302"/>
        <v>0</v>
      </c>
      <c r="AL298" s="15">
        <f t="shared" si="303"/>
        <v>0</v>
      </c>
      <c r="AN298" s="29">
        <v>15</v>
      </c>
      <c r="AO298" s="29">
        <f t="shared" si="304"/>
        <v>0</v>
      </c>
      <c r="AP298" s="29">
        <f t="shared" si="305"/>
        <v>0</v>
      </c>
      <c r="AQ298" s="30" t="s">
        <v>13</v>
      </c>
      <c r="AV298" s="29">
        <f t="shared" si="306"/>
        <v>0</v>
      </c>
      <c r="AW298" s="29">
        <f t="shared" si="307"/>
        <v>0</v>
      </c>
      <c r="AX298" s="29">
        <f t="shared" si="308"/>
        <v>0</v>
      </c>
      <c r="AY298" s="32" t="s">
        <v>2914</v>
      </c>
      <c r="AZ298" s="32" t="s">
        <v>2943</v>
      </c>
      <c r="BA298" s="28" t="s">
        <v>2957</v>
      </c>
      <c r="BC298" s="29">
        <f t="shared" si="309"/>
        <v>0</v>
      </c>
      <c r="BD298" s="29">
        <f t="shared" si="310"/>
        <v>0</v>
      </c>
      <c r="BE298" s="29">
        <v>0</v>
      </c>
      <c r="BF298" s="29">
        <f>298</f>
        <v>298</v>
      </c>
      <c r="BH298" s="15">
        <f t="shared" si="311"/>
        <v>0</v>
      </c>
      <c r="BI298" s="15">
        <f t="shared" si="312"/>
        <v>0</v>
      </c>
      <c r="BJ298" s="15">
        <f t="shared" si="313"/>
        <v>0</v>
      </c>
      <c r="BK298" s="15" t="s">
        <v>2969</v>
      </c>
      <c r="BL298" s="29">
        <v>722</v>
      </c>
    </row>
    <row r="299" spans="1:64" ht="12.75">
      <c r="A299" s="4" t="s">
        <v>258</v>
      </c>
      <c r="B299" s="94" t="s">
        <v>1257</v>
      </c>
      <c r="C299" s="152" t="s">
        <v>2218</v>
      </c>
      <c r="D299" s="153"/>
      <c r="E299" s="153"/>
      <c r="F299" s="153"/>
      <c r="G299" s="94" t="s">
        <v>2850</v>
      </c>
      <c r="H299" s="73">
        <v>3</v>
      </c>
      <c r="I299" s="105">
        <v>0</v>
      </c>
      <c r="J299" s="15">
        <f t="shared" si="290"/>
        <v>0</v>
      </c>
      <c r="K299" s="15">
        <f t="shared" si="291"/>
        <v>0</v>
      </c>
      <c r="L299" s="15">
        <f t="shared" si="292"/>
        <v>0</v>
      </c>
      <c r="M299" s="25"/>
      <c r="N299" s="5"/>
      <c r="Z299" s="29">
        <f t="shared" si="293"/>
        <v>0</v>
      </c>
      <c r="AB299" s="29">
        <f t="shared" si="294"/>
        <v>0</v>
      </c>
      <c r="AC299" s="29">
        <f t="shared" si="295"/>
        <v>0</v>
      </c>
      <c r="AD299" s="29">
        <f t="shared" si="296"/>
        <v>0</v>
      </c>
      <c r="AE299" s="29">
        <f t="shared" si="297"/>
        <v>0</v>
      </c>
      <c r="AF299" s="29">
        <f t="shared" si="298"/>
        <v>0</v>
      </c>
      <c r="AG299" s="29">
        <f t="shared" si="299"/>
        <v>0</v>
      </c>
      <c r="AH299" s="29">
        <f t="shared" si="300"/>
        <v>0</v>
      </c>
      <c r="AI299" s="28" t="s">
        <v>2882</v>
      </c>
      <c r="AJ299" s="15">
        <f t="shared" si="301"/>
        <v>0</v>
      </c>
      <c r="AK299" s="15">
        <f t="shared" si="302"/>
        <v>0</v>
      </c>
      <c r="AL299" s="15">
        <f t="shared" si="303"/>
        <v>0</v>
      </c>
      <c r="AN299" s="29">
        <v>15</v>
      </c>
      <c r="AO299" s="29">
        <f t="shared" si="304"/>
        <v>0</v>
      </c>
      <c r="AP299" s="29">
        <f t="shared" si="305"/>
        <v>0</v>
      </c>
      <c r="AQ299" s="30" t="s">
        <v>13</v>
      </c>
      <c r="AV299" s="29">
        <f t="shared" si="306"/>
        <v>0</v>
      </c>
      <c r="AW299" s="29">
        <f t="shared" si="307"/>
        <v>0</v>
      </c>
      <c r="AX299" s="29">
        <f t="shared" si="308"/>
        <v>0</v>
      </c>
      <c r="AY299" s="32" t="s">
        <v>2914</v>
      </c>
      <c r="AZ299" s="32" t="s">
        <v>2943</v>
      </c>
      <c r="BA299" s="28" t="s">
        <v>2957</v>
      </c>
      <c r="BC299" s="29">
        <f t="shared" si="309"/>
        <v>0</v>
      </c>
      <c r="BD299" s="29">
        <f t="shared" si="310"/>
        <v>0</v>
      </c>
      <c r="BE299" s="29">
        <v>0</v>
      </c>
      <c r="BF299" s="29">
        <f>299</f>
        <v>299</v>
      </c>
      <c r="BH299" s="15">
        <f t="shared" si="311"/>
        <v>0</v>
      </c>
      <c r="BI299" s="15">
        <f t="shared" si="312"/>
        <v>0</v>
      </c>
      <c r="BJ299" s="15">
        <f t="shared" si="313"/>
        <v>0</v>
      </c>
      <c r="BK299" s="15" t="s">
        <v>2969</v>
      </c>
      <c r="BL299" s="29">
        <v>722</v>
      </c>
    </row>
    <row r="300" spans="1:64" ht="12.75">
      <c r="A300" s="4" t="s">
        <v>259</v>
      </c>
      <c r="B300" s="94" t="s">
        <v>1258</v>
      </c>
      <c r="C300" s="152" t="s">
        <v>2219</v>
      </c>
      <c r="D300" s="153"/>
      <c r="E300" s="153"/>
      <c r="F300" s="153"/>
      <c r="G300" s="94" t="s">
        <v>2850</v>
      </c>
      <c r="H300" s="73">
        <v>3</v>
      </c>
      <c r="I300" s="105">
        <v>0</v>
      </c>
      <c r="J300" s="15">
        <f t="shared" si="290"/>
        <v>0</v>
      </c>
      <c r="K300" s="15">
        <f t="shared" si="291"/>
        <v>0</v>
      </c>
      <c r="L300" s="15">
        <f t="shared" si="292"/>
        <v>0</v>
      </c>
      <c r="M300" s="25"/>
      <c r="N300" s="5"/>
      <c r="Z300" s="29">
        <f t="shared" si="293"/>
        <v>0</v>
      </c>
      <c r="AB300" s="29">
        <f t="shared" si="294"/>
        <v>0</v>
      </c>
      <c r="AC300" s="29">
        <f t="shared" si="295"/>
        <v>0</v>
      </c>
      <c r="AD300" s="29">
        <f t="shared" si="296"/>
        <v>0</v>
      </c>
      <c r="AE300" s="29">
        <f t="shared" si="297"/>
        <v>0</v>
      </c>
      <c r="AF300" s="29">
        <f t="shared" si="298"/>
        <v>0</v>
      </c>
      <c r="AG300" s="29">
        <f t="shared" si="299"/>
        <v>0</v>
      </c>
      <c r="AH300" s="29">
        <f t="shared" si="300"/>
        <v>0</v>
      </c>
      <c r="AI300" s="28" t="s">
        <v>2882</v>
      </c>
      <c r="AJ300" s="15">
        <f t="shared" si="301"/>
        <v>0</v>
      </c>
      <c r="AK300" s="15">
        <f t="shared" si="302"/>
        <v>0</v>
      </c>
      <c r="AL300" s="15">
        <f t="shared" si="303"/>
        <v>0</v>
      </c>
      <c r="AN300" s="29">
        <v>15</v>
      </c>
      <c r="AO300" s="29">
        <f t="shared" si="304"/>
        <v>0</v>
      </c>
      <c r="AP300" s="29">
        <f t="shared" si="305"/>
        <v>0</v>
      </c>
      <c r="AQ300" s="30" t="s">
        <v>13</v>
      </c>
      <c r="AV300" s="29">
        <f t="shared" si="306"/>
        <v>0</v>
      </c>
      <c r="AW300" s="29">
        <f t="shared" si="307"/>
        <v>0</v>
      </c>
      <c r="AX300" s="29">
        <f t="shared" si="308"/>
        <v>0</v>
      </c>
      <c r="AY300" s="32" t="s">
        <v>2914</v>
      </c>
      <c r="AZ300" s="32" t="s">
        <v>2943</v>
      </c>
      <c r="BA300" s="28" t="s">
        <v>2957</v>
      </c>
      <c r="BC300" s="29">
        <f t="shared" si="309"/>
        <v>0</v>
      </c>
      <c r="BD300" s="29">
        <f t="shared" si="310"/>
        <v>0</v>
      </c>
      <c r="BE300" s="29">
        <v>0</v>
      </c>
      <c r="BF300" s="29">
        <f>300</f>
        <v>300</v>
      </c>
      <c r="BH300" s="15">
        <f t="shared" si="311"/>
        <v>0</v>
      </c>
      <c r="BI300" s="15">
        <f t="shared" si="312"/>
        <v>0</v>
      </c>
      <c r="BJ300" s="15">
        <f t="shared" si="313"/>
        <v>0</v>
      </c>
      <c r="BK300" s="15" t="s">
        <v>2969</v>
      </c>
      <c r="BL300" s="29">
        <v>722</v>
      </c>
    </row>
    <row r="301" spans="1:64" ht="12.75">
      <c r="A301" s="4" t="s">
        <v>260</v>
      </c>
      <c r="B301" s="94" t="s">
        <v>1259</v>
      </c>
      <c r="C301" s="152" t="s">
        <v>2220</v>
      </c>
      <c r="D301" s="153"/>
      <c r="E301" s="153"/>
      <c r="F301" s="153"/>
      <c r="G301" s="94" t="s">
        <v>2850</v>
      </c>
      <c r="H301" s="73">
        <v>1</v>
      </c>
      <c r="I301" s="105">
        <v>0</v>
      </c>
      <c r="J301" s="15">
        <f t="shared" si="290"/>
        <v>0</v>
      </c>
      <c r="K301" s="15">
        <f t="shared" si="291"/>
        <v>0</v>
      </c>
      <c r="L301" s="15">
        <f t="shared" si="292"/>
        <v>0</v>
      </c>
      <c r="M301" s="25"/>
      <c r="N301" s="5"/>
      <c r="Z301" s="29">
        <f t="shared" si="293"/>
        <v>0</v>
      </c>
      <c r="AB301" s="29">
        <f t="shared" si="294"/>
        <v>0</v>
      </c>
      <c r="AC301" s="29">
        <f t="shared" si="295"/>
        <v>0</v>
      </c>
      <c r="AD301" s="29">
        <f t="shared" si="296"/>
        <v>0</v>
      </c>
      <c r="AE301" s="29">
        <f t="shared" si="297"/>
        <v>0</v>
      </c>
      <c r="AF301" s="29">
        <f t="shared" si="298"/>
        <v>0</v>
      </c>
      <c r="AG301" s="29">
        <f t="shared" si="299"/>
        <v>0</v>
      </c>
      <c r="AH301" s="29">
        <f t="shared" si="300"/>
        <v>0</v>
      </c>
      <c r="AI301" s="28" t="s">
        <v>2882</v>
      </c>
      <c r="AJ301" s="15">
        <f t="shared" si="301"/>
        <v>0</v>
      </c>
      <c r="AK301" s="15">
        <f t="shared" si="302"/>
        <v>0</v>
      </c>
      <c r="AL301" s="15">
        <f t="shared" si="303"/>
        <v>0</v>
      </c>
      <c r="AN301" s="29">
        <v>15</v>
      </c>
      <c r="AO301" s="29">
        <f t="shared" si="304"/>
        <v>0</v>
      </c>
      <c r="AP301" s="29">
        <f t="shared" si="305"/>
        <v>0</v>
      </c>
      <c r="AQ301" s="30" t="s">
        <v>13</v>
      </c>
      <c r="AV301" s="29">
        <f t="shared" si="306"/>
        <v>0</v>
      </c>
      <c r="AW301" s="29">
        <f t="shared" si="307"/>
        <v>0</v>
      </c>
      <c r="AX301" s="29">
        <f t="shared" si="308"/>
        <v>0</v>
      </c>
      <c r="AY301" s="32" t="s">
        <v>2914</v>
      </c>
      <c r="AZ301" s="32" t="s">
        <v>2943</v>
      </c>
      <c r="BA301" s="28" t="s">
        <v>2957</v>
      </c>
      <c r="BC301" s="29">
        <f t="shared" si="309"/>
        <v>0</v>
      </c>
      <c r="BD301" s="29">
        <f t="shared" si="310"/>
        <v>0</v>
      </c>
      <c r="BE301" s="29">
        <v>0</v>
      </c>
      <c r="BF301" s="29">
        <f>301</f>
        <v>301</v>
      </c>
      <c r="BH301" s="15">
        <f t="shared" si="311"/>
        <v>0</v>
      </c>
      <c r="BI301" s="15">
        <f t="shared" si="312"/>
        <v>0</v>
      </c>
      <c r="BJ301" s="15">
        <f t="shared" si="313"/>
        <v>0</v>
      </c>
      <c r="BK301" s="15" t="s">
        <v>2969</v>
      </c>
      <c r="BL301" s="29">
        <v>722</v>
      </c>
    </row>
    <row r="302" spans="1:64" ht="12.75">
      <c r="A302" s="4" t="s">
        <v>261</v>
      </c>
      <c r="B302" s="94" t="s">
        <v>1260</v>
      </c>
      <c r="C302" s="152" t="s">
        <v>2221</v>
      </c>
      <c r="D302" s="153"/>
      <c r="E302" s="153"/>
      <c r="F302" s="153"/>
      <c r="G302" s="94" t="s">
        <v>2850</v>
      </c>
      <c r="H302" s="73">
        <v>1</v>
      </c>
      <c r="I302" s="105">
        <v>0</v>
      </c>
      <c r="J302" s="15">
        <f t="shared" si="290"/>
        <v>0</v>
      </c>
      <c r="K302" s="15">
        <f t="shared" si="291"/>
        <v>0</v>
      </c>
      <c r="L302" s="15">
        <f t="shared" si="292"/>
        <v>0</v>
      </c>
      <c r="M302" s="25"/>
      <c r="N302" s="5"/>
      <c r="Z302" s="29">
        <f t="shared" si="293"/>
        <v>0</v>
      </c>
      <c r="AB302" s="29">
        <f t="shared" si="294"/>
        <v>0</v>
      </c>
      <c r="AC302" s="29">
        <f t="shared" si="295"/>
        <v>0</v>
      </c>
      <c r="AD302" s="29">
        <f t="shared" si="296"/>
        <v>0</v>
      </c>
      <c r="AE302" s="29">
        <f t="shared" si="297"/>
        <v>0</v>
      </c>
      <c r="AF302" s="29">
        <f t="shared" si="298"/>
        <v>0</v>
      </c>
      <c r="AG302" s="29">
        <f t="shared" si="299"/>
        <v>0</v>
      </c>
      <c r="AH302" s="29">
        <f t="shared" si="300"/>
        <v>0</v>
      </c>
      <c r="AI302" s="28" t="s">
        <v>2882</v>
      </c>
      <c r="AJ302" s="15">
        <f t="shared" si="301"/>
        <v>0</v>
      </c>
      <c r="AK302" s="15">
        <f t="shared" si="302"/>
        <v>0</v>
      </c>
      <c r="AL302" s="15">
        <f t="shared" si="303"/>
        <v>0</v>
      </c>
      <c r="AN302" s="29">
        <v>15</v>
      </c>
      <c r="AO302" s="29">
        <f t="shared" si="304"/>
        <v>0</v>
      </c>
      <c r="AP302" s="29">
        <f t="shared" si="305"/>
        <v>0</v>
      </c>
      <c r="AQ302" s="30" t="s">
        <v>13</v>
      </c>
      <c r="AV302" s="29">
        <f t="shared" si="306"/>
        <v>0</v>
      </c>
      <c r="AW302" s="29">
        <f t="shared" si="307"/>
        <v>0</v>
      </c>
      <c r="AX302" s="29">
        <f t="shared" si="308"/>
        <v>0</v>
      </c>
      <c r="AY302" s="32" t="s">
        <v>2914</v>
      </c>
      <c r="AZ302" s="32" t="s">
        <v>2943</v>
      </c>
      <c r="BA302" s="28" t="s">
        <v>2957</v>
      </c>
      <c r="BC302" s="29">
        <f t="shared" si="309"/>
        <v>0</v>
      </c>
      <c r="BD302" s="29">
        <f t="shared" si="310"/>
        <v>0</v>
      </c>
      <c r="BE302" s="29">
        <v>0</v>
      </c>
      <c r="BF302" s="29">
        <f>302</f>
        <v>302</v>
      </c>
      <c r="BH302" s="15">
        <f t="shared" si="311"/>
        <v>0</v>
      </c>
      <c r="BI302" s="15">
        <f t="shared" si="312"/>
        <v>0</v>
      </c>
      <c r="BJ302" s="15">
        <f t="shared" si="313"/>
        <v>0</v>
      </c>
      <c r="BK302" s="15" t="s">
        <v>2969</v>
      </c>
      <c r="BL302" s="29">
        <v>722</v>
      </c>
    </row>
    <row r="303" spans="1:64" ht="12.75">
      <c r="A303" s="4" t="s">
        <v>262</v>
      </c>
      <c r="B303" s="94" t="s">
        <v>1261</v>
      </c>
      <c r="C303" s="152" t="s">
        <v>2222</v>
      </c>
      <c r="D303" s="153"/>
      <c r="E303" s="153"/>
      <c r="F303" s="153"/>
      <c r="G303" s="94" t="s">
        <v>2850</v>
      </c>
      <c r="H303" s="73">
        <v>1</v>
      </c>
      <c r="I303" s="105">
        <v>0</v>
      </c>
      <c r="J303" s="15">
        <f t="shared" si="290"/>
        <v>0</v>
      </c>
      <c r="K303" s="15">
        <f t="shared" si="291"/>
        <v>0</v>
      </c>
      <c r="L303" s="15">
        <f t="shared" si="292"/>
        <v>0</v>
      </c>
      <c r="M303" s="25"/>
      <c r="N303" s="5"/>
      <c r="Z303" s="29">
        <f t="shared" si="293"/>
        <v>0</v>
      </c>
      <c r="AB303" s="29">
        <f t="shared" si="294"/>
        <v>0</v>
      </c>
      <c r="AC303" s="29">
        <f t="shared" si="295"/>
        <v>0</v>
      </c>
      <c r="AD303" s="29">
        <f t="shared" si="296"/>
        <v>0</v>
      </c>
      <c r="AE303" s="29">
        <f t="shared" si="297"/>
        <v>0</v>
      </c>
      <c r="AF303" s="29">
        <f t="shared" si="298"/>
        <v>0</v>
      </c>
      <c r="AG303" s="29">
        <f t="shared" si="299"/>
        <v>0</v>
      </c>
      <c r="AH303" s="29">
        <f t="shared" si="300"/>
        <v>0</v>
      </c>
      <c r="AI303" s="28" t="s">
        <v>2882</v>
      </c>
      <c r="AJ303" s="15">
        <f t="shared" si="301"/>
        <v>0</v>
      </c>
      <c r="AK303" s="15">
        <f t="shared" si="302"/>
        <v>0</v>
      </c>
      <c r="AL303" s="15">
        <f t="shared" si="303"/>
        <v>0</v>
      </c>
      <c r="AN303" s="29">
        <v>15</v>
      </c>
      <c r="AO303" s="29">
        <f t="shared" si="304"/>
        <v>0</v>
      </c>
      <c r="AP303" s="29">
        <f t="shared" si="305"/>
        <v>0</v>
      </c>
      <c r="AQ303" s="30" t="s">
        <v>13</v>
      </c>
      <c r="AV303" s="29">
        <f t="shared" si="306"/>
        <v>0</v>
      </c>
      <c r="AW303" s="29">
        <f t="shared" si="307"/>
        <v>0</v>
      </c>
      <c r="AX303" s="29">
        <f t="shared" si="308"/>
        <v>0</v>
      </c>
      <c r="AY303" s="32" t="s">
        <v>2914</v>
      </c>
      <c r="AZ303" s="32" t="s">
        <v>2943</v>
      </c>
      <c r="BA303" s="28" t="s">
        <v>2957</v>
      </c>
      <c r="BC303" s="29">
        <f t="shared" si="309"/>
        <v>0</v>
      </c>
      <c r="BD303" s="29">
        <f t="shared" si="310"/>
        <v>0</v>
      </c>
      <c r="BE303" s="29">
        <v>0</v>
      </c>
      <c r="BF303" s="29">
        <f>303</f>
        <v>303</v>
      </c>
      <c r="BH303" s="15">
        <f t="shared" si="311"/>
        <v>0</v>
      </c>
      <c r="BI303" s="15">
        <f t="shared" si="312"/>
        <v>0</v>
      </c>
      <c r="BJ303" s="15">
        <f t="shared" si="313"/>
        <v>0</v>
      </c>
      <c r="BK303" s="15" t="s">
        <v>2969</v>
      </c>
      <c r="BL303" s="29">
        <v>722</v>
      </c>
    </row>
    <row r="304" spans="1:64" ht="12.75">
      <c r="A304" s="4" t="s">
        <v>263</v>
      </c>
      <c r="B304" s="94" t="s">
        <v>1262</v>
      </c>
      <c r="C304" s="152" t="s">
        <v>2223</v>
      </c>
      <c r="D304" s="153"/>
      <c r="E304" s="153"/>
      <c r="F304" s="153"/>
      <c r="G304" s="94" t="s">
        <v>2850</v>
      </c>
      <c r="H304" s="73">
        <v>2</v>
      </c>
      <c r="I304" s="105">
        <v>0</v>
      </c>
      <c r="J304" s="15">
        <f t="shared" si="290"/>
        <v>0</v>
      </c>
      <c r="K304" s="15">
        <f t="shared" si="291"/>
        <v>0</v>
      </c>
      <c r="L304" s="15">
        <f t="shared" si="292"/>
        <v>0</v>
      </c>
      <c r="M304" s="25"/>
      <c r="N304" s="5"/>
      <c r="Z304" s="29">
        <f t="shared" si="293"/>
        <v>0</v>
      </c>
      <c r="AB304" s="29">
        <f t="shared" si="294"/>
        <v>0</v>
      </c>
      <c r="AC304" s="29">
        <f t="shared" si="295"/>
        <v>0</v>
      </c>
      <c r="AD304" s="29">
        <f t="shared" si="296"/>
        <v>0</v>
      </c>
      <c r="AE304" s="29">
        <f t="shared" si="297"/>
        <v>0</v>
      </c>
      <c r="AF304" s="29">
        <f t="shared" si="298"/>
        <v>0</v>
      </c>
      <c r="AG304" s="29">
        <f t="shared" si="299"/>
        <v>0</v>
      </c>
      <c r="AH304" s="29">
        <f t="shared" si="300"/>
        <v>0</v>
      </c>
      <c r="AI304" s="28" t="s">
        <v>2882</v>
      </c>
      <c r="AJ304" s="15">
        <f t="shared" si="301"/>
        <v>0</v>
      </c>
      <c r="AK304" s="15">
        <f t="shared" si="302"/>
        <v>0</v>
      </c>
      <c r="AL304" s="15">
        <f t="shared" si="303"/>
        <v>0</v>
      </c>
      <c r="AN304" s="29">
        <v>15</v>
      </c>
      <c r="AO304" s="29">
        <f t="shared" si="304"/>
        <v>0</v>
      </c>
      <c r="AP304" s="29">
        <f t="shared" si="305"/>
        <v>0</v>
      </c>
      <c r="AQ304" s="30" t="s">
        <v>13</v>
      </c>
      <c r="AV304" s="29">
        <f t="shared" si="306"/>
        <v>0</v>
      </c>
      <c r="AW304" s="29">
        <f t="shared" si="307"/>
        <v>0</v>
      </c>
      <c r="AX304" s="29">
        <f t="shared" si="308"/>
        <v>0</v>
      </c>
      <c r="AY304" s="32" t="s">
        <v>2914</v>
      </c>
      <c r="AZ304" s="32" t="s">
        <v>2943</v>
      </c>
      <c r="BA304" s="28" t="s">
        <v>2957</v>
      </c>
      <c r="BC304" s="29">
        <f t="shared" si="309"/>
        <v>0</v>
      </c>
      <c r="BD304" s="29">
        <f t="shared" si="310"/>
        <v>0</v>
      </c>
      <c r="BE304" s="29">
        <v>0</v>
      </c>
      <c r="BF304" s="29">
        <f>304</f>
        <v>304</v>
      </c>
      <c r="BH304" s="15">
        <f t="shared" si="311"/>
        <v>0</v>
      </c>
      <c r="BI304" s="15">
        <f t="shared" si="312"/>
        <v>0</v>
      </c>
      <c r="BJ304" s="15">
        <f t="shared" si="313"/>
        <v>0</v>
      </c>
      <c r="BK304" s="15" t="s">
        <v>2969</v>
      </c>
      <c r="BL304" s="29">
        <v>722</v>
      </c>
    </row>
    <row r="305" spans="1:64" ht="12.75">
      <c r="A305" s="4" t="s">
        <v>264</v>
      </c>
      <c r="B305" s="94" t="s">
        <v>1263</v>
      </c>
      <c r="C305" s="152" t="s">
        <v>2224</v>
      </c>
      <c r="D305" s="153"/>
      <c r="E305" s="153"/>
      <c r="F305" s="153"/>
      <c r="G305" s="94" t="s">
        <v>2850</v>
      </c>
      <c r="H305" s="73">
        <v>2</v>
      </c>
      <c r="I305" s="105">
        <v>0</v>
      </c>
      <c r="J305" s="15">
        <f t="shared" si="290"/>
        <v>0</v>
      </c>
      <c r="K305" s="15">
        <f t="shared" si="291"/>
        <v>0</v>
      </c>
      <c r="L305" s="15">
        <f t="shared" si="292"/>
        <v>0</v>
      </c>
      <c r="M305" s="25"/>
      <c r="N305" s="5"/>
      <c r="Z305" s="29">
        <f t="shared" si="293"/>
        <v>0</v>
      </c>
      <c r="AB305" s="29">
        <f t="shared" si="294"/>
        <v>0</v>
      </c>
      <c r="AC305" s="29">
        <f t="shared" si="295"/>
        <v>0</v>
      </c>
      <c r="AD305" s="29">
        <f t="shared" si="296"/>
        <v>0</v>
      </c>
      <c r="AE305" s="29">
        <f t="shared" si="297"/>
        <v>0</v>
      </c>
      <c r="AF305" s="29">
        <f t="shared" si="298"/>
        <v>0</v>
      </c>
      <c r="AG305" s="29">
        <f t="shared" si="299"/>
        <v>0</v>
      </c>
      <c r="AH305" s="29">
        <f t="shared" si="300"/>
        <v>0</v>
      </c>
      <c r="AI305" s="28" t="s">
        <v>2882</v>
      </c>
      <c r="AJ305" s="15">
        <f t="shared" si="301"/>
        <v>0</v>
      </c>
      <c r="AK305" s="15">
        <f t="shared" si="302"/>
        <v>0</v>
      </c>
      <c r="AL305" s="15">
        <f t="shared" si="303"/>
        <v>0</v>
      </c>
      <c r="AN305" s="29">
        <v>15</v>
      </c>
      <c r="AO305" s="29">
        <f t="shared" si="304"/>
        <v>0</v>
      </c>
      <c r="AP305" s="29">
        <f t="shared" si="305"/>
        <v>0</v>
      </c>
      <c r="AQ305" s="30" t="s">
        <v>13</v>
      </c>
      <c r="AV305" s="29">
        <f t="shared" si="306"/>
        <v>0</v>
      </c>
      <c r="AW305" s="29">
        <f t="shared" si="307"/>
        <v>0</v>
      </c>
      <c r="AX305" s="29">
        <f t="shared" si="308"/>
        <v>0</v>
      </c>
      <c r="AY305" s="32" t="s">
        <v>2914</v>
      </c>
      <c r="AZ305" s="32" t="s">
        <v>2943</v>
      </c>
      <c r="BA305" s="28" t="s">
        <v>2957</v>
      </c>
      <c r="BC305" s="29">
        <f t="shared" si="309"/>
        <v>0</v>
      </c>
      <c r="BD305" s="29">
        <f t="shared" si="310"/>
        <v>0</v>
      </c>
      <c r="BE305" s="29">
        <v>0</v>
      </c>
      <c r="BF305" s="29">
        <f>305</f>
        <v>305</v>
      </c>
      <c r="BH305" s="15">
        <f t="shared" si="311"/>
        <v>0</v>
      </c>
      <c r="BI305" s="15">
        <f t="shared" si="312"/>
        <v>0</v>
      </c>
      <c r="BJ305" s="15">
        <f t="shared" si="313"/>
        <v>0</v>
      </c>
      <c r="BK305" s="15" t="s">
        <v>2969</v>
      </c>
      <c r="BL305" s="29">
        <v>722</v>
      </c>
    </row>
    <row r="306" spans="1:64" ht="12.75">
      <c r="A306" s="4" t="s">
        <v>265</v>
      </c>
      <c r="B306" s="94" t="s">
        <v>1264</v>
      </c>
      <c r="C306" s="152" t="s">
        <v>2225</v>
      </c>
      <c r="D306" s="153"/>
      <c r="E306" s="153"/>
      <c r="F306" s="153"/>
      <c r="G306" s="94" t="s">
        <v>2850</v>
      </c>
      <c r="H306" s="73">
        <v>2</v>
      </c>
      <c r="I306" s="105">
        <v>0</v>
      </c>
      <c r="J306" s="15">
        <f t="shared" si="290"/>
        <v>0</v>
      </c>
      <c r="K306" s="15">
        <f t="shared" si="291"/>
        <v>0</v>
      </c>
      <c r="L306" s="15">
        <f t="shared" si="292"/>
        <v>0</v>
      </c>
      <c r="M306" s="25"/>
      <c r="N306" s="5"/>
      <c r="Z306" s="29">
        <f t="shared" si="293"/>
        <v>0</v>
      </c>
      <c r="AB306" s="29">
        <f t="shared" si="294"/>
        <v>0</v>
      </c>
      <c r="AC306" s="29">
        <f t="shared" si="295"/>
        <v>0</v>
      </c>
      <c r="AD306" s="29">
        <f t="shared" si="296"/>
        <v>0</v>
      </c>
      <c r="AE306" s="29">
        <f t="shared" si="297"/>
        <v>0</v>
      </c>
      <c r="AF306" s="29">
        <f t="shared" si="298"/>
        <v>0</v>
      </c>
      <c r="AG306" s="29">
        <f t="shared" si="299"/>
        <v>0</v>
      </c>
      <c r="AH306" s="29">
        <f t="shared" si="300"/>
        <v>0</v>
      </c>
      <c r="AI306" s="28" t="s">
        <v>2882</v>
      </c>
      <c r="AJ306" s="15">
        <f t="shared" si="301"/>
        <v>0</v>
      </c>
      <c r="AK306" s="15">
        <f t="shared" si="302"/>
        <v>0</v>
      </c>
      <c r="AL306" s="15">
        <f t="shared" si="303"/>
        <v>0</v>
      </c>
      <c r="AN306" s="29">
        <v>15</v>
      </c>
      <c r="AO306" s="29">
        <f t="shared" si="304"/>
        <v>0</v>
      </c>
      <c r="AP306" s="29">
        <f t="shared" si="305"/>
        <v>0</v>
      </c>
      <c r="AQ306" s="30" t="s">
        <v>13</v>
      </c>
      <c r="AV306" s="29">
        <f t="shared" si="306"/>
        <v>0</v>
      </c>
      <c r="AW306" s="29">
        <f t="shared" si="307"/>
        <v>0</v>
      </c>
      <c r="AX306" s="29">
        <f t="shared" si="308"/>
        <v>0</v>
      </c>
      <c r="AY306" s="32" t="s">
        <v>2914</v>
      </c>
      <c r="AZ306" s="32" t="s">
        <v>2943</v>
      </c>
      <c r="BA306" s="28" t="s">
        <v>2957</v>
      </c>
      <c r="BC306" s="29">
        <f t="shared" si="309"/>
        <v>0</v>
      </c>
      <c r="BD306" s="29">
        <f t="shared" si="310"/>
        <v>0</v>
      </c>
      <c r="BE306" s="29">
        <v>0</v>
      </c>
      <c r="BF306" s="29">
        <f>306</f>
        <v>306</v>
      </c>
      <c r="BH306" s="15">
        <f t="shared" si="311"/>
        <v>0</v>
      </c>
      <c r="BI306" s="15">
        <f t="shared" si="312"/>
        <v>0</v>
      </c>
      <c r="BJ306" s="15">
        <f t="shared" si="313"/>
        <v>0</v>
      </c>
      <c r="BK306" s="15" t="s">
        <v>2969</v>
      </c>
      <c r="BL306" s="29">
        <v>722</v>
      </c>
    </row>
    <row r="307" spans="1:64" ht="12.75">
      <c r="A307" s="4" t="s">
        <v>266</v>
      </c>
      <c r="B307" s="94" t="s">
        <v>1265</v>
      </c>
      <c r="C307" s="152" t="s">
        <v>2226</v>
      </c>
      <c r="D307" s="153"/>
      <c r="E307" s="153"/>
      <c r="F307" s="153"/>
      <c r="G307" s="94" t="s">
        <v>2850</v>
      </c>
      <c r="H307" s="73">
        <v>47</v>
      </c>
      <c r="I307" s="105">
        <v>0</v>
      </c>
      <c r="J307" s="15">
        <f t="shared" si="290"/>
        <v>0</v>
      </c>
      <c r="K307" s="15">
        <f t="shared" si="291"/>
        <v>0</v>
      </c>
      <c r="L307" s="15">
        <f t="shared" si="292"/>
        <v>0</v>
      </c>
      <c r="M307" s="25"/>
      <c r="N307" s="5"/>
      <c r="Z307" s="29">
        <f t="shared" si="293"/>
        <v>0</v>
      </c>
      <c r="AB307" s="29">
        <f t="shared" si="294"/>
        <v>0</v>
      </c>
      <c r="AC307" s="29">
        <f t="shared" si="295"/>
        <v>0</v>
      </c>
      <c r="AD307" s="29">
        <f t="shared" si="296"/>
        <v>0</v>
      </c>
      <c r="AE307" s="29">
        <f t="shared" si="297"/>
        <v>0</v>
      </c>
      <c r="AF307" s="29">
        <f t="shared" si="298"/>
        <v>0</v>
      </c>
      <c r="AG307" s="29">
        <f t="shared" si="299"/>
        <v>0</v>
      </c>
      <c r="AH307" s="29">
        <f t="shared" si="300"/>
        <v>0</v>
      </c>
      <c r="AI307" s="28" t="s">
        <v>2882</v>
      </c>
      <c r="AJ307" s="15">
        <f t="shared" si="301"/>
        <v>0</v>
      </c>
      <c r="AK307" s="15">
        <f t="shared" si="302"/>
        <v>0</v>
      </c>
      <c r="AL307" s="15">
        <f t="shared" si="303"/>
        <v>0</v>
      </c>
      <c r="AN307" s="29">
        <v>15</v>
      </c>
      <c r="AO307" s="29">
        <f t="shared" si="304"/>
        <v>0</v>
      </c>
      <c r="AP307" s="29">
        <f t="shared" si="305"/>
        <v>0</v>
      </c>
      <c r="AQ307" s="30" t="s">
        <v>13</v>
      </c>
      <c r="AV307" s="29">
        <f t="shared" si="306"/>
        <v>0</v>
      </c>
      <c r="AW307" s="29">
        <f t="shared" si="307"/>
        <v>0</v>
      </c>
      <c r="AX307" s="29">
        <f t="shared" si="308"/>
        <v>0</v>
      </c>
      <c r="AY307" s="32" t="s">
        <v>2914</v>
      </c>
      <c r="AZ307" s="32" t="s">
        <v>2943</v>
      </c>
      <c r="BA307" s="28" t="s">
        <v>2957</v>
      </c>
      <c r="BC307" s="29">
        <f t="shared" si="309"/>
        <v>0</v>
      </c>
      <c r="BD307" s="29">
        <f t="shared" si="310"/>
        <v>0</v>
      </c>
      <c r="BE307" s="29">
        <v>0</v>
      </c>
      <c r="BF307" s="29">
        <f>307</f>
        <v>307</v>
      </c>
      <c r="BH307" s="15">
        <f t="shared" si="311"/>
        <v>0</v>
      </c>
      <c r="BI307" s="15">
        <f t="shared" si="312"/>
        <v>0</v>
      </c>
      <c r="BJ307" s="15">
        <f t="shared" si="313"/>
        <v>0</v>
      </c>
      <c r="BK307" s="15" t="s">
        <v>2969</v>
      </c>
      <c r="BL307" s="29">
        <v>722</v>
      </c>
    </row>
    <row r="308" spans="1:64" ht="12.75">
      <c r="A308" s="4" t="s">
        <v>267</v>
      </c>
      <c r="B308" s="94" t="s">
        <v>1266</v>
      </c>
      <c r="C308" s="152" t="s">
        <v>2227</v>
      </c>
      <c r="D308" s="153"/>
      <c r="E308" s="153"/>
      <c r="F308" s="153"/>
      <c r="G308" s="94" t="s">
        <v>2850</v>
      </c>
      <c r="H308" s="73">
        <v>24</v>
      </c>
      <c r="I308" s="105">
        <v>0</v>
      </c>
      <c r="J308" s="15">
        <f t="shared" si="290"/>
        <v>0</v>
      </c>
      <c r="K308" s="15">
        <f t="shared" si="291"/>
        <v>0</v>
      </c>
      <c r="L308" s="15">
        <f t="shared" si="292"/>
        <v>0</v>
      </c>
      <c r="M308" s="25"/>
      <c r="N308" s="5"/>
      <c r="Z308" s="29">
        <f t="shared" si="293"/>
        <v>0</v>
      </c>
      <c r="AB308" s="29">
        <f t="shared" si="294"/>
        <v>0</v>
      </c>
      <c r="AC308" s="29">
        <f t="shared" si="295"/>
        <v>0</v>
      </c>
      <c r="AD308" s="29">
        <f t="shared" si="296"/>
        <v>0</v>
      </c>
      <c r="AE308" s="29">
        <f t="shared" si="297"/>
        <v>0</v>
      </c>
      <c r="AF308" s="29">
        <f t="shared" si="298"/>
        <v>0</v>
      </c>
      <c r="AG308" s="29">
        <f t="shared" si="299"/>
        <v>0</v>
      </c>
      <c r="AH308" s="29">
        <f t="shared" si="300"/>
        <v>0</v>
      </c>
      <c r="AI308" s="28" t="s">
        <v>2882</v>
      </c>
      <c r="AJ308" s="15">
        <f t="shared" si="301"/>
        <v>0</v>
      </c>
      <c r="AK308" s="15">
        <f t="shared" si="302"/>
        <v>0</v>
      </c>
      <c r="AL308" s="15">
        <f t="shared" si="303"/>
        <v>0</v>
      </c>
      <c r="AN308" s="29">
        <v>15</v>
      </c>
      <c r="AO308" s="29">
        <f t="shared" si="304"/>
        <v>0</v>
      </c>
      <c r="AP308" s="29">
        <f t="shared" si="305"/>
        <v>0</v>
      </c>
      <c r="AQ308" s="30" t="s">
        <v>13</v>
      </c>
      <c r="AV308" s="29">
        <f t="shared" si="306"/>
        <v>0</v>
      </c>
      <c r="AW308" s="29">
        <f t="shared" si="307"/>
        <v>0</v>
      </c>
      <c r="AX308" s="29">
        <f t="shared" si="308"/>
        <v>0</v>
      </c>
      <c r="AY308" s="32" t="s">
        <v>2914</v>
      </c>
      <c r="AZ308" s="32" t="s">
        <v>2943</v>
      </c>
      <c r="BA308" s="28" t="s">
        <v>2957</v>
      </c>
      <c r="BC308" s="29">
        <f t="shared" si="309"/>
        <v>0</v>
      </c>
      <c r="BD308" s="29">
        <f t="shared" si="310"/>
        <v>0</v>
      </c>
      <c r="BE308" s="29">
        <v>0</v>
      </c>
      <c r="BF308" s="29">
        <f>308</f>
        <v>308</v>
      </c>
      <c r="BH308" s="15">
        <f t="shared" si="311"/>
        <v>0</v>
      </c>
      <c r="BI308" s="15">
        <f t="shared" si="312"/>
        <v>0</v>
      </c>
      <c r="BJ308" s="15">
        <f t="shared" si="313"/>
        <v>0</v>
      </c>
      <c r="BK308" s="15" t="s">
        <v>2969</v>
      </c>
      <c r="BL308" s="29">
        <v>722</v>
      </c>
    </row>
    <row r="309" spans="1:64" ht="12.75">
      <c r="A309" s="4" t="s">
        <v>268</v>
      </c>
      <c r="B309" s="94" t="s">
        <v>1267</v>
      </c>
      <c r="C309" s="152" t="s">
        <v>2228</v>
      </c>
      <c r="D309" s="153"/>
      <c r="E309" s="153"/>
      <c r="F309" s="153"/>
      <c r="G309" s="94" t="s">
        <v>2850</v>
      </c>
      <c r="H309" s="73">
        <v>5</v>
      </c>
      <c r="I309" s="105">
        <v>0</v>
      </c>
      <c r="J309" s="15">
        <f t="shared" si="290"/>
        <v>0</v>
      </c>
      <c r="K309" s="15">
        <f t="shared" si="291"/>
        <v>0</v>
      </c>
      <c r="L309" s="15">
        <f t="shared" si="292"/>
        <v>0</v>
      </c>
      <c r="M309" s="25"/>
      <c r="N309" s="5"/>
      <c r="Z309" s="29">
        <f t="shared" si="293"/>
        <v>0</v>
      </c>
      <c r="AB309" s="29">
        <f t="shared" si="294"/>
        <v>0</v>
      </c>
      <c r="AC309" s="29">
        <f t="shared" si="295"/>
        <v>0</v>
      </c>
      <c r="AD309" s="29">
        <f t="shared" si="296"/>
        <v>0</v>
      </c>
      <c r="AE309" s="29">
        <f t="shared" si="297"/>
        <v>0</v>
      </c>
      <c r="AF309" s="29">
        <f t="shared" si="298"/>
        <v>0</v>
      </c>
      <c r="AG309" s="29">
        <f t="shared" si="299"/>
        <v>0</v>
      </c>
      <c r="AH309" s="29">
        <f t="shared" si="300"/>
        <v>0</v>
      </c>
      <c r="AI309" s="28" t="s">
        <v>2882</v>
      </c>
      <c r="AJ309" s="15">
        <f t="shared" si="301"/>
        <v>0</v>
      </c>
      <c r="AK309" s="15">
        <f t="shared" si="302"/>
        <v>0</v>
      </c>
      <c r="AL309" s="15">
        <f t="shared" si="303"/>
        <v>0</v>
      </c>
      <c r="AN309" s="29">
        <v>15</v>
      </c>
      <c r="AO309" s="29">
        <f t="shared" si="304"/>
        <v>0</v>
      </c>
      <c r="AP309" s="29">
        <f t="shared" si="305"/>
        <v>0</v>
      </c>
      <c r="AQ309" s="30" t="s">
        <v>13</v>
      </c>
      <c r="AV309" s="29">
        <f t="shared" si="306"/>
        <v>0</v>
      </c>
      <c r="AW309" s="29">
        <f t="shared" si="307"/>
        <v>0</v>
      </c>
      <c r="AX309" s="29">
        <f t="shared" si="308"/>
        <v>0</v>
      </c>
      <c r="AY309" s="32" t="s">
        <v>2914</v>
      </c>
      <c r="AZ309" s="32" t="s">
        <v>2943</v>
      </c>
      <c r="BA309" s="28" t="s">
        <v>2957</v>
      </c>
      <c r="BC309" s="29">
        <f t="shared" si="309"/>
        <v>0</v>
      </c>
      <c r="BD309" s="29">
        <f t="shared" si="310"/>
        <v>0</v>
      </c>
      <c r="BE309" s="29">
        <v>0</v>
      </c>
      <c r="BF309" s="29">
        <f>309</f>
        <v>309</v>
      </c>
      <c r="BH309" s="15">
        <f t="shared" si="311"/>
        <v>0</v>
      </c>
      <c r="BI309" s="15">
        <f t="shared" si="312"/>
        <v>0</v>
      </c>
      <c r="BJ309" s="15">
        <f t="shared" si="313"/>
        <v>0</v>
      </c>
      <c r="BK309" s="15" t="s">
        <v>2969</v>
      </c>
      <c r="BL309" s="29">
        <v>722</v>
      </c>
    </row>
    <row r="310" spans="1:64" ht="12.75">
      <c r="A310" s="4" t="s">
        <v>269</v>
      </c>
      <c r="B310" s="94" t="s">
        <v>1268</v>
      </c>
      <c r="C310" s="152" t="s">
        <v>2229</v>
      </c>
      <c r="D310" s="153"/>
      <c r="E310" s="153"/>
      <c r="F310" s="153"/>
      <c r="G310" s="94" t="s">
        <v>2850</v>
      </c>
      <c r="H310" s="73">
        <v>4</v>
      </c>
      <c r="I310" s="105">
        <v>0</v>
      </c>
      <c r="J310" s="15">
        <f t="shared" si="290"/>
        <v>0</v>
      </c>
      <c r="K310" s="15">
        <f t="shared" si="291"/>
        <v>0</v>
      </c>
      <c r="L310" s="15">
        <f t="shared" si="292"/>
        <v>0</v>
      </c>
      <c r="M310" s="25"/>
      <c r="N310" s="5"/>
      <c r="Z310" s="29">
        <f t="shared" si="293"/>
        <v>0</v>
      </c>
      <c r="AB310" s="29">
        <f t="shared" si="294"/>
        <v>0</v>
      </c>
      <c r="AC310" s="29">
        <f t="shared" si="295"/>
        <v>0</v>
      </c>
      <c r="AD310" s="29">
        <f t="shared" si="296"/>
        <v>0</v>
      </c>
      <c r="AE310" s="29">
        <f t="shared" si="297"/>
        <v>0</v>
      </c>
      <c r="AF310" s="29">
        <f t="shared" si="298"/>
        <v>0</v>
      </c>
      <c r="AG310" s="29">
        <f t="shared" si="299"/>
        <v>0</v>
      </c>
      <c r="AH310" s="29">
        <f t="shared" si="300"/>
        <v>0</v>
      </c>
      <c r="AI310" s="28" t="s">
        <v>2882</v>
      </c>
      <c r="AJ310" s="15">
        <f t="shared" si="301"/>
        <v>0</v>
      </c>
      <c r="AK310" s="15">
        <f t="shared" si="302"/>
        <v>0</v>
      </c>
      <c r="AL310" s="15">
        <f t="shared" si="303"/>
        <v>0</v>
      </c>
      <c r="AN310" s="29">
        <v>15</v>
      </c>
      <c r="AO310" s="29">
        <f t="shared" si="304"/>
        <v>0</v>
      </c>
      <c r="AP310" s="29">
        <f t="shared" si="305"/>
        <v>0</v>
      </c>
      <c r="AQ310" s="30" t="s">
        <v>13</v>
      </c>
      <c r="AV310" s="29">
        <f t="shared" si="306"/>
        <v>0</v>
      </c>
      <c r="AW310" s="29">
        <f t="shared" si="307"/>
        <v>0</v>
      </c>
      <c r="AX310" s="29">
        <f t="shared" si="308"/>
        <v>0</v>
      </c>
      <c r="AY310" s="32" t="s">
        <v>2914</v>
      </c>
      <c r="AZ310" s="32" t="s">
        <v>2943</v>
      </c>
      <c r="BA310" s="28" t="s">
        <v>2957</v>
      </c>
      <c r="BC310" s="29">
        <f t="shared" si="309"/>
        <v>0</v>
      </c>
      <c r="BD310" s="29">
        <f t="shared" si="310"/>
        <v>0</v>
      </c>
      <c r="BE310" s="29">
        <v>0</v>
      </c>
      <c r="BF310" s="29">
        <f>310</f>
        <v>310</v>
      </c>
      <c r="BH310" s="15">
        <f t="shared" si="311"/>
        <v>0</v>
      </c>
      <c r="BI310" s="15">
        <f t="shared" si="312"/>
        <v>0</v>
      </c>
      <c r="BJ310" s="15">
        <f t="shared" si="313"/>
        <v>0</v>
      </c>
      <c r="BK310" s="15" t="s">
        <v>2969</v>
      </c>
      <c r="BL310" s="29">
        <v>722</v>
      </c>
    </row>
    <row r="311" spans="1:64" ht="12.75">
      <c r="A311" s="4" t="s">
        <v>270</v>
      </c>
      <c r="B311" s="94" t="s">
        <v>1269</v>
      </c>
      <c r="C311" s="152" t="s">
        <v>2230</v>
      </c>
      <c r="D311" s="153"/>
      <c r="E311" s="153"/>
      <c r="F311" s="153"/>
      <c r="G311" s="94" t="s">
        <v>2850</v>
      </c>
      <c r="H311" s="73">
        <v>5</v>
      </c>
      <c r="I311" s="105">
        <v>0</v>
      </c>
      <c r="J311" s="15">
        <f aca="true" t="shared" si="314" ref="J311:J343">H311*AO311</f>
        <v>0</v>
      </c>
      <c r="K311" s="15">
        <f aca="true" t="shared" si="315" ref="K311:K343">H311*AP311</f>
        <v>0</v>
      </c>
      <c r="L311" s="15">
        <f aca="true" t="shared" si="316" ref="L311:L343">H311*I311</f>
        <v>0</v>
      </c>
      <c r="M311" s="25"/>
      <c r="N311" s="5"/>
      <c r="Z311" s="29">
        <f aca="true" t="shared" si="317" ref="Z311:Z343">IF(AQ311="5",BJ311,0)</f>
        <v>0</v>
      </c>
      <c r="AB311" s="29">
        <f aca="true" t="shared" si="318" ref="AB311:AB343">IF(AQ311="1",BH311,0)</f>
        <v>0</v>
      </c>
      <c r="AC311" s="29">
        <f aca="true" t="shared" si="319" ref="AC311:AC343">IF(AQ311="1",BI311,0)</f>
        <v>0</v>
      </c>
      <c r="AD311" s="29">
        <f aca="true" t="shared" si="320" ref="AD311:AD343">IF(AQ311="7",BH311,0)</f>
        <v>0</v>
      </c>
      <c r="AE311" s="29">
        <f aca="true" t="shared" si="321" ref="AE311:AE343">IF(AQ311="7",BI311,0)</f>
        <v>0</v>
      </c>
      <c r="AF311" s="29">
        <f aca="true" t="shared" si="322" ref="AF311:AF343">IF(AQ311="2",BH311,0)</f>
        <v>0</v>
      </c>
      <c r="AG311" s="29">
        <f aca="true" t="shared" si="323" ref="AG311:AG343">IF(AQ311="2",BI311,0)</f>
        <v>0</v>
      </c>
      <c r="AH311" s="29">
        <f aca="true" t="shared" si="324" ref="AH311:AH343">IF(AQ311="0",BJ311,0)</f>
        <v>0</v>
      </c>
      <c r="AI311" s="28" t="s">
        <v>2882</v>
      </c>
      <c r="AJ311" s="15">
        <f aca="true" t="shared" si="325" ref="AJ311:AJ343">IF(AN311=0,L311,0)</f>
        <v>0</v>
      </c>
      <c r="AK311" s="15">
        <f aca="true" t="shared" si="326" ref="AK311:AK343">IF(AN311=15,L311,0)</f>
        <v>0</v>
      </c>
      <c r="AL311" s="15">
        <f aca="true" t="shared" si="327" ref="AL311:AL343">IF(AN311=21,L311,0)</f>
        <v>0</v>
      </c>
      <c r="AN311" s="29">
        <v>15</v>
      </c>
      <c r="AO311" s="29">
        <f aca="true" t="shared" si="328" ref="AO311:AO343">I311*0</f>
        <v>0</v>
      </c>
      <c r="AP311" s="29">
        <f aca="true" t="shared" si="329" ref="AP311:AP343">I311*(1-0)</f>
        <v>0</v>
      </c>
      <c r="AQ311" s="30" t="s">
        <v>13</v>
      </c>
      <c r="AV311" s="29">
        <f aca="true" t="shared" si="330" ref="AV311:AV342">AW311+AX311</f>
        <v>0</v>
      </c>
      <c r="AW311" s="29">
        <f aca="true" t="shared" si="331" ref="AW311:AW343">H311*AO311</f>
        <v>0</v>
      </c>
      <c r="AX311" s="29">
        <f aca="true" t="shared" si="332" ref="AX311:AX343">H311*AP311</f>
        <v>0</v>
      </c>
      <c r="AY311" s="32" t="s">
        <v>2914</v>
      </c>
      <c r="AZ311" s="32" t="s">
        <v>2943</v>
      </c>
      <c r="BA311" s="28" t="s">
        <v>2957</v>
      </c>
      <c r="BC311" s="29">
        <f aca="true" t="shared" si="333" ref="BC311:BC343">AW311+AX311</f>
        <v>0</v>
      </c>
      <c r="BD311" s="29">
        <f aca="true" t="shared" si="334" ref="BD311:BD342">I311/(100-BE311)*100</f>
        <v>0</v>
      </c>
      <c r="BE311" s="29">
        <v>0</v>
      </c>
      <c r="BF311" s="29">
        <f>311</f>
        <v>311</v>
      </c>
      <c r="BH311" s="15">
        <f aca="true" t="shared" si="335" ref="BH311:BH343">H311*AO311</f>
        <v>0</v>
      </c>
      <c r="BI311" s="15">
        <f aca="true" t="shared" si="336" ref="BI311:BI343">H311*AP311</f>
        <v>0</v>
      </c>
      <c r="BJ311" s="15">
        <f aca="true" t="shared" si="337" ref="BJ311:BJ343">H311*I311</f>
        <v>0</v>
      </c>
      <c r="BK311" s="15" t="s">
        <v>2969</v>
      </c>
      <c r="BL311" s="29">
        <v>722</v>
      </c>
    </row>
    <row r="312" spans="1:64" ht="12.75">
      <c r="A312" s="4" t="s">
        <v>271</v>
      </c>
      <c r="B312" s="94" t="s">
        <v>1270</v>
      </c>
      <c r="C312" s="152" t="s">
        <v>2231</v>
      </c>
      <c r="D312" s="153"/>
      <c r="E312" s="153"/>
      <c r="F312" s="153"/>
      <c r="G312" s="94" t="s">
        <v>2850</v>
      </c>
      <c r="H312" s="73">
        <v>3</v>
      </c>
      <c r="I312" s="105">
        <v>0</v>
      </c>
      <c r="J312" s="15">
        <f t="shared" si="314"/>
        <v>0</v>
      </c>
      <c r="K312" s="15">
        <f t="shared" si="315"/>
        <v>0</v>
      </c>
      <c r="L312" s="15">
        <f t="shared" si="316"/>
        <v>0</v>
      </c>
      <c r="M312" s="25"/>
      <c r="N312" s="5"/>
      <c r="Z312" s="29">
        <f t="shared" si="317"/>
        <v>0</v>
      </c>
      <c r="AB312" s="29">
        <f t="shared" si="318"/>
        <v>0</v>
      </c>
      <c r="AC312" s="29">
        <f t="shared" si="319"/>
        <v>0</v>
      </c>
      <c r="AD312" s="29">
        <f t="shared" si="320"/>
        <v>0</v>
      </c>
      <c r="AE312" s="29">
        <f t="shared" si="321"/>
        <v>0</v>
      </c>
      <c r="AF312" s="29">
        <f t="shared" si="322"/>
        <v>0</v>
      </c>
      <c r="AG312" s="29">
        <f t="shared" si="323"/>
        <v>0</v>
      </c>
      <c r="AH312" s="29">
        <f t="shared" si="324"/>
        <v>0</v>
      </c>
      <c r="AI312" s="28" t="s">
        <v>2882</v>
      </c>
      <c r="AJ312" s="15">
        <f t="shared" si="325"/>
        <v>0</v>
      </c>
      <c r="AK312" s="15">
        <f t="shared" si="326"/>
        <v>0</v>
      </c>
      <c r="AL312" s="15">
        <f t="shared" si="327"/>
        <v>0</v>
      </c>
      <c r="AN312" s="29">
        <v>15</v>
      </c>
      <c r="AO312" s="29">
        <f t="shared" si="328"/>
        <v>0</v>
      </c>
      <c r="AP312" s="29">
        <f t="shared" si="329"/>
        <v>0</v>
      </c>
      <c r="AQ312" s="30" t="s">
        <v>13</v>
      </c>
      <c r="AV312" s="29">
        <f t="shared" si="330"/>
        <v>0</v>
      </c>
      <c r="AW312" s="29">
        <f t="shared" si="331"/>
        <v>0</v>
      </c>
      <c r="AX312" s="29">
        <f t="shared" si="332"/>
        <v>0</v>
      </c>
      <c r="AY312" s="32" t="s">
        <v>2914</v>
      </c>
      <c r="AZ312" s="32" t="s">
        <v>2943</v>
      </c>
      <c r="BA312" s="28" t="s">
        <v>2957</v>
      </c>
      <c r="BC312" s="29">
        <f t="shared" si="333"/>
        <v>0</v>
      </c>
      <c r="BD312" s="29">
        <f t="shared" si="334"/>
        <v>0</v>
      </c>
      <c r="BE312" s="29">
        <v>0</v>
      </c>
      <c r="BF312" s="29">
        <f>312</f>
        <v>312</v>
      </c>
      <c r="BH312" s="15">
        <f t="shared" si="335"/>
        <v>0</v>
      </c>
      <c r="BI312" s="15">
        <f t="shared" si="336"/>
        <v>0</v>
      </c>
      <c r="BJ312" s="15">
        <f t="shared" si="337"/>
        <v>0</v>
      </c>
      <c r="BK312" s="15" t="s">
        <v>2969</v>
      </c>
      <c r="BL312" s="29">
        <v>722</v>
      </c>
    </row>
    <row r="313" spans="1:64" ht="12.75">
      <c r="A313" s="4" t="s">
        <v>272</v>
      </c>
      <c r="B313" s="94" t="s">
        <v>1271</v>
      </c>
      <c r="C313" s="152" t="s">
        <v>2232</v>
      </c>
      <c r="D313" s="153"/>
      <c r="E313" s="153"/>
      <c r="F313" s="153"/>
      <c r="G313" s="94" t="s">
        <v>2850</v>
      </c>
      <c r="H313" s="73">
        <v>1</v>
      </c>
      <c r="I313" s="105">
        <v>0</v>
      </c>
      <c r="J313" s="15">
        <f t="shared" si="314"/>
        <v>0</v>
      </c>
      <c r="K313" s="15">
        <f t="shared" si="315"/>
        <v>0</v>
      </c>
      <c r="L313" s="15">
        <f t="shared" si="316"/>
        <v>0</v>
      </c>
      <c r="M313" s="25"/>
      <c r="N313" s="5"/>
      <c r="Z313" s="29">
        <f t="shared" si="317"/>
        <v>0</v>
      </c>
      <c r="AB313" s="29">
        <f t="shared" si="318"/>
        <v>0</v>
      </c>
      <c r="AC313" s="29">
        <f t="shared" si="319"/>
        <v>0</v>
      </c>
      <c r="AD313" s="29">
        <f t="shared" si="320"/>
        <v>0</v>
      </c>
      <c r="AE313" s="29">
        <f t="shared" si="321"/>
        <v>0</v>
      </c>
      <c r="AF313" s="29">
        <f t="shared" si="322"/>
        <v>0</v>
      </c>
      <c r="AG313" s="29">
        <f t="shared" si="323"/>
        <v>0</v>
      </c>
      <c r="AH313" s="29">
        <f t="shared" si="324"/>
        <v>0</v>
      </c>
      <c r="AI313" s="28" t="s">
        <v>2882</v>
      </c>
      <c r="AJ313" s="15">
        <f t="shared" si="325"/>
        <v>0</v>
      </c>
      <c r="AK313" s="15">
        <f t="shared" si="326"/>
        <v>0</v>
      </c>
      <c r="AL313" s="15">
        <f t="shared" si="327"/>
        <v>0</v>
      </c>
      <c r="AN313" s="29">
        <v>15</v>
      </c>
      <c r="AO313" s="29">
        <f t="shared" si="328"/>
        <v>0</v>
      </c>
      <c r="AP313" s="29">
        <f t="shared" si="329"/>
        <v>0</v>
      </c>
      <c r="AQ313" s="30" t="s">
        <v>13</v>
      </c>
      <c r="AV313" s="29">
        <f t="shared" si="330"/>
        <v>0</v>
      </c>
      <c r="AW313" s="29">
        <f t="shared" si="331"/>
        <v>0</v>
      </c>
      <c r="AX313" s="29">
        <f t="shared" si="332"/>
        <v>0</v>
      </c>
      <c r="AY313" s="32" t="s">
        <v>2914</v>
      </c>
      <c r="AZ313" s="32" t="s">
        <v>2943</v>
      </c>
      <c r="BA313" s="28" t="s">
        <v>2957</v>
      </c>
      <c r="BC313" s="29">
        <f t="shared" si="333"/>
        <v>0</v>
      </c>
      <c r="BD313" s="29">
        <f t="shared" si="334"/>
        <v>0</v>
      </c>
      <c r="BE313" s="29">
        <v>0</v>
      </c>
      <c r="BF313" s="29">
        <f>313</f>
        <v>313</v>
      </c>
      <c r="BH313" s="15">
        <f t="shared" si="335"/>
        <v>0</v>
      </c>
      <c r="BI313" s="15">
        <f t="shared" si="336"/>
        <v>0</v>
      </c>
      <c r="BJ313" s="15">
        <f t="shared" si="337"/>
        <v>0</v>
      </c>
      <c r="BK313" s="15" t="s">
        <v>2969</v>
      </c>
      <c r="BL313" s="29">
        <v>722</v>
      </c>
    </row>
    <row r="314" spans="1:64" ht="12.75">
      <c r="A314" s="4" t="s">
        <v>273</v>
      </c>
      <c r="B314" s="94" t="s">
        <v>1272</v>
      </c>
      <c r="C314" s="152" t="s">
        <v>2233</v>
      </c>
      <c r="D314" s="153"/>
      <c r="E314" s="153"/>
      <c r="F314" s="153"/>
      <c r="G314" s="94" t="s">
        <v>2850</v>
      </c>
      <c r="H314" s="73">
        <v>1</v>
      </c>
      <c r="I314" s="105">
        <v>0</v>
      </c>
      <c r="J314" s="15">
        <f t="shared" si="314"/>
        <v>0</v>
      </c>
      <c r="K314" s="15">
        <f t="shared" si="315"/>
        <v>0</v>
      </c>
      <c r="L314" s="15">
        <f t="shared" si="316"/>
        <v>0</v>
      </c>
      <c r="M314" s="25"/>
      <c r="N314" s="5"/>
      <c r="Z314" s="29">
        <f t="shared" si="317"/>
        <v>0</v>
      </c>
      <c r="AB314" s="29">
        <f t="shared" si="318"/>
        <v>0</v>
      </c>
      <c r="AC314" s="29">
        <f t="shared" si="319"/>
        <v>0</v>
      </c>
      <c r="AD314" s="29">
        <f t="shared" si="320"/>
        <v>0</v>
      </c>
      <c r="AE314" s="29">
        <f t="shared" si="321"/>
        <v>0</v>
      </c>
      <c r="AF314" s="29">
        <f t="shared" si="322"/>
        <v>0</v>
      </c>
      <c r="AG314" s="29">
        <f t="shared" si="323"/>
        <v>0</v>
      </c>
      <c r="AH314" s="29">
        <f t="shared" si="324"/>
        <v>0</v>
      </c>
      <c r="AI314" s="28" t="s">
        <v>2882</v>
      </c>
      <c r="AJ314" s="15">
        <f t="shared" si="325"/>
        <v>0</v>
      </c>
      <c r="AK314" s="15">
        <f t="shared" si="326"/>
        <v>0</v>
      </c>
      <c r="AL314" s="15">
        <f t="shared" si="327"/>
        <v>0</v>
      </c>
      <c r="AN314" s="29">
        <v>15</v>
      </c>
      <c r="AO314" s="29">
        <f t="shared" si="328"/>
        <v>0</v>
      </c>
      <c r="AP314" s="29">
        <f t="shared" si="329"/>
        <v>0</v>
      </c>
      <c r="AQ314" s="30" t="s">
        <v>13</v>
      </c>
      <c r="AV314" s="29">
        <f t="shared" si="330"/>
        <v>0</v>
      </c>
      <c r="AW314" s="29">
        <f t="shared" si="331"/>
        <v>0</v>
      </c>
      <c r="AX314" s="29">
        <f t="shared" si="332"/>
        <v>0</v>
      </c>
      <c r="AY314" s="32" t="s">
        <v>2914</v>
      </c>
      <c r="AZ314" s="32" t="s">
        <v>2943</v>
      </c>
      <c r="BA314" s="28" t="s">
        <v>2957</v>
      </c>
      <c r="BC314" s="29">
        <f t="shared" si="333"/>
        <v>0</v>
      </c>
      <c r="BD314" s="29">
        <f t="shared" si="334"/>
        <v>0</v>
      </c>
      <c r="BE314" s="29">
        <v>0</v>
      </c>
      <c r="BF314" s="29">
        <f>314</f>
        <v>314</v>
      </c>
      <c r="BH314" s="15">
        <f t="shared" si="335"/>
        <v>0</v>
      </c>
      <c r="BI314" s="15">
        <f t="shared" si="336"/>
        <v>0</v>
      </c>
      <c r="BJ314" s="15">
        <f t="shared" si="337"/>
        <v>0</v>
      </c>
      <c r="BK314" s="15" t="s">
        <v>2969</v>
      </c>
      <c r="BL314" s="29">
        <v>722</v>
      </c>
    </row>
    <row r="315" spans="1:64" ht="12.75">
      <c r="A315" s="4" t="s">
        <v>274</v>
      </c>
      <c r="B315" s="94" t="s">
        <v>1273</v>
      </c>
      <c r="C315" s="152" t="s">
        <v>2234</v>
      </c>
      <c r="D315" s="153"/>
      <c r="E315" s="153"/>
      <c r="F315" s="153"/>
      <c r="G315" s="94" t="s">
        <v>2850</v>
      </c>
      <c r="H315" s="73">
        <v>1</v>
      </c>
      <c r="I315" s="105">
        <v>0</v>
      </c>
      <c r="J315" s="15">
        <f t="shared" si="314"/>
        <v>0</v>
      </c>
      <c r="K315" s="15">
        <f t="shared" si="315"/>
        <v>0</v>
      </c>
      <c r="L315" s="15">
        <f t="shared" si="316"/>
        <v>0</v>
      </c>
      <c r="M315" s="25"/>
      <c r="N315" s="5"/>
      <c r="Z315" s="29">
        <f t="shared" si="317"/>
        <v>0</v>
      </c>
      <c r="AB315" s="29">
        <f t="shared" si="318"/>
        <v>0</v>
      </c>
      <c r="AC315" s="29">
        <f t="shared" si="319"/>
        <v>0</v>
      </c>
      <c r="AD315" s="29">
        <f t="shared" si="320"/>
        <v>0</v>
      </c>
      <c r="AE315" s="29">
        <f t="shared" si="321"/>
        <v>0</v>
      </c>
      <c r="AF315" s="29">
        <f t="shared" si="322"/>
        <v>0</v>
      </c>
      <c r="AG315" s="29">
        <f t="shared" si="323"/>
        <v>0</v>
      </c>
      <c r="AH315" s="29">
        <f t="shared" si="324"/>
        <v>0</v>
      </c>
      <c r="AI315" s="28" t="s">
        <v>2882</v>
      </c>
      <c r="AJ315" s="15">
        <f t="shared" si="325"/>
        <v>0</v>
      </c>
      <c r="AK315" s="15">
        <f t="shared" si="326"/>
        <v>0</v>
      </c>
      <c r="AL315" s="15">
        <f t="shared" si="327"/>
        <v>0</v>
      </c>
      <c r="AN315" s="29">
        <v>15</v>
      </c>
      <c r="AO315" s="29">
        <f t="shared" si="328"/>
        <v>0</v>
      </c>
      <c r="AP315" s="29">
        <f t="shared" si="329"/>
        <v>0</v>
      </c>
      <c r="AQ315" s="30" t="s">
        <v>13</v>
      </c>
      <c r="AV315" s="29">
        <f t="shared" si="330"/>
        <v>0</v>
      </c>
      <c r="AW315" s="29">
        <f t="shared" si="331"/>
        <v>0</v>
      </c>
      <c r="AX315" s="29">
        <f t="shared" si="332"/>
        <v>0</v>
      </c>
      <c r="AY315" s="32" t="s">
        <v>2914</v>
      </c>
      <c r="AZ315" s="32" t="s">
        <v>2943</v>
      </c>
      <c r="BA315" s="28" t="s">
        <v>2957</v>
      </c>
      <c r="BC315" s="29">
        <f t="shared" si="333"/>
        <v>0</v>
      </c>
      <c r="BD315" s="29">
        <f t="shared" si="334"/>
        <v>0</v>
      </c>
      <c r="BE315" s="29">
        <v>0</v>
      </c>
      <c r="BF315" s="29">
        <f>315</f>
        <v>315</v>
      </c>
      <c r="BH315" s="15">
        <f t="shared" si="335"/>
        <v>0</v>
      </c>
      <c r="BI315" s="15">
        <f t="shared" si="336"/>
        <v>0</v>
      </c>
      <c r="BJ315" s="15">
        <f t="shared" si="337"/>
        <v>0</v>
      </c>
      <c r="BK315" s="15" t="s">
        <v>2969</v>
      </c>
      <c r="BL315" s="29">
        <v>722</v>
      </c>
    </row>
    <row r="316" spans="1:64" ht="12.75">
      <c r="A316" s="4" t="s">
        <v>275</v>
      </c>
      <c r="B316" s="94" t="s">
        <v>1274</v>
      </c>
      <c r="C316" s="152" t="s">
        <v>2235</v>
      </c>
      <c r="D316" s="153"/>
      <c r="E316" s="153"/>
      <c r="F316" s="153"/>
      <c r="G316" s="94" t="s">
        <v>2850</v>
      </c>
      <c r="H316" s="73">
        <v>1</v>
      </c>
      <c r="I316" s="105">
        <v>0</v>
      </c>
      <c r="J316" s="15">
        <f t="shared" si="314"/>
        <v>0</v>
      </c>
      <c r="K316" s="15">
        <f t="shared" si="315"/>
        <v>0</v>
      </c>
      <c r="L316" s="15">
        <f t="shared" si="316"/>
        <v>0</v>
      </c>
      <c r="M316" s="25"/>
      <c r="N316" s="5"/>
      <c r="Z316" s="29">
        <f t="shared" si="317"/>
        <v>0</v>
      </c>
      <c r="AB316" s="29">
        <f t="shared" si="318"/>
        <v>0</v>
      </c>
      <c r="AC316" s="29">
        <f t="shared" si="319"/>
        <v>0</v>
      </c>
      <c r="AD316" s="29">
        <f t="shared" si="320"/>
        <v>0</v>
      </c>
      <c r="AE316" s="29">
        <f t="shared" si="321"/>
        <v>0</v>
      </c>
      <c r="AF316" s="29">
        <f t="shared" si="322"/>
        <v>0</v>
      </c>
      <c r="AG316" s="29">
        <f t="shared" si="323"/>
        <v>0</v>
      </c>
      <c r="AH316" s="29">
        <f t="shared" si="324"/>
        <v>0</v>
      </c>
      <c r="AI316" s="28" t="s">
        <v>2882</v>
      </c>
      <c r="AJ316" s="15">
        <f t="shared" si="325"/>
        <v>0</v>
      </c>
      <c r="AK316" s="15">
        <f t="shared" si="326"/>
        <v>0</v>
      </c>
      <c r="AL316" s="15">
        <f t="shared" si="327"/>
        <v>0</v>
      </c>
      <c r="AN316" s="29">
        <v>15</v>
      </c>
      <c r="AO316" s="29">
        <f t="shared" si="328"/>
        <v>0</v>
      </c>
      <c r="AP316" s="29">
        <f t="shared" si="329"/>
        <v>0</v>
      </c>
      <c r="AQ316" s="30" t="s">
        <v>13</v>
      </c>
      <c r="AV316" s="29">
        <f t="shared" si="330"/>
        <v>0</v>
      </c>
      <c r="AW316" s="29">
        <f t="shared" si="331"/>
        <v>0</v>
      </c>
      <c r="AX316" s="29">
        <f t="shared" si="332"/>
        <v>0</v>
      </c>
      <c r="AY316" s="32" t="s">
        <v>2914</v>
      </c>
      <c r="AZ316" s="32" t="s">
        <v>2943</v>
      </c>
      <c r="BA316" s="28" t="s">
        <v>2957</v>
      </c>
      <c r="BC316" s="29">
        <f t="shared" si="333"/>
        <v>0</v>
      </c>
      <c r="BD316" s="29">
        <f t="shared" si="334"/>
        <v>0</v>
      </c>
      <c r="BE316" s="29">
        <v>0</v>
      </c>
      <c r="BF316" s="29">
        <f>316</f>
        <v>316</v>
      </c>
      <c r="BH316" s="15">
        <f t="shared" si="335"/>
        <v>0</v>
      </c>
      <c r="BI316" s="15">
        <f t="shared" si="336"/>
        <v>0</v>
      </c>
      <c r="BJ316" s="15">
        <f t="shared" si="337"/>
        <v>0</v>
      </c>
      <c r="BK316" s="15" t="s">
        <v>2969</v>
      </c>
      <c r="BL316" s="29">
        <v>722</v>
      </c>
    </row>
    <row r="317" spans="1:64" ht="12.75">
      <c r="A317" s="4" t="s">
        <v>276</v>
      </c>
      <c r="B317" s="94" t="s">
        <v>1275</v>
      </c>
      <c r="C317" s="152" t="s">
        <v>2236</v>
      </c>
      <c r="D317" s="153"/>
      <c r="E317" s="153"/>
      <c r="F317" s="153"/>
      <c r="G317" s="94" t="s">
        <v>2850</v>
      </c>
      <c r="H317" s="73">
        <v>1</v>
      </c>
      <c r="I317" s="105">
        <v>0</v>
      </c>
      <c r="J317" s="15">
        <f t="shared" si="314"/>
        <v>0</v>
      </c>
      <c r="K317" s="15">
        <f t="shared" si="315"/>
        <v>0</v>
      </c>
      <c r="L317" s="15">
        <f t="shared" si="316"/>
        <v>0</v>
      </c>
      <c r="M317" s="25"/>
      <c r="N317" s="5"/>
      <c r="Z317" s="29">
        <f t="shared" si="317"/>
        <v>0</v>
      </c>
      <c r="AB317" s="29">
        <f t="shared" si="318"/>
        <v>0</v>
      </c>
      <c r="AC317" s="29">
        <f t="shared" si="319"/>
        <v>0</v>
      </c>
      <c r="AD317" s="29">
        <f t="shared" si="320"/>
        <v>0</v>
      </c>
      <c r="AE317" s="29">
        <f t="shared" si="321"/>
        <v>0</v>
      </c>
      <c r="AF317" s="29">
        <f t="shared" si="322"/>
        <v>0</v>
      </c>
      <c r="AG317" s="29">
        <f t="shared" si="323"/>
        <v>0</v>
      </c>
      <c r="AH317" s="29">
        <f t="shared" si="324"/>
        <v>0</v>
      </c>
      <c r="AI317" s="28" t="s">
        <v>2882</v>
      </c>
      <c r="AJ317" s="15">
        <f t="shared" si="325"/>
        <v>0</v>
      </c>
      <c r="AK317" s="15">
        <f t="shared" si="326"/>
        <v>0</v>
      </c>
      <c r="AL317" s="15">
        <f t="shared" si="327"/>
        <v>0</v>
      </c>
      <c r="AN317" s="29">
        <v>15</v>
      </c>
      <c r="AO317" s="29">
        <f t="shared" si="328"/>
        <v>0</v>
      </c>
      <c r="AP317" s="29">
        <f t="shared" si="329"/>
        <v>0</v>
      </c>
      <c r="AQ317" s="30" t="s">
        <v>13</v>
      </c>
      <c r="AV317" s="29">
        <f t="shared" si="330"/>
        <v>0</v>
      </c>
      <c r="AW317" s="29">
        <f t="shared" si="331"/>
        <v>0</v>
      </c>
      <c r="AX317" s="29">
        <f t="shared" si="332"/>
        <v>0</v>
      </c>
      <c r="AY317" s="32" t="s">
        <v>2914</v>
      </c>
      <c r="AZ317" s="32" t="s">
        <v>2943</v>
      </c>
      <c r="BA317" s="28" t="s">
        <v>2957</v>
      </c>
      <c r="BC317" s="29">
        <f t="shared" si="333"/>
        <v>0</v>
      </c>
      <c r="BD317" s="29">
        <f t="shared" si="334"/>
        <v>0</v>
      </c>
      <c r="BE317" s="29">
        <v>0</v>
      </c>
      <c r="BF317" s="29">
        <f>317</f>
        <v>317</v>
      </c>
      <c r="BH317" s="15">
        <f t="shared" si="335"/>
        <v>0</v>
      </c>
      <c r="BI317" s="15">
        <f t="shared" si="336"/>
        <v>0</v>
      </c>
      <c r="BJ317" s="15">
        <f t="shared" si="337"/>
        <v>0</v>
      </c>
      <c r="BK317" s="15" t="s">
        <v>2969</v>
      </c>
      <c r="BL317" s="29">
        <v>722</v>
      </c>
    </row>
    <row r="318" spans="1:64" ht="12.75">
      <c r="A318" s="4" t="s">
        <v>277</v>
      </c>
      <c r="B318" s="94" t="s">
        <v>1276</v>
      </c>
      <c r="C318" s="152" t="s">
        <v>2237</v>
      </c>
      <c r="D318" s="153"/>
      <c r="E318" s="153"/>
      <c r="F318" s="153"/>
      <c r="G318" s="94" t="s">
        <v>2850</v>
      </c>
      <c r="H318" s="73">
        <v>1</v>
      </c>
      <c r="I318" s="105">
        <v>0</v>
      </c>
      <c r="J318" s="15">
        <f t="shared" si="314"/>
        <v>0</v>
      </c>
      <c r="K318" s="15">
        <f t="shared" si="315"/>
        <v>0</v>
      </c>
      <c r="L318" s="15">
        <f t="shared" si="316"/>
        <v>0</v>
      </c>
      <c r="M318" s="25"/>
      <c r="N318" s="5"/>
      <c r="Z318" s="29">
        <f t="shared" si="317"/>
        <v>0</v>
      </c>
      <c r="AB318" s="29">
        <f t="shared" si="318"/>
        <v>0</v>
      </c>
      <c r="AC318" s="29">
        <f t="shared" si="319"/>
        <v>0</v>
      </c>
      <c r="AD318" s="29">
        <f t="shared" si="320"/>
        <v>0</v>
      </c>
      <c r="AE318" s="29">
        <f t="shared" si="321"/>
        <v>0</v>
      </c>
      <c r="AF318" s="29">
        <f t="shared" si="322"/>
        <v>0</v>
      </c>
      <c r="AG318" s="29">
        <f t="shared" si="323"/>
        <v>0</v>
      </c>
      <c r="AH318" s="29">
        <f t="shared" si="324"/>
        <v>0</v>
      </c>
      <c r="AI318" s="28" t="s">
        <v>2882</v>
      </c>
      <c r="AJ318" s="15">
        <f t="shared" si="325"/>
        <v>0</v>
      </c>
      <c r="AK318" s="15">
        <f t="shared" si="326"/>
        <v>0</v>
      </c>
      <c r="AL318" s="15">
        <f t="shared" si="327"/>
        <v>0</v>
      </c>
      <c r="AN318" s="29">
        <v>15</v>
      </c>
      <c r="AO318" s="29">
        <f t="shared" si="328"/>
        <v>0</v>
      </c>
      <c r="AP318" s="29">
        <f t="shared" si="329"/>
        <v>0</v>
      </c>
      <c r="AQ318" s="30" t="s">
        <v>13</v>
      </c>
      <c r="AV318" s="29">
        <f t="shared" si="330"/>
        <v>0</v>
      </c>
      <c r="AW318" s="29">
        <f t="shared" si="331"/>
        <v>0</v>
      </c>
      <c r="AX318" s="29">
        <f t="shared" si="332"/>
        <v>0</v>
      </c>
      <c r="AY318" s="32" t="s">
        <v>2914</v>
      </c>
      <c r="AZ318" s="32" t="s">
        <v>2943</v>
      </c>
      <c r="BA318" s="28" t="s">
        <v>2957</v>
      </c>
      <c r="BC318" s="29">
        <f t="shared" si="333"/>
        <v>0</v>
      </c>
      <c r="BD318" s="29">
        <f t="shared" si="334"/>
        <v>0</v>
      </c>
      <c r="BE318" s="29">
        <v>0</v>
      </c>
      <c r="BF318" s="29">
        <f>318</f>
        <v>318</v>
      </c>
      <c r="BH318" s="15">
        <f t="shared" si="335"/>
        <v>0</v>
      </c>
      <c r="BI318" s="15">
        <f t="shared" si="336"/>
        <v>0</v>
      </c>
      <c r="BJ318" s="15">
        <f t="shared" si="337"/>
        <v>0</v>
      </c>
      <c r="BK318" s="15" t="s">
        <v>2969</v>
      </c>
      <c r="BL318" s="29">
        <v>722</v>
      </c>
    </row>
    <row r="319" spans="1:64" ht="12.75">
      <c r="A319" s="4" t="s">
        <v>278</v>
      </c>
      <c r="B319" s="94" t="s">
        <v>1277</v>
      </c>
      <c r="C319" s="152" t="s">
        <v>2238</v>
      </c>
      <c r="D319" s="153"/>
      <c r="E319" s="153"/>
      <c r="F319" s="153"/>
      <c r="G319" s="94" t="s">
        <v>2850</v>
      </c>
      <c r="H319" s="73">
        <v>2</v>
      </c>
      <c r="I319" s="105">
        <v>0</v>
      </c>
      <c r="J319" s="15">
        <f t="shared" si="314"/>
        <v>0</v>
      </c>
      <c r="K319" s="15">
        <f t="shared" si="315"/>
        <v>0</v>
      </c>
      <c r="L319" s="15">
        <f t="shared" si="316"/>
        <v>0</v>
      </c>
      <c r="M319" s="25"/>
      <c r="N319" s="5"/>
      <c r="Z319" s="29">
        <f t="shared" si="317"/>
        <v>0</v>
      </c>
      <c r="AB319" s="29">
        <f t="shared" si="318"/>
        <v>0</v>
      </c>
      <c r="AC319" s="29">
        <f t="shared" si="319"/>
        <v>0</v>
      </c>
      <c r="AD319" s="29">
        <f t="shared" si="320"/>
        <v>0</v>
      </c>
      <c r="AE319" s="29">
        <f t="shared" si="321"/>
        <v>0</v>
      </c>
      <c r="AF319" s="29">
        <f t="shared" si="322"/>
        <v>0</v>
      </c>
      <c r="AG319" s="29">
        <f t="shared" si="323"/>
        <v>0</v>
      </c>
      <c r="AH319" s="29">
        <f t="shared" si="324"/>
        <v>0</v>
      </c>
      <c r="AI319" s="28" t="s">
        <v>2882</v>
      </c>
      <c r="AJ319" s="15">
        <f t="shared" si="325"/>
        <v>0</v>
      </c>
      <c r="AK319" s="15">
        <f t="shared" si="326"/>
        <v>0</v>
      </c>
      <c r="AL319" s="15">
        <f t="shared" si="327"/>
        <v>0</v>
      </c>
      <c r="AN319" s="29">
        <v>15</v>
      </c>
      <c r="AO319" s="29">
        <f t="shared" si="328"/>
        <v>0</v>
      </c>
      <c r="AP319" s="29">
        <f t="shared" si="329"/>
        <v>0</v>
      </c>
      <c r="AQ319" s="30" t="s">
        <v>13</v>
      </c>
      <c r="AV319" s="29">
        <f t="shared" si="330"/>
        <v>0</v>
      </c>
      <c r="AW319" s="29">
        <f t="shared" si="331"/>
        <v>0</v>
      </c>
      <c r="AX319" s="29">
        <f t="shared" si="332"/>
        <v>0</v>
      </c>
      <c r="AY319" s="32" t="s">
        <v>2914</v>
      </c>
      <c r="AZ319" s="32" t="s">
        <v>2943</v>
      </c>
      <c r="BA319" s="28" t="s">
        <v>2957</v>
      </c>
      <c r="BC319" s="29">
        <f t="shared" si="333"/>
        <v>0</v>
      </c>
      <c r="BD319" s="29">
        <f t="shared" si="334"/>
        <v>0</v>
      </c>
      <c r="BE319" s="29">
        <v>0</v>
      </c>
      <c r="BF319" s="29">
        <f>319</f>
        <v>319</v>
      </c>
      <c r="BH319" s="15">
        <f t="shared" si="335"/>
        <v>0</v>
      </c>
      <c r="BI319" s="15">
        <f t="shared" si="336"/>
        <v>0</v>
      </c>
      <c r="BJ319" s="15">
        <f t="shared" si="337"/>
        <v>0</v>
      </c>
      <c r="BK319" s="15" t="s">
        <v>2969</v>
      </c>
      <c r="BL319" s="29">
        <v>722</v>
      </c>
    </row>
    <row r="320" spans="1:64" ht="12.75">
      <c r="A320" s="4" t="s">
        <v>279</v>
      </c>
      <c r="B320" s="94" t="s">
        <v>1278</v>
      </c>
      <c r="C320" s="152" t="s">
        <v>2239</v>
      </c>
      <c r="D320" s="153"/>
      <c r="E320" s="153"/>
      <c r="F320" s="153"/>
      <c r="G320" s="94" t="s">
        <v>2850</v>
      </c>
      <c r="H320" s="73">
        <v>1</v>
      </c>
      <c r="I320" s="105">
        <v>0</v>
      </c>
      <c r="J320" s="15">
        <f t="shared" si="314"/>
        <v>0</v>
      </c>
      <c r="K320" s="15">
        <f t="shared" si="315"/>
        <v>0</v>
      </c>
      <c r="L320" s="15">
        <f t="shared" si="316"/>
        <v>0</v>
      </c>
      <c r="M320" s="25"/>
      <c r="N320" s="5"/>
      <c r="Z320" s="29">
        <f t="shared" si="317"/>
        <v>0</v>
      </c>
      <c r="AB320" s="29">
        <f t="shared" si="318"/>
        <v>0</v>
      </c>
      <c r="AC320" s="29">
        <f t="shared" si="319"/>
        <v>0</v>
      </c>
      <c r="AD320" s="29">
        <f t="shared" si="320"/>
        <v>0</v>
      </c>
      <c r="AE320" s="29">
        <f t="shared" si="321"/>
        <v>0</v>
      </c>
      <c r="AF320" s="29">
        <f t="shared" si="322"/>
        <v>0</v>
      </c>
      <c r="AG320" s="29">
        <f t="shared" si="323"/>
        <v>0</v>
      </c>
      <c r="AH320" s="29">
        <f t="shared" si="324"/>
        <v>0</v>
      </c>
      <c r="AI320" s="28" t="s">
        <v>2882</v>
      </c>
      <c r="AJ320" s="15">
        <f t="shared" si="325"/>
        <v>0</v>
      </c>
      <c r="AK320" s="15">
        <f t="shared" si="326"/>
        <v>0</v>
      </c>
      <c r="AL320" s="15">
        <f t="shared" si="327"/>
        <v>0</v>
      </c>
      <c r="AN320" s="29">
        <v>15</v>
      </c>
      <c r="AO320" s="29">
        <f t="shared" si="328"/>
        <v>0</v>
      </c>
      <c r="AP320" s="29">
        <f t="shared" si="329"/>
        <v>0</v>
      </c>
      <c r="AQ320" s="30" t="s">
        <v>13</v>
      </c>
      <c r="AV320" s="29">
        <f t="shared" si="330"/>
        <v>0</v>
      </c>
      <c r="AW320" s="29">
        <f t="shared" si="331"/>
        <v>0</v>
      </c>
      <c r="AX320" s="29">
        <f t="shared" si="332"/>
        <v>0</v>
      </c>
      <c r="AY320" s="32" t="s">
        <v>2914</v>
      </c>
      <c r="AZ320" s="32" t="s">
        <v>2943</v>
      </c>
      <c r="BA320" s="28" t="s">
        <v>2957</v>
      </c>
      <c r="BC320" s="29">
        <f t="shared" si="333"/>
        <v>0</v>
      </c>
      <c r="BD320" s="29">
        <f t="shared" si="334"/>
        <v>0</v>
      </c>
      <c r="BE320" s="29">
        <v>0</v>
      </c>
      <c r="BF320" s="29">
        <f>320</f>
        <v>320</v>
      </c>
      <c r="BH320" s="15">
        <f t="shared" si="335"/>
        <v>0</v>
      </c>
      <c r="BI320" s="15">
        <f t="shared" si="336"/>
        <v>0</v>
      </c>
      <c r="BJ320" s="15">
        <f t="shared" si="337"/>
        <v>0</v>
      </c>
      <c r="BK320" s="15" t="s">
        <v>2969</v>
      </c>
      <c r="BL320" s="29">
        <v>722</v>
      </c>
    </row>
    <row r="321" spans="1:64" ht="12.75">
      <c r="A321" s="4" t="s">
        <v>280</v>
      </c>
      <c r="B321" s="94" t="s">
        <v>1279</v>
      </c>
      <c r="C321" s="152" t="s">
        <v>2240</v>
      </c>
      <c r="D321" s="153"/>
      <c r="E321" s="153"/>
      <c r="F321" s="153"/>
      <c r="G321" s="94" t="s">
        <v>2850</v>
      </c>
      <c r="H321" s="73">
        <v>1</v>
      </c>
      <c r="I321" s="105">
        <v>0</v>
      </c>
      <c r="J321" s="15">
        <f t="shared" si="314"/>
        <v>0</v>
      </c>
      <c r="K321" s="15">
        <f t="shared" si="315"/>
        <v>0</v>
      </c>
      <c r="L321" s="15">
        <f t="shared" si="316"/>
        <v>0</v>
      </c>
      <c r="M321" s="25"/>
      <c r="N321" s="5"/>
      <c r="Z321" s="29">
        <f t="shared" si="317"/>
        <v>0</v>
      </c>
      <c r="AB321" s="29">
        <f t="shared" si="318"/>
        <v>0</v>
      </c>
      <c r="AC321" s="29">
        <f t="shared" si="319"/>
        <v>0</v>
      </c>
      <c r="AD321" s="29">
        <f t="shared" si="320"/>
        <v>0</v>
      </c>
      <c r="AE321" s="29">
        <f t="shared" si="321"/>
        <v>0</v>
      </c>
      <c r="AF321" s="29">
        <f t="shared" si="322"/>
        <v>0</v>
      </c>
      <c r="AG321" s="29">
        <f t="shared" si="323"/>
        <v>0</v>
      </c>
      <c r="AH321" s="29">
        <f t="shared" si="324"/>
        <v>0</v>
      </c>
      <c r="AI321" s="28" t="s">
        <v>2882</v>
      </c>
      <c r="AJ321" s="15">
        <f t="shared" si="325"/>
        <v>0</v>
      </c>
      <c r="AK321" s="15">
        <f t="shared" si="326"/>
        <v>0</v>
      </c>
      <c r="AL321" s="15">
        <f t="shared" si="327"/>
        <v>0</v>
      </c>
      <c r="AN321" s="29">
        <v>15</v>
      </c>
      <c r="AO321" s="29">
        <f t="shared" si="328"/>
        <v>0</v>
      </c>
      <c r="AP321" s="29">
        <f t="shared" si="329"/>
        <v>0</v>
      </c>
      <c r="AQ321" s="30" t="s">
        <v>13</v>
      </c>
      <c r="AV321" s="29">
        <f t="shared" si="330"/>
        <v>0</v>
      </c>
      <c r="AW321" s="29">
        <f t="shared" si="331"/>
        <v>0</v>
      </c>
      <c r="AX321" s="29">
        <f t="shared" si="332"/>
        <v>0</v>
      </c>
      <c r="AY321" s="32" t="s">
        <v>2914</v>
      </c>
      <c r="AZ321" s="32" t="s">
        <v>2943</v>
      </c>
      <c r="BA321" s="28" t="s">
        <v>2957</v>
      </c>
      <c r="BC321" s="29">
        <f t="shared" si="333"/>
        <v>0</v>
      </c>
      <c r="BD321" s="29">
        <f t="shared" si="334"/>
        <v>0</v>
      </c>
      <c r="BE321" s="29">
        <v>0</v>
      </c>
      <c r="BF321" s="29">
        <f>321</f>
        <v>321</v>
      </c>
      <c r="BH321" s="15">
        <f t="shared" si="335"/>
        <v>0</v>
      </c>
      <c r="BI321" s="15">
        <f t="shared" si="336"/>
        <v>0</v>
      </c>
      <c r="BJ321" s="15">
        <f t="shared" si="337"/>
        <v>0</v>
      </c>
      <c r="BK321" s="15" t="s">
        <v>2969</v>
      </c>
      <c r="BL321" s="29">
        <v>722</v>
      </c>
    </row>
    <row r="322" spans="1:64" ht="12.75">
      <c r="A322" s="4" t="s">
        <v>281</v>
      </c>
      <c r="B322" s="94" t="s">
        <v>1280</v>
      </c>
      <c r="C322" s="152" t="s">
        <v>2241</v>
      </c>
      <c r="D322" s="153"/>
      <c r="E322" s="153"/>
      <c r="F322" s="153"/>
      <c r="G322" s="94" t="s">
        <v>2850</v>
      </c>
      <c r="H322" s="73">
        <v>1</v>
      </c>
      <c r="I322" s="105">
        <v>0</v>
      </c>
      <c r="J322" s="15">
        <f t="shared" si="314"/>
        <v>0</v>
      </c>
      <c r="K322" s="15">
        <f t="shared" si="315"/>
        <v>0</v>
      </c>
      <c r="L322" s="15">
        <f t="shared" si="316"/>
        <v>0</v>
      </c>
      <c r="M322" s="25"/>
      <c r="N322" s="5"/>
      <c r="Z322" s="29">
        <f t="shared" si="317"/>
        <v>0</v>
      </c>
      <c r="AB322" s="29">
        <f t="shared" si="318"/>
        <v>0</v>
      </c>
      <c r="AC322" s="29">
        <f t="shared" si="319"/>
        <v>0</v>
      </c>
      <c r="AD322" s="29">
        <f t="shared" si="320"/>
        <v>0</v>
      </c>
      <c r="AE322" s="29">
        <f t="shared" si="321"/>
        <v>0</v>
      </c>
      <c r="AF322" s="29">
        <f t="shared" si="322"/>
        <v>0</v>
      </c>
      <c r="AG322" s="29">
        <f t="shared" si="323"/>
        <v>0</v>
      </c>
      <c r="AH322" s="29">
        <f t="shared" si="324"/>
        <v>0</v>
      </c>
      <c r="AI322" s="28" t="s">
        <v>2882</v>
      </c>
      <c r="AJ322" s="15">
        <f t="shared" si="325"/>
        <v>0</v>
      </c>
      <c r="AK322" s="15">
        <f t="shared" si="326"/>
        <v>0</v>
      </c>
      <c r="AL322" s="15">
        <f t="shared" si="327"/>
        <v>0</v>
      </c>
      <c r="AN322" s="29">
        <v>15</v>
      </c>
      <c r="AO322" s="29">
        <f t="shared" si="328"/>
        <v>0</v>
      </c>
      <c r="AP322" s="29">
        <f t="shared" si="329"/>
        <v>0</v>
      </c>
      <c r="AQ322" s="30" t="s">
        <v>13</v>
      </c>
      <c r="AV322" s="29">
        <f t="shared" si="330"/>
        <v>0</v>
      </c>
      <c r="AW322" s="29">
        <f t="shared" si="331"/>
        <v>0</v>
      </c>
      <c r="AX322" s="29">
        <f t="shared" si="332"/>
        <v>0</v>
      </c>
      <c r="AY322" s="32" t="s">
        <v>2914</v>
      </c>
      <c r="AZ322" s="32" t="s">
        <v>2943</v>
      </c>
      <c r="BA322" s="28" t="s">
        <v>2957</v>
      </c>
      <c r="BC322" s="29">
        <f t="shared" si="333"/>
        <v>0</v>
      </c>
      <c r="BD322" s="29">
        <f t="shared" si="334"/>
        <v>0</v>
      </c>
      <c r="BE322" s="29">
        <v>0</v>
      </c>
      <c r="BF322" s="29">
        <f>322</f>
        <v>322</v>
      </c>
      <c r="BH322" s="15">
        <f t="shared" si="335"/>
        <v>0</v>
      </c>
      <c r="BI322" s="15">
        <f t="shared" si="336"/>
        <v>0</v>
      </c>
      <c r="BJ322" s="15">
        <f t="shared" si="337"/>
        <v>0</v>
      </c>
      <c r="BK322" s="15" t="s">
        <v>2969</v>
      </c>
      <c r="BL322" s="29">
        <v>722</v>
      </c>
    </row>
    <row r="323" spans="1:64" ht="12.75">
      <c r="A323" s="4" t="s">
        <v>282</v>
      </c>
      <c r="B323" s="94" t="s">
        <v>1281</v>
      </c>
      <c r="C323" s="152" t="s">
        <v>2242</v>
      </c>
      <c r="D323" s="153"/>
      <c r="E323" s="153"/>
      <c r="F323" s="153"/>
      <c r="G323" s="94" t="s">
        <v>2850</v>
      </c>
      <c r="H323" s="73">
        <v>2</v>
      </c>
      <c r="I323" s="105">
        <v>0</v>
      </c>
      <c r="J323" s="15">
        <f t="shared" si="314"/>
        <v>0</v>
      </c>
      <c r="K323" s="15">
        <f t="shared" si="315"/>
        <v>0</v>
      </c>
      <c r="L323" s="15">
        <f t="shared" si="316"/>
        <v>0</v>
      </c>
      <c r="M323" s="25"/>
      <c r="N323" s="5"/>
      <c r="Z323" s="29">
        <f t="shared" si="317"/>
        <v>0</v>
      </c>
      <c r="AB323" s="29">
        <f t="shared" si="318"/>
        <v>0</v>
      </c>
      <c r="AC323" s="29">
        <f t="shared" si="319"/>
        <v>0</v>
      </c>
      <c r="AD323" s="29">
        <f t="shared" si="320"/>
        <v>0</v>
      </c>
      <c r="AE323" s="29">
        <f t="shared" si="321"/>
        <v>0</v>
      </c>
      <c r="AF323" s="29">
        <f t="shared" si="322"/>
        <v>0</v>
      </c>
      <c r="AG323" s="29">
        <f t="shared" si="323"/>
        <v>0</v>
      </c>
      <c r="AH323" s="29">
        <f t="shared" si="324"/>
        <v>0</v>
      </c>
      <c r="AI323" s="28" t="s">
        <v>2882</v>
      </c>
      <c r="AJ323" s="15">
        <f t="shared" si="325"/>
        <v>0</v>
      </c>
      <c r="AK323" s="15">
        <f t="shared" si="326"/>
        <v>0</v>
      </c>
      <c r="AL323" s="15">
        <f t="shared" si="327"/>
        <v>0</v>
      </c>
      <c r="AN323" s="29">
        <v>15</v>
      </c>
      <c r="AO323" s="29">
        <f t="shared" si="328"/>
        <v>0</v>
      </c>
      <c r="AP323" s="29">
        <f t="shared" si="329"/>
        <v>0</v>
      </c>
      <c r="AQ323" s="30" t="s">
        <v>13</v>
      </c>
      <c r="AV323" s="29">
        <f t="shared" si="330"/>
        <v>0</v>
      </c>
      <c r="AW323" s="29">
        <f t="shared" si="331"/>
        <v>0</v>
      </c>
      <c r="AX323" s="29">
        <f t="shared" si="332"/>
        <v>0</v>
      </c>
      <c r="AY323" s="32" t="s">
        <v>2914</v>
      </c>
      <c r="AZ323" s="32" t="s">
        <v>2943</v>
      </c>
      <c r="BA323" s="28" t="s">
        <v>2957</v>
      </c>
      <c r="BC323" s="29">
        <f t="shared" si="333"/>
        <v>0</v>
      </c>
      <c r="BD323" s="29">
        <f t="shared" si="334"/>
        <v>0</v>
      </c>
      <c r="BE323" s="29">
        <v>0</v>
      </c>
      <c r="BF323" s="29">
        <f>323</f>
        <v>323</v>
      </c>
      <c r="BH323" s="15">
        <f t="shared" si="335"/>
        <v>0</v>
      </c>
      <c r="BI323" s="15">
        <f t="shared" si="336"/>
        <v>0</v>
      </c>
      <c r="BJ323" s="15">
        <f t="shared" si="337"/>
        <v>0</v>
      </c>
      <c r="BK323" s="15" t="s">
        <v>2969</v>
      </c>
      <c r="BL323" s="29">
        <v>722</v>
      </c>
    </row>
    <row r="324" spans="1:64" ht="12.75">
      <c r="A324" s="4" t="s">
        <v>283</v>
      </c>
      <c r="B324" s="94" t="s">
        <v>1282</v>
      </c>
      <c r="C324" s="152" t="s">
        <v>2243</v>
      </c>
      <c r="D324" s="153"/>
      <c r="E324" s="153"/>
      <c r="F324" s="153"/>
      <c r="G324" s="94" t="s">
        <v>2850</v>
      </c>
      <c r="H324" s="73">
        <v>1</v>
      </c>
      <c r="I324" s="105">
        <v>0</v>
      </c>
      <c r="J324" s="15">
        <f t="shared" si="314"/>
        <v>0</v>
      </c>
      <c r="K324" s="15">
        <f t="shared" si="315"/>
        <v>0</v>
      </c>
      <c r="L324" s="15">
        <f t="shared" si="316"/>
        <v>0</v>
      </c>
      <c r="M324" s="25"/>
      <c r="N324" s="5"/>
      <c r="Z324" s="29">
        <f t="shared" si="317"/>
        <v>0</v>
      </c>
      <c r="AB324" s="29">
        <f t="shared" si="318"/>
        <v>0</v>
      </c>
      <c r="AC324" s="29">
        <f t="shared" si="319"/>
        <v>0</v>
      </c>
      <c r="AD324" s="29">
        <f t="shared" si="320"/>
        <v>0</v>
      </c>
      <c r="AE324" s="29">
        <f t="shared" si="321"/>
        <v>0</v>
      </c>
      <c r="AF324" s="29">
        <f t="shared" si="322"/>
        <v>0</v>
      </c>
      <c r="AG324" s="29">
        <f t="shared" si="323"/>
        <v>0</v>
      </c>
      <c r="AH324" s="29">
        <f t="shared" si="324"/>
        <v>0</v>
      </c>
      <c r="AI324" s="28" t="s">
        <v>2882</v>
      </c>
      <c r="AJ324" s="15">
        <f t="shared" si="325"/>
        <v>0</v>
      </c>
      <c r="AK324" s="15">
        <f t="shared" si="326"/>
        <v>0</v>
      </c>
      <c r="AL324" s="15">
        <f t="shared" si="327"/>
        <v>0</v>
      </c>
      <c r="AN324" s="29">
        <v>15</v>
      </c>
      <c r="AO324" s="29">
        <f t="shared" si="328"/>
        <v>0</v>
      </c>
      <c r="AP324" s="29">
        <f t="shared" si="329"/>
        <v>0</v>
      </c>
      <c r="AQ324" s="30" t="s">
        <v>13</v>
      </c>
      <c r="AV324" s="29">
        <f t="shared" si="330"/>
        <v>0</v>
      </c>
      <c r="AW324" s="29">
        <f t="shared" si="331"/>
        <v>0</v>
      </c>
      <c r="AX324" s="29">
        <f t="shared" si="332"/>
        <v>0</v>
      </c>
      <c r="AY324" s="32" t="s">
        <v>2914</v>
      </c>
      <c r="AZ324" s="32" t="s">
        <v>2943</v>
      </c>
      <c r="BA324" s="28" t="s">
        <v>2957</v>
      </c>
      <c r="BC324" s="29">
        <f t="shared" si="333"/>
        <v>0</v>
      </c>
      <c r="BD324" s="29">
        <f t="shared" si="334"/>
        <v>0</v>
      </c>
      <c r="BE324" s="29">
        <v>0</v>
      </c>
      <c r="BF324" s="29">
        <f>324</f>
        <v>324</v>
      </c>
      <c r="BH324" s="15">
        <f t="shared" si="335"/>
        <v>0</v>
      </c>
      <c r="BI324" s="15">
        <f t="shared" si="336"/>
        <v>0</v>
      </c>
      <c r="BJ324" s="15">
        <f t="shared" si="337"/>
        <v>0</v>
      </c>
      <c r="BK324" s="15" t="s">
        <v>2969</v>
      </c>
      <c r="BL324" s="29">
        <v>722</v>
      </c>
    </row>
    <row r="325" spans="1:64" ht="12.75">
      <c r="A325" s="4" t="s">
        <v>284</v>
      </c>
      <c r="B325" s="94" t="s">
        <v>1283</v>
      </c>
      <c r="C325" s="152" t="s">
        <v>2244</v>
      </c>
      <c r="D325" s="153"/>
      <c r="E325" s="153"/>
      <c r="F325" s="153"/>
      <c r="G325" s="94" t="s">
        <v>2850</v>
      </c>
      <c r="H325" s="73">
        <v>1</v>
      </c>
      <c r="I325" s="105">
        <v>0</v>
      </c>
      <c r="J325" s="15">
        <f t="shared" si="314"/>
        <v>0</v>
      </c>
      <c r="K325" s="15">
        <f t="shared" si="315"/>
        <v>0</v>
      </c>
      <c r="L325" s="15">
        <f t="shared" si="316"/>
        <v>0</v>
      </c>
      <c r="M325" s="25"/>
      <c r="N325" s="5"/>
      <c r="Z325" s="29">
        <f t="shared" si="317"/>
        <v>0</v>
      </c>
      <c r="AB325" s="29">
        <f t="shared" si="318"/>
        <v>0</v>
      </c>
      <c r="AC325" s="29">
        <f t="shared" si="319"/>
        <v>0</v>
      </c>
      <c r="AD325" s="29">
        <f t="shared" si="320"/>
        <v>0</v>
      </c>
      <c r="AE325" s="29">
        <f t="shared" si="321"/>
        <v>0</v>
      </c>
      <c r="AF325" s="29">
        <f t="shared" si="322"/>
        <v>0</v>
      </c>
      <c r="AG325" s="29">
        <f t="shared" si="323"/>
        <v>0</v>
      </c>
      <c r="AH325" s="29">
        <f t="shared" si="324"/>
        <v>0</v>
      </c>
      <c r="AI325" s="28" t="s">
        <v>2882</v>
      </c>
      <c r="AJ325" s="15">
        <f t="shared" si="325"/>
        <v>0</v>
      </c>
      <c r="AK325" s="15">
        <f t="shared" si="326"/>
        <v>0</v>
      </c>
      <c r="AL325" s="15">
        <f t="shared" si="327"/>
        <v>0</v>
      </c>
      <c r="AN325" s="29">
        <v>15</v>
      </c>
      <c r="AO325" s="29">
        <f t="shared" si="328"/>
        <v>0</v>
      </c>
      <c r="AP325" s="29">
        <f t="shared" si="329"/>
        <v>0</v>
      </c>
      <c r="AQ325" s="30" t="s">
        <v>13</v>
      </c>
      <c r="AV325" s="29">
        <f t="shared" si="330"/>
        <v>0</v>
      </c>
      <c r="AW325" s="29">
        <f t="shared" si="331"/>
        <v>0</v>
      </c>
      <c r="AX325" s="29">
        <f t="shared" si="332"/>
        <v>0</v>
      </c>
      <c r="AY325" s="32" t="s">
        <v>2914</v>
      </c>
      <c r="AZ325" s="32" t="s">
        <v>2943</v>
      </c>
      <c r="BA325" s="28" t="s">
        <v>2957</v>
      </c>
      <c r="BC325" s="29">
        <f t="shared" si="333"/>
        <v>0</v>
      </c>
      <c r="BD325" s="29">
        <f t="shared" si="334"/>
        <v>0</v>
      </c>
      <c r="BE325" s="29">
        <v>0</v>
      </c>
      <c r="BF325" s="29">
        <f>325</f>
        <v>325</v>
      </c>
      <c r="BH325" s="15">
        <f t="shared" si="335"/>
        <v>0</v>
      </c>
      <c r="BI325" s="15">
        <f t="shared" si="336"/>
        <v>0</v>
      </c>
      <c r="BJ325" s="15">
        <f t="shared" si="337"/>
        <v>0</v>
      </c>
      <c r="BK325" s="15" t="s">
        <v>2969</v>
      </c>
      <c r="BL325" s="29">
        <v>722</v>
      </c>
    </row>
    <row r="326" spans="1:64" ht="12.75">
      <c r="A326" s="4" t="s">
        <v>285</v>
      </c>
      <c r="B326" s="94" t="s">
        <v>1284</v>
      </c>
      <c r="C326" s="152" t="s">
        <v>2245</v>
      </c>
      <c r="D326" s="153"/>
      <c r="E326" s="153"/>
      <c r="F326" s="153"/>
      <c r="G326" s="94" t="s">
        <v>2850</v>
      </c>
      <c r="H326" s="73">
        <v>1</v>
      </c>
      <c r="I326" s="105">
        <v>0</v>
      </c>
      <c r="J326" s="15">
        <f t="shared" si="314"/>
        <v>0</v>
      </c>
      <c r="K326" s="15">
        <f t="shared" si="315"/>
        <v>0</v>
      </c>
      <c r="L326" s="15">
        <f t="shared" si="316"/>
        <v>0</v>
      </c>
      <c r="M326" s="25"/>
      <c r="N326" s="5"/>
      <c r="Z326" s="29">
        <f t="shared" si="317"/>
        <v>0</v>
      </c>
      <c r="AB326" s="29">
        <f t="shared" si="318"/>
        <v>0</v>
      </c>
      <c r="AC326" s="29">
        <f t="shared" si="319"/>
        <v>0</v>
      </c>
      <c r="AD326" s="29">
        <f t="shared" si="320"/>
        <v>0</v>
      </c>
      <c r="AE326" s="29">
        <f t="shared" si="321"/>
        <v>0</v>
      </c>
      <c r="AF326" s="29">
        <f t="shared" si="322"/>
        <v>0</v>
      </c>
      <c r="AG326" s="29">
        <f t="shared" si="323"/>
        <v>0</v>
      </c>
      <c r="AH326" s="29">
        <f t="shared" si="324"/>
        <v>0</v>
      </c>
      <c r="AI326" s="28" t="s">
        <v>2882</v>
      </c>
      <c r="AJ326" s="15">
        <f t="shared" si="325"/>
        <v>0</v>
      </c>
      <c r="AK326" s="15">
        <f t="shared" si="326"/>
        <v>0</v>
      </c>
      <c r="AL326" s="15">
        <f t="shared" si="327"/>
        <v>0</v>
      </c>
      <c r="AN326" s="29">
        <v>15</v>
      </c>
      <c r="AO326" s="29">
        <f t="shared" si="328"/>
        <v>0</v>
      </c>
      <c r="AP326" s="29">
        <f t="shared" si="329"/>
        <v>0</v>
      </c>
      <c r="AQ326" s="30" t="s">
        <v>13</v>
      </c>
      <c r="AV326" s="29">
        <f t="shared" si="330"/>
        <v>0</v>
      </c>
      <c r="AW326" s="29">
        <f t="shared" si="331"/>
        <v>0</v>
      </c>
      <c r="AX326" s="29">
        <f t="shared" si="332"/>
        <v>0</v>
      </c>
      <c r="AY326" s="32" t="s">
        <v>2914</v>
      </c>
      <c r="AZ326" s="32" t="s">
        <v>2943</v>
      </c>
      <c r="BA326" s="28" t="s">
        <v>2957</v>
      </c>
      <c r="BC326" s="29">
        <f t="shared" si="333"/>
        <v>0</v>
      </c>
      <c r="BD326" s="29">
        <f t="shared" si="334"/>
        <v>0</v>
      </c>
      <c r="BE326" s="29">
        <v>0</v>
      </c>
      <c r="BF326" s="29">
        <f>326</f>
        <v>326</v>
      </c>
      <c r="BH326" s="15">
        <f t="shared" si="335"/>
        <v>0</v>
      </c>
      <c r="BI326" s="15">
        <f t="shared" si="336"/>
        <v>0</v>
      </c>
      <c r="BJ326" s="15">
        <f t="shared" si="337"/>
        <v>0</v>
      </c>
      <c r="BK326" s="15" t="s">
        <v>2969</v>
      </c>
      <c r="BL326" s="29">
        <v>722</v>
      </c>
    </row>
    <row r="327" spans="1:64" ht="12.75">
      <c r="A327" s="4" t="s">
        <v>286</v>
      </c>
      <c r="B327" s="94" t="s">
        <v>1285</v>
      </c>
      <c r="C327" s="152" t="s">
        <v>2246</v>
      </c>
      <c r="D327" s="153"/>
      <c r="E327" s="153"/>
      <c r="F327" s="153"/>
      <c r="G327" s="94" t="s">
        <v>2850</v>
      </c>
      <c r="H327" s="73">
        <v>1</v>
      </c>
      <c r="I327" s="105">
        <v>0</v>
      </c>
      <c r="J327" s="15">
        <f t="shared" si="314"/>
        <v>0</v>
      </c>
      <c r="K327" s="15">
        <f t="shared" si="315"/>
        <v>0</v>
      </c>
      <c r="L327" s="15">
        <f t="shared" si="316"/>
        <v>0</v>
      </c>
      <c r="M327" s="25"/>
      <c r="N327" s="5"/>
      <c r="Z327" s="29">
        <f t="shared" si="317"/>
        <v>0</v>
      </c>
      <c r="AB327" s="29">
        <f t="shared" si="318"/>
        <v>0</v>
      </c>
      <c r="AC327" s="29">
        <f t="shared" si="319"/>
        <v>0</v>
      </c>
      <c r="AD327" s="29">
        <f t="shared" si="320"/>
        <v>0</v>
      </c>
      <c r="AE327" s="29">
        <f t="shared" si="321"/>
        <v>0</v>
      </c>
      <c r="AF327" s="29">
        <f t="shared" si="322"/>
        <v>0</v>
      </c>
      <c r="AG327" s="29">
        <f t="shared" si="323"/>
        <v>0</v>
      </c>
      <c r="AH327" s="29">
        <f t="shared" si="324"/>
        <v>0</v>
      </c>
      <c r="AI327" s="28" t="s">
        <v>2882</v>
      </c>
      <c r="AJ327" s="15">
        <f t="shared" si="325"/>
        <v>0</v>
      </c>
      <c r="AK327" s="15">
        <f t="shared" si="326"/>
        <v>0</v>
      </c>
      <c r="AL327" s="15">
        <f t="shared" si="327"/>
        <v>0</v>
      </c>
      <c r="AN327" s="29">
        <v>15</v>
      </c>
      <c r="AO327" s="29">
        <f t="shared" si="328"/>
        <v>0</v>
      </c>
      <c r="AP327" s="29">
        <f t="shared" si="329"/>
        <v>0</v>
      </c>
      <c r="AQ327" s="30" t="s">
        <v>13</v>
      </c>
      <c r="AV327" s="29">
        <f t="shared" si="330"/>
        <v>0</v>
      </c>
      <c r="AW327" s="29">
        <f t="shared" si="331"/>
        <v>0</v>
      </c>
      <c r="AX327" s="29">
        <f t="shared" si="332"/>
        <v>0</v>
      </c>
      <c r="AY327" s="32" t="s">
        <v>2914</v>
      </c>
      <c r="AZ327" s="32" t="s">
        <v>2943</v>
      </c>
      <c r="BA327" s="28" t="s">
        <v>2957</v>
      </c>
      <c r="BC327" s="29">
        <f t="shared" si="333"/>
        <v>0</v>
      </c>
      <c r="BD327" s="29">
        <f t="shared" si="334"/>
        <v>0</v>
      </c>
      <c r="BE327" s="29">
        <v>0</v>
      </c>
      <c r="BF327" s="29">
        <f>327</f>
        <v>327</v>
      </c>
      <c r="BH327" s="15">
        <f t="shared" si="335"/>
        <v>0</v>
      </c>
      <c r="BI327" s="15">
        <f t="shared" si="336"/>
        <v>0</v>
      </c>
      <c r="BJ327" s="15">
        <f t="shared" si="337"/>
        <v>0</v>
      </c>
      <c r="BK327" s="15" t="s">
        <v>2969</v>
      </c>
      <c r="BL327" s="29">
        <v>722</v>
      </c>
    </row>
    <row r="328" spans="1:64" ht="12.75">
      <c r="A328" s="4" t="s">
        <v>287</v>
      </c>
      <c r="B328" s="94" t="s">
        <v>1286</v>
      </c>
      <c r="C328" s="152" t="s">
        <v>2247</v>
      </c>
      <c r="D328" s="153"/>
      <c r="E328" s="153"/>
      <c r="F328" s="153"/>
      <c r="G328" s="94" t="s">
        <v>2850</v>
      </c>
      <c r="H328" s="73">
        <v>1</v>
      </c>
      <c r="I328" s="105">
        <v>0</v>
      </c>
      <c r="J328" s="15">
        <f t="shared" si="314"/>
        <v>0</v>
      </c>
      <c r="K328" s="15">
        <f t="shared" si="315"/>
        <v>0</v>
      </c>
      <c r="L328" s="15">
        <f t="shared" si="316"/>
        <v>0</v>
      </c>
      <c r="M328" s="25"/>
      <c r="N328" s="5"/>
      <c r="Z328" s="29">
        <f t="shared" si="317"/>
        <v>0</v>
      </c>
      <c r="AB328" s="29">
        <f t="shared" si="318"/>
        <v>0</v>
      </c>
      <c r="AC328" s="29">
        <f t="shared" si="319"/>
        <v>0</v>
      </c>
      <c r="AD328" s="29">
        <f t="shared" si="320"/>
        <v>0</v>
      </c>
      <c r="AE328" s="29">
        <f t="shared" si="321"/>
        <v>0</v>
      </c>
      <c r="AF328" s="29">
        <f t="shared" si="322"/>
        <v>0</v>
      </c>
      <c r="AG328" s="29">
        <f t="shared" si="323"/>
        <v>0</v>
      </c>
      <c r="AH328" s="29">
        <f t="shared" si="324"/>
        <v>0</v>
      </c>
      <c r="AI328" s="28" t="s">
        <v>2882</v>
      </c>
      <c r="AJ328" s="15">
        <f t="shared" si="325"/>
        <v>0</v>
      </c>
      <c r="AK328" s="15">
        <f t="shared" si="326"/>
        <v>0</v>
      </c>
      <c r="AL328" s="15">
        <f t="shared" si="327"/>
        <v>0</v>
      </c>
      <c r="AN328" s="29">
        <v>15</v>
      </c>
      <c r="AO328" s="29">
        <f t="shared" si="328"/>
        <v>0</v>
      </c>
      <c r="AP328" s="29">
        <f t="shared" si="329"/>
        <v>0</v>
      </c>
      <c r="AQ328" s="30" t="s">
        <v>13</v>
      </c>
      <c r="AV328" s="29">
        <f t="shared" si="330"/>
        <v>0</v>
      </c>
      <c r="AW328" s="29">
        <f t="shared" si="331"/>
        <v>0</v>
      </c>
      <c r="AX328" s="29">
        <f t="shared" si="332"/>
        <v>0</v>
      </c>
      <c r="AY328" s="32" t="s">
        <v>2914</v>
      </c>
      <c r="AZ328" s="32" t="s">
        <v>2943</v>
      </c>
      <c r="BA328" s="28" t="s">
        <v>2957</v>
      </c>
      <c r="BC328" s="29">
        <f t="shared" si="333"/>
        <v>0</v>
      </c>
      <c r="BD328" s="29">
        <f t="shared" si="334"/>
        <v>0</v>
      </c>
      <c r="BE328" s="29">
        <v>0</v>
      </c>
      <c r="BF328" s="29">
        <f>328</f>
        <v>328</v>
      </c>
      <c r="BH328" s="15">
        <f t="shared" si="335"/>
        <v>0</v>
      </c>
      <c r="BI328" s="15">
        <f t="shared" si="336"/>
        <v>0</v>
      </c>
      <c r="BJ328" s="15">
        <f t="shared" si="337"/>
        <v>0</v>
      </c>
      <c r="BK328" s="15" t="s">
        <v>2969</v>
      </c>
      <c r="BL328" s="29">
        <v>722</v>
      </c>
    </row>
    <row r="329" spans="1:64" ht="12.75">
      <c r="A329" s="4" t="s">
        <v>288</v>
      </c>
      <c r="B329" s="94" t="s">
        <v>1287</v>
      </c>
      <c r="C329" s="152" t="s">
        <v>2248</v>
      </c>
      <c r="D329" s="153"/>
      <c r="E329" s="153"/>
      <c r="F329" s="153"/>
      <c r="G329" s="94" t="s">
        <v>2850</v>
      </c>
      <c r="H329" s="73">
        <v>1</v>
      </c>
      <c r="I329" s="105">
        <v>0</v>
      </c>
      <c r="J329" s="15">
        <f t="shared" si="314"/>
        <v>0</v>
      </c>
      <c r="K329" s="15">
        <f t="shared" si="315"/>
        <v>0</v>
      </c>
      <c r="L329" s="15">
        <f t="shared" si="316"/>
        <v>0</v>
      </c>
      <c r="M329" s="25"/>
      <c r="N329" s="5"/>
      <c r="Z329" s="29">
        <f t="shared" si="317"/>
        <v>0</v>
      </c>
      <c r="AB329" s="29">
        <f t="shared" si="318"/>
        <v>0</v>
      </c>
      <c r="AC329" s="29">
        <f t="shared" si="319"/>
        <v>0</v>
      </c>
      <c r="AD329" s="29">
        <f t="shared" si="320"/>
        <v>0</v>
      </c>
      <c r="AE329" s="29">
        <f t="shared" si="321"/>
        <v>0</v>
      </c>
      <c r="AF329" s="29">
        <f t="shared" si="322"/>
        <v>0</v>
      </c>
      <c r="AG329" s="29">
        <f t="shared" si="323"/>
        <v>0</v>
      </c>
      <c r="AH329" s="29">
        <f t="shared" si="324"/>
        <v>0</v>
      </c>
      <c r="AI329" s="28" t="s">
        <v>2882</v>
      </c>
      <c r="AJ329" s="15">
        <f t="shared" si="325"/>
        <v>0</v>
      </c>
      <c r="AK329" s="15">
        <f t="shared" si="326"/>
        <v>0</v>
      </c>
      <c r="AL329" s="15">
        <f t="shared" si="327"/>
        <v>0</v>
      </c>
      <c r="AN329" s="29">
        <v>15</v>
      </c>
      <c r="AO329" s="29">
        <f t="shared" si="328"/>
        <v>0</v>
      </c>
      <c r="AP329" s="29">
        <f t="shared" si="329"/>
        <v>0</v>
      </c>
      <c r="AQ329" s="30" t="s">
        <v>13</v>
      </c>
      <c r="AV329" s="29">
        <f t="shared" si="330"/>
        <v>0</v>
      </c>
      <c r="AW329" s="29">
        <f t="shared" si="331"/>
        <v>0</v>
      </c>
      <c r="AX329" s="29">
        <f t="shared" si="332"/>
        <v>0</v>
      </c>
      <c r="AY329" s="32" t="s">
        <v>2914</v>
      </c>
      <c r="AZ329" s="32" t="s">
        <v>2943</v>
      </c>
      <c r="BA329" s="28" t="s">
        <v>2957</v>
      </c>
      <c r="BC329" s="29">
        <f t="shared" si="333"/>
        <v>0</v>
      </c>
      <c r="BD329" s="29">
        <f t="shared" si="334"/>
        <v>0</v>
      </c>
      <c r="BE329" s="29">
        <v>0</v>
      </c>
      <c r="BF329" s="29">
        <f>329</f>
        <v>329</v>
      </c>
      <c r="BH329" s="15">
        <f t="shared" si="335"/>
        <v>0</v>
      </c>
      <c r="BI329" s="15">
        <f t="shared" si="336"/>
        <v>0</v>
      </c>
      <c r="BJ329" s="15">
        <f t="shared" si="337"/>
        <v>0</v>
      </c>
      <c r="BK329" s="15" t="s">
        <v>2969</v>
      </c>
      <c r="BL329" s="29">
        <v>722</v>
      </c>
    </row>
    <row r="330" spans="1:64" ht="12.75">
      <c r="A330" s="4" t="s">
        <v>289</v>
      </c>
      <c r="B330" s="94" t="s">
        <v>1288</v>
      </c>
      <c r="C330" s="152" t="s">
        <v>2249</v>
      </c>
      <c r="D330" s="153"/>
      <c r="E330" s="153"/>
      <c r="F330" s="153"/>
      <c r="G330" s="94" t="s">
        <v>2850</v>
      </c>
      <c r="H330" s="73">
        <v>1</v>
      </c>
      <c r="I330" s="105">
        <v>0</v>
      </c>
      <c r="J330" s="15">
        <f t="shared" si="314"/>
        <v>0</v>
      </c>
      <c r="K330" s="15">
        <f t="shared" si="315"/>
        <v>0</v>
      </c>
      <c r="L330" s="15">
        <f t="shared" si="316"/>
        <v>0</v>
      </c>
      <c r="M330" s="25"/>
      <c r="N330" s="5"/>
      <c r="Z330" s="29">
        <f t="shared" si="317"/>
        <v>0</v>
      </c>
      <c r="AB330" s="29">
        <f t="shared" si="318"/>
        <v>0</v>
      </c>
      <c r="AC330" s="29">
        <f t="shared" si="319"/>
        <v>0</v>
      </c>
      <c r="AD330" s="29">
        <f t="shared" si="320"/>
        <v>0</v>
      </c>
      <c r="AE330" s="29">
        <f t="shared" si="321"/>
        <v>0</v>
      </c>
      <c r="AF330" s="29">
        <f t="shared" si="322"/>
        <v>0</v>
      </c>
      <c r="AG330" s="29">
        <f t="shared" si="323"/>
        <v>0</v>
      </c>
      <c r="AH330" s="29">
        <f t="shared" si="324"/>
        <v>0</v>
      </c>
      <c r="AI330" s="28" t="s">
        <v>2882</v>
      </c>
      <c r="AJ330" s="15">
        <f t="shared" si="325"/>
        <v>0</v>
      </c>
      <c r="AK330" s="15">
        <f t="shared" si="326"/>
        <v>0</v>
      </c>
      <c r="AL330" s="15">
        <f t="shared" si="327"/>
        <v>0</v>
      </c>
      <c r="AN330" s="29">
        <v>15</v>
      </c>
      <c r="AO330" s="29">
        <f t="shared" si="328"/>
        <v>0</v>
      </c>
      <c r="AP330" s="29">
        <f t="shared" si="329"/>
        <v>0</v>
      </c>
      <c r="AQ330" s="30" t="s">
        <v>13</v>
      </c>
      <c r="AV330" s="29">
        <f t="shared" si="330"/>
        <v>0</v>
      </c>
      <c r="AW330" s="29">
        <f t="shared" si="331"/>
        <v>0</v>
      </c>
      <c r="AX330" s="29">
        <f t="shared" si="332"/>
        <v>0</v>
      </c>
      <c r="AY330" s="32" t="s">
        <v>2914</v>
      </c>
      <c r="AZ330" s="32" t="s">
        <v>2943</v>
      </c>
      <c r="BA330" s="28" t="s">
        <v>2957</v>
      </c>
      <c r="BC330" s="29">
        <f t="shared" si="333"/>
        <v>0</v>
      </c>
      <c r="BD330" s="29">
        <f t="shared" si="334"/>
        <v>0</v>
      </c>
      <c r="BE330" s="29">
        <v>0</v>
      </c>
      <c r="BF330" s="29">
        <f>330</f>
        <v>330</v>
      </c>
      <c r="BH330" s="15">
        <f t="shared" si="335"/>
        <v>0</v>
      </c>
      <c r="BI330" s="15">
        <f t="shared" si="336"/>
        <v>0</v>
      </c>
      <c r="BJ330" s="15">
        <f t="shared" si="337"/>
        <v>0</v>
      </c>
      <c r="BK330" s="15" t="s">
        <v>2969</v>
      </c>
      <c r="BL330" s="29">
        <v>722</v>
      </c>
    </row>
    <row r="331" spans="1:64" ht="12.75">
      <c r="A331" s="4" t="s">
        <v>290</v>
      </c>
      <c r="B331" s="94" t="s">
        <v>1289</v>
      </c>
      <c r="C331" s="152" t="s">
        <v>2250</v>
      </c>
      <c r="D331" s="153"/>
      <c r="E331" s="153"/>
      <c r="F331" s="153"/>
      <c r="G331" s="94" t="s">
        <v>2850</v>
      </c>
      <c r="H331" s="73">
        <v>1</v>
      </c>
      <c r="I331" s="105">
        <v>0</v>
      </c>
      <c r="J331" s="15">
        <f t="shared" si="314"/>
        <v>0</v>
      </c>
      <c r="K331" s="15">
        <f t="shared" si="315"/>
        <v>0</v>
      </c>
      <c r="L331" s="15">
        <f t="shared" si="316"/>
        <v>0</v>
      </c>
      <c r="M331" s="25"/>
      <c r="N331" s="5"/>
      <c r="Z331" s="29">
        <f t="shared" si="317"/>
        <v>0</v>
      </c>
      <c r="AB331" s="29">
        <f t="shared" si="318"/>
        <v>0</v>
      </c>
      <c r="AC331" s="29">
        <f t="shared" si="319"/>
        <v>0</v>
      </c>
      <c r="AD331" s="29">
        <f t="shared" si="320"/>
        <v>0</v>
      </c>
      <c r="AE331" s="29">
        <f t="shared" si="321"/>
        <v>0</v>
      </c>
      <c r="AF331" s="29">
        <f t="shared" si="322"/>
        <v>0</v>
      </c>
      <c r="AG331" s="29">
        <f t="shared" si="323"/>
        <v>0</v>
      </c>
      <c r="AH331" s="29">
        <f t="shared" si="324"/>
        <v>0</v>
      </c>
      <c r="AI331" s="28" t="s">
        <v>2882</v>
      </c>
      <c r="AJ331" s="15">
        <f t="shared" si="325"/>
        <v>0</v>
      </c>
      <c r="AK331" s="15">
        <f t="shared" si="326"/>
        <v>0</v>
      </c>
      <c r="AL331" s="15">
        <f t="shared" si="327"/>
        <v>0</v>
      </c>
      <c r="AN331" s="29">
        <v>15</v>
      </c>
      <c r="AO331" s="29">
        <f t="shared" si="328"/>
        <v>0</v>
      </c>
      <c r="AP331" s="29">
        <f t="shared" si="329"/>
        <v>0</v>
      </c>
      <c r="AQ331" s="30" t="s">
        <v>13</v>
      </c>
      <c r="AV331" s="29">
        <f t="shared" si="330"/>
        <v>0</v>
      </c>
      <c r="AW331" s="29">
        <f t="shared" si="331"/>
        <v>0</v>
      </c>
      <c r="AX331" s="29">
        <f t="shared" si="332"/>
        <v>0</v>
      </c>
      <c r="AY331" s="32" t="s">
        <v>2914</v>
      </c>
      <c r="AZ331" s="32" t="s">
        <v>2943</v>
      </c>
      <c r="BA331" s="28" t="s">
        <v>2957</v>
      </c>
      <c r="BC331" s="29">
        <f t="shared" si="333"/>
        <v>0</v>
      </c>
      <c r="BD331" s="29">
        <f t="shared" si="334"/>
        <v>0</v>
      </c>
      <c r="BE331" s="29">
        <v>0</v>
      </c>
      <c r="BF331" s="29">
        <f>331</f>
        <v>331</v>
      </c>
      <c r="BH331" s="15">
        <f t="shared" si="335"/>
        <v>0</v>
      </c>
      <c r="BI331" s="15">
        <f t="shared" si="336"/>
        <v>0</v>
      </c>
      <c r="BJ331" s="15">
        <f t="shared" si="337"/>
        <v>0</v>
      </c>
      <c r="BK331" s="15" t="s">
        <v>2969</v>
      </c>
      <c r="BL331" s="29">
        <v>722</v>
      </c>
    </row>
    <row r="332" spans="1:64" ht="12.75">
      <c r="A332" s="4" t="s">
        <v>291</v>
      </c>
      <c r="B332" s="94" t="s">
        <v>1224</v>
      </c>
      <c r="C332" s="152" t="s">
        <v>2183</v>
      </c>
      <c r="D332" s="153"/>
      <c r="E332" s="153"/>
      <c r="F332" s="153"/>
      <c r="G332" s="94" t="s">
        <v>2850</v>
      </c>
      <c r="H332" s="73">
        <v>16</v>
      </c>
      <c r="I332" s="105">
        <v>0</v>
      </c>
      <c r="J332" s="15">
        <f t="shared" si="314"/>
        <v>0</v>
      </c>
      <c r="K332" s="15">
        <f t="shared" si="315"/>
        <v>0</v>
      </c>
      <c r="L332" s="15">
        <f t="shared" si="316"/>
        <v>0</v>
      </c>
      <c r="M332" s="25"/>
      <c r="N332" s="5"/>
      <c r="Z332" s="29">
        <f t="shared" si="317"/>
        <v>0</v>
      </c>
      <c r="AB332" s="29">
        <f t="shared" si="318"/>
        <v>0</v>
      </c>
      <c r="AC332" s="29">
        <f t="shared" si="319"/>
        <v>0</v>
      </c>
      <c r="AD332" s="29">
        <f t="shared" si="320"/>
        <v>0</v>
      </c>
      <c r="AE332" s="29">
        <f t="shared" si="321"/>
        <v>0</v>
      </c>
      <c r="AF332" s="29">
        <f t="shared" si="322"/>
        <v>0</v>
      </c>
      <c r="AG332" s="29">
        <f t="shared" si="323"/>
        <v>0</v>
      </c>
      <c r="AH332" s="29">
        <f t="shared" si="324"/>
        <v>0</v>
      </c>
      <c r="AI332" s="28" t="s">
        <v>2882</v>
      </c>
      <c r="AJ332" s="15">
        <f t="shared" si="325"/>
        <v>0</v>
      </c>
      <c r="AK332" s="15">
        <f t="shared" si="326"/>
        <v>0</v>
      </c>
      <c r="AL332" s="15">
        <f t="shared" si="327"/>
        <v>0</v>
      </c>
      <c r="AN332" s="29">
        <v>15</v>
      </c>
      <c r="AO332" s="29">
        <f t="shared" si="328"/>
        <v>0</v>
      </c>
      <c r="AP332" s="29">
        <f t="shared" si="329"/>
        <v>0</v>
      </c>
      <c r="AQ332" s="30" t="s">
        <v>13</v>
      </c>
      <c r="AV332" s="29">
        <f t="shared" si="330"/>
        <v>0</v>
      </c>
      <c r="AW332" s="29">
        <f t="shared" si="331"/>
        <v>0</v>
      </c>
      <c r="AX332" s="29">
        <f t="shared" si="332"/>
        <v>0</v>
      </c>
      <c r="AY332" s="32" t="s">
        <v>2914</v>
      </c>
      <c r="AZ332" s="32" t="s">
        <v>2943</v>
      </c>
      <c r="BA332" s="28" t="s">
        <v>2957</v>
      </c>
      <c r="BC332" s="29">
        <f t="shared" si="333"/>
        <v>0</v>
      </c>
      <c r="BD332" s="29">
        <f t="shared" si="334"/>
        <v>0</v>
      </c>
      <c r="BE332" s="29">
        <v>0</v>
      </c>
      <c r="BF332" s="29">
        <f>332</f>
        <v>332</v>
      </c>
      <c r="BH332" s="15">
        <f t="shared" si="335"/>
        <v>0</v>
      </c>
      <c r="BI332" s="15">
        <f t="shared" si="336"/>
        <v>0</v>
      </c>
      <c r="BJ332" s="15">
        <f t="shared" si="337"/>
        <v>0</v>
      </c>
      <c r="BK332" s="15" t="s">
        <v>2969</v>
      </c>
      <c r="BL332" s="29">
        <v>722</v>
      </c>
    </row>
    <row r="333" spans="1:64" ht="12.75">
      <c r="A333" s="4" t="s">
        <v>292</v>
      </c>
      <c r="B333" s="94" t="s">
        <v>1290</v>
      </c>
      <c r="C333" s="152" t="s">
        <v>2251</v>
      </c>
      <c r="D333" s="153"/>
      <c r="E333" s="153"/>
      <c r="F333" s="153"/>
      <c r="G333" s="94" t="s">
        <v>2850</v>
      </c>
      <c r="H333" s="73">
        <v>10</v>
      </c>
      <c r="I333" s="105">
        <v>0</v>
      </c>
      <c r="J333" s="15">
        <f t="shared" si="314"/>
        <v>0</v>
      </c>
      <c r="K333" s="15">
        <f t="shared" si="315"/>
        <v>0</v>
      </c>
      <c r="L333" s="15">
        <f t="shared" si="316"/>
        <v>0</v>
      </c>
      <c r="M333" s="25"/>
      <c r="N333" s="5"/>
      <c r="Z333" s="29">
        <f t="shared" si="317"/>
        <v>0</v>
      </c>
      <c r="AB333" s="29">
        <f t="shared" si="318"/>
        <v>0</v>
      </c>
      <c r="AC333" s="29">
        <f t="shared" si="319"/>
        <v>0</v>
      </c>
      <c r="AD333" s="29">
        <f t="shared" si="320"/>
        <v>0</v>
      </c>
      <c r="AE333" s="29">
        <f t="shared" si="321"/>
        <v>0</v>
      </c>
      <c r="AF333" s="29">
        <f t="shared" si="322"/>
        <v>0</v>
      </c>
      <c r="AG333" s="29">
        <f t="shared" si="323"/>
        <v>0</v>
      </c>
      <c r="AH333" s="29">
        <f t="shared" si="324"/>
        <v>0</v>
      </c>
      <c r="AI333" s="28" t="s">
        <v>2882</v>
      </c>
      <c r="AJ333" s="15">
        <f t="shared" si="325"/>
        <v>0</v>
      </c>
      <c r="AK333" s="15">
        <f t="shared" si="326"/>
        <v>0</v>
      </c>
      <c r="AL333" s="15">
        <f t="shared" si="327"/>
        <v>0</v>
      </c>
      <c r="AN333" s="29">
        <v>15</v>
      </c>
      <c r="AO333" s="29">
        <f t="shared" si="328"/>
        <v>0</v>
      </c>
      <c r="AP333" s="29">
        <f t="shared" si="329"/>
        <v>0</v>
      </c>
      <c r="AQ333" s="30" t="s">
        <v>13</v>
      </c>
      <c r="AV333" s="29">
        <f t="shared" si="330"/>
        <v>0</v>
      </c>
      <c r="AW333" s="29">
        <f t="shared" si="331"/>
        <v>0</v>
      </c>
      <c r="AX333" s="29">
        <f t="shared" si="332"/>
        <v>0</v>
      </c>
      <c r="AY333" s="32" t="s">
        <v>2914</v>
      </c>
      <c r="AZ333" s="32" t="s">
        <v>2943</v>
      </c>
      <c r="BA333" s="28" t="s">
        <v>2957</v>
      </c>
      <c r="BC333" s="29">
        <f t="shared" si="333"/>
        <v>0</v>
      </c>
      <c r="BD333" s="29">
        <f t="shared" si="334"/>
        <v>0</v>
      </c>
      <c r="BE333" s="29">
        <v>0</v>
      </c>
      <c r="BF333" s="29">
        <f>333</f>
        <v>333</v>
      </c>
      <c r="BH333" s="15">
        <f t="shared" si="335"/>
        <v>0</v>
      </c>
      <c r="BI333" s="15">
        <f t="shared" si="336"/>
        <v>0</v>
      </c>
      <c r="BJ333" s="15">
        <f t="shared" si="337"/>
        <v>0</v>
      </c>
      <c r="BK333" s="15" t="s">
        <v>2969</v>
      </c>
      <c r="BL333" s="29">
        <v>722</v>
      </c>
    </row>
    <row r="334" spans="1:64" ht="12.75">
      <c r="A334" s="4" t="s">
        <v>293</v>
      </c>
      <c r="B334" s="94" t="s">
        <v>1291</v>
      </c>
      <c r="C334" s="152" t="s">
        <v>2189</v>
      </c>
      <c r="D334" s="153"/>
      <c r="E334" s="153"/>
      <c r="F334" s="153"/>
      <c r="G334" s="94" t="s">
        <v>2852</v>
      </c>
      <c r="H334" s="73">
        <v>80</v>
      </c>
      <c r="I334" s="105">
        <v>0</v>
      </c>
      <c r="J334" s="15">
        <f t="shared" si="314"/>
        <v>0</v>
      </c>
      <c r="K334" s="15">
        <f t="shared" si="315"/>
        <v>0</v>
      </c>
      <c r="L334" s="15">
        <f t="shared" si="316"/>
        <v>0</v>
      </c>
      <c r="M334" s="25"/>
      <c r="N334" s="5"/>
      <c r="Z334" s="29">
        <f t="shared" si="317"/>
        <v>0</v>
      </c>
      <c r="AB334" s="29">
        <f t="shared" si="318"/>
        <v>0</v>
      </c>
      <c r="AC334" s="29">
        <f t="shared" si="319"/>
        <v>0</v>
      </c>
      <c r="AD334" s="29">
        <f t="shared" si="320"/>
        <v>0</v>
      </c>
      <c r="AE334" s="29">
        <f t="shared" si="321"/>
        <v>0</v>
      </c>
      <c r="AF334" s="29">
        <f t="shared" si="322"/>
        <v>0</v>
      </c>
      <c r="AG334" s="29">
        <f t="shared" si="323"/>
        <v>0</v>
      </c>
      <c r="AH334" s="29">
        <f t="shared" si="324"/>
        <v>0</v>
      </c>
      <c r="AI334" s="28" t="s">
        <v>2882</v>
      </c>
      <c r="AJ334" s="15">
        <f t="shared" si="325"/>
        <v>0</v>
      </c>
      <c r="AK334" s="15">
        <f t="shared" si="326"/>
        <v>0</v>
      </c>
      <c r="AL334" s="15">
        <f t="shared" si="327"/>
        <v>0</v>
      </c>
      <c r="AN334" s="29">
        <v>15</v>
      </c>
      <c r="AO334" s="29">
        <f t="shared" si="328"/>
        <v>0</v>
      </c>
      <c r="AP334" s="29">
        <f t="shared" si="329"/>
        <v>0</v>
      </c>
      <c r="AQ334" s="30" t="s">
        <v>13</v>
      </c>
      <c r="AV334" s="29">
        <f t="shared" si="330"/>
        <v>0</v>
      </c>
      <c r="AW334" s="29">
        <f t="shared" si="331"/>
        <v>0</v>
      </c>
      <c r="AX334" s="29">
        <f t="shared" si="332"/>
        <v>0</v>
      </c>
      <c r="AY334" s="32" t="s">
        <v>2914</v>
      </c>
      <c r="AZ334" s="32" t="s">
        <v>2943</v>
      </c>
      <c r="BA334" s="28" t="s">
        <v>2957</v>
      </c>
      <c r="BC334" s="29">
        <f t="shared" si="333"/>
        <v>0</v>
      </c>
      <c r="BD334" s="29">
        <f t="shared" si="334"/>
        <v>0</v>
      </c>
      <c r="BE334" s="29">
        <v>0</v>
      </c>
      <c r="BF334" s="29">
        <f>334</f>
        <v>334</v>
      </c>
      <c r="BH334" s="15">
        <f t="shared" si="335"/>
        <v>0</v>
      </c>
      <c r="BI334" s="15">
        <f t="shared" si="336"/>
        <v>0</v>
      </c>
      <c r="BJ334" s="15">
        <f t="shared" si="337"/>
        <v>0</v>
      </c>
      <c r="BK334" s="15" t="s">
        <v>2969</v>
      </c>
      <c r="BL334" s="29">
        <v>722</v>
      </c>
    </row>
    <row r="335" spans="1:64" ht="12.75">
      <c r="A335" s="4" t="s">
        <v>294</v>
      </c>
      <c r="B335" s="94" t="s">
        <v>1292</v>
      </c>
      <c r="C335" s="152" t="s">
        <v>2252</v>
      </c>
      <c r="D335" s="153"/>
      <c r="E335" s="153"/>
      <c r="F335" s="153"/>
      <c r="G335" s="94" t="s">
        <v>2850</v>
      </c>
      <c r="H335" s="73">
        <v>1</v>
      </c>
      <c r="I335" s="105">
        <v>0</v>
      </c>
      <c r="J335" s="15">
        <f t="shared" si="314"/>
        <v>0</v>
      </c>
      <c r="K335" s="15">
        <f t="shared" si="315"/>
        <v>0</v>
      </c>
      <c r="L335" s="15">
        <f t="shared" si="316"/>
        <v>0</v>
      </c>
      <c r="M335" s="25"/>
      <c r="N335" s="5"/>
      <c r="Z335" s="29">
        <f t="shared" si="317"/>
        <v>0</v>
      </c>
      <c r="AB335" s="29">
        <f t="shared" si="318"/>
        <v>0</v>
      </c>
      <c r="AC335" s="29">
        <f t="shared" si="319"/>
        <v>0</v>
      </c>
      <c r="AD335" s="29">
        <f t="shared" si="320"/>
        <v>0</v>
      </c>
      <c r="AE335" s="29">
        <f t="shared" si="321"/>
        <v>0</v>
      </c>
      <c r="AF335" s="29">
        <f t="shared" si="322"/>
        <v>0</v>
      </c>
      <c r="AG335" s="29">
        <f t="shared" si="323"/>
        <v>0</v>
      </c>
      <c r="AH335" s="29">
        <f t="shared" si="324"/>
        <v>0</v>
      </c>
      <c r="AI335" s="28" t="s">
        <v>2882</v>
      </c>
      <c r="AJ335" s="15">
        <f t="shared" si="325"/>
        <v>0</v>
      </c>
      <c r="AK335" s="15">
        <f t="shared" si="326"/>
        <v>0</v>
      </c>
      <c r="AL335" s="15">
        <f t="shared" si="327"/>
        <v>0</v>
      </c>
      <c r="AN335" s="29">
        <v>15</v>
      </c>
      <c r="AO335" s="29">
        <f t="shared" si="328"/>
        <v>0</v>
      </c>
      <c r="AP335" s="29">
        <f t="shared" si="329"/>
        <v>0</v>
      </c>
      <c r="AQ335" s="30" t="s">
        <v>13</v>
      </c>
      <c r="AV335" s="29">
        <f t="shared" si="330"/>
        <v>0</v>
      </c>
      <c r="AW335" s="29">
        <f t="shared" si="331"/>
        <v>0</v>
      </c>
      <c r="AX335" s="29">
        <f t="shared" si="332"/>
        <v>0</v>
      </c>
      <c r="AY335" s="32" t="s">
        <v>2914</v>
      </c>
      <c r="AZ335" s="32" t="s">
        <v>2943</v>
      </c>
      <c r="BA335" s="28" t="s">
        <v>2957</v>
      </c>
      <c r="BC335" s="29">
        <f t="shared" si="333"/>
        <v>0</v>
      </c>
      <c r="BD335" s="29">
        <f t="shared" si="334"/>
        <v>0</v>
      </c>
      <c r="BE335" s="29">
        <v>0</v>
      </c>
      <c r="BF335" s="29">
        <f>335</f>
        <v>335</v>
      </c>
      <c r="BH335" s="15">
        <f t="shared" si="335"/>
        <v>0</v>
      </c>
      <c r="BI335" s="15">
        <f t="shared" si="336"/>
        <v>0</v>
      </c>
      <c r="BJ335" s="15">
        <f t="shared" si="337"/>
        <v>0</v>
      </c>
      <c r="BK335" s="15" t="s">
        <v>2969</v>
      </c>
      <c r="BL335" s="29">
        <v>722</v>
      </c>
    </row>
    <row r="336" spans="1:64" ht="12.75">
      <c r="A336" s="4" t="s">
        <v>295</v>
      </c>
      <c r="B336" s="94" t="s">
        <v>1293</v>
      </c>
      <c r="C336" s="152" t="s">
        <v>2253</v>
      </c>
      <c r="D336" s="153"/>
      <c r="E336" s="153"/>
      <c r="F336" s="153"/>
      <c r="G336" s="94" t="s">
        <v>2850</v>
      </c>
      <c r="H336" s="73">
        <v>1</v>
      </c>
      <c r="I336" s="105">
        <v>0</v>
      </c>
      <c r="J336" s="15">
        <f t="shared" si="314"/>
        <v>0</v>
      </c>
      <c r="K336" s="15">
        <f t="shared" si="315"/>
        <v>0</v>
      </c>
      <c r="L336" s="15">
        <f t="shared" si="316"/>
        <v>0</v>
      </c>
      <c r="M336" s="25"/>
      <c r="N336" s="5"/>
      <c r="Z336" s="29">
        <f t="shared" si="317"/>
        <v>0</v>
      </c>
      <c r="AB336" s="29">
        <f t="shared" si="318"/>
        <v>0</v>
      </c>
      <c r="AC336" s="29">
        <f t="shared" si="319"/>
        <v>0</v>
      </c>
      <c r="AD336" s="29">
        <f t="shared" si="320"/>
        <v>0</v>
      </c>
      <c r="AE336" s="29">
        <f t="shared" si="321"/>
        <v>0</v>
      </c>
      <c r="AF336" s="29">
        <f t="shared" si="322"/>
        <v>0</v>
      </c>
      <c r="AG336" s="29">
        <f t="shared" si="323"/>
        <v>0</v>
      </c>
      <c r="AH336" s="29">
        <f t="shared" si="324"/>
        <v>0</v>
      </c>
      <c r="AI336" s="28" t="s">
        <v>2882</v>
      </c>
      <c r="AJ336" s="15">
        <f t="shared" si="325"/>
        <v>0</v>
      </c>
      <c r="AK336" s="15">
        <f t="shared" si="326"/>
        <v>0</v>
      </c>
      <c r="AL336" s="15">
        <f t="shared" si="327"/>
        <v>0</v>
      </c>
      <c r="AN336" s="29">
        <v>15</v>
      </c>
      <c r="AO336" s="29">
        <f t="shared" si="328"/>
        <v>0</v>
      </c>
      <c r="AP336" s="29">
        <f t="shared" si="329"/>
        <v>0</v>
      </c>
      <c r="AQ336" s="30" t="s">
        <v>13</v>
      </c>
      <c r="AV336" s="29">
        <f t="shared" si="330"/>
        <v>0</v>
      </c>
      <c r="AW336" s="29">
        <f t="shared" si="331"/>
        <v>0</v>
      </c>
      <c r="AX336" s="29">
        <f t="shared" si="332"/>
        <v>0</v>
      </c>
      <c r="AY336" s="32" t="s">
        <v>2914</v>
      </c>
      <c r="AZ336" s="32" t="s">
        <v>2943</v>
      </c>
      <c r="BA336" s="28" t="s">
        <v>2957</v>
      </c>
      <c r="BC336" s="29">
        <f t="shared" si="333"/>
        <v>0</v>
      </c>
      <c r="BD336" s="29">
        <f t="shared" si="334"/>
        <v>0</v>
      </c>
      <c r="BE336" s="29">
        <v>0</v>
      </c>
      <c r="BF336" s="29">
        <f>336</f>
        <v>336</v>
      </c>
      <c r="BH336" s="15">
        <f t="shared" si="335"/>
        <v>0</v>
      </c>
      <c r="BI336" s="15">
        <f t="shared" si="336"/>
        <v>0</v>
      </c>
      <c r="BJ336" s="15">
        <f t="shared" si="337"/>
        <v>0</v>
      </c>
      <c r="BK336" s="15" t="s">
        <v>2969</v>
      </c>
      <c r="BL336" s="29">
        <v>722</v>
      </c>
    </row>
    <row r="337" spans="1:64" ht="12.75">
      <c r="A337" s="4" t="s">
        <v>296</v>
      </c>
      <c r="B337" s="94" t="s">
        <v>1294</v>
      </c>
      <c r="C337" s="152" t="s">
        <v>2254</v>
      </c>
      <c r="D337" s="153"/>
      <c r="E337" s="153"/>
      <c r="F337" s="153"/>
      <c r="G337" s="94" t="s">
        <v>2851</v>
      </c>
      <c r="H337" s="73">
        <v>319</v>
      </c>
      <c r="I337" s="105">
        <v>0</v>
      </c>
      <c r="J337" s="15">
        <f t="shared" si="314"/>
        <v>0</v>
      </c>
      <c r="K337" s="15">
        <f t="shared" si="315"/>
        <v>0</v>
      </c>
      <c r="L337" s="15">
        <f t="shared" si="316"/>
        <v>0</v>
      </c>
      <c r="M337" s="25"/>
      <c r="N337" s="5"/>
      <c r="Z337" s="29">
        <f t="shared" si="317"/>
        <v>0</v>
      </c>
      <c r="AB337" s="29">
        <f t="shared" si="318"/>
        <v>0</v>
      </c>
      <c r="AC337" s="29">
        <f t="shared" si="319"/>
        <v>0</v>
      </c>
      <c r="AD337" s="29">
        <f t="shared" si="320"/>
        <v>0</v>
      </c>
      <c r="AE337" s="29">
        <f t="shared" si="321"/>
        <v>0</v>
      </c>
      <c r="AF337" s="29">
        <f t="shared" si="322"/>
        <v>0</v>
      </c>
      <c r="AG337" s="29">
        <f t="shared" si="323"/>
        <v>0</v>
      </c>
      <c r="AH337" s="29">
        <f t="shared" si="324"/>
        <v>0</v>
      </c>
      <c r="AI337" s="28" t="s">
        <v>2882</v>
      </c>
      <c r="AJ337" s="15">
        <f t="shared" si="325"/>
        <v>0</v>
      </c>
      <c r="AK337" s="15">
        <f t="shared" si="326"/>
        <v>0</v>
      </c>
      <c r="AL337" s="15">
        <f t="shared" si="327"/>
        <v>0</v>
      </c>
      <c r="AN337" s="29">
        <v>15</v>
      </c>
      <c r="AO337" s="29">
        <f t="shared" si="328"/>
        <v>0</v>
      </c>
      <c r="AP337" s="29">
        <f t="shared" si="329"/>
        <v>0</v>
      </c>
      <c r="AQ337" s="30" t="s">
        <v>13</v>
      </c>
      <c r="AV337" s="29">
        <f t="shared" si="330"/>
        <v>0</v>
      </c>
      <c r="AW337" s="29">
        <f t="shared" si="331"/>
        <v>0</v>
      </c>
      <c r="AX337" s="29">
        <f t="shared" si="332"/>
        <v>0</v>
      </c>
      <c r="AY337" s="32" t="s">
        <v>2914</v>
      </c>
      <c r="AZ337" s="32" t="s">
        <v>2943</v>
      </c>
      <c r="BA337" s="28" t="s">
        <v>2957</v>
      </c>
      <c r="BC337" s="29">
        <f t="shared" si="333"/>
        <v>0</v>
      </c>
      <c r="BD337" s="29">
        <f t="shared" si="334"/>
        <v>0</v>
      </c>
      <c r="BE337" s="29">
        <v>0</v>
      </c>
      <c r="BF337" s="29">
        <f>337</f>
        <v>337</v>
      </c>
      <c r="BH337" s="15">
        <f t="shared" si="335"/>
        <v>0</v>
      </c>
      <c r="BI337" s="15">
        <f t="shared" si="336"/>
        <v>0</v>
      </c>
      <c r="BJ337" s="15">
        <f t="shared" si="337"/>
        <v>0</v>
      </c>
      <c r="BK337" s="15" t="s">
        <v>2969</v>
      </c>
      <c r="BL337" s="29">
        <v>722</v>
      </c>
    </row>
    <row r="338" spans="1:64" ht="12.75">
      <c r="A338" s="4" t="s">
        <v>297</v>
      </c>
      <c r="B338" s="94" t="s">
        <v>1295</v>
      </c>
      <c r="C338" s="152" t="s">
        <v>2255</v>
      </c>
      <c r="D338" s="153"/>
      <c r="E338" s="153"/>
      <c r="F338" s="153"/>
      <c r="G338" s="94" t="s">
        <v>2851</v>
      </c>
      <c r="H338" s="73">
        <v>319</v>
      </c>
      <c r="I338" s="105">
        <v>0</v>
      </c>
      <c r="J338" s="15">
        <f t="shared" si="314"/>
        <v>0</v>
      </c>
      <c r="K338" s="15">
        <f t="shared" si="315"/>
        <v>0</v>
      </c>
      <c r="L338" s="15">
        <f t="shared" si="316"/>
        <v>0</v>
      </c>
      <c r="M338" s="25"/>
      <c r="N338" s="5"/>
      <c r="Z338" s="29">
        <f t="shared" si="317"/>
        <v>0</v>
      </c>
      <c r="AB338" s="29">
        <f t="shared" si="318"/>
        <v>0</v>
      </c>
      <c r="AC338" s="29">
        <f t="shared" si="319"/>
        <v>0</v>
      </c>
      <c r="AD338" s="29">
        <f t="shared" si="320"/>
        <v>0</v>
      </c>
      <c r="AE338" s="29">
        <f t="shared" si="321"/>
        <v>0</v>
      </c>
      <c r="AF338" s="29">
        <f t="shared" si="322"/>
        <v>0</v>
      </c>
      <c r="AG338" s="29">
        <f t="shared" si="323"/>
        <v>0</v>
      </c>
      <c r="AH338" s="29">
        <f t="shared" si="324"/>
        <v>0</v>
      </c>
      <c r="AI338" s="28" t="s">
        <v>2882</v>
      </c>
      <c r="AJ338" s="15">
        <f t="shared" si="325"/>
        <v>0</v>
      </c>
      <c r="AK338" s="15">
        <f t="shared" si="326"/>
        <v>0</v>
      </c>
      <c r="AL338" s="15">
        <f t="shared" si="327"/>
        <v>0</v>
      </c>
      <c r="AN338" s="29">
        <v>15</v>
      </c>
      <c r="AO338" s="29">
        <f t="shared" si="328"/>
        <v>0</v>
      </c>
      <c r="AP338" s="29">
        <f t="shared" si="329"/>
        <v>0</v>
      </c>
      <c r="AQ338" s="30" t="s">
        <v>13</v>
      </c>
      <c r="AV338" s="29">
        <f t="shared" si="330"/>
        <v>0</v>
      </c>
      <c r="AW338" s="29">
        <f t="shared" si="331"/>
        <v>0</v>
      </c>
      <c r="AX338" s="29">
        <f t="shared" si="332"/>
        <v>0</v>
      </c>
      <c r="AY338" s="32" t="s">
        <v>2914</v>
      </c>
      <c r="AZ338" s="32" t="s">
        <v>2943</v>
      </c>
      <c r="BA338" s="28" t="s">
        <v>2957</v>
      </c>
      <c r="BC338" s="29">
        <f t="shared" si="333"/>
        <v>0</v>
      </c>
      <c r="BD338" s="29">
        <f t="shared" si="334"/>
        <v>0</v>
      </c>
      <c r="BE338" s="29">
        <v>0</v>
      </c>
      <c r="BF338" s="29">
        <f>338</f>
        <v>338</v>
      </c>
      <c r="BH338" s="15">
        <f t="shared" si="335"/>
        <v>0</v>
      </c>
      <c r="BI338" s="15">
        <f t="shared" si="336"/>
        <v>0</v>
      </c>
      <c r="BJ338" s="15">
        <f t="shared" si="337"/>
        <v>0</v>
      </c>
      <c r="BK338" s="15" t="s">
        <v>2969</v>
      </c>
      <c r="BL338" s="29">
        <v>722</v>
      </c>
    </row>
    <row r="339" spans="1:64" ht="12.75">
      <c r="A339" s="4" t="s">
        <v>298</v>
      </c>
      <c r="B339" s="94" t="s">
        <v>1296</v>
      </c>
      <c r="C339" s="152" t="s">
        <v>2256</v>
      </c>
      <c r="D339" s="153"/>
      <c r="E339" s="153"/>
      <c r="F339" s="153"/>
      <c r="G339" s="94" t="s">
        <v>2851</v>
      </c>
      <c r="H339" s="73">
        <v>319</v>
      </c>
      <c r="I339" s="105">
        <v>0</v>
      </c>
      <c r="J339" s="15">
        <f t="shared" si="314"/>
        <v>0</v>
      </c>
      <c r="K339" s="15">
        <f t="shared" si="315"/>
        <v>0</v>
      </c>
      <c r="L339" s="15">
        <f t="shared" si="316"/>
        <v>0</v>
      </c>
      <c r="M339" s="25"/>
      <c r="N339" s="5"/>
      <c r="Z339" s="29">
        <f t="shared" si="317"/>
        <v>0</v>
      </c>
      <c r="AB339" s="29">
        <f t="shared" si="318"/>
        <v>0</v>
      </c>
      <c r="AC339" s="29">
        <f t="shared" si="319"/>
        <v>0</v>
      </c>
      <c r="AD339" s="29">
        <f t="shared" si="320"/>
        <v>0</v>
      </c>
      <c r="AE339" s="29">
        <f t="shared" si="321"/>
        <v>0</v>
      </c>
      <c r="AF339" s="29">
        <f t="shared" si="322"/>
        <v>0</v>
      </c>
      <c r="AG339" s="29">
        <f t="shared" si="323"/>
        <v>0</v>
      </c>
      <c r="AH339" s="29">
        <f t="shared" si="324"/>
        <v>0</v>
      </c>
      <c r="AI339" s="28" t="s">
        <v>2882</v>
      </c>
      <c r="AJ339" s="15">
        <f t="shared" si="325"/>
        <v>0</v>
      </c>
      <c r="AK339" s="15">
        <f t="shared" si="326"/>
        <v>0</v>
      </c>
      <c r="AL339" s="15">
        <f t="shared" si="327"/>
        <v>0</v>
      </c>
      <c r="AN339" s="29">
        <v>15</v>
      </c>
      <c r="AO339" s="29">
        <f t="shared" si="328"/>
        <v>0</v>
      </c>
      <c r="AP339" s="29">
        <f t="shared" si="329"/>
        <v>0</v>
      </c>
      <c r="AQ339" s="30" t="s">
        <v>13</v>
      </c>
      <c r="AV339" s="29">
        <f t="shared" si="330"/>
        <v>0</v>
      </c>
      <c r="AW339" s="29">
        <f t="shared" si="331"/>
        <v>0</v>
      </c>
      <c r="AX339" s="29">
        <f t="shared" si="332"/>
        <v>0</v>
      </c>
      <c r="AY339" s="32" t="s">
        <v>2914</v>
      </c>
      <c r="AZ339" s="32" t="s">
        <v>2943</v>
      </c>
      <c r="BA339" s="28" t="s">
        <v>2957</v>
      </c>
      <c r="BC339" s="29">
        <f t="shared" si="333"/>
        <v>0</v>
      </c>
      <c r="BD339" s="29">
        <f t="shared" si="334"/>
        <v>0</v>
      </c>
      <c r="BE339" s="29">
        <v>0</v>
      </c>
      <c r="BF339" s="29">
        <f>339</f>
        <v>339</v>
      </c>
      <c r="BH339" s="15">
        <f t="shared" si="335"/>
        <v>0</v>
      </c>
      <c r="BI339" s="15">
        <f t="shared" si="336"/>
        <v>0</v>
      </c>
      <c r="BJ339" s="15">
        <f t="shared" si="337"/>
        <v>0</v>
      </c>
      <c r="BK339" s="15" t="s">
        <v>2969</v>
      </c>
      <c r="BL339" s="29">
        <v>722</v>
      </c>
    </row>
    <row r="340" spans="1:64" ht="12.75">
      <c r="A340" s="4" t="s">
        <v>299</v>
      </c>
      <c r="B340" s="94" t="s">
        <v>1297</v>
      </c>
      <c r="C340" s="152" t="s">
        <v>2193</v>
      </c>
      <c r="D340" s="153"/>
      <c r="E340" s="153"/>
      <c r="F340" s="153"/>
      <c r="G340" s="94" t="s">
        <v>2852</v>
      </c>
      <c r="H340" s="73">
        <v>100</v>
      </c>
      <c r="I340" s="105">
        <v>0</v>
      </c>
      <c r="J340" s="15">
        <f t="shared" si="314"/>
        <v>0</v>
      </c>
      <c r="K340" s="15">
        <f t="shared" si="315"/>
        <v>0</v>
      </c>
      <c r="L340" s="15">
        <f t="shared" si="316"/>
        <v>0</v>
      </c>
      <c r="M340" s="25"/>
      <c r="N340" s="5"/>
      <c r="Z340" s="29">
        <f t="shared" si="317"/>
        <v>0</v>
      </c>
      <c r="AB340" s="29">
        <f t="shared" si="318"/>
        <v>0</v>
      </c>
      <c r="AC340" s="29">
        <f t="shared" si="319"/>
        <v>0</v>
      </c>
      <c r="AD340" s="29">
        <f t="shared" si="320"/>
        <v>0</v>
      </c>
      <c r="AE340" s="29">
        <f t="shared" si="321"/>
        <v>0</v>
      </c>
      <c r="AF340" s="29">
        <f t="shared" si="322"/>
        <v>0</v>
      </c>
      <c r="AG340" s="29">
        <f t="shared" si="323"/>
        <v>0</v>
      </c>
      <c r="AH340" s="29">
        <f t="shared" si="324"/>
        <v>0</v>
      </c>
      <c r="AI340" s="28" t="s">
        <v>2882</v>
      </c>
      <c r="AJ340" s="15">
        <f t="shared" si="325"/>
        <v>0</v>
      </c>
      <c r="AK340" s="15">
        <f t="shared" si="326"/>
        <v>0</v>
      </c>
      <c r="AL340" s="15">
        <f t="shared" si="327"/>
        <v>0</v>
      </c>
      <c r="AN340" s="29">
        <v>15</v>
      </c>
      <c r="AO340" s="29">
        <f t="shared" si="328"/>
        <v>0</v>
      </c>
      <c r="AP340" s="29">
        <f t="shared" si="329"/>
        <v>0</v>
      </c>
      <c r="AQ340" s="30" t="s">
        <v>13</v>
      </c>
      <c r="AV340" s="29">
        <f t="shared" si="330"/>
        <v>0</v>
      </c>
      <c r="AW340" s="29">
        <f t="shared" si="331"/>
        <v>0</v>
      </c>
      <c r="AX340" s="29">
        <f t="shared" si="332"/>
        <v>0</v>
      </c>
      <c r="AY340" s="32" t="s">
        <v>2914</v>
      </c>
      <c r="AZ340" s="32" t="s">
        <v>2943</v>
      </c>
      <c r="BA340" s="28" t="s">
        <v>2957</v>
      </c>
      <c r="BC340" s="29">
        <f t="shared" si="333"/>
        <v>0</v>
      </c>
      <c r="BD340" s="29">
        <f t="shared" si="334"/>
        <v>0</v>
      </c>
      <c r="BE340" s="29">
        <v>0</v>
      </c>
      <c r="BF340" s="29">
        <f>340</f>
        <v>340</v>
      </c>
      <c r="BH340" s="15">
        <f t="shared" si="335"/>
        <v>0</v>
      </c>
      <c r="BI340" s="15">
        <f t="shared" si="336"/>
        <v>0</v>
      </c>
      <c r="BJ340" s="15">
        <f t="shared" si="337"/>
        <v>0</v>
      </c>
      <c r="BK340" s="15" t="s">
        <v>2969</v>
      </c>
      <c r="BL340" s="29">
        <v>722</v>
      </c>
    </row>
    <row r="341" spans="1:64" ht="12.75">
      <c r="A341" s="4" t="s">
        <v>300</v>
      </c>
      <c r="B341" s="94" t="s">
        <v>1298</v>
      </c>
      <c r="C341" s="152" t="s">
        <v>2194</v>
      </c>
      <c r="D341" s="153"/>
      <c r="E341" s="153"/>
      <c r="F341" s="153"/>
      <c r="G341" s="94" t="s">
        <v>2850</v>
      </c>
      <c r="H341" s="73">
        <v>1</v>
      </c>
      <c r="I341" s="105">
        <v>0</v>
      </c>
      <c r="J341" s="15">
        <f t="shared" si="314"/>
        <v>0</v>
      </c>
      <c r="K341" s="15">
        <f t="shared" si="315"/>
        <v>0</v>
      </c>
      <c r="L341" s="15">
        <f t="shared" si="316"/>
        <v>0</v>
      </c>
      <c r="M341" s="25"/>
      <c r="N341" s="5"/>
      <c r="Z341" s="29">
        <f t="shared" si="317"/>
        <v>0</v>
      </c>
      <c r="AB341" s="29">
        <f t="shared" si="318"/>
        <v>0</v>
      </c>
      <c r="AC341" s="29">
        <f t="shared" si="319"/>
        <v>0</v>
      </c>
      <c r="AD341" s="29">
        <f t="shared" si="320"/>
        <v>0</v>
      </c>
      <c r="AE341" s="29">
        <f t="shared" si="321"/>
        <v>0</v>
      </c>
      <c r="AF341" s="29">
        <f t="shared" si="322"/>
        <v>0</v>
      </c>
      <c r="AG341" s="29">
        <f t="shared" si="323"/>
        <v>0</v>
      </c>
      <c r="AH341" s="29">
        <f t="shared" si="324"/>
        <v>0</v>
      </c>
      <c r="AI341" s="28" t="s">
        <v>2882</v>
      </c>
      <c r="AJ341" s="15">
        <f t="shared" si="325"/>
        <v>0</v>
      </c>
      <c r="AK341" s="15">
        <f t="shared" si="326"/>
        <v>0</v>
      </c>
      <c r="AL341" s="15">
        <f t="shared" si="327"/>
        <v>0</v>
      </c>
      <c r="AN341" s="29">
        <v>15</v>
      </c>
      <c r="AO341" s="29">
        <f t="shared" si="328"/>
        <v>0</v>
      </c>
      <c r="AP341" s="29">
        <f t="shared" si="329"/>
        <v>0</v>
      </c>
      <c r="AQ341" s="30" t="s">
        <v>13</v>
      </c>
      <c r="AV341" s="29">
        <f t="shared" si="330"/>
        <v>0</v>
      </c>
      <c r="AW341" s="29">
        <f t="shared" si="331"/>
        <v>0</v>
      </c>
      <c r="AX341" s="29">
        <f t="shared" si="332"/>
        <v>0</v>
      </c>
      <c r="AY341" s="32" t="s">
        <v>2914</v>
      </c>
      <c r="AZ341" s="32" t="s">
        <v>2943</v>
      </c>
      <c r="BA341" s="28" t="s">
        <v>2957</v>
      </c>
      <c r="BC341" s="29">
        <f t="shared" si="333"/>
        <v>0</v>
      </c>
      <c r="BD341" s="29">
        <f t="shared" si="334"/>
        <v>0</v>
      </c>
      <c r="BE341" s="29">
        <v>0</v>
      </c>
      <c r="BF341" s="29">
        <f>341</f>
        <v>341</v>
      </c>
      <c r="BH341" s="15">
        <f t="shared" si="335"/>
        <v>0</v>
      </c>
      <c r="BI341" s="15">
        <f t="shared" si="336"/>
        <v>0</v>
      </c>
      <c r="BJ341" s="15">
        <f t="shared" si="337"/>
        <v>0</v>
      </c>
      <c r="BK341" s="15" t="s">
        <v>2969</v>
      </c>
      <c r="BL341" s="29">
        <v>722</v>
      </c>
    </row>
    <row r="342" spans="1:64" ht="12.75">
      <c r="A342" s="4" t="s">
        <v>301</v>
      </c>
      <c r="B342" s="94" t="s">
        <v>1299</v>
      </c>
      <c r="C342" s="152" t="s">
        <v>2195</v>
      </c>
      <c r="D342" s="153"/>
      <c r="E342" s="153"/>
      <c r="F342" s="153"/>
      <c r="G342" s="94" t="s">
        <v>2850</v>
      </c>
      <c r="H342" s="73">
        <v>1</v>
      </c>
      <c r="I342" s="105">
        <v>0</v>
      </c>
      <c r="J342" s="15">
        <f t="shared" si="314"/>
        <v>0</v>
      </c>
      <c r="K342" s="15">
        <f t="shared" si="315"/>
        <v>0</v>
      </c>
      <c r="L342" s="15">
        <f t="shared" si="316"/>
        <v>0</v>
      </c>
      <c r="M342" s="25"/>
      <c r="N342" s="5"/>
      <c r="Z342" s="29">
        <f t="shared" si="317"/>
        <v>0</v>
      </c>
      <c r="AB342" s="29">
        <f t="shared" si="318"/>
        <v>0</v>
      </c>
      <c r="AC342" s="29">
        <f t="shared" si="319"/>
        <v>0</v>
      </c>
      <c r="AD342" s="29">
        <f t="shared" si="320"/>
        <v>0</v>
      </c>
      <c r="AE342" s="29">
        <f t="shared" si="321"/>
        <v>0</v>
      </c>
      <c r="AF342" s="29">
        <f t="shared" si="322"/>
        <v>0</v>
      </c>
      <c r="AG342" s="29">
        <f t="shared" si="323"/>
        <v>0</v>
      </c>
      <c r="AH342" s="29">
        <f t="shared" si="324"/>
        <v>0</v>
      </c>
      <c r="AI342" s="28" t="s">
        <v>2882</v>
      </c>
      <c r="AJ342" s="15">
        <f t="shared" si="325"/>
        <v>0</v>
      </c>
      <c r="AK342" s="15">
        <f t="shared" si="326"/>
        <v>0</v>
      </c>
      <c r="AL342" s="15">
        <f t="shared" si="327"/>
        <v>0</v>
      </c>
      <c r="AN342" s="29">
        <v>15</v>
      </c>
      <c r="AO342" s="29">
        <f t="shared" si="328"/>
        <v>0</v>
      </c>
      <c r="AP342" s="29">
        <f t="shared" si="329"/>
        <v>0</v>
      </c>
      <c r="AQ342" s="30" t="s">
        <v>13</v>
      </c>
      <c r="AV342" s="29">
        <f t="shared" si="330"/>
        <v>0</v>
      </c>
      <c r="AW342" s="29">
        <f t="shared" si="331"/>
        <v>0</v>
      </c>
      <c r="AX342" s="29">
        <f t="shared" si="332"/>
        <v>0</v>
      </c>
      <c r="AY342" s="32" t="s">
        <v>2914</v>
      </c>
      <c r="AZ342" s="32" t="s">
        <v>2943</v>
      </c>
      <c r="BA342" s="28" t="s">
        <v>2957</v>
      </c>
      <c r="BC342" s="29">
        <f t="shared" si="333"/>
        <v>0</v>
      </c>
      <c r="BD342" s="29">
        <f t="shared" si="334"/>
        <v>0</v>
      </c>
      <c r="BE342" s="29">
        <v>0</v>
      </c>
      <c r="BF342" s="29">
        <f>342</f>
        <v>342</v>
      </c>
      <c r="BH342" s="15">
        <f t="shared" si="335"/>
        <v>0</v>
      </c>
      <c r="BI342" s="15">
        <f t="shared" si="336"/>
        <v>0</v>
      </c>
      <c r="BJ342" s="15">
        <f t="shared" si="337"/>
        <v>0</v>
      </c>
      <c r="BK342" s="15" t="s">
        <v>2969</v>
      </c>
      <c r="BL342" s="29">
        <v>722</v>
      </c>
    </row>
    <row r="343" spans="1:64" ht="12.75">
      <c r="A343" s="4" t="s">
        <v>302</v>
      </c>
      <c r="B343" s="94" t="s">
        <v>1300</v>
      </c>
      <c r="C343" s="152" t="s">
        <v>2196</v>
      </c>
      <c r="D343" s="153"/>
      <c r="E343" s="153"/>
      <c r="F343" s="153"/>
      <c r="G343" s="94" t="s">
        <v>2850</v>
      </c>
      <c r="H343" s="73">
        <v>1</v>
      </c>
      <c r="I343" s="105">
        <v>0</v>
      </c>
      <c r="J343" s="15">
        <f t="shared" si="314"/>
        <v>0</v>
      </c>
      <c r="K343" s="15">
        <f t="shared" si="315"/>
        <v>0</v>
      </c>
      <c r="L343" s="15">
        <f t="shared" si="316"/>
        <v>0</v>
      </c>
      <c r="M343" s="25"/>
      <c r="N343" s="5"/>
      <c r="Z343" s="29">
        <f t="shared" si="317"/>
        <v>0</v>
      </c>
      <c r="AB343" s="29">
        <f t="shared" si="318"/>
        <v>0</v>
      </c>
      <c r="AC343" s="29">
        <f t="shared" si="319"/>
        <v>0</v>
      </c>
      <c r="AD343" s="29">
        <f t="shared" si="320"/>
        <v>0</v>
      </c>
      <c r="AE343" s="29">
        <f t="shared" si="321"/>
        <v>0</v>
      </c>
      <c r="AF343" s="29">
        <f t="shared" si="322"/>
        <v>0</v>
      </c>
      <c r="AG343" s="29">
        <f t="shared" si="323"/>
        <v>0</v>
      </c>
      <c r="AH343" s="29">
        <f t="shared" si="324"/>
        <v>0</v>
      </c>
      <c r="AI343" s="28" t="s">
        <v>2882</v>
      </c>
      <c r="AJ343" s="15">
        <f t="shared" si="325"/>
        <v>0</v>
      </c>
      <c r="AK343" s="15">
        <f t="shared" si="326"/>
        <v>0</v>
      </c>
      <c r="AL343" s="15">
        <f t="shared" si="327"/>
        <v>0</v>
      </c>
      <c r="AN343" s="29">
        <v>15</v>
      </c>
      <c r="AO343" s="29">
        <f t="shared" si="328"/>
        <v>0</v>
      </c>
      <c r="AP343" s="29">
        <f t="shared" si="329"/>
        <v>0</v>
      </c>
      <c r="AQ343" s="30" t="s">
        <v>13</v>
      </c>
      <c r="AV343" s="29">
        <f aca="true" t="shared" si="338" ref="AV343">AW343+AX343</f>
        <v>0</v>
      </c>
      <c r="AW343" s="29">
        <f t="shared" si="331"/>
        <v>0</v>
      </c>
      <c r="AX343" s="29">
        <f t="shared" si="332"/>
        <v>0</v>
      </c>
      <c r="AY343" s="32" t="s">
        <v>2914</v>
      </c>
      <c r="AZ343" s="32" t="s">
        <v>2943</v>
      </c>
      <c r="BA343" s="28" t="s">
        <v>2957</v>
      </c>
      <c r="BC343" s="29">
        <f t="shared" si="333"/>
        <v>0</v>
      </c>
      <c r="BD343" s="29">
        <f aca="true" t="shared" si="339" ref="BD343">I343/(100-BE343)*100</f>
        <v>0</v>
      </c>
      <c r="BE343" s="29">
        <v>0</v>
      </c>
      <c r="BF343" s="29">
        <f>343</f>
        <v>343</v>
      </c>
      <c r="BH343" s="15">
        <f t="shared" si="335"/>
        <v>0</v>
      </c>
      <c r="BI343" s="15">
        <f t="shared" si="336"/>
        <v>0</v>
      </c>
      <c r="BJ343" s="15">
        <f t="shared" si="337"/>
        <v>0</v>
      </c>
      <c r="BK343" s="15" t="s">
        <v>2969</v>
      </c>
      <c r="BL343" s="29">
        <v>722</v>
      </c>
    </row>
    <row r="344" spans="1:47" ht="12.75">
      <c r="A344" s="3"/>
      <c r="B344" s="97" t="s">
        <v>729</v>
      </c>
      <c r="C344" s="161" t="s">
        <v>2257</v>
      </c>
      <c r="D344" s="162"/>
      <c r="E344" s="162"/>
      <c r="F344" s="162"/>
      <c r="G344" s="13" t="s">
        <v>6</v>
      </c>
      <c r="H344" s="13" t="s">
        <v>6</v>
      </c>
      <c r="I344" s="13" t="s">
        <v>6</v>
      </c>
      <c r="J344" s="34">
        <f>SUM(J345:J364)</f>
        <v>0</v>
      </c>
      <c r="K344" s="34">
        <f>SUM(K345:K364)</f>
        <v>0</v>
      </c>
      <c r="L344" s="34">
        <f>SUM(L345:L364)</f>
        <v>0</v>
      </c>
      <c r="M344" s="24"/>
      <c r="N344" s="5"/>
      <c r="AI344" s="28" t="s">
        <v>2882</v>
      </c>
      <c r="AS344" s="34">
        <f>SUM(AJ345:AJ364)</f>
        <v>0</v>
      </c>
      <c r="AT344" s="34">
        <f>SUM(AK345:AK364)</f>
        <v>0</v>
      </c>
      <c r="AU344" s="34">
        <f>SUM(AL345:AL364)</f>
        <v>0</v>
      </c>
    </row>
    <row r="345" spans="1:64" ht="12.75">
      <c r="A345" s="4" t="s">
        <v>303</v>
      </c>
      <c r="B345" s="94" t="s">
        <v>1301</v>
      </c>
      <c r="C345" s="152" t="s">
        <v>2258</v>
      </c>
      <c r="D345" s="153"/>
      <c r="E345" s="153"/>
      <c r="F345" s="153"/>
      <c r="G345" s="94" t="s">
        <v>2851</v>
      </c>
      <c r="H345" s="73">
        <v>1.2</v>
      </c>
      <c r="I345" s="105">
        <v>0</v>
      </c>
      <c r="J345" s="15">
        <f aca="true" t="shared" si="340" ref="J345:J364">H345*AO345</f>
        <v>0</v>
      </c>
      <c r="K345" s="15">
        <f aca="true" t="shared" si="341" ref="K345:K364">H345*AP345</f>
        <v>0</v>
      </c>
      <c r="L345" s="15">
        <f aca="true" t="shared" si="342" ref="L345:L364">H345*I345</f>
        <v>0</v>
      </c>
      <c r="M345" s="25"/>
      <c r="N345" s="5"/>
      <c r="Z345" s="29">
        <f aca="true" t="shared" si="343" ref="Z345:Z364">IF(AQ345="5",BJ345,0)</f>
        <v>0</v>
      </c>
      <c r="AB345" s="29">
        <f aca="true" t="shared" si="344" ref="AB345:AB364">IF(AQ345="1",BH345,0)</f>
        <v>0</v>
      </c>
      <c r="AC345" s="29">
        <f aca="true" t="shared" si="345" ref="AC345:AC364">IF(AQ345="1",BI345,0)</f>
        <v>0</v>
      </c>
      <c r="AD345" s="29">
        <f aca="true" t="shared" si="346" ref="AD345:AD364">IF(AQ345="7",BH345,0)</f>
        <v>0</v>
      </c>
      <c r="AE345" s="29">
        <f aca="true" t="shared" si="347" ref="AE345:AE364">IF(AQ345="7",BI345,0)</f>
        <v>0</v>
      </c>
      <c r="AF345" s="29">
        <f aca="true" t="shared" si="348" ref="AF345:AF364">IF(AQ345="2",BH345,0)</f>
        <v>0</v>
      </c>
      <c r="AG345" s="29">
        <f aca="true" t="shared" si="349" ref="AG345:AG364">IF(AQ345="2",BI345,0)</f>
        <v>0</v>
      </c>
      <c r="AH345" s="29">
        <f aca="true" t="shared" si="350" ref="AH345:AH364">IF(AQ345="0",BJ345,0)</f>
        <v>0</v>
      </c>
      <c r="AI345" s="28" t="s">
        <v>2882</v>
      </c>
      <c r="AJ345" s="15">
        <f aca="true" t="shared" si="351" ref="AJ345:AJ364">IF(AN345=0,L345,0)</f>
        <v>0</v>
      </c>
      <c r="AK345" s="15">
        <f aca="true" t="shared" si="352" ref="AK345:AK364">IF(AN345=15,L345,0)</f>
        <v>0</v>
      </c>
      <c r="AL345" s="15">
        <f aca="true" t="shared" si="353" ref="AL345:AL364">IF(AN345=21,L345,0)</f>
        <v>0</v>
      </c>
      <c r="AN345" s="29">
        <v>15</v>
      </c>
      <c r="AO345" s="29">
        <f aca="true" t="shared" si="354" ref="AO345:AO364">I345*0</f>
        <v>0</v>
      </c>
      <c r="AP345" s="29">
        <f aca="true" t="shared" si="355" ref="AP345:AP364">I345*(1-0)</f>
        <v>0</v>
      </c>
      <c r="AQ345" s="30" t="s">
        <v>13</v>
      </c>
      <c r="AV345" s="29">
        <f aca="true" t="shared" si="356" ref="AV345:AV364">AW345+AX345</f>
        <v>0</v>
      </c>
      <c r="AW345" s="29">
        <f aca="true" t="shared" si="357" ref="AW345:AW364">H345*AO345</f>
        <v>0</v>
      </c>
      <c r="AX345" s="29">
        <f aca="true" t="shared" si="358" ref="AX345:AX364">H345*AP345</f>
        <v>0</v>
      </c>
      <c r="AY345" s="32" t="s">
        <v>2915</v>
      </c>
      <c r="AZ345" s="32" t="s">
        <v>2943</v>
      </c>
      <c r="BA345" s="28" t="s">
        <v>2957</v>
      </c>
      <c r="BC345" s="29">
        <f aca="true" t="shared" si="359" ref="BC345:BC364">AW345+AX345</f>
        <v>0</v>
      </c>
      <c r="BD345" s="29">
        <f aca="true" t="shared" si="360" ref="BD345:BD364">I345/(100-BE345)*100</f>
        <v>0</v>
      </c>
      <c r="BE345" s="29">
        <v>0</v>
      </c>
      <c r="BF345" s="29">
        <f>345</f>
        <v>345</v>
      </c>
      <c r="BH345" s="15">
        <f aca="true" t="shared" si="361" ref="BH345:BH364">H345*AO345</f>
        <v>0</v>
      </c>
      <c r="BI345" s="15">
        <f aca="true" t="shared" si="362" ref="BI345:BI364">H345*AP345</f>
        <v>0</v>
      </c>
      <c r="BJ345" s="15">
        <f aca="true" t="shared" si="363" ref="BJ345:BJ364">H345*I345</f>
        <v>0</v>
      </c>
      <c r="BK345" s="15" t="s">
        <v>2969</v>
      </c>
      <c r="BL345" s="29">
        <v>723</v>
      </c>
    </row>
    <row r="346" spans="1:64" ht="12.75">
      <c r="A346" s="4" t="s">
        <v>304</v>
      </c>
      <c r="B346" s="94" t="s">
        <v>1302</v>
      </c>
      <c r="C346" s="152" t="s">
        <v>2259</v>
      </c>
      <c r="D346" s="153"/>
      <c r="E346" s="153"/>
      <c r="F346" s="153"/>
      <c r="G346" s="94" t="s">
        <v>2851</v>
      </c>
      <c r="H346" s="73">
        <v>14.5</v>
      </c>
      <c r="I346" s="105">
        <v>0</v>
      </c>
      <c r="J346" s="15">
        <f t="shared" si="340"/>
        <v>0</v>
      </c>
      <c r="K346" s="15">
        <f t="shared" si="341"/>
        <v>0</v>
      </c>
      <c r="L346" s="15">
        <f t="shared" si="342"/>
        <v>0</v>
      </c>
      <c r="M346" s="25"/>
      <c r="N346" s="5"/>
      <c r="Z346" s="29">
        <f t="shared" si="343"/>
        <v>0</v>
      </c>
      <c r="AB346" s="29">
        <f t="shared" si="344"/>
        <v>0</v>
      </c>
      <c r="AC346" s="29">
        <f t="shared" si="345"/>
        <v>0</v>
      </c>
      <c r="AD346" s="29">
        <f t="shared" si="346"/>
        <v>0</v>
      </c>
      <c r="AE346" s="29">
        <f t="shared" si="347"/>
        <v>0</v>
      </c>
      <c r="AF346" s="29">
        <f t="shared" si="348"/>
        <v>0</v>
      </c>
      <c r="AG346" s="29">
        <f t="shared" si="349"/>
        <v>0</v>
      </c>
      <c r="AH346" s="29">
        <f t="shared" si="350"/>
        <v>0</v>
      </c>
      <c r="AI346" s="28" t="s">
        <v>2882</v>
      </c>
      <c r="AJ346" s="15">
        <f t="shared" si="351"/>
        <v>0</v>
      </c>
      <c r="AK346" s="15">
        <f t="shared" si="352"/>
        <v>0</v>
      </c>
      <c r="AL346" s="15">
        <f t="shared" si="353"/>
        <v>0</v>
      </c>
      <c r="AN346" s="29">
        <v>15</v>
      </c>
      <c r="AO346" s="29">
        <f t="shared" si="354"/>
        <v>0</v>
      </c>
      <c r="AP346" s="29">
        <f t="shared" si="355"/>
        <v>0</v>
      </c>
      <c r="AQ346" s="30" t="s">
        <v>13</v>
      </c>
      <c r="AV346" s="29">
        <f t="shared" si="356"/>
        <v>0</v>
      </c>
      <c r="AW346" s="29">
        <f t="shared" si="357"/>
        <v>0</v>
      </c>
      <c r="AX346" s="29">
        <f t="shared" si="358"/>
        <v>0</v>
      </c>
      <c r="AY346" s="32" t="s">
        <v>2915</v>
      </c>
      <c r="AZ346" s="32" t="s">
        <v>2943</v>
      </c>
      <c r="BA346" s="28" t="s">
        <v>2957</v>
      </c>
      <c r="BC346" s="29">
        <f t="shared" si="359"/>
        <v>0</v>
      </c>
      <c r="BD346" s="29">
        <f t="shared" si="360"/>
        <v>0</v>
      </c>
      <c r="BE346" s="29">
        <v>0</v>
      </c>
      <c r="BF346" s="29">
        <f>346</f>
        <v>346</v>
      </c>
      <c r="BH346" s="15">
        <f t="shared" si="361"/>
        <v>0</v>
      </c>
      <c r="BI346" s="15">
        <f t="shared" si="362"/>
        <v>0</v>
      </c>
      <c r="BJ346" s="15">
        <f t="shared" si="363"/>
        <v>0</v>
      </c>
      <c r="BK346" s="15" t="s">
        <v>2969</v>
      </c>
      <c r="BL346" s="29">
        <v>723</v>
      </c>
    </row>
    <row r="347" spans="1:64" ht="12.75">
      <c r="A347" s="4" t="s">
        <v>305</v>
      </c>
      <c r="B347" s="94" t="s">
        <v>1303</v>
      </c>
      <c r="C347" s="152" t="s">
        <v>2260</v>
      </c>
      <c r="D347" s="153"/>
      <c r="E347" s="153"/>
      <c r="F347" s="153"/>
      <c r="G347" s="94" t="s">
        <v>2851</v>
      </c>
      <c r="H347" s="73">
        <v>0.3</v>
      </c>
      <c r="I347" s="105">
        <v>0</v>
      </c>
      <c r="J347" s="15">
        <f t="shared" si="340"/>
        <v>0</v>
      </c>
      <c r="K347" s="15">
        <f t="shared" si="341"/>
        <v>0</v>
      </c>
      <c r="L347" s="15">
        <f t="shared" si="342"/>
        <v>0</v>
      </c>
      <c r="M347" s="25"/>
      <c r="N347" s="5"/>
      <c r="Z347" s="29">
        <f t="shared" si="343"/>
        <v>0</v>
      </c>
      <c r="AB347" s="29">
        <f t="shared" si="344"/>
        <v>0</v>
      </c>
      <c r="AC347" s="29">
        <f t="shared" si="345"/>
        <v>0</v>
      </c>
      <c r="AD347" s="29">
        <f t="shared" si="346"/>
        <v>0</v>
      </c>
      <c r="AE347" s="29">
        <f t="shared" si="347"/>
        <v>0</v>
      </c>
      <c r="AF347" s="29">
        <f t="shared" si="348"/>
        <v>0</v>
      </c>
      <c r="AG347" s="29">
        <f t="shared" si="349"/>
        <v>0</v>
      </c>
      <c r="AH347" s="29">
        <f t="shared" si="350"/>
        <v>0</v>
      </c>
      <c r="AI347" s="28" t="s">
        <v>2882</v>
      </c>
      <c r="AJ347" s="15">
        <f t="shared" si="351"/>
        <v>0</v>
      </c>
      <c r="AK347" s="15">
        <f t="shared" si="352"/>
        <v>0</v>
      </c>
      <c r="AL347" s="15">
        <f t="shared" si="353"/>
        <v>0</v>
      </c>
      <c r="AN347" s="29">
        <v>15</v>
      </c>
      <c r="AO347" s="29">
        <f t="shared" si="354"/>
        <v>0</v>
      </c>
      <c r="AP347" s="29">
        <f t="shared" si="355"/>
        <v>0</v>
      </c>
      <c r="AQ347" s="30" t="s">
        <v>13</v>
      </c>
      <c r="AV347" s="29">
        <f t="shared" si="356"/>
        <v>0</v>
      </c>
      <c r="AW347" s="29">
        <f t="shared" si="357"/>
        <v>0</v>
      </c>
      <c r="AX347" s="29">
        <f t="shared" si="358"/>
        <v>0</v>
      </c>
      <c r="AY347" s="32" t="s">
        <v>2915</v>
      </c>
      <c r="AZ347" s="32" t="s">
        <v>2943</v>
      </c>
      <c r="BA347" s="28" t="s">
        <v>2957</v>
      </c>
      <c r="BC347" s="29">
        <f t="shared" si="359"/>
        <v>0</v>
      </c>
      <c r="BD347" s="29">
        <f t="shared" si="360"/>
        <v>0</v>
      </c>
      <c r="BE347" s="29">
        <v>0</v>
      </c>
      <c r="BF347" s="29">
        <f>347</f>
        <v>347</v>
      </c>
      <c r="BH347" s="15">
        <f t="shared" si="361"/>
        <v>0</v>
      </c>
      <c r="BI347" s="15">
        <f t="shared" si="362"/>
        <v>0</v>
      </c>
      <c r="BJ347" s="15">
        <f t="shared" si="363"/>
        <v>0</v>
      </c>
      <c r="BK347" s="15" t="s">
        <v>2969</v>
      </c>
      <c r="BL347" s="29">
        <v>723</v>
      </c>
    </row>
    <row r="348" spans="1:64" ht="12.75">
      <c r="A348" s="4" t="s">
        <v>306</v>
      </c>
      <c r="B348" s="94" t="s">
        <v>1304</v>
      </c>
      <c r="C348" s="152" t="s">
        <v>2261</v>
      </c>
      <c r="D348" s="153"/>
      <c r="E348" s="153"/>
      <c r="F348" s="153"/>
      <c r="G348" s="94" t="s">
        <v>2851</v>
      </c>
      <c r="H348" s="73">
        <v>9.5</v>
      </c>
      <c r="I348" s="105">
        <v>0</v>
      </c>
      <c r="J348" s="15">
        <f t="shared" si="340"/>
        <v>0</v>
      </c>
      <c r="K348" s="15">
        <f t="shared" si="341"/>
        <v>0</v>
      </c>
      <c r="L348" s="15">
        <f t="shared" si="342"/>
        <v>0</v>
      </c>
      <c r="M348" s="25"/>
      <c r="N348" s="5"/>
      <c r="Z348" s="29">
        <f t="shared" si="343"/>
        <v>0</v>
      </c>
      <c r="AB348" s="29">
        <f t="shared" si="344"/>
        <v>0</v>
      </c>
      <c r="AC348" s="29">
        <f t="shared" si="345"/>
        <v>0</v>
      </c>
      <c r="AD348" s="29">
        <f t="shared" si="346"/>
        <v>0</v>
      </c>
      <c r="AE348" s="29">
        <f t="shared" si="347"/>
        <v>0</v>
      </c>
      <c r="AF348" s="29">
        <f t="shared" si="348"/>
        <v>0</v>
      </c>
      <c r="AG348" s="29">
        <f t="shared" si="349"/>
        <v>0</v>
      </c>
      <c r="AH348" s="29">
        <f t="shared" si="350"/>
        <v>0</v>
      </c>
      <c r="AI348" s="28" t="s">
        <v>2882</v>
      </c>
      <c r="AJ348" s="15">
        <f t="shared" si="351"/>
        <v>0</v>
      </c>
      <c r="AK348" s="15">
        <f t="shared" si="352"/>
        <v>0</v>
      </c>
      <c r="AL348" s="15">
        <f t="shared" si="353"/>
        <v>0</v>
      </c>
      <c r="AN348" s="29">
        <v>15</v>
      </c>
      <c r="AO348" s="29">
        <f t="shared" si="354"/>
        <v>0</v>
      </c>
      <c r="AP348" s="29">
        <f t="shared" si="355"/>
        <v>0</v>
      </c>
      <c r="AQ348" s="30" t="s">
        <v>13</v>
      </c>
      <c r="AV348" s="29">
        <f t="shared" si="356"/>
        <v>0</v>
      </c>
      <c r="AW348" s="29">
        <f t="shared" si="357"/>
        <v>0</v>
      </c>
      <c r="AX348" s="29">
        <f t="shared" si="358"/>
        <v>0</v>
      </c>
      <c r="AY348" s="32" t="s">
        <v>2915</v>
      </c>
      <c r="AZ348" s="32" t="s">
        <v>2943</v>
      </c>
      <c r="BA348" s="28" t="s">
        <v>2957</v>
      </c>
      <c r="BC348" s="29">
        <f t="shared" si="359"/>
        <v>0</v>
      </c>
      <c r="BD348" s="29">
        <f t="shared" si="360"/>
        <v>0</v>
      </c>
      <c r="BE348" s="29">
        <v>0</v>
      </c>
      <c r="BF348" s="29">
        <f>348</f>
        <v>348</v>
      </c>
      <c r="BH348" s="15">
        <f t="shared" si="361"/>
        <v>0</v>
      </c>
      <c r="BI348" s="15">
        <f t="shared" si="362"/>
        <v>0</v>
      </c>
      <c r="BJ348" s="15">
        <f t="shared" si="363"/>
        <v>0</v>
      </c>
      <c r="BK348" s="15" t="s">
        <v>2969</v>
      </c>
      <c r="BL348" s="29">
        <v>723</v>
      </c>
    </row>
    <row r="349" spans="1:64" ht="12.75">
      <c r="A349" s="4" t="s">
        <v>307</v>
      </c>
      <c r="B349" s="94" t="s">
        <v>1305</v>
      </c>
      <c r="C349" s="152" t="s">
        <v>2229</v>
      </c>
      <c r="D349" s="153"/>
      <c r="E349" s="153"/>
      <c r="F349" s="153"/>
      <c r="G349" s="94" t="s">
        <v>2850</v>
      </c>
      <c r="H349" s="73">
        <v>1</v>
      </c>
      <c r="I349" s="105">
        <v>0</v>
      </c>
      <c r="J349" s="15">
        <f t="shared" si="340"/>
        <v>0</v>
      </c>
      <c r="K349" s="15">
        <f t="shared" si="341"/>
        <v>0</v>
      </c>
      <c r="L349" s="15">
        <f t="shared" si="342"/>
        <v>0</v>
      </c>
      <c r="M349" s="25"/>
      <c r="N349" s="5"/>
      <c r="Z349" s="29">
        <f t="shared" si="343"/>
        <v>0</v>
      </c>
      <c r="AB349" s="29">
        <f t="shared" si="344"/>
        <v>0</v>
      </c>
      <c r="AC349" s="29">
        <f t="shared" si="345"/>
        <v>0</v>
      </c>
      <c r="AD349" s="29">
        <f t="shared" si="346"/>
        <v>0</v>
      </c>
      <c r="AE349" s="29">
        <f t="shared" si="347"/>
        <v>0</v>
      </c>
      <c r="AF349" s="29">
        <f t="shared" si="348"/>
        <v>0</v>
      </c>
      <c r="AG349" s="29">
        <f t="shared" si="349"/>
        <v>0</v>
      </c>
      <c r="AH349" s="29">
        <f t="shared" si="350"/>
        <v>0</v>
      </c>
      <c r="AI349" s="28" t="s">
        <v>2882</v>
      </c>
      <c r="AJ349" s="15">
        <f t="shared" si="351"/>
        <v>0</v>
      </c>
      <c r="AK349" s="15">
        <f t="shared" si="352"/>
        <v>0</v>
      </c>
      <c r="AL349" s="15">
        <f t="shared" si="353"/>
        <v>0</v>
      </c>
      <c r="AN349" s="29">
        <v>15</v>
      </c>
      <c r="AO349" s="29">
        <f t="shared" si="354"/>
        <v>0</v>
      </c>
      <c r="AP349" s="29">
        <f t="shared" si="355"/>
        <v>0</v>
      </c>
      <c r="AQ349" s="30" t="s">
        <v>13</v>
      </c>
      <c r="AV349" s="29">
        <f t="shared" si="356"/>
        <v>0</v>
      </c>
      <c r="AW349" s="29">
        <f t="shared" si="357"/>
        <v>0</v>
      </c>
      <c r="AX349" s="29">
        <f t="shared" si="358"/>
        <v>0</v>
      </c>
      <c r="AY349" s="32" t="s">
        <v>2915</v>
      </c>
      <c r="AZ349" s="32" t="s">
        <v>2943</v>
      </c>
      <c r="BA349" s="28" t="s">
        <v>2957</v>
      </c>
      <c r="BC349" s="29">
        <f t="shared" si="359"/>
        <v>0</v>
      </c>
      <c r="BD349" s="29">
        <f t="shared" si="360"/>
        <v>0</v>
      </c>
      <c r="BE349" s="29">
        <v>0</v>
      </c>
      <c r="BF349" s="29">
        <f>349</f>
        <v>349</v>
      </c>
      <c r="BH349" s="15">
        <f t="shared" si="361"/>
        <v>0</v>
      </c>
      <c r="BI349" s="15">
        <f t="shared" si="362"/>
        <v>0</v>
      </c>
      <c r="BJ349" s="15">
        <f t="shared" si="363"/>
        <v>0</v>
      </c>
      <c r="BK349" s="15" t="s">
        <v>2969</v>
      </c>
      <c r="BL349" s="29">
        <v>723</v>
      </c>
    </row>
    <row r="350" spans="1:64" ht="12.75">
      <c r="A350" s="4" t="s">
        <v>308</v>
      </c>
      <c r="B350" s="94" t="s">
        <v>1306</v>
      </c>
      <c r="C350" s="152" t="s">
        <v>2230</v>
      </c>
      <c r="D350" s="153"/>
      <c r="E350" s="153"/>
      <c r="F350" s="153"/>
      <c r="G350" s="94" t="s">
        <v>2850</v>
      </c>
      <c r="H350" s="73">
        <v>2</v>
      </c>
      <c r="I350" s="105">
        <v>0</v>
      </c>
      <c r="J350" s="15">
        <f t="shared" si="340"/>
        <v>0</v>
      </c>
      <c r="K350" s="15">
        <f t="shared" si="341"/>
        <v>0</v>
      </c>
      <c r="L350" s="15">
        <f t="shared" si="342"/>
        <v>0</v>
      </c>
      <c r="M350" s="25"/>
      <c r="N350" s="5"/>
      <c r="Z350" s="29">
        <f t="shared" si="343"/>
        <v>0</v>
      </c>
      <c r="AB350" s="29">
        <f t="shared" si="344"/>
        <v>0</v>
      </c>
      <c r="AC350" s="29">
        <f t="shared" si="345"/>
        <v>0</v>
      </c>
      <c r="AD350" s="29">
        <f t="shared" si="346"/>
        <v>0</v>
      </c>
      <c r="AE350" s="29">
        <f t="shared" si="347"/>
        <v>0</v>
      </c>
      <c r="AF350" s="29">
        <f t="shared" si="348"/>
        <v>0</v>
      </c>
      <c r="AG350" s="29">
        <f t="shared" si="349"/>
        <v>0</v>
      </c>
      <c r="AH350" s="29">
        <f t="shared" si="350"/>
        <v>0</v>
      </c>
      <c r="AI350" s="28" t="s">
        <v>2882</v>
      </c>
      <c r="AJ350" s="15">
        <f t="shared" si="351"/>
        <v>0</v>
      </c>
      <c r="AK350" s="15">
        <f t="shared" si="352"/>
        <v>0</v>
      </c>
      <c r="AL350" s="15">
        <f t="shared" si="353"/>
        <v>0</v>
      </c>
      <c r="AN350" s="29">
        <v>15</v>
      </c>
      <c r="AO350" s="29">
        <f t="shared" si="354"/>
        <v>0</v>
      </c>
      <c r="AP350" s="29">
        <f t="shared" si="355"/>
        <v>0</v>
      </c>
      <c r="AQ350" s="30" t="s">
        <v>13</v>
      </c>
      <c r="AV350" s="29">
        <f t="shared" si="356"/>
        <v>0</v>
      </c>
      <c r="AW350" s="29">
        <f t="shared" si="357"/>
        <v>0</v>
      </c>
      <c r="AX350" s="29">
        <f t="shared" si="358"/>
        <v>0</v>
      </c>
      <c r="AY350" s="32" t="s">
        <v>2915</v>
      </c>
      <c r="AZ350" s="32" t="s">
        <v>2943</v>
      </c>
      <c r="BA350" s="28" t="s">
        <v>2957</v>
      </c>
      <c r="BC350" s="29">
        <f t="shared" si="359"/>
        <v>0</v>
      </c>
      <c r="BD350" s="29">
        <f t="shared" si="360"/>
        <v>0</v>
      </c>
      <c r="BE350" s="29">
        <v>0</v>
      </c>
      <c r="BF350" s="29">
        <f>350</f>
        <v>350</v>
      </c>
      <c r="BH350" s="15">
        <f t="shared" si="361"/>
        <v>0</v>
      </c>
      <c r="BI350" s="15">
        <f t="shared" si="362"/>
        <v>0</v>
      </c>
      <c r="BJ350" s="15">
        <f t="shared" si="363"/>
        <v>0</v>
      </c>
      <c r="BK350" s="15" t="s">
        <v>2969</v>
      </c>
      <c r="BL350" s="29">
        <v>723</v>
      </c>
    </row>
    <row r="351" spans="1:64" ht="12.75">
      <c r="A351" s="4" t="s">
        <v>309</v>
      </c>
      <c r="B351" s="94" t="s">
        <v>1307</v>
      </c>
      <c r="C351" s="152" t="s">
        <v>2262</v>
      </c>
      <c r="D351" s="153"/>
      <c r="E351" s="153"/>
      <c r="F351" s="153"/>
      <c r="G351" s="94" t="s">
        <v>2850</v>
      </c>
      <c r="H351" s="73">
        <v>1</v>
      </c>
      <c r="I351" s="105">
        <v>0</v>
      </c>
      <c r="J351" s="15">
        <f t="shared" si="340"/>
        <v>0</v>
      </c>
      <c r="K351" s="15">
        <f t="shared" si="341"/>
        <v>0</v>
      </c>
      <c r="L351" s="15">
        <f t="shared" si="342"/>
        <v>0</v>
      </c>
      <c r="M351" s="25"/>
      <c r="N351" s="5"/>
      <c r="Z351" s="29">
        <f t="shared" si="343"/>
        <v>0</v>
      </c>
      <c r="AB351" s="29">
        <f t="shared" si="344"/>
        <v>0</v>
      </c>
      <c r="AC351" s="29">
        <f t="shared" si="345"/>
        <v>0</v>
      </c>
      <c r="AD351" s="29">
        <f t="shared" si="346"/>
        <v>0</v>
      </c>
      <c r="AE351" s="29">
        <f t="shared" si="347"/>
        <v>0</v>
      </c>
      <c r="AF351" s="29">
        <f t="shared" si="348"/>
        <v>0</v>
      </c>
      <c r="AG351" s="29">
        <f t="shared" si="349"/>
        <v>0</v>
      </c>
      <c r="AH351" s="29">
        <f t="shared" si="350"/>
        <v>0</v>
      </c>
      <c r="AI351" s="28" t="s">
        <v>2882</v>
      </c>
      <c r="AJ351" s="15">
        <f t="shared" si="351"/>
        <v>0</v>
      </c>
      <c r="AK351" s="15">
        <f t="shared" si="352"/>
        <v>0</v>
      </c>
      <c r="AL351" s="15">
        <f t="shared" si="353"/>
        <v>0</v>
      </c>
      <c r="AN351" s="29">
        <v>15</v>
      </c>
      <c r="AO351" s="29">
        <f t="shared" si="354"/>
        <v>0</v>
      </c>
      <c r="AP351" s="29">
        <f t="shared" si="355"/>
        <v>0</v>
      </c>
      <c r="AQ351" s="30" t="s">
        <v>13</v>
      </c>
      <c r="AV351" s="29">
        <f t="shared" si="356"/>
        <v>0</v>
      </c>
      <c r="AW351" s="29">
        <f t="shared" si="357"/>
        <v>0</v>
      </c>
      <c r="AX351" s="29">
        <f t="shared" si="358"/>
        <v>0</v>
      </c>
      <c r="AY351" s="32" t="s">
        <v>2915</v>
      </c>
      <c r="AZ351" s="32" t="s">
        <v>2943</v>
      </c>
      <c r="BA351" s="28" t="s">
        <v>2957</v>
      </c>
      <c r="BC351" s="29">
        <f t="shared" si="359"/>
        <v>0</v>
      </c>
      <c r="BD351" s="29">
        <f t="shared" si="360"/>
        <v>0</v>
      </c>
      <c r="BE351" s="29">
        <v>0</v>
      </c>
      <c r="BF351" s="29">
        <f>351</f>
        <v>351</v>
      </c>
      <c r="BH351" s="15">
        <f t="shared" si="361"/>
        <v>0</v>
      </c>
      <c r="BI351" s="15">
        <f t="shared" si="362"/>
        <v>0</v>
      </c>
      <c r="BJ351" s="15">
        <f t="shared" si="363"/>
        <v>0</v>
      </c>
      <c r="BK351" s="15" t="s">
        <v>2969</v>
      </c>
      <c r="BL351" s="29">
        <v>723</v>
      </c>
    </row>
    <row r="352" spans="1:64" ht="12.75">
      <c r="A352" s="4" t="s">
        <v>310</v>
      </c>
      <c r="B352" s="94" t="s">
        <v>1308</v>
      </c>
      <c r="C352" s="152" t="s">
        <v>2263</v>
      </c>
      <c r="D352" s="153"/>
      <c r="E352" s="153"/>
      <c r="F352" s="153"/>
      <c r="G352" s="94" t="s">
        <v>2850</v>
      </c>
      <c r="H352" s="73">
        <v>3</v>
      </c>
      <c r="I352" s="105">
        <v>0</v>
      </c>
      <c r="J352" s="15">
        <f t="shared" si="340"/>
        <v>0</v>
      </c>
      <c r="K352" s="15">
        <f t="shared" si="341"/>
        <v>0</v>
      </c>
      <c r="L352" s="15">
        <f t="shared" si="342"/>
        <v>0</v>
      </c>
      <c r="M352" s="25"/>
      <c r="N352" s="5"/>
      <c r="Z352" s="29">
        <f t="shared" si="343"/>
        <v>0</v>
      </c>
      <c r="AB352" s="29">
        <f t="shared" si="344"/>
        <v>0</v>
      </c>
      <c r="AC352" s="29">
        <f t="shared" si="345"/>
        <v>0</v>
      </c>
      <c r="AD352" s="29">
        <f t="shared" si="346"/>
        <v>0</v>
      </c>
      <c r="AE352" s="29">
        <f t="shared" si="347"/>
        <v>0</v>
      </c>
      <c r="AF352" s="29">
        <f t="shared" si="348"/>
        <v>0</v>
      </c>
      <c r="AG352" s="29">
        <f t="shared" si="349"/>
        <v>0</v>
      </c>
      <c r="AH352" s="29">
        <f t="shared" si="350"/>
        <v>0</v>
      </c>
      <c r="AI352" s="28" t="s">
        <v>2882</v>
      </c>
      <c r="AJ352" s="15">
        <f t="shared" si="351"/>
        <v>0</v>
      </c>
      <c r="AK352" s="15">
        <f t="shared" si="352"/>
        <v>0</v>
      </c>
      <c r="AL352" s="15">
        <f t="shared" si="353"/>
        <v>0</v>
      </c>
      <c r="AN352" s="29">
        <v>15</v>
      </c>
      <c r="AO352" s="29">
        <f t="shared" si="354"/>
        <v>0</v>
      </c>
      <c r="AP352" s="29">
        <f t="shared" si="355"/>
        <v>0</v>
      </c>
      <c r="AQ352" s="30" t="s">
        <v>13</v>
      </c>
      <c r="AV352" s="29">
        <f t="shared" si="356"/>
        <v>0</v>
      </c>
      <c r="AW352" s="29">
        <f t="shared" si="357"/>
        <v>0</v>
      </c>
      <c r="AX352" s="29">
        <f t="shared" si="358"/>
        <v>0</v>
      </c>
      <c r="AY352" s="32" t="s">
        <v>2915</v>
      </c>
      <c r="AZ352" s="32" t="s">
        <v>2943</v>
      </c>
      <c r="BA352" s="28" t="s">
        <v>2957</v>
      </c>
      <c r="BC352" s="29">
        <f t="shared" si="359"/>
        <v>0</v>
      </c>
      <c r="BD352" s="29">
        <f t="shared" si="360"/>
        <v>0</v>
      </c>
      <c r="BE352" s="29">
        <v>0</v>
      </c>
      <c r="BF352" s="29">
        <f>352</f>
        <v>352</v>
      </c>
      <c r="BH352" s="15">
        <f t="shared" si="361"/>
        <v>0</v>
      </c>
      <c r="BI352" s="15">
        <f t="shared" si="362"/>
        <v>0</v>
      </c>
      <c r="BJ352" s="15">
        <f t="shared" si="363"/>
        <v>0</v>
      </c>
      <c r="BK352" s="15" t="s">
        <v>2969</v>
      </c>
      <c r="BL352" s="29">
        <v>723</v>
      </c>
    </row>
    <row r="353" spans="1:64" ht="12.75">
      <c r="A353" s="4" t="s">
        <v>311</v>
      </c>
      <c r="B353" s="94" t="s">
        <v>1309</v>
      </c>
      <c r="C353" s="152" t="s">
        <v>2264</v>
      </c>
      <c r="D353" s="153"/>
      <c r="E353" s="153"/>
      <c r="F353" s="153"/>
      <c r="G353" s="94" t="s">
        <v>2851</v>
      </c>
      <c r="H353" s="73">
        <v>9.5</v>
      </c>
      <c r="I353" s="105">
        <v>0</v>
      </c>
      <c r="J353" s="15">
        <f t="shared" si="340"/>
        <v>0</v>
      </c>
      <c r="K353" s="15">
        <f t="shared" si="341"/>
        <v>0</v>
      </c>
      <c r="L353" s="15">
        <f t="shared" si="342"/>
        <v>0</v>
      </c>
      <c r="M353" s="25"/>
      <c r="N353" s="5"/>
      <c r="Z353" s="29">
        <f t="shared" si="343"/>
        <v>0</v>
      </c>
      <c r="AB353" s="29">
        <f t="shared" si="344"/>
        <v>0</v>
      </c>
      <c r="AC353" s="29">
        <f t="shared" si="345"/>
        <v>0</v>
      </c>
      <c r="AD353" s="29">
        <f t="shared" si="346"/>
        <v>0</v>
      </c>
      <c r="AE353" s="29">
        <f t="shared" si="347"/>
        <v>0</v>
      </c>
      <c r="AF353" s="29">
        <f t="shared" si="348"/>
        <v>0</v>
      </c>
      <c r="AG353" s="29">
        <f t="shared" si="349"/>
        <v>0</v>
      </c>
      <c r="AH353" s="29">
        <f t="shared" si="350"/>
        <v>0</v>
      </c>
      <c r="AI353" s="28" t="s">
        <v>2882</v>
      </c>
      <c r="AJ353" s="15">
        <f t="shared" si="351"/>
        <v>0</v>
      </c>
      <c r="AK353" s="15">
        <f t="shared" si="352"/>
        <v>0</v>
      </c>
      <c r="AL353" s="15">
        <f t="shared" si="353"/>
        <v>0</v>
      </c>
      <c r="AN353" s="29">
        <v>15</v>
      </c>
      <c r="AO353" s="29">
        <f t="shared" si="354"/>
        <v>0</v>
      </c>
      <c r="AP353" s="29">
        <f t="shared" si="355"/>
        <v>0</v>
      </c>
      <c r="AQ353" s="30" t="s">
        <v>13</v>
      </c>
      <c r="AV353" s="29">
        <f t="shared" si="356"/>
        <v>0</v>
      </c>
      <c r="AW353" s="29">
        <f t="shared" si="357"/>
        <v>0</v>
      </c>
      <c r="AX353" s="29">
        <f t="shared" si="358"/>
        <v>0</v>
      </c>
      <c r="AY353" s="32" t="s">
        <v>2915</v>
      </c>
      <c r="AZ353" s="32" t="s">
        <v>2943</v>
      </c>
      <c r="BA353" s="28" t="s">
        <v>2957</v>
      </c>
      <c r="BC353" s="29">
        <f t="shared" si="359"/>
        <v>0</v>
      </c>
      <c r="BD353" s="29">
        <f t="shared" si="360"/>
        <v>0</v>
      </c>
      <c r="BE353" s="29">
        <v>0</v>
      </c>
      <c r="BF353" s="29">
        <f>353</f>
        <v>353</v>
      </c>
      <c r="BH353" s="15">
        <f t="shared" si="361"/>
        <v>0</v>
      </c>
      <c r="BI353" s="15">
        <f t="shared" si="362"/>
        <v>0</v>
      </c>
      <c r="BJ353" s="15">
        <f t="shared" si="363"/>
        <v>0</v>
      </c>
      <c r="BK353" s="15" t="s">
        <v>2969</v>
      </c>
      <c r="BL353" s="29">
        <v>723</v>
      </c>
    </row>
    <row r="354" spans="1:64" ht="12.75">
      <c r="A354" s="4" t="s">
        <v>312</v>
      </c>
      <c r="B354" s="94" t="s">
        <v>1310</v>
      </c>
      <c r="C354" s="152" t="s">
        <v>2189</v>
      </c>
      <c r="D354" s="153"/>
      <c r="E354" s="153"/>
      <c r="F354" s="153"/>
      <c r="G354" s="94" t="s">
        <v>2852</v>
      </c>
      <c r="H354" s="73">
        <v>15</v>
      </c>
      <c r="I354" s="105">
        <v>0</v>
      </c>
      <c r="J354" s="15">
        <f t="shared" si="340"/>
        <v>0</v>
      </c>
      <c r="K354" s="15">
        <f t="shared" si="341"/>
        <v>0</v>
      </c>
      <c r="L354" s="15">
        <f t="shared" si="342"/>
        <v>0</v>
      </c>
      <c r="M354" s="25"/>
      <c r="N354" s="5"/>
      <c r="Z354" s="29">
        <f t="shared" si="343"/>
        <v>0</v>
      </c>
      <c r="AB354" s="29">
        <f t="shared" si="344"/>
        <v>0</v>
      </c>
      <c r="AC354" s="29">
        <f t="shared" si="345"/>
        <v>0</v>
      </c>
      <c r="AD354" s="29">
        <f t="shared" si="346"/>
        <v>0</v>
      </c>
      <c r="AE354" s="29">
        <f t="shared" si="347"/>
        <v>0</v>
      </c>
      <c r="AF354" s="29">
        <f t="shared" si="348"/>
        <v>0</v>
      </c>
      <c r="AG354" s="29">
        <f t="shared" si="349"/>
        <v>0</v>
      </c>
      <c r="AH354" s="29">
        <f t="shared" si="350"/>
        <v>0</v>
      </c>
      <c r="AI354" s="28" t="s">
        <v>2882</v>
      </c>
      <c r="AJ354" s="15">
        <f t="shared" si="351"/>
        <v>0</v>
      </c>
      <c r="AK354" s="15">
        <f t="shared" si="352"/>
        <v>0</v>
      </c>
      <c r="AL354" s="15">
        <f t="shared" si="353"/>
        <v>0</v>
      </c>
      <c r="AN354" s="29">
        <v>15</v>
      </c>
      <c r="AO354" s="29">
        <f t="shared" si="354"/>
        <v>0</v>
      </c>
      <c r="AP354" s="29">
        <f t="shared" si="355"/>
        <v>0</v>
      </c>
      <c r="AQ354" s="30" t="s">
        <v>13</v>
      </c>
      <c r="AV354" s="29">
        <f t="shared" si="356"/>
        <v>0</v>
      </c>
      <c r="AW354" s="29">
        <f t="shared" si="357"/>
        <v>0</v>
      </c>
      <c r="AX354" s="29">
        <f t="shared" si="358"/>
        <v>0</v>
      </c>
      <c r="AY354" s="32" t="s">
        <v>2915</v>
      </c>
      <c r="AZ354" s="32" t="s">
        <v>2943</v>
      </c>
      <c r="BA354" s="28" t="s">
        <v>2957</v>
      </c>
      <c r="BC354" s="29">
        <f t="shared" si="359"/>
        <v>0</v>
      </c>
      <c r="BD354" s="29">
        <f t="shared" si="360"/>
        <v>0</v>
      </c>
      <c r="BE354" s="29">
        <v>0</v>
      </c>
      <c r="BF354" s="29">
        <f>354</f>
        <v>354</v>
      </c>
      <c r="BH354" s="15">
        <f t="shared" si="361"/>
        <v>0</v>
      </c>
      <c r="BI354" s="15">
        <f t="shared" si="362"/>
        <v>0</v>
      </c>
      <c r="BJ354" s="15">
        <f t="shared" si="363"/>
        <v>0</v>
      </c>
      <c r="BK354" s="15" t="s">
        <v>2969</v>
      </c>
      <c r="BL354" s="29">
        <v>723</v>
      </c>
    </row>
    <row r="355" spans="1:64" ht="12.75">
      <c r="A355" s="4" t="s">
        <v>313</v>
      </c>
      <c r="B355" s="94" t="s">
        <v>1311</v>
      </c>
      <c r="C355" s="152" t="s">
        <v>2265</v>
      </c>
      <c r="D355" s="153"/>
      <c r="E355" s="153"/>
      <c r="F355" s="153"/>
      <c r="G355" s="94" t="s">
        <v>2850</v>
      </c>
      <c r="H355" s="73">
        <v>1</v>
      </c>
      <c r="I355" s="105">
        <v>0</v>
      </c>
      <c r="J355" s="15">
        <f t="shared" si="340"/>
        <v>0</v>
      </c>
      <c r="K355" s="15">
        <f t="shared" si="341"/>
        <v>0</v>
      </c>
      <c r="L355" s="15">
        <f t="shared" si="342"/>
        <v>0</v>
      </c>
      <c r="M355" s="25"/>
      <c r="N355" s="5"/>
      <c r="Z355" s="29">
        <f t="shared" si="343"/>
        <v>0</v>
      </c>
      <c r="AB355" s="29">
        <f t="shared" si="344"/>
        <v>0</v>
      </c>
      <c r="AC355" s="29">
        <f t="shared" si="345"/>
        <v>0</v>
      </c>
      <c r="AD355" s="29">
        <f t="shared" si="346"/>
        <v>0</v>
      </c>
      <c r="AE355" s="29">
        <f t="shared" si="347"/>
        <v>0</v>
      </c>
      <c r="AF355" s="29">
        <f t="shared" si="348"/>
        <v>0</v>
      </c>
      <c r="AG355" s="29">
        <f t="shared" si="349"/>
        <v>0</v>
      </c>
      <c r="AH355" s="29">
        <f t="shared" si="350"/>
        <v>0</v>
      </c>
      <c r="AI355" s="28" t="s">
        <v>2882</v>
      </c>
      <c r="AJ355" s="15">
        <f t="shared" si="351"/>
        <v>0</v>
      </c>
      <c r="AK355" s="15">
        <f t="shared" si="352"/>
        <v>0</v>
      </c>
      <c r="AL355" s="15">
        <f t="shared" si="353"/>
        <v>0</v>
      </c>
      <c r="AN355" s="29">
        <v>15</v>
      </c>
      <c r="AO355" s="29">
        <f t="shared" si="354"/>
        <v>0</v>
      </c>
      <c r="AP355" s="29">
        <f t="shared" si="355"/>
        <v>0</v>
      </c>
      <c r="AQ355" s="30" t="s">
        <v>13</v>
      </c>
      <c r="AV355" s="29">
        <f t="shared" si="356"/>
        <v>0</v>
      </c>
      <c r="AW355" s="29">
        <f t="shared" si="357"/>
        <v>0</v>
      </c>
      <c r="AX355" s="29">
        <f t="shared" si="358"/>
        <v>0</v>
      </c>
      <c r="AY355" s="32" t="s">
        <v>2915</v>
      </c>
      <c r="AZ355" s="32" t="s">
        <v>2943</v>
      </c>
      <c r="BA355" s="28" t="s">
        <v>2957</v>
      </c>
      <c r="BC355" s="29">
        <f t="shared" si="359"/>
        <v>0</v>
      </c>
      <c r="BD355" s="29">
        <f t="shared" si="360"/>
        <v>0</v>
      </c>
      <c r="BE355" s="29">
        <v>0</v>
      </c>
      <c r="BF355" s="29">
        <f>355</f>
        <v>355</v>
      </c>
      <c r="BH355" s="15">
        <f t="shared" si="361"/>
        <v>0</v>
      </c>
      <c r="BI355" s="15">
        <f t="shared" si="362"/>
        <v>0</v>
      </c>
      <c r="BJ355" s="15">
        <f t="shared" si="363"/>
        <v>0</v>
      </c>
      <c r="BK355" s="15" t="s">
        <v>2969</v>
      </c>
      <c r="BL355" s="29">
        <v>723</v>
      </c>
    </row>
    <row r="356" spans="1:64" ht="12.75">
      <c r="A356" s="4" t="s">
        <v>314</v>
      </c>
      <c r="B356" s="94" t="s">
        <v>1312</v>
      </c>
      <c r="C356" s="152" t="s">
        <v>2266</v>
      </c>
      <c r="D356" s="153"/>
      <c r="E356" s="153"/>
      <c r="F356" s="153"/>
      <c r="G356" s="94" t="s">
        <v>2850</v>
      </c>
      <c r="H356" s="73">
        <v>1</v>
      </c>
      <c r="I356" s="105">
        <v>0</v>
      </c>
      <c r="J356" s="15">
        <f t="shared" si="340"/>
        <v>0</v>
      </c>
      <c r="K356" s="15">
        <f t="shared" si="341"/>
        <v>0</v>
      </c>
      <c r="L356" s="15">
        <f t="shared" si="342"/>
        <v>0</v>
      </c>
      <c r="M356" s="25"/>
      <c r="N356" s="5"/>
      <c r="Z356" s="29">
        <f t="shared" si="343"/>
        <v>0</v>
      </c>
      <c r="AB356" s="29">
        <f t="shared" si="344"/>
        <v>0</v>
      </c>
      <c r="AC356" s="29">
        <f t="shared" si="345"/>
        <v>0</v>
      </c>
      <c r="AD356" s="29">
        <f t="shared" si="346"/>
        <v>0</v>
      </c>
      <c r="AE356" s="29">
        <f t="shared" si="347"/>
        <v>0</v>
      </c>
      <c r="AF356" s="29">
        <f t="shared" si="348"/>
        <v>0</v>
      </c>
      <c r="AG356" s="29">
        <f t="shared" si="349"/>
        <v>0</v>
      </c>
      <c r="AH356" s="29">
        <f t="shared" si="350"/>
        <v>0</v>
      </c>
      <c r="AI356" s="28" t="s">
        <v>2882</v>
      </c>
      <c r="AJ356" s="15">
        <f t="shared" si="351"/>
        <v>0</v>
      </c>
      <c r="AK356" s="15">
        <f t="shared" si="352"/>
        <v>0</v>
      </c>
      <c r="AL356" s="15">
        <f t="shared" si="353"/>
        <v>0</v>
      </c>
      <c r="AN356" s="29">
        <v>15</v>
      </c>
      <c r="AO356" s="29">
        <f t="shared" si="354"/>
        <v>0</v>
      </c>
      <c r="AP356" s="29">
        <f t="shared" si="355"/>
        <v>0</v>
      </c>
      <c r="AQ356" s="30" t="s">
        <v>13</v>
      </c>
      <c r="AV356" s="29">
        <f t="shared" si="356"/>
        <v>0</v>
      </c>
      <c r="AW356" s="29">
        <f t="shared" si="357"/>
        <v>0</v>
      </c>
      <c r="AX356" s="29">
        <f t="shared" si="358"/>
        <v>0</v>
      </c>
      <c r="AY356" s="32" t="s">
        <v>2915</v>
      </c>
      <c r="AZ356" s="32" t="s">
        <v>2943</v>
      </c>
      <c r="BA356" s="28" t="s">
        <v>2957</v>
      </c>
      <c r="BC356" s="29">
        <f t="shared" si="359"/>
        <v>0</v>
      </c>
      <c r="BD356" s="29">
        <f t="shared" si="360"/>
        <v>0</v>
      </c>
      <c r="BE356" s="29">
        <v>0</v>
      </c>
      <c r="BF356" s="29">
        <f>356</f>
        <v>356</v>
      </c>
      <c r="BH356" s="15">
        <f t="shared" si="361"/>
        <v>0</v>
      </c>
      <c r="BI356" s="15">
        <f t="shared" si="362"/>
        <v>0</v>
      </c>
      <c r="BJ356" s="15">
        <f t="shared" si="363"/>
        <v>0</v>
      </c>
      <c r="BK356" s="15" t="s">
        <v>2969</v>
      </c>
      <c r="BL356" s="29">
        <v>723</v>
      </c>
    </row>
    <row r="357" spans="1:64" ht="12.75">
      <c r="A357" s="4" t="s">
        <v>315</v>
      </c>
      <c r="B357" s="94" t="s">
        <v>1313</v>
      </c>
      <c r="C357" s="152" t="s">
        <v>2254</v>
      </c>
      <c r="D357" s="153"/>
      <c r="E357" s="153"/>
      <c r="F357" s="153"/>
      <c r="G357" s="94" t="s">
        <v>2851</v>
      </c>
      <c r="H357" s="73">
        <v>15.7</v>
      </c>
      <c r="I357" s="105">
        <v>0</v>
      </c>
      <c r="J357" s="15">
        <f t="shared" si="340"/>
        <v>0</v>
      </c>
      <c r="K357" s="15">
        <f t="shared" si="341"/>
        <v>0</v>
      </c>
      <c r="L357" s="15">
        <f t="shared" si="342"/>
        <v>0</v>
      </c>
      <c r="M357" s="25"/>
      <c r="N357" s="5"/>
      <c r="Z357" s="29">
        <f t="shared" si="343"/>
        <v>0</v>
      </c>
      <c r="AB357" s="29">
        <f t="shared" si="344"/>
        <v>0</v>
      </c>
      <c r="AC357" s="29">
        <f t="shared" si="345"/>
        <v>0</v>
      </c>
      <c r="AD357" s="29">
        <f t="shared" si="346"/>
        <v>0</v>
      </c>
      <c r="AE357" s="29">
        <f t="shared" si="347"/>
        <v>0</v>
      </c>
      <c r="AF357" s="29">
        <f t="shared" si="348"/>
        <v>0</v>
      </c>
      <c r="AG357" s="29">
        <f t="shared" si="349"/>
        <v>0</v>
      </c>
      <c r="AH357" s="29">
        <f t="shared" si="350"/>
        <v>0</v>
      </c>
      <c r="AI357" s="28" t="s">
        <v>2882</v>
      </c>
      <c r="AJ357" s="15">
        <f t="shared" si="351"/>
        <v>0</v>
      </c>
      <c r="AK357" s="15">
        <f t="shared" si="352"/>
        <v>0</v>
      </c>
      <c r="AL357" s="15">
        <f t="shared" si="353"/>
        <v>0</v>
      </c>
      <c r="AN357" s="29">
        <v>15</v>
      </c>
      <c r="AO357" s="29">
        <f t="shared" si="354"/>
        <v>0</v>
      </c>
      <c r="AP357" s="29">
        <f t="shared" si="355"/>
        <v>0</v>
      </c>
      <c r="AQ357" s="30" t="s">
        <v>13</v>
      </c>
      <c r="AV357" s="29">
        <f t="shared" si="356"/>
        <v>0</v>
      </c>
      <c r="AW357" s="29">
        <f t="shared" si="357"/>
        <v>0</v>
      </c>
      <c r="AX357" s="29">
        <f t="shared" si="358"/>
        <v>0</v>
      </c>
      <c r="AY357" s="32" t="s">
        <v>2915</v>
      </c>
      <c r="AZ357" s="32" t="s">
        <v>2943</v>
      </c>
      <c r="BA357" s="28" t="s">
        <v>2957</v>
      </c>
      <c r="BC357" s="29">
        <f t="shared" si="359"/>
        <v>0</v>
      </c>
      <c r="BD357" s="29">
        <f t="shared" si="360"/>
        <v>0</v>
      </c>
      <c r="BE357" s="29">
        <v>0</v>
      </c>
      <c r="BF357" s="29">
        <f>357</f>
        <v>357</v>
      </c>
      <c r="BH357" s="15">
        <f t="shared" si="361"/>
        <v>0</v>
      </c>
      <c r="BI357" s="15">
        <f t="shared" si="362"/>
        <v>0</v>
      </c>
      <c r="BJ357" s="15">
        <f t="shared" si="363"/>
        <v>0</v>
      </c>
      <c r="BK357" s="15" t="s">
        <v>2969</v>
      </c>
      <c r="BL357" s="29">
        <v>723</v>
      </c>
    </row>
    <row r="358" spans="1:64" ht="12.75">
      <c r="A358" s="4" t="s">
        <v>316</v>
      </c>
      <c r="B358" s="94" t="s">
        <v>1314</v>
      </c>
      <c r="C358" s="152" t="s">
        <v>2267</v>
      </c>
      <c r="D358" s="153"/>
      <c r="E358" s="153"/>
      <c r="F358" s="153"/>
      <c r="G358" s="94" t="s">
        <v>2851</v>
      </c>
      <c r="H358" s="73">
        <v>15.7</v>
      </c>
      <c r="I358" s="105">
        <v>0</v>
      </c>
      <c r="J358" s="15">
        <f t="shared" si="340"/>
        <v>0</v>
      </c>
      <c r="K358" s="15">
        <f t="shared" si="341"/>
        <v>0</v>
      </c>
      <c r="L358" s="15">
        <f t="shared" si="342"/>
        <v>0</v>
      </c>
      <c r="M358" s="25"/>
      <c r="N358" s="5"/>
      <c r="Z358" s="29">
        <f t="shared" si="343"/>
        <v>0</v>
      </c>
      <c r="AB358" s="29">
        <f t="shared" si="344"/>
        <v>0</v>
      </c>
      <c r="AC358" s="29">
        <f t="shared" si="345"/>
        <v>0</v>
      </c>
      <c r="AD358" s="29">
        <f t="shared" si="346"/>
        <v>0</v>
      </c>
      <c r="AE358" s="29">
        <f t="shared" si="347"/>
        <v>0</v>
      </c>
      <c r="AF358" s="29">
        <f t="shared" si="348"/>
        <v>0</v>
      </c>
      <c r="AG358" s="29">
        <f t="shared" si="349"/>
        <v>0</v>
      </c>
      <c r="AH358" s="29">
        <f t="shared" si="350"/>
        <v>0</v>
      </c>
      <c r="AI358" s="28" t="s">
        <v>2882</v>
      </c>
      <c r="AJ358" s="15">
        <f t="shared" si="351"/>
        <v>0</v>
      </c>
      <c r="AK358" s="15">
        <f t="shared" si="352"/>
        <v>0</v>
      </c>
      <c r="AL358" s="15">
        <f t="shared" si="353"/>
        <v>0</v>
      </c>
      <c r="AN358" s="29">
        <v>15</v>
      </c>
      <c r="AO358" s="29">
        <f t="shared" si="354"/>
        <v>0</v>
      </c>
      <c r="AP358" s="29">
        <f t="shared" si="355"/>
        <v>0</v>
      </c>
      <c r="AQ358" s="30" t="s">
        <v>13</v>
      </c>
      <c r="AV358" s="29">
        <f t="shared" si="356"/>
        <v>0</v>
      </c>
      <c r="AW358" s="29">
        <f t="shared" si="357"/>
        <v>0</v>
      </c>
      <c r="AX358" s="29">
        <f t="shared" si="358"/>
        <v>0</v>
      </c>
      <c r="AY358" s="32" t="s">
        <v>2915</v>
      </c>
      <c r="AZ358" s="32" t="s">
        <v>2943</v>
      </c>
      <c r="BA358" s="28" t="s">
        <v>2957</v>
      </c>
      <c r="BC358" s="29">
        <f t="shared" si="359"/>
        <v>0</v>
      </c>
      <c r="BD358" s="29">
        <f t="shared" si="360"/>
        <v>0</v>
      </c>
      <c r="BE358" s="29">
        <v>0</v>
      </c>
      <c r="BF358" s="29">
        <f>358</f>
        <v>358</v>
      </c>
      <c r="BH358" s="15">
        <f t="shared" si="361"/>
        <v>0</v>
      </c>
      <c r="BI358" s="15">
        <f t="shared" si="362"/>
        <v>0</v>
      </c>
      <c r="BJ358" s="15">
        <f t="shared" si="363"/>
        <v>0</v>
      </c>
      <c r="BK358" s="15" t="s">
        <v>2969</v>
      </c>
      <c r="BL358" s="29">
        <v>723</v>
      </c>
    </row>
    <row r="359" spans="1:64" ht="12.75">
      <c r="A359" s="4" t="s">
        <v>317</v>
      </c>
      <c r="B359" s="94" t="s">
        <v>1315</v>
      </c>
      <c r="C359" s="152" t="s">
        <v>2268</v>
      </c>
      <c r="D359" s="153"/>
      <c r="E359" s="153"/>
      <c r="F359" s="153"/>
      <c r="G359" s="94" t="s">
        <v>2850</v>
      </c>
      <c r="H359" s="73">
        <v>2</v>
      </c>
      <c r="I359" s="105">
        <v>0</v>
      </c>
      <c r="J359" s="15">
        <f t="shared" si="340"/>
        <v>0</v>
      </c>
      <c r="K359" s="15">
        <f t="shared" si="341"/>
        <v>0</v>
      </c>
      <c r="L359" s="15">
        <f t="shared" si="342"/>
        <v>0</v>
      </c>
      <c r="M359" s="25"/>
      <c r="N359" s="5"/>
      <c r="Z359" s="29">
        <f t="shared" si="343"/>
        <v>0</v>
      </c>
      <c r="AB359" s="29">
        <f t="shared" si="344"/>
        <v>0</v>
      </c>
      <c r="AC359" s="29">
        <f t="shared" si="345"/>
        <v>0</v>
      </c>
      <c r="AD359" s="29">
        <f t="shared" si="346"/>
        <v>0</v>
      </c>
      <c r="AE359" s="29">
        <f t="shared" si="347"/>
        <v>0</v>
      </c>
      <c r="AF359" s="29">
        <f t="shared" si="348"/>
        <v>0</v>
      </c>
      <c r="AG359" s="29">
        <f t="shared" si="349"/>
        <v>0</v>
      </c>
      <c r="AH359" s="29">
        <f t="shared" si="350"/>
        <v>0</v>
      </c>
      <c r="AI359" s="28" t="s">
        <v>2882</v>
      </c>
      <c r="AJ359" s="15">
        <f t="shared" si="351"/>
        <v>0</v>
      </c>
      <c r="AK359" s="15">
        <f t="shared" si="352"/>
        <v>0</v>
      </c>
      <c r="AL359" s="15">
        <f t="shared" si="353"/>
        <v>0</v>
      </c>
      <c r="AN359" s="29">
        <v>15</v>
      </c>
      <c r="AO359" s="29">
        <f t="shared" si="354"/>
        <v>0</v>
      </c>
      <c r="AP359" s="29">
        <f t="shared" si="355"/>
        <v>0</v>
      </c>
      <c r="AQ359" s="30" t="s">
        <v>13</v>
      </c>
      <c r="AV359" s="29">
        <f t="shared" si="356"/>
        <v>0</v>
      </c>
      <c r="AW359" s="29">
        <f t="shared" si="357"/>
        <v>0</v>
      </c>
      <c r="AX359" s="29">
        <f t="shared" si="358"/>
        <v>0</v>
      </c>
      <c r="AY359" s="32" t="s">
        <v>2915</v>
      </c>
      <c r="AZ359" s="32" t="s">
        <v>2943</v>
      </c>
      <c r="BA359" s="28" t="s">
        <v>2957</v>
      </c>
      <c r="BC359" s="29">
        <f t="shared" si="359"/>
        <v>0</v>
      </c>
      <c r="BD359" s="29">
        <f t="shared" si="360"/>
        <v>0</v>
      </c>
      <c r="BE359" s="29">
        <v>0</v>
      </c>
      <c r="BF359" s="29">
        <f>359</f>
        <v>359</v>
      </c>
      <c r="BH359" s="15">
        <f t="shared" si="361"/>
        <v>0</v>
      </c>
      <c r="BI359" s="15">
        <f t="shared" si="362"/>
        <v>0</v>
      </c>
      <c r="BJ359" s="15">
        <f t="shared" si="363"/>
        <v>0</v>
      </c>
      <c r="BK359" s="15" t="s">
        <v>2969</v>
      </c>
      <c r="BL359" s="29">
        <v>723</v>
      </c>
    </row>
    <row r="360" spans="1:64" ht="12.75">
      <c r="A360" s="4" t="s">
        <v>318</v>
      </c>
      <c r="B360" s="94" t="s">
        <v>1316</v>
      </c>
      <c r="C360" s="152" t="s">
        <v>2269</v>
      </c>
      <c r="D360" s="153"/>
      <c r="E360" s="153"/>
      <c r="F360" s="153"/>
      <c r="G360" s="94" t="s">
        <v>2850</v>
      </c>
      <c r="H360" s="73">
        <v>1</v>
      </c>
      <c r="I360" s="105">
        <v>0</v>
      </c>
      <c r="J360" s="15">
        <f t="shared" si="340"/>
        <v>0</v>
      </c>
      <c r="K360" s="15">
        <f t="shared" si="341"/>
        <v>0</v>
      </c>
      <c r="L360" s="15">
        <f t="shared" si="342"/>
        <v>0</v>
      </c>
      <c r="M360" s="25"/>
      <c r="N360" s="5"/>
      <c r="Z360" s="29">
        <f t="shared" si="343"/>
        <v>0</v>
      </c>
      <c r="AB360" s="29">
        <f t="shared" si="344"/>
        <v>0</v>
      </c>
      <c r="AC360" s="29">
        <f t="shared" si="345"/>
        <v>0</v>
      </c>
      <c r="AD360" s="29">
        <f t="shared" si="346"/>
        <v>0</v>
      </c>
      <c r="AE360" s="29">
        <f t="shared" si="347"/>
        <v>0</v>
      </c>
      <c r="AF360" s="29">
        <f t="shared" si="348"/>
        <v>0</v>
      </c>
      <c r="AG360" s="29">
        <f t="shared" si="349"/>
        <v>0</v>
      </c>
      <c r="AH360" s="29">
        <f t="shared" si="350"/>
        <v>0</v>
      </c>
      <c r="AI360" s="28" t="s">
        <v>2882</v>
      </c>
      <c r="AJ360" s="15">
        <f t="shared" si="351"/>
        <v>0</v>
      </c>
      <c r="AK360" s="15">
        <f t="shared" si="352"/>
        <v>0</v>
      </c>
      <c r="AL360" s="15">
        <f t="shared" si="353"/>
        <v>0</v>
      </c>
      <c r="AN360" s="29">
        <v>15</v>
      </c>
      <c r="AO360" s="29">
        <f t="shared" si="354"/>
        <v>0</v>
      </c>
      <c r="AP360" s="29">
        <f t="shared" si="355"/>
        <v>0</v>
      </c>
      <c r="AQ360" s="30" t="s">
        <v>13</v>
      </c>
      <c r="AV360" s="29">
        <f t="shared" si="356"/>
        <v>0</v>
      </c>
      <c r="AW360" s="29">
        <f t="shared" si="357"/>
        <v>0</v>
      </c>
      <c r="AX360" s="29">
        <f t="shared" si="358"/>
        <v>0</v>
      </c>
      <c r="AY360" s="32" t="s">
        <v>2915</v>
      </c>
      <c r="AZ360" s="32" t="s">
        <v>2943</v>
      </c>
      <c r="BA360" s="28" t="s">
        <v>2957</v>
      </c>
      <c r="BC360" s="29">
        <f t="shared" si="359"/>
        <v>0</v>
      </c>
      <c r="BD360" s="29">
        <f t="shared" si="360"/>
        <v>0</v>
      </c>
      <c r="BE360" s="29">
        <v>0</v>
      </c>
      <c r="BF360" s="29">
        <f>360</f>
        <v>360</v>
      </c>
      <c r="BH360" s="15">
        <f t="shared" si="361"/>
        <v>0</v>
      </c>
      <c r="BI360" s="15">
        <f t="shared" si="362"/>
        <v>0</v>
      </c>
      <c r="BJ360" s="15">
        <f t="shared" si="363"/>
        <v>0</v>
      </c>
      <c r="BK360" s="15" t="s">
        <v>2969</v>
      </c>
      <c r="BL360" s="29">
        <v>723</v>
      </c>
    </row>
    <row r="361" spans="1:64" ht="12.75">
      <c r="A361" s="4" t="s">
        <v>319</v>
      </c>
      <c r="B361" s="94" t="s">
        <v>1317</v>
      </c>
      <c r="C361" s="152" t="s">
        <v>2193</v>
      </c>
      <c r="D361" s="153"/>
      <c r="E361" s="153"/>
      <c r="F361" s="153"/>
      <c r="G361" s="94" t="s">
        <v>2852</v>
      </c>
      <c r="H361" s="73">
        <v>20</v>
      </c>
      <c r="I361" s="105">
        <v>0</v>
      </c>
      <c r="J361" s="15">
        <f t="shared" si="340"/>
        <v>0</v>
      </c>
      <c r="K361" s="15">
        <f t="shared" si="341"/>
        <v>0</v>
      </c>
      <c r="L361" s="15">
        <f t="shared" si="342"/>
        <v>0</v>
      </c>
      <c r="M361" s="25"/>
      <c r="N361" s="5"/>
      <c r="Z361" s="29">
        <f t="shared" si="343"/>
        <v>0</v>
      </c>
      <c r="AB361" s="29">
        <f t="shared" si="344"/>
        <v>0</v>
      </c>
      <c r="AC361" s="29">
        <f t="shared" si="345"/>
        <v>0</v>
      </c>
      <c r="AD361" s="29">
        <f t="shared" si="346"/>
        <v>0</v>
      </c>
      <c r="AE361" s="29">
        <f t="shared" si="347"/>
        <v>0</v>
      </c>
      <c r="AF361" s="29">
        <f t="shared" si="348"/>
        <v>0</v>
      </c>
      <c r="AG361" s="29">
        <f t="shared" si="349"/>
        <v>0</v>
      </c>
      <c r="AH361" s="29">
        <f t="shared" si="350"/>
        <v>0</v>
      </c>
      <c r="AI361" s="28" t="s">
        <v>2882</v>
      </c>
      <c r="AJ361" s="15">
        <f t="shared" si="351"/>
        <v>0</v>
      </c>
      <c r="AK361" s="15">
        <f t="shared" si="352"/>
        <v>0</v>
      </c>
      <c r="AL361" s="15">
        <f t="shared" si="353"/>
        <v>0</v>
      </c>
      <c r="AN361" s="29">
        <v>15</v>
      </c>
      <c r="AO361" s="29">
        <f t="shared" si="354"/>
        <v>0</v>
      </c>
      <c r="AP361" s="29">
        <f t="shared" si="355"/>
        <v>0</v>
      </c>
      <c r="AQ361" s="30" t="s">
        <v>13</v>
      </c>
      <c r="AV361" s="29">
        <f t="shared" si="356"/>
        <v>0</v>
      </c>
      <c r="AW361" s="29">
        <f t="shared" si="357"/>
        <v>0</v>
      </c>
      <c r="AX361" s="29">
        <f t="shared" si="358"/>
        <v>0</v>
      </c>
      <c r="AY361" s="32" t="s">
        <v>2915</v>
      </c>
      <c r="AZ361" s="32" t="s">
        <v>2943</v>
      </c>
      <c r="BA361" s="28" t="s">
        <v>2957</v>
      </c>
      <c r="BC361" s="29">
        <f t="shared" si="359"/>
        <v>0</v>
      </c>
      <c r="BD361" s="29">
        <f t="shared" si="360"/>
        <v>0</v>
      </c>
      <c r="BE361" s="29">
        <v>0</v>
      </c>
      <c r="BF361" s="29">
        <f>361</f>
        <v>361</v>
      </c>
      <c r="BH361" s="15">
        <f t="shared" si="361"/>
        <v>0</v>
      </c>
      <c r="BI361" s="15">
        <f t="shared" si="362"/>
        <v>0</v>
      </c>
      <c r="BJ361" s="15">
        <f t="shared" si="363"/>
        <v>0</v>
      </c>
      <c r="BK361" s="15" t="s">
        <v>2969</v>
      </c>
      <c r="BL361" s="29">
        <v>723</v>
      </c>
    </row>
    <row r="362" spans="1:64" ht="12.75">
      <c r="A362" s="4" t="s">
        <v>320</v>
      </c>
      <c r="B362" s="94" t="s">
        <v>1318</v>
      </c>
      <c r="C362" s="152" t="s">
        <v>2194</v>
      </c>
      <c r="D362" s="153"/>
      <c r="E362" s="153"/>
      <c r="F362" s="153"/>
      <c r="G362" s="94" t="s">
        <v>2850</v>
      </c>
      <c r="H362" s="73">
        <v>1</v>
      </c>
      <c r="I362" s="105">
        <v>0</v>
      </c>
      <c r="J362" s="15">
        <f t="shared" si="340"/>
        <v>0</v>
      </c>
      <c r="K362" s="15">
        <f t="shared" si="341"/>
        <v>0</v>
      </c>
      <c r="L362" s="15">
        <f t="shared" si="342"/>
        <v>0</v>
      </c>
      <c r="M362" s="25"/>
      <c r="N362" s="5"/>
      <c r="Z362" s="29">
        <f t="shared" si="343"/>
        <v>0</v>
      </c>
      <c r="AB362" s="29">
        <f t="shared" si="344"/>
        <v>0</v>
      </c>
      <c r="AC362" s="29">
        <f t="shared" si="345"/>
        <v>0</v>
      </c>
      <c r="AD362" s="29">
        <f t="shared" si="346"/>
        <v>0</v>
      </c>
      <c r="AE362" s="29">
        <f t="shared" si="347"/>
        <v>0</v>
      </c>
      <c r="AF362" s="29">
        <f t="shared" si="348"/>
        <v>0</v>
      </c>
      <c r="AG362" s="29">
        <f t="shared" si="349"/>
        <v>0</v>
      </c>
      <c r="AH362" s="29">
        <f t="shared" si="350"/>
        <v>0</v>
      </c>
      <c r="AI362" s="28" t="s">
        <v>2882</v>
      </c>
      <c r="AJ362" s="15">
        <f t="shared" si="351"/>
        <v>0</v>
      </c>
      <c r="AK362" s="15">
        <f t="shared" si="352"/>
        <v>0</v>
      </c>
      <c r="AL362" s="15">
        <f t="shared" si="353"/>
        <v>0</v>
      </c>
      <c r="AN362" s="29">
        <v>15</v>
      </c>
      <c r="AO362" s="29">
        <f t="shared" si="354"/>
        <v>0</v>
      </c>
      <c r="AP362" s="29">
        <f t="shared" si="355"/>
        <v>0</v>
      </c>
      <c r="AQ362" s="30" t="s">
        <v>13</v>
      </c>
      <c r="AV362" s="29">
        <f t="shared" si="356"/>
        <v>0</v>
      </c>
      <c r="AW362" s="29">
        <f t="shared" si="357"/>
        <v>0</v>
      </c>
      <c r="AX362" s="29">
        <f t="shared" si="358"/>
        <v>0</v>
      </c>
      <c r="AY362" s="32" t="s">
        <v>2915</v>
      </c>
      <c r="AZ362" s="32" t="s">
        <v>2943</v>
      </c>
      <c r="BA362" s="28" t="s">
        <v>2957</v>
      </c>
      <c r="BC362" s="29">
        <f t="shared" si="359"/>
        <v>0</v>
      </c>
      <c r="BD362" s="29">
        <f t="shared" si="360"/>
        <v>0</v>
      </c>
      <c r="BE362" s="29">
        <v>0</v>
      </c>
      <c r="BF362" s="29">
        <f>362</f>
        <v>362</v>
      </c>
      <c r="BH362" s="15">
        <f t="shared" si="361"/>
        <v>0</v>
      </c>
      <c r="BI362" s="15">
        <f t="shared" si="362"/>
        <v>0</v>
      </c>
      <c r="BJ362" s="15">
        <f t="shared" si="363"/>
        <v>0</v>
      </c>
      <c r="BK362" s="15" t="s">
        <v>2969</v>
      </c>
      <c r="BL362" s="29">
        <v>723</v>
      </c>
    </row>
    <row r="363" spans="1:64" ht="12.75">
      <c r="A363" s="4" t="s">
        <v>321</v>
      </c>
      <c r="B363" s="94" t="s">
        <v>1319</v>
      </c>
      <c r="C363" s="152" t="s">
        <v>2195</v>
      </c>
      <c r="D363" s="153"/>
      <c r="E363" s="153"/>
      <c r="F363" s="153"/>
      <c r="G363" s="94" t="s">
        <v>2850</v>
      </c>
      <c r="H363" s="73">
        <v>1</v>
      </c>
      <c r="I363" s="105">
        <v>0</v>
      </c>
      <c r="J363" s="15">
        <f t="shared" si="340"/>
        <v>0</v>
      </c>
      <c r="K363" s="15">
        <f t="shared" si="341"/>
        <v>0</v>
      </c>
      <c r="L363" s="15">
        <f t="shared" si="342"/>
        <v>0</v>
      </c>
      <c r="M363" s="25"/>
      <c r="N363" s="5"/>
      <c r="Z363" s="29">
        <f t="shared" si="343"/>
        <v>0</v>
      </c>
      <c r="AB363" s="29">
        <f t="shared" si="344"/>
        <v>0</v>
      </c>
      <c r="AC363" s="29">
        <f t="shared" si="345"/>
        <v>0</v>
      </c>
      <c r="AD363" s="29">
        <f t="shared" si="346"/>
        <v>0</v>
      </c>
      <c r="AE363" s="29">
        <f t="shared" si="347"/>
        <v>0</v>
      </c>
      <c r="AF363" s="29">
        <f t="shared" si="348"/>
        <v>0</v>
      </c>
      <c r="AG363" s="29">
        <f t="shared" si="349"/>
        <v>0</v>
      </c>
      <c r="AH363" s="29">
        <f t="shared" si="350"/>
        <v>0</v>
      </c>
      <c r="AI363" s="28" t="s">
        <v>2882</v>
      </c>
      <c r="AJ363" s="15">
        <f t="shared" si="351"/>
        <v>0</v>
      </c>
      <c r="AK363" s="15">
        <f t="shared" si="352"/>
        <v>0</v>
      </c>
      <c r="AL363" s="15">
        <f t="shared" si="353"/>
        <v>0</v>
      </c>
      <c r="AN363" s="29">
        <v>15</v>
      </c>
      <c r="AO363" s="29">
        <f t="shared" si="354"/>
        <v>0</v>
      </c>
      <c r="AP363" s="29">
        <f t="shared" si="355"/>
        <v>0</v>
      </c>
      <c r="AQ363" s="30" t="s">
        <v>13</v>
      </c>
      <c r="AV363" s="29">
        <f t="shared" si="356"/>
        <v>0</v>
      </c>
      <c r="AW363" s="29">
        <f t="shared" si="357"/>
        <v>0</v>
      </c>
      <c r="AX363" s="29">
        <f t="shared" si="358"/>
        <v>0</v>
      </c>
      <c r="AY363" s="32" t="s">
        <v>2915</v>
      </c>
      <c r="AZ363" s="32" t="s">
        <v>2943</v>
      </c>
      <c r="BA363" s="28" t="s">
        <v>2957</v>
      </c>
      <c r="BC363" s="29">
        <f t="shared" si="359"/>
        <v>0</v>
      </c>
      <c r="BD363" s="29">
        <f t="shared" si="360"/>
        <v>0</v>
      </c>
      <c r="BE363" s="29">
        <v>0</v>
      </c>
      <c r="BF363" s="29">
        <f>363</f>
        <v>363</v>
      </c>
      <c r="BH363" s="15">
        <f t="shared" si="361"/>
        <v>0</v>
      </c>
      <c r="BI363" s="15">
        <f t="shared" si="362"/>
        <v>0</v>
      </c>
      <c r="BJ363" s="15">
        <f t="shared" si="363"/>
        <v>0</v>
      </c>
      <c r="BK363" s="15" t="s">
        <v>2969</v>
      </c>
      <c r="BL363" s="29">
        <v>723</v>
      </c>
    </row>
    <row r="364" spans="1:64" ht="12.75">
      <c r="A364" s="4" t="s">
        <v>322</v>
      </c>
      <c r="B364" s="94" t="s">
        <v>1320</v>
      </c>
      <c r="C364" s="152" t="s">
        <v>2196</v>
      </c>
      <c r="D364" s="153"/>
      <c r="E364" s="153"/>
      <c r="F364" s="153"/>
      <c r="G364" s="94" t="s">
        <v>2850</v>
      </c>
      <c r="H364" s="73">
        <v>1</v>
      </c>
      <c r="I364" s="105">
        <v>0</v>
      </c>
      <c r="J364" s="15">
        <f t="shared" si="340"/>
        <v>0</v>
      </c>
      <c r="K364" s="15">
        <f t="shared" si="341"/>
        <v>0</v>
      </c>
      <c r="L364" s="15">
        <f t="shared" si="342"/>
        <v>0</v>
      </c>
      <c r="M364" s="25"/>
      <c r="N364" s="5"/>
      <c r="Z364" s="29">
        <f t="shared" si="343"/>
        <v>0</v>
      </c>
      <c r="AB364" s="29">
        <f t="shared" si="344"/>
        <v>0</v>
      </c>
      <c r="AC364" s="29">
        <f t="shared" si="345"/>
        <v>0</v>
      </c>
      <c r="AD364" s="29">
        <f t="shared" si="346"/>
        <v>0</v>
      </c>
      <c r="AE364" s="29">
        <f t="shared" si="347"/>
        <v>0</v>
      </c>
      <c r="AF364" s="29">
        <f t="shared" si="348"/>
        <v>0</v>
      </c>
      <c r="AG364" s="29">
        <f t="shared" si="349"/>
        <v>0</v>
      </c>
      <c r="AH364" s="29">
        <f t="shared" si="350"/>
        <v>0</v>
      </c>
      <c r="AI364" s="28" t="s">
        <v>2882</v>
      </c>
      <c r="AJ364" s="15">
        <f t="shared" si="351"/>
        <v>0</v>
      </c>
      <c r="AK364" s="15">
        <f t="shared" si="352"/>
        <v>0</v>
      </c>
      <c r="AL364" s="15">
        <f t="shared" si="353"/>
        <v>0</v>
      </c>
      <c r="AN364" s="29">
        <v>15</v>
      </c>
      <c r="AO364" s="29">
        <f t="shared" si="354"/>
        <v>0</v>
      </c>
      <c r="AP364" s="29">
        <f t="shared" si="355"/>
        <v>0</v>
      </c>
      <c r="AQ364" s="30" t="s">
        <v>13</v>
      </c>
      <c r="AV364" s="29">
        <f t="shared" si="356"/>
        <v>0</v>
      </c>
      <c r="AW364" s="29">
        <f t="shared" si="357"/>
        <v>0</v>
      </c>
      <c r="AX364" s="29">
        <f t="shared" si="358"/>
        <v>0</v>
      </c>
      <c r="AY364" s="32" t="s">
        <v>2915</v>
      </c>
      <c r="AZ364" s="32" t="s">
        <v>2943</v>
      </c>
      <c r="BA364" s="28" t="s">
        <v>2957</v>
      </c>
      <c r="BC364" s="29">
        <f t="shared" si="359"/>
        <v>0</v>
      </c>
      <c r="BD364" s="29">
        <f t="shared" si="360"/>
        <v>0</v>
      </c>
      <c r="BE364" s="29">
        <v>0</v>
      </c>
      <c r="BF364" s="29">
        <f>364</f>
        <v>364</v>
      </c>
      <c r="BH364" s="15">
        <f t="shared" si="361"/>
        <v>0</v>
      </c>
      <c r="BI364" s="15">
        <f t="shared" si="362"/>
        <v>0</v>
      </c>
      <c r="BJ364" s="15">
        <f t="shared" si="363"/>
        <v>0</v>
      </c>
      <c r="BK364" s="15" t="s">
        <v>2969</v>
      </c>
      <c r="BL364" s="29">
        <v>723</v>
      </c>
    </row>
    <row r="365" spans="1:47" ht="12.75">
      <c r="A365" s="3"/>
      <c r="B365" s="97" t="s">
        <v>734</v>
      </c>
      <c r="C365" s="161" t="s">
        <v>2270</v>
      </c>
      <c r="D365" s="162"/>
      <c r="E365" s="162"/>
      <c r="F365" s="162"/>
      <c r="G365" s="13" t="s">
        <v>6</v>
      </c>
      <c r="H365" s="13" t="s">
        <v>6</v>
      </c>
      <c r="I365" s="13" t="s">
        <v>6</v>
      </c>
      <c r="J365" s="34">
        <f>SUM(J366:J421)</f>
        <v>0</v>
      </c>
      <c r="K365" s="34">
        <f>SUM(K366:K421)</f>
        <v>0</v>
      </c>
      <c r="L365" s="34">
        <f>SUM(L366:L421)</f>
        <v>0</v>
      </c>
      <c r="M365" s="24"/>
      <c r="N365" s="5"/>
      <c r="AI365" s="28" t="s">
        <v>2882</v>
      </c>
      <c r="AS365" s="34">
        <f>SUM(AJ366:AJ421)</f>
        <v>0</v>
      </c>
      <c r="AT365" s="34">
        <f>SUM(AK366:AK421)</f>
        <v>0</v>
      </c>
      <c r="AU365" s="34">
        <f>SUM(AL366:AL421)</f>
        <v>0</v>
      </c>
    </row>
    <row r="366" spans="1:64" ht="12.75">
      <c r="A366" s="4" t="s">
        <v>323</v>
      </c>
      <c r="B366" s="94" t="s">
        <v>1321</v>
      </c>
      <c r="C366" s="152" t="s">
        <v>2271</v>
      </c>
      <c r="D366" s="153"/>
      <c r="E366" s="153"/>
      <c r="F366" s="153"/>
      <c r="G366" s="94" t="s">
        <v>2850</v>
      </c>
      <c r="H366" s="73">
        <v>2</v>
      </c>
      <c r="I366" s="105">
        <v>0</v>
      </c>
      <c r="J366" s="15">
        <f aca="true" t="shared" si="364" ref="J366:J397">H366*AO366</f>
        <v>0</v>
      </c>
      <c r="K366" s="15">
        <f aca="true" t="shared" si="365" ref="K366:K397">H366*AP366</f>
        <v>0</v>
      </c>
      <c r="L366" s="15">
        <f aca="true" t="shared" si="366" ref="L366:L397">H366*I366</f>
        <v>0</v>
      </c>
      <c r="M366" s="25"/>
      <c r="N366" s="5"/>
      <c r="Z366" s="29">
        <f aca="true" t="shared" si="367" ref="Z366:Z397">IF(AQ366="5",BJ366,0)</f>
        <v>0</v>
      </c>
      <c r="AB366" s="29">
        <f aca="true" t="shared" si="368" ref="AB366:AB397">IF(AQ366="1",BH366,0)</f>
        <v>0</v>
      </c>
      <c r="AC366" s="29">
        <f aca="true" t="shared" si="369" ref="AC366:AC397">IF(AQ366="1",BI366,0)</f>
        <v>0</v>
      </c>
      <c r="AD366" s="29">
        <f aca="true" t="shared" si="370" ref="AD366:AD397">IF(AQ366="7",BH366,0)</f>
        <v>0</v>
      </c>
      <c r="AE366" s="29">
        <f aca="true" t="shared" si="371" ref="AE366:AE397">IF(AQ366="7",BI366,0)</f>
        <v>0</v>
      </c>
      <c r="AF366" s="29">
        <f aca="true" t="shared" si="372" ref="AF366:AF397">IF(AQ366="2",BH366,0)</f>
        <v>0</v>
      </c>
      <c r="AG366" s="29">
        <f aca="true" t="shared" si="373" ref="AG366:AG397">IF(AQ366="2",BI366,0)</f>
        <v>0</v>
      </c>
      <c r="AH366" s="29">
        <f aca="true" t="shared" si="374" ref="AH366:AH397">IF(AQ366="0",BJ366,0)</f>
        <v>0</v>
      </c>
      <c r="AI366" s="28" t="s">
        <v>2882</v>
      </c>
      <c r="AJ366" s="15">
        <f aca="true" t="shared" si="375" ref="AJ366:AJ397">IF(AN366=0,L366,0)</f>
        <v>0</v>
      </c>
      <c r="AK366" s="15">
        <f aca="true" t="shared" si="376" ref="AK366:AK397">IF(AN366=15,L366,0)</f>
        <v>0</v>
      </c>
      <c r="AL366" s="15">
        <f aca="true" t="shared" si="377" ref="AL366:AL397">IF(AN366=21,L366,0)</f>
        <v>0</v>
      </c>
      <c r="AN366" s="29">
        <v>15</v>
      </c>
      <c r="AO366" s="29">
        <f aca="true" t="shared" si="378" ref="AO366:AO397">I366*0</f>
        <v>0</v>
      </c>
      <c r="AP366" s="29">
        <f aca="true" t="shared" si="379" ref="AP366:AP397">I366*(1-0)</f>
        <v>0</v>
      </c>
      <c r="AQ366" s="30" t="s">
        <v>13</v>
      </c>
      <c r="AV366" s="29">
        <f aca="true" t="shared" si="380" ref="AV366:AV397">AW366+AX366</f>
        <v>0</v>
      </c>
      <c r="AW366" s="29">
        <f aca="true" t="shared" si="381" ref="AW366:AW397">H366*AO366</f>
        <v>0</v>
      </c>
      <c r="AX366" s="29">
        <f aca="true" t="shared" si="382" ref="AX366:AX397">H366*AP366</f>
        <v>0</v>
      </c>
      <c r="AY366" s="32" t="s">
        <v>2916</v>
      </c>
      <c r="AZ366" s="32" t="s">
        <v>2943</v>
      </c>
      <c r="BA366" s="28" t="s">
        <v>2957</v>
      </c>
      <c r="BC366" s="29">
        <f aca="true" t="shared" si="383" ref="BC366:BC397">AW366+AX366</f>
        <v>0</v>
      </c>
      <c r="BD366" s="29">
        <f aca="true" t="shared" si="384" ref="BD366:BD397">I366/(100-BE366)*100</f>
        <v>0</v>
      </c>
      <c r="BE366" s="29">
        <v>0</v>
      </c>
      <c r="BF366" s="29">
        <f>366</f>
        <v>366</v>
      </c>
      <c r="BH366" s="15">
        <f aca="true" t="shared" si="385" ref="BH366:BH397">H366*AO366</f>
        <v>0</v>
      </c>
      <c r="BI366" s="15">
        <f aca="true" t="shared" si="386" ref="BI366:BI397">H366*AP366</f>
        <v>0</v>
      </c>
      <c r="BJ366" s="15">
        <f aca="true" t="shared" si="387" ref="BJ366:BJ397">H366*I366</f>
        <v>0</v>
      </c>
      <c r="BK366" s="15" t="s">
        <v>2969</v>
      </c>
      <c r="BL366" s="29">
        <v>728</v>
      </c>
    </row>
    <row r="367" spans="1:64" ht="12.75">
      <c r="A367" s="4" t="s">
        <v>324</v>
      </c>
      <c r="B367" s="94" t="s">
        <v>1322</v>
      </c>
      <c r="C367" s="152" t="s">
        <v>2272</v>
      </c>
      <c r="D367" s="153"/>
      <c r="E367" s="153"/>
      <c r="F367" s="153"/>
      <c r="G367" s="94" t="s">
        <v>2850</v>
      </c>
      <c r="H367" s="73">
        <v>2</v>
      </c>
      <c r="I367" s="105">
        <v>0</v>
      </c>
      <c r="J367" s="15">
        <f t="shared" si="364"/>
        <v>0</v>
      </c>
      <c r="K367" s="15">
        <f t="shared" si="365"/>
        <v>0</v>
      </c>
      <c r="L367" s="15">
        <f t="shared" si="366"/>
        <v>0</v>
      </c>
      <c r="M367" s="25"/>
      <c r="N367" s="5"/>
      <c r="Z367" s="29">
        <f t="shared" si="367"/>
        <v>0</v>
      </c>
      <c r="AB367" s="29">
        <f t="shared" si="368"/>
        <v>0</v>
      </c>
      <c r="AC367" s="29">
        <f t="shared" si="369"/>
        <v>0</v>
      </c>
      <c r="AD367" s="29">
        <f t="shared" si="370"/>
        <v>0</v>
      </c>
      <c r="AE367" s="29">
        <f t="shared" si="371"/>
        <v>0</v>
      </c>
      <c r="AF367" s="29">
        <f t="shared" si="372"/>
        <v>0</v>
      </c>
      <c r="AG367" s="29">
        <f t="shared" si="373"/>
        <v>0</v>
      </c>
      <c r="AH367" s="29">
        <f t="shared" si="374"/>
        <v>0</v>
      </c>
      <c r="AI367" s="28" t="s">
        <v>2882</v>
      </c>
      <c r="AJ367" s="15">
        <f t="shared" si="375"/>
        <v>0</v>
      </c>
      <c r="AK367" s="15">
        <f t="shared" si="376"/>
        <v>0</v>
      </c>
      <c r="AL367" s="15">
        <f t="shared" si="377"/>
        <v>0</v>
      </c>
      <c r="AN367" s="29">
        <v>15</v>
      </c>
      <c r="AO367" s="29">
        <f t="shared" si="378"/>
        <v>0</v>
      </c>
      <c r="AP367" s="29">
        <f t="shared" si="379"/>
        <v>0</v>
      </c>
      <c r="AQ367" s="30" t="s">
        <v>13</v>
      </c>
      <c r="AV367" s="29">
        <f t="shared" si="380"/>
        <v>0</v>
      </c>
      <c r="AW367" s="29">
        <f t="shared" si="381"/>
        <v>0</v>
      </c>
      <c r="AX367" s="29">
        <f t="shared" si="382"/>
        <v>0</v>
      </c>
      <c r="AY367" s="32" t="s">
        <v>2916</v>
      </c>
      <c r="AZ367" s="32" t="s">
        <v>2943</v>
      </c>
      <c r="BA367" s="28" t="s">
        <v>2957</v>
      </c>
      <c r="BC367" s="29">
        <f t="shared" si="383"/>
        <v>0</v>
      </c>
      <c r="BD367" s="29">
        <f t="shared" si="384"/>
        <v>0</v>
      </c>
      <c r="BE367" s="29">
        <v>0</v>
      </c>
      <c r="BF367" s="29">
        <f>367</f>
        <v>367</v>
      </c>
      <c r="BH367" s="15">
        <f t="shared" si="385"/>
        <v>0</v>
      </c>
      <c r="BI367" s="15">
        <f t="shared" si="386"/>
        <v>0</v>
      </c>
      <c r="BJ367" s="15">
        <f t="shared" si="387"/>
        <v>0</v>
      </c>
      <c r="BK367" s="15" t="s">
        <v>2969</v>
      </c>
      <c r="BL367" s="29">
        <v>728</v>
      </c>
    </row>
    <row r="368" spans="1:64" ht="12.75">
      <c r="A368" s="4" t="s">
        <v>325</v>
      </c>
      <c r="B368" s="94" t="s">
        <v>1323</v>
      </c>
      <c r="C368" s="152" t="s">
        <v>2273</v>
      </c>
      <c r="D368" s="153"/>
      <c r="E368" s="153"/>
      <c r="F368" s="153"/>
      <c r="G368" s="94" t="s">
        <v>2850</v>
      </c>
      <c r="H368" s="73">
        <v>2</v>
      </c>
      <c r="I368" s="105">
        <v>0</v>
      </c>
      <c r="J368" s="15">
        <f t="shared" si="364"/>
        <v>0</v>
      </c>
      <c r="K368" s="15">
        <f t="shared" si="365"/>
        <v>0</v>
      </c>
      <c r="L368" s="15">
        <f t="shared" si="366"/>
        <v>0</v>
      </c>
      <c r="M368" s="25"/>
      <c r="N368" s="5"/>
      <c r="Z368" s="29">
        <f t="shared" si="367"/>
        <v>0</v>
      </c>
      <c r="AB368" s="29">
        <f t="shared" si="368"/>
        <v>0</v>
      </c>
      <c r="AC368" s="29">
        <f t="shared" si="369"/>
        <v>0</v>
      </c>
      <c r="AD368" s="29">
        <f t="shared" si="370"/>
        <v>0</v>
      </c>
      <c r="AE368" s="29">
        <f t="shared" si="371"/>
        <v>0</v>
      </c>
      <c r="AF368" s="29">
        <f t="shared" si="372"/>
        <v>0</v>
      </c>
      <c r="AG368" s="29">
        <f t="shared" si="373"/>
        <v>0</v>
      </c>
      <c r="AH368" s="29">
        <f t="shared" si="374"/>
        <v>0</v>
      </c>
      <c r="AI368" s="28" t="s">
        <v>2882</v>
      </c>
      <c r="AJ368" s="15">
        <f t="shared" si="375"/>
        <v>0</v>
      </c>
      <c r="AK368" s="15">
        <f t="shared" si="376"/>
        <v>0</v>
      </c>
      <c r="AL368" s="15">
        <f t="shared" si="377"/>
        <v>0</v>
      </c>
      <c r="AN368" s="29">
        <v>15</v>
      </c>
      <c r="AO368" s="29">
        <f t="shared" si="378"/>
        <v>0</v>
      </c>
      <c r="AP368" s="29">
        <f t="shared" si="379"/>
        <v>0</v>
      </c>
      <c r="AQ368" s="30" t="s">
        <v>13</v>
      </c>
      <c r="AV368" s="29">
        <f t="shared" si="380"/>
        <v>0</v>
      </c>
      <c r="AW368" s="29">
        <f t="shared" si="381"/>
        <v>0</v>
      </c>
      <c r="AX368" s="29">
        <f t="shared" si="382"/>
        <v>0</v>
      </c>
      <c r="AY368" s="32" t="s">
        <v>2916</v>
      </c>
      <c r="AZ368" s="32" t="s">
        <v>2943</v>
      </c>
      <c r="BA368" s="28" t="s">
        <v>2957</v>
      </c>
      <c r="BC368" s="29">
        <f t="shared" si="383"/>
        <v>0</v>
      </c>
      <c r="BD368" s="29">
        <f t="shared" si="384"/>
        <v>0</v>
      </c>
      <c r="BE368" s="29">
        <v>0</v>
      </c>
      <c r="BF368" s="29">
        <f>368</f>
        <v>368</v>
      </c>
      <c r="BH368" s="15">
        <f t="shared" si="385"/>
        <v>0</v>
      </c>
      <c r="BI368" s="15">
        <f t="shared" si="386"/>
        <v>0</v>
      </c>
      <c r="BJ368" s="15">
        <f t="shared" si="387"/>
        <v>0</v>
      </c>
      <c r="BK368" s="15" t="s">
        <v>2969</v>
      </c>
      <c r="BL368" s="29">
        <v>728</v>
      </c>
    </row>
    <row r="369" spans="1:64" ht="12.75">
      <c r="A369" s="4" t="s">
        <v>326</v>
      </c>
      <c r="B369" s="94" t="s">
        <v>1324</v>
      </c>
      <c r="C369" s="152" t="s">
        <v>2274</v>
      </c>
      <c r="D369" s="153"/>
      <c r="E369" s="153"/>
      <c r="F369" s="153"/>
      <c r="G369" s="94" t="s">
        <v>2850</v>
      </c>
      <c r="H369" s="73">
        <v>2</v>
      </c>
      <c r="I369" s="105">
        <v>0</v>
      </c>
      <c r="J369" s="15">
        <f t="shared" si="364"/>
        <v>0</v>
      </c>
      <c r="K369" s="15">
        <f t="shared" si="365"/>
        <v>0</v>
      </c>
      <c r="L369" s="15">
        <f t="shared" si="366"/>
        <v>0</v>
      </c>
      <c r="M369" s="25"/>
      <c r="N369" s="5"/>
      <c r="Z369" s="29">
        <f t="shared" si="367"/>
        <v>0</v>
      </c>
      <c r="AB369" s="29">
        <f t="shared" si="368"/>
        <v>0</v>
      </c>
      <c r="AC369" s="29">
        <f t="shared" si="369"/>
        <v>0</v>
      </c>
      <c r="AD369" s="29">
        <f t="shared" si="370"/>
        <v>0</v>
      </c>
      <c r="AE369" s="29">
        <f t="shared" si="371"/>
        <v>0</v>
      </c>
      <c r="AF369" s="29">
        <f t="shared" si="372"/>
        <v>0</v>
      </c>
      <c r="AG369" s="29">
        <f t="shared" si="373"/>
        <v>0</v>
      </c>
      <c r="AH369" s="29">
        <f t="shared" si="374"/>
        <v>0</v>
      </c>
      <c r="AI369" s="28" t="s">
        <v>2882</v>
      </c>
      <c r="AJ369" s="15">
        <f t="shared" si="375"/>
        <v>0</v>
      </c>
      <c r="AK369" s="15">
        <f t="shared" si="376"/>
        <v>0</v>
      </c>
      <c r="AL369" s="15">
        <f t="shared" si="377"/>
        <v>0</v>
      </c>
      <c r="AN369" s="29">
        <v>15</v>
      </c>
      <c r="AO369" s="29">
        <f t="shared" si="378"/>
        <v>0</v>
      </c>
      <c r="AP369" s="29">
        <f t="shared" si="379"/>
        <v>0</v>
      </c>
      <c r="AQ369" s="30" t="s">
        <v>13</v>
      </c>
      <c r="AV369" s="29">
        <f t="shared" si="380"/>
        <v>0</v>
      </c>
      <c r="AW369" s="29">
        <f t="shared" si="381"/>
        <v>0</v>
      </c>
      <c r="AX369" s="29">
        <f t="shared" si="382"/>
        <v>0</v>
      </c>
      <c r="AY369" s="32" t="s">
        <v>2916</v>
      </c>
      <c r="AZ369" s="32" t="s">
        <v>2943</v>
      </c>
      <c r="BA369" s="28" t="s">
        <v>2957</v>
      </c>
      <c r="BC369" s="29">
        <f t="shared" si="383"/>
        <v>0</v>
      </c>
      <c r="BD369" s="29">
        <f t="shared" si="384"/>
        <v>0</v>
      </c>
      <c r="BE369" s="29">
        <v>0</v>
      </c>
      <c r="BF369" s="29">
        <f>369</f>
        <v>369</v>
      </c>
      <c r="BH369" s="15">
        <f t="shared" si="385"/>
        <v>0</v>
      </c>
      <c r="BI369" s="15">
        <f t="shared" si="386"/>
        <v>0</v>
      </c>
      <c r="BJ369" s="15">
        <f t="shared" si="387"/>
        <v>0</v>
      </c>
      <c r="BK369" s="15" t="s">
        <v>2969</v>
      </c>
      <c r="BL369" s="29">
        <v>728</v>
      </c>
    </row>
    <row r="370" spans="1:64" ht="12.75">
      <c r="A370" s="4" t="s">
        <v>327</v>
      </c>
      <c r="B370" s="94" t="s">
        <v>1325</v>
      </c>
      <c r="C370" s="152" t="s">
        <v>2275</v>
      </c>
      <c r="D370" s="153"/>
      <c r="E370" s="153"/>
      <c r="F370" s="153"/>
      <c r="G370" s="94" t="s">
        <v>2850</v>
      </c>
      <c r="H370" s="73">
        <v>2</v>
      </c>
      <c r="I370" s="105">
        <v>0</v>
      </c>
      <c r="J370" s="15">
        <f t="shared" si="364"/>
        <v>0</v>
      </c>
      <c r="K370" s="15">
        <f t="shared" si="365"/>
        <v>0</v>
      </c>
      <c r="L370" s="15">
        <f t="shared" si="366"/>
        <v>0</v>
      </c>
      <c r="M370" s="25"/>
      <c r="N370" s="5"/>
      <c r="Z370" s="29">
        <f t="shared" si="367"/>
        <v>0</v>
      </c>
      <c r="AB370" s="29">
        <f t="shared" si="368"/>
        <v>0</v>
      </c>
      <c r="AC370" s="29">
        <f t="shared" si="369"/>
        <v>0</v>
      </c>
      <c r="AD370" s="29">
        <f t="shared" si="370"/>
        <v>0</v>
      </c>
      <c r="AE370" s="29">
        <f t="shared" si="371"/>
        <v>0</v>
      </c>
      <c r="AF370" s="29">
        <f t="shared" si="372"/>
        <v>0</v>
      </c>
      <c r="AG370" s="29">
        <f t="shared" si="373"/>
        <v>0</v>
      </c>
      <c r="AH370" s="29">
        <f t="shared" si="374"/>
        <v>0</v>
      </c>
      <c r="AI370" s="28" t="s">
        <v>2882</v>
      </c>
      <c r="AJ370" s="15">
        <f t="shared" si="375"/>
        <v>0</v>
      </c>
      <c r="AK370" s="15">
        <f t="shared" si="376"/>
        <v>0</v>
      </c>
      <c r="AL370" s="15">
        <f t="shared" si="377"/>
        <v>0</v>
      </c>
      <c r="AN370" s="29">
        <v>15</v>
      </c>
      <c r="AO370" s="29">
        <f t="shared" si="378"/>
        <v>0</v>
      </c>
      <c r="AP370" s="29">
        <f t="shared" si="379"/>
        <v>0</v>
      </c>
      <c r="AQ370" s="30" t="s">
        <v>13</v>
      </c>
      <c r="AV370" s="29">
        <f t="shared" si="380"/>
        <v>0</v>
      </c>
      <c r="AW370" s="29">
        <f t="shared" si="381"/>
        <v>0</v>
      </c>
      <c r="AX370" s="29">
        <f t="shared" si="382"/>
        <v>0</v>
      </c>
      <c r="AY370" s="32" t="s">
        <v>2916</v>
      </c>
      <c r="AZ370" s="32" t="s">
        <v>2943</v>
      </c>
      <c r="BA370" s="28" t="s">
        <v>2957</v>
      </c>
      <c r="BC370" s="29">
        <f t="shared" si="383"/>
        <v>0</v>
      </c>
      <c r="BD370" s="29">
        <f t="shared" si="384"/>
        <v>0</v>
      </c>
      <c r="BE370" s="29">
        <v>0</v>
      </c>
      <c r="BF370" s="29">
        <f>370</f>
        <v>370</v>
      </c>
      <c r="BH370" s="15">
        <f t="shared" si="385"/>
        <v>0</v>
      </c>
      <c r="BI370" s="15">
        <f t="shared" si="386"/>
        <v>0</v>
      </c>
      <c r="BJ370" s="15">
        <f t="shared" si="387"/>
        <v>0</v>
      </c>
      <c r="BK370" s="15" t="s">
        <v>2969</v>
      </c>
      <c r="BL370" s="29">
        <v>728</v>
      </c>
    </row>
    <row r="371" spans="1:64" ht="12.75">
      <c r="A371" s="4" t="s">
        <v>328</v>
      </c>
      <c r="B371" s="94" t="s">
        <v>1326</v>
      </c>
      <c r="C371" s="152" t="s">
        <v>2276</v>
      </c>
      <c r="D371" s="153"/>
      <c r="E371" s="153"/>
      <c r="F371" s="153"/>
      <c r="G371" s="94" t="s">
        <v>2850</v>
      </c>
      <c r="H371" s="73">
        <v>2</v>
      </c>
      <c r="I371" s="105">
        <v>0</v>
      </c>
      <c r="J371" s="15">
        <f t="shared" si="364"/>
        <v>0</v>
      </c>
      <c r="K371" s="15">
        <f t="shared" si="365"/>
        <v>0</v>
      </c>
      <c r="L371" s="15">
        <f t="shared" si="366"/>
        <v>0</v>
      </c>
      <c r="M371" s="25"/>
      <c r="N371" s="5"/>
      <c r="Z371" s="29">
        <f t="shared" si="367"/>
        <v>0</v>
      </c>
      <c r="AB371" s="29">
        <f t="shared" si="368"/>
        <v>0</v>
      </c>
      <c r="AC371" s="29">
        <f t="shared" si="369"/>
        <v>0</v>
      </c>
      <c r="AD371" s="29">
        <f t="shared" si="370"/>
        <v>0</v>
      </c>
      <c r="AE371" s="29">
        <f t="shared" si="371"/>
        <v>0</v>
      </c>
      <c r="AF371" s="29">
        <f t="shared" si="372"/>
        <v>0</v>
      </c>
      <c r="AG371" s="29">
        <f t="shared" si="373"/>
        <v>0</v>
      </c>
      <c r="AH371" s="29">
        <f t="shared" si="374"/>
        <v>0</v>
      </c>
      <c r="AI371" s="28" t="s">
        <v>2882</v>
      </c>
      <c r="AJ371" s="15">
        <f t="shared" si="375"/>
        <v>0</v>
      </c>
      <c r="AK371" s="15">
        <f t="shared" si="376"/>
        <v>0</v>
      </c>
      <c r="AL371" s="15">
        <f t="shared" si="377"/>
        <v>0</v>
      </c>
      <c r="AN371" s="29">
        <v>15</v>
      </c>
      <c r="AO371" s="29">
        <f t="shared" si="378"/>
        <v>0</v>
      </c>
      <c r="AP371" s="29">
        <f t="shared" si="379"/>
        <v>0</v>
      </c>
      <c r="AQ371" s="30" t="s">
        <v>13</v>
      </c>
      <c r="AV371" s="29">
        <f t="shared" si="380"/>
        <v>0</v>
      </c>
      <c r="AW371" s="29">
        <f t="shared" si="381"/>
        <v>0</v>
      </c>
      <c r="AX371" s="29">
        <f t="shared" si="382"/>
        <v>0</v>
      </c>
      <c r="AY371" s="32" t="s">
        <v>2916</v>
      </c>
      <c r="AZ371" s="32" t="s">
        <v>2943</v>
      </c>
      <c r="BA371" s="28" t="s">
        <v>2957</v>
      </c>
      <c r="BC371" s="29">
        <f t="shared" si="383"/>
        <v>0</v>
      </c>
      <c r="BD371" s="29">
        <f t="shared" si="384"/>
        <v>0</v>
      </c>
      <c r="BE371" s="29">
        <v>0</v>
      </c>
      <c r="BF371" s="29">
        <f>371</f>
        <v>371</v>
      </c>
      <c r="BH371" s="15">
        <f t="shared" si="385"/>
        <v>0</v>
      </c>
      <c r="BI371" s="15">
        <f t="shared" si="386"/>
        <v>0</v>
      </c>
      <c r="BJ371" s="15">
        <f t="shared" si="387"/>
        <v>0</v>
      </c>
      <c r="BK371" s="15" t="s">
        <v>2969</v>
      </c>
      <c r="BL371" s="29">
        <v>728</v>
      </c>
    </row>
    <row r="372" spans="1:64" ht="12.75">
      <c r="A372" s="4" t="s">
        <v>329</v>
      </c>
      <c r="B372" s="94" t="s">
        <v>1327</v>
      </c>
      <c r="C372" s="152" t="s">
        <v>2277</v>
      </c>
      <c r="D372" s="153"/>
      <c r="E372" s="153"/>
      <c r="F372" s="153"/>
      <c r="G372" s="94" t="s">
        <v>2850</v>
      </c>
      <c r="H372" s="73">
        <v>1</v>
      </c>
      <c r="I372" s="105">
        <v>0</v>
      </c>
      <c r="J372" s="15">
        <f t="shared" si="364"/>
        <v>0</v>
      </c>
      <c r="K372" s="15">
        <f t="shared" si="365"/>
        <v>0</v>
      </c>
      <c r="L372" s="15">
        <f t="shared" si="366"/>
        <v>0</v>
      </c>
      <c r="M372" s="25"/>
      <c r="N372" s="5"/>
      <c r="Z372" s="29">
        <f t="shared" si="367"/>
        <v>0</v>
      </c>
      <c r="AB372" s="29">
        <f t="shared" si="368"/>
        <v>0</v>
      </c>
      <c r="AC372" s="29">
        <f t="shared" si="369"/>
        <v>0</v>
      </c>
      <c r="AD372" s="29">
        <f t="shared" si="370"/>
        <v>0</v>
      </c>
      <c r="AE372" s="29">
        <f t="shared" si="371"/>
        <v>0</v>
      </c>
      <c r="AF372" s="29">
        <f t="shared" si="372"/>
        <v>0</v>
      </c>
      <c r="AG372" s="29">
        <f t="shared" si="373"/>
        <v>0</v>
      </c>
      <c r="AH372" s="29">
        <f t="shared" si="374"/>
        <v>0</v>
      </c>
      <c r="AI372" s="28" t="s">
        <v>2882</v>
      </c>
      <c r="AJ372" s="15">
        <f t="shared" si="375"/>
        <v>0</v>
      </c>
      <c r="AK372" s="15">
        <f t="shared" si="376"/>
        <v>0</v>
      </c>
      <c r="AL372" s="15">
        <f t="shared" si="377"/>
        <v>0</v>
      </c>
      <c r="AN372" s="29">
        <v>15</v>
      </c>
      <c r="AO372" s="29">
        <f t="shared" si="378"/>
        <v>0</v>
      </c>
      <c r="AP372" s="29">
        <f t="shared" si="379"/>
        <v>0</v>
      </c>
      <c r="AQ372" s="30" t="s">
        <v>13</v>
      </c>
      <c r="AV372" s="29">
        <f t="shared" si="380"/>
        <v>0</v>
      </c>
      <c r="AW372" s="29">
        <f t="shared" si="381"/>
        <v>0</v>
      </c>
      <c r="AX372" s="29">
        <f t="shared" si="382"/>
        <v>0</v>
      </c>
      <c r="AY372" s="32" t="s">
        <v>2916</v>
      </c>
      <c r="AZ372" s="32" t="s">
        <v>2943</v>
      </c>
      <c r="BA372" s="28" t="s">
        <v>2957</v>
      </c>
      <c r="BC372" s="29">
        <f t="shared" si="383"/>
        <v>0</v>
      </c>
      <c r="BD372" s="29">
        <f t="shared" si="384"/>
        <v>0</v>
      </c>
      <c r="BE372" s="29">
        <v>0</v>
      </c>
      <c r="BF372" s="29">
        <f>372</f>
        <v>372</v>
      </c>
      <c r="BH372" s="15">
        <f t="shared" si="385"/>
        <v>0</v>
      </c>
      <c r="BI372" s="15">
        <f t="shared" si="386"/>
        <v>0</v>
      </c>
      <c r="BJ372" s="15">
        <f t="shared" si="387"/>
        <v>0</v>
      </c>
      <c r="BK372" s="15" t="s">
        <v>2969</v>
      </c>
      <c r="BL372" s="29">
        <v>728</v>
      </c>
    </row>
    <row r="373" spans="1:64" ht="12.75">
      <c r="A373" s="4" t="s">
        <v>330</v>
      </c>
      <c r="B373" s="94" t="s">
        <v>1328</v>
      </c>
      <c r="C373" s="152" t="s">
        <v>2272</v>
      </c>
      <c r="D373" s="153"/>
      <c r="E373" s="153"/>
      <c r="F373" s="153"/>
      <c r="G373" s="94" t="s">
        <v>2850</v>
      </c>
      <c r="H373" s="73">
        <v>1</v>
      </c>
      <c r="I373" s="105">
        <v>0</v>
      </c>
      <c r="J373" s="15">
        <f t="shared" si="364"/>
        <v>0</v>
      </c>
      <c r="K373" s="15">
        <f t="shared" si="365"/>
        <v>0</v>
      </c>
      <c r="L373" s="15">
        <f t="shared" si="366"/>
        <v>0</v>
      </c>
      <c r="M373" s="25"/>
      <c r="N373" s="5"/>
      <c r="Z373" s="29">
        <f t="shared" si="367"/>
        <v>0</v>
      </c>
      <c r="AB373" s="29">
        <f t="shared" si="368"/>
        <v>0</v>
      </c>
      <c r="AC373" s="29">
        <f t="shared" si="369"/>
        <v>0</v>
      </c>
      <c r="AD373" s="29">
        <f t="shared" si="370"/>
        <v>0</v>
      </c>
      <c r="AE373" s="29">
        <f t="shared" si="371"/>
        <v>0</v>
      </c>
      <c r="AF373" s="29">
        <f t="shared" si="372"/>
        <v>0</v>
      </c>
      <c r="AG373" s="29">
        <f t="shared" si="373"/>
        <v>0</v>
      </c>
      <c r="AH373" s="29">
        <f t="shared" si="374"/>
        <v>0</v>
      </c>
      <c r="AI373" s="28" t="s">
        <v>2882</v>
      </c>
      <c r="AJ373" s="15">
        <f t="shared" si="375"/>
        <v>0</v>
      </c>
      <c r="AK373" s="15">
        <f t="shared" si="376"/>
        <v>0</v>
      </c>
      <c r="AL373" s="15">
        <f t="shared" si="377"/>
        <v>0</v>
      </c>
      <c r="AN373" s="29">
        <v>15</v>
      </c>
      <c r="AO373" s="29">
        <f t="shared" si="378"/>
        <v>0</v>
      </c>
      <c r="AP373" s="29">
        <f t="shared" si="379"/>
        <v>0</v>
      </c>
      <c r="AQ373" s="30" t="s">
        <v>13</v>
      </c>
      <c r="AV373" s="29">
        <f t="shared" si="380"/>
        <v>0</v>
      </c>
      <c r="AW373" s="29">
        <f t="shared" si="381"/>
        <v>0</v>
      </c>
      <c r="AX373" s="29">
        <f t="shared" si="382"/>
        <v>0</v>
      </c>
      <c r="AY373" s="32" t="s">
        <v>2916</v>
      </c>
      <c r="AZ373" s="32" t="s">
        <v>2943</v>
      </c>
      <c r="BA373" s="28" t="s">
        <v>2957</v>
      </c>
      <c r="BC373" s="29">
        <f t="shared" si="383"/>
        <v>0</v>
      </c>
      <c r="BD373" s="29">
        <f t="shared" si="384"/>
        <v>0</v>
      </c>
      <c r="BE373" s="29">
        <v>0</v>
      </c>
      <c r="BF373" s="29">
        <f>373</f>
        <v>373</v>
      </c>
      <c r="BH373" s="15">
        <f t="shared" si="385"/>
        <v>0</v>
      </c>
      <c r="BI373" s="15">
        <f t="shared" si="386"/>
        <v>0</v>
      </c>
      <c r="BJ373" s="15">
        <f t="shared" si="387"/>
        <v>0</v>
      </c>
      <c r="BK373" s="15" t="s">
        <v>2969</v>
      </c>
      <c r="BL373" s="29">
        <v>728</v>
      </c>
    </row>
    <row r="374" spans="1:64" ht="12.75">
      <c r="A374" s="4" t="s">
        <v>331</v>
      </c>
      <c r="B374" s="94" t="s">
        <v>1329</v>
      </c>
      <c r="C374" s="152" t="s">
        <v>2273</v>
      </c>
      <c r="D374" s="153"/>
      <c r="E374" s="153"/>
      <c r="F374" s="153"/>
      <c r="G374" s="94" t="s">
        <v>2850</v>
      </c>
      <c r="H374" s="73">
        <v>1</v>
      </c>
      <c r="I374" s="105">
        <v>0</v>
      </c>
      <c r="J374" s="15">
        <f t="shared" si="364"/>
        <v>0</v>
      </c>
      <c r="K374" s="15">
        <f t="shared" si="365"/>
        <v>0</v>
      </c>
      <c r="L374" s="15">
        <f t="shared" si="366"/>
        <v>0</v>
      </c>
      <c r="M374" s="25"/>
      <c r="N374" s="5"/>
      <c r="Z374" s="29">
        <f t="shared" si="367"/>
        <v>0</v>
      </c>
      <c r="AB374" s="29">
        <f t="shared" si="368"/>
        <v>0</v>
      </c>
      <c r="AC374" s="29">
        <f t="shared" si="369"/>
        <v>0</v>
      </c>
      <c r="AD374" s="29">
        <f t="shared" si="370"/>
        <v>0</v>
      </c>
      <c r="AE374" s="29">
        <f t="shared" si="371"/>
        <v>0</v>
      </c>
      <c r="AF374" s="29">
        <f t="shared" si="372"/>
        <v>0</v>
      </c>
      <c r="AG374" s="29">
        <f t="shared" si="373"/>
        <v>0</v>
      </c>
      <c r="AH374" s="29">
        <f t="shared" si="374"/>
        <v>0</v>
      </c>
      <c r="AI374" s="28" t="s">
        <v>2882</v>
      </c>
      <c r="AJ374" s="15">
        <f t="shared" si="375"/>
        <v>0</v>
      </c>
      <c r="AK374" s="15">
        <f t="shared" si="376"/>
        <v>0</v>
      </c>
      <c r="AL374" s="15">
        <f t="shared" si="377"/>
        <v>0</v>
      </c>
      <c r="AN374" s="29">
        <v>15</v>
      </c>
      <c r="AO374" s="29">
        <f t="shared" si="378"/>
        <v>0</v>
      </c>
      <c r="AP374" s="29">
        <f t="shared" si="379"/>
        <v>0</v>
      </c>
      <c r="AQ374" s="30" t="s">
        <v>13</v>
      </c>
      <c r="AV374" s="29">
        <f t="shared" si="380"/>
        <v>0</v>
      </c>
      <c r="AW374" s="29">
        <f t="shared" si="381"/>
        <v>0</v>
      </c>
      <c r="AX374" s="29">
        <f t="shared" si="382"/>
        <v>0</v>
      </c>
      <c r="AY374" s="32" t="s">
        <v>2916</v>
      </c>
      <c r="AZ374" s="32" t="s">
        <v>2943</v>
      </c>
      <c r="BA374" s="28" t="s">
        <v>2957</v>
      </c>
      <c r="BC374" s="29">
        <f t="shared" si="383"/>
        <v>0</v>
      </c>
      <c r="BD374" s="29">
        <f t="shared" si="384"/>
        <v>0</v>
      </c>
      <c r="BE374" s="29">
        <v>0</v>
      </c>
      <c r="BF374" s="29">
        <f>374</f>
        <v>374</v>
      </c>
      <c r="BH374" s="15">
        <f t="shared" si="385"/>
        <v>0</v>
      </c>
      <c r="BI374" s="15">
        <f t="shared" si="386"/>
        <v>0</v>
      </c>
      <c r="BJ374" s="15">
        <f t="shared" si="387"/>
        <v>0</v>
      </c>
      <c r="BK374" s="15" t="s">
        <v>2969</v>
      </c>
      <c r="BL374" s="29">
        <v>728</v>
      </c>
    </row>
    <row r="375" spans="1:64" ht="12.75">
      <c r="A375" s="4" t="s">
        <v>332</v>
      </c>
      <c r="B375" s="94" t="s">
        <v>1330</v>
      </c>
      <c r="C375" s="152" t="s">
        <v>2274</v>
      </c>
      <c r="D375" s="153"/>
      <c r="E375" s="153"/>
      <c r="F375" s="153"/>
      <c r="G375" s="94" t="s">
        <v>2850</v>
      </c>
      <c r="H375" s="73">
        <v>1</v>
      </c>
      <c r="I375" s="105">
        <v>0</v>
      </c>
      <c r="J375" s="15">
        <f t="shared" si="364"/>
        <v>0</v>
      </c>
      <c r="K375" s="15">
        <f t="shared" si="365"/>
        <v>0</v>
      </c>
      <c r="L375" s="15">
        <f t="shared" si="366"/>
        <v>0</v>
      </c>
      <c r="M375" s="25"/>
      <c r="N375" s="5"/>
      <c r="Z375" s="29">
        <f t="shared" si="367"/>
        <v>0</v>
      </c>
      <c r="AB375" s="29">
        <f t="shared" si="368"/>
        <v>0</v>
      </c>
      <c r="AC375" s="29">
        <f t="shared" si="369"/>
        <v>0</v>
      </c>
      <c r="AD375" s="29">
        <f t="shared" si="370"/>
        <v>0</v>
      </c>
      <c r="AE375" s="29">
        <f t="shared" si="371"/>
        <v>0</v>
      </c>
      <c r="AF375" s="29">
        <f t="shared" si="372"/>
        <v>0</v>
      </c>
      <c r="AG375" s="29">
        <f t="shared" si="373"/>
        <v>0</v>
      </c>
      <c r="AH375" s="29">
        <f t="shared" si="374"/>
        <v>0</v>
      </c>
      <c r="AI375" s="28" t="s">
        <v>2882</v>
      </c>
      <c r="AJ375" s="15">
        <f t="shared" si="375"/>
        <v>0</v>
      </c>
      <c r="AK375" s="15">
        <f t="shared" si="376"/>
        <v>0</v>
      </c>
      <c r="AL375" s="15">
        <f t="shared" si="377"/>
        <v>0</v>
      </c>
      <c r="AN375" s="29">
        <v>15</v>
      </c>
      <c r="AO375" s="29">
        <f t="shared" si="378"/>
        <v>0</v>
      </c>
      <c r="AP375" s="29">
        <f t="shared" si="379"/>
        <v>0</v>
      </c>
      <c r="AQ375" s="30" t="s">
        <v>13</v>
      </c>
      <c r="AV375" s="29">
        <f t="shared" si="380"/>
        <v>0</v>
      </c>
      <c r="AW375" s="29">
        <f t="shared" si="381"/>
        <v>0</v>
      </c>
      <c r="AX375" s="29">
        <f t="shared" si="382"/>
        <v>0</v>
      </c>
      <c r="AY375" s="32" t="s">
        <v>2916</v>
      </c>
      <c r="AZ375" s="32" t="s">
        <v>2943</v>
      </c>
      <c r="BA375" s="28" t="s">
        <v>2957</v>
      </c>
      <c r="BC375" s="29">
        <f t="shared" si="383"/>
        <v>0</v>
      </c>
      <c r="BD375" s="29">
        <f t="shared" si="384"/>
        <v>0</v>
      </c>
      <c r="BE375" s="29">
        <v>0</v>
      </c>
      <c r="BF375" s="29">
        <f>375</f>
        <v>375</v>
      </c>
      <c r="BH375" s="15">
        <f t="shared" si="385"/>
        <v>0</v>
      </c>
      <c r="BI375" s="15">
        <f t="shared" si="386"/>
        <v>0</v>
      </c>
      <c r="BJ375" s="15">
        <f t="shared" si="387"/>
        <v>0</v>
      </c>
      <c r="BK375" s="15" t="s">
        <v>2969</v>
      </c>
      <c r="BL375" s="29">
        <v>728</v>
      </c>
    </row>
    <row r="376" spans="1:64" ht="12.75">
      <c r="A376" s="4" t="s">
        <v>333</v>
      </c>
      <c r="B376" s="94" t="s">
        <v>1331</v>
      </c>
      <c r="C376" s="152" t="s">
        <v>2275</v>
      </c>
      <c r="D376" s="153"/>
      <c r="E376" s="153"/>
      <c r="F376" s="153"/>
      <c r="G376" s="94" t="s">
        <v>2850</v>
      </c>
      <c r="H376" s="73">
        <v>1</v>
      </c>
      <c r="I376" s="105">
        <v>0</v>
      </c>
      <c r="J376" s="15">
        <f t="shared" si="364"/>
        <v>0</v>
      </c>
      <c r="K376" s="15">
        <f t="shared" si="365"/>
        <v>0</v>
      </c>
      <c r="L376" s="15">
        <f t="shared" si="366"/>
        <v>0</v>
      </c>
      <c r="M376" s="25"/>
      <c r="N376" s="5"/>
      <c r="Z376" s="29">
        <f t="shared" si="367"/>
        <v>0</v>
      </c>
      <c r="AB376" s="29">
        <f t="shared" si="368"/>
        <v>0</v>
      </c>
      <c r="AC376" s="29">
        <f t="shared" si="369"/>
        <v>0</v>
      </c>
      <c r="AD376" s="29">
        <f t="shared" si="370"/>
        <v>0</v>
      </c>
      <c r="AE376" s="29">
        <f t="shared" si="371"/>
        <v>0</v>
      </c>
      <c r="AF376" s="29">
        <f t="shared" si="372"/>
        <v>0</v>
      </c>
      <c r="AG376" s="29">
        <f t="shared" si="373"/>
        <v>0</v>
      </c>
      <c r="AH376" s="29">
        <f t="shared" si="374"/>
        <v>0</v>
      </c>
      <c r="AI376" s="28" t="s">
        <v>2882</v>
      </c>
      <c r="AJ376" s="15">
        <f t="shared" si="375"/>
        <v>0</v>
      </c>
      <c r="AK376" s="15">
        <f t="shared" si="376"/>
        <v>0</v>
      </c>
      <c r="AL376" s="15">
        <f t="shared" si="377"/>
        <v>0</v>
      </c>
      <c r="AN376" s="29">
        <v>15</v>
      </c>
      <c r="AO376" s="29">
        <f t="shared" si="378"/>
        <v>0</v>
      </c>
      <c r="AP376" s="29">
        <f t="shared" si="379"/>
        <v>0</v>
      </c>
      <c r="AQ376" s="30" t="s">
        <v>13</v>
      </c>
      <c r="AV376" s="29">
        <f t="shared" si="380"/>
        <v>0</v>
      </c>
      <c r="AW376" s="29">
        <f t="shared" si="381"/>
        <v>0</v>
      </c>
      <c r="AX376" s="29">
        <f t="shared" si="382"/>
        <v>0</v>
      </c>
      <c r="AY376" s="32" t="s">
        <v>2916</v>
      </c>
      <c r="AZ376" s="32" t="s">
        <v>2943</v>
      </c>
      <c r="BA376" s="28" t="s">
        <v>2957</v>
      </c>
      <c r="BC376" s="29">
        <f t="shared" si="383"/>
        <v>0</v>
      </c>
      <c r="BD376" s="29">
        <f t="shared" si="384"/>
        <v>0</v>
      </c>
      <c r="BE376" s="29">
        <v>0</v>
      </c>
      <c r="BF376" s="29">
        <f>376</f>
        <v>376</v>
      </c>
      <c r="BH376" s="15">
        <f t="shared" si="385"/>
        <v>0</v>
      </c>
      <c r="BI376" s="15">
        <f t="shared" si="386"/>
        <v>0</v>
      </c>
      <c r="BJ376" s="15">
        <f t="shared" si="387"/>
        <v>0</v>
      </c>
      <c r="BK376" s="15" t="s">
        <v>2969</v>
      </c>
      <c r="BL376" s="29">
        <v>728</v>
      </c>
    </row>
    <row r="377" spans="1:64" ht="12.75">
      <c r="A377" s="4" t="s">
        <v>334</v>
      </c>
      <c r="B377" s="94" t="s">
        <v>1326</v>
      </c>
      <c r="C377" s="152" t="s">
        <v>2276</v>
      </c>
      <c r="D377" s="153"/>
      <c r="E377" s="153"/>
      <c r="F377" s="153"/>
      <c r="G377" s="94" t="s">
        <v>2850</v>
      </c>
      <c r="H377" s="73">
        <v>1</v>
      </c>
      <c r="I377" s="105">
        <v>0</v>
      </c>
      <c r="J377" s="15">
        <f t="shared" si="364"/>
        <v>0</v>
      </c>
      <c r="K377" s="15">
        <f t="shared" si="365"/>
        <v>0</v>
      </c>
      <c r="L377" s="15">
        <f t="shared" si="366"/>
        <v>0</v>
      </c>
      <c r="M377" s="25"/>
      <c r="N377" s="5"/>
      <c r="Z377" s="29">
        <f t="shared" si="367"/>
        <v>0</v>
      </c>
      <c r="AB377" s="29">
        <f t="shared" si="368"/>
        <v>0</v>
      </c>
      <c r="AC377" s="29">
        <f t="shared" si="369"/>
        <v>0</v>
      </c>
      <c r="AD377" s="29">
        <f t="shared" si="370"/>
        <v>0</v>
      </c>
      <c r="AE377" s="29">
        <f t="shared" si="371"/>
        <v>0</v>
      </c>
      <c r="AF377" s="29">
        <f t="shared" si="372"/>
        <v>0</v>
      </c>
      <c r="AG377" s="29">
        <f t="shared" si="373"/>
        <v>0</v>
      </c>
      <c r="AH377" s="29">
        <f t="shared" si="374"/>
        <v>0</v>
      </c>
      <c r="AI377" s="28" t="s">
        <v>2882</v>
      </c>
      <c r="AJ377" s="15">
        <f t="shared" si="375"/>
        <v>0</v>
      </c>
      <c r="AK377" s="15">
        <f t="shared" si="376"/>
        <v>0</v>
      </c>
      <c r="AL377" s="15">
        <f t="shared" si="377"/>
        <v>0</v>
      </c>
      <c r="AN377" s="29">
        <v>15</v>
      </c>
      <c r="AO377" s="29">
        <f t="shared" si="378"/>
        <v>0</v>
      </c>
      <c r="AP377" s="29">
        <f t="shared" si="379"/>
        <v>0</v>
      </c>
      <c r="AQ377" s="30" t="s">
        <v>13</v>
      </c>
      <c r="AV377" s="29">
        <f t="shared" si="380"/>
        <v>0</v>
      </c>
      <c r="AW377" s="29">
        <f t="shared" si="381"/>
        <v>0</v>
      </c>
      <c r="AX377" s="29">
        <f t="shared" si="382"/>
        <v>0</v>
      </c>
      <c r="AY377" s="32" t="s">
        <v>2916</v>
      </c>
      <c r="AZ377" s="32" t="s">
        <v>2943</v>
      </c>
      <c r="BA377" s="28" t="s">
        <v>2957</v>
      </c>
      <c r="BC377" s="29">
        <f t="shared" si="383"/>
        <v>0</v>
      </c>
      <c r="BD377" s="29">
        <f t="shared" si="384"/>
        <v>0</v>
      </c>
      <c r="BE377" s="29">
        <v>0</v>
      </c>
      <c r="BF377" s="29">
        <f>377</f>
        <v>377</v>
      </c>
      <c r="BH377" s="15">
        <f t="shared" si="385"/>
        <v>0</v>
      </c>
      <c r="BI377" s="15">
        <f t="shared" si="386"/>
        <v>0</v>
      </c>
      <c r="BJ377" s="15">
        <f t="shared" si="387"/>
        <v>0</v>
      </c>
      <c r="BK377" s="15" t="s">
        <v>2969</v>
      </c>
      <c r="BL377" s="29">
        <v>728</v>
      </c>
    </row>
    <row r="378" spans="1:64" ht="12.75">
      <c r="A378" s="4" t="s">
        <v>335</v>
      </c>
      <c r="B378" s="94" t="s">
        <v>1332</v>
      </c>
      <c r="C378" s="152" t="s">
        <v>2278</v>
      </c>
      <c r="D378" s="153"/>
      <c r="E378" s="153"/>
      <c r="F378" s="153"/>
      <c r="G378" s="94" t="s">
        <v>2851</v>
      </c>
      <c r="H378" s="73">
        <v>8.5</v>
      </c>
      <c r="I378" s="105">
        <v>0</v>
      </c>
      <c r="J378" s="15">
        <f t="shared" si="364"/>
        <v>0</v>
      </c>
      <c r="K378" s="15">
        <f t="shared" si="365"/>
        <v>0</v>
      </c>
      <c r="L378" s="15">
        <f t="shared" si="366"/>
        <v>0</v>
      </c>
      <c r="M378" s="25"/>
      <c r="N378" s="5"/>
      <c r="Z378" s="29">
        <f t="shared" si="367"/>
        <v>0</v>
      </c>
      <c r="AB378" s="29">
        <f t="shared" si="368"/>
        <v>0</v>
      </c>
      <c r="AC378" s="29">
        <f t="shared" si="369"/>
        <v>0</v>
      </c>
      <c r="AD378" s="29">
        <f t="shared" si="370"/>
        <v>0</v>
      </c>
      <c r="AE378" s="29">
        <f t="shared" si="371"/>
        <v>0</v>
      </c>
      <c r="AF378" s="29">
        <f t="shared" si="372"/>
        <v>0</v>
      </c>
      <c r="AG378" s="29">
        <f t="shared" si="373"/>
        <v>0</v>
      </c>
      <c r="AH378" s="29">
        <f t="shared" si="374"/>
        <v>0</v>
      </c>
      <c r="AI378" s="28" t="s">
        <v>2882</v>
      </c>
      <c r="AJ378" s="15">
        <f t="shared" si="375"/>
        <v>0</v>
      </c>
      <c r="AK378" s="15">
        <f t="shared" si="376"/>
        <v>0</v>
      </c>
      <c r="AL378" s="15">
        <f t="shared" si="377"/>
        <v>0</v>
      </c>
      <c r="AN378" s="29">
        <v>15</v>
      </c>
      <c r="AO378" s="29">
        <f t="shared" si="378"/>
        <v>0</v>
      </c>
      <c r="AP378" s="29">
        <f t="shared" si="379"/>
        <v>0</v>
      </c>
      <c r="AQ378" s="30" t="s">
        <v>13</v>
      </c>
      <c r="AV378" s="29">
        <f t="shared" si="380"/>
        <v>0</v>
      </c>
      <c r="AW378" s="29">
        <f t="shared" si="381"/>
        <v>0</v>
      </c>
      <c r="AX378" s="29">
        <f t="shared" si="382"/>
        <v>0</v>
      </c>
      <c r="AY378" s="32" t="s">
        <v>2916</v>
      </c>
      <c r="AZ378" s="32" t="s">
        <v>2943</v>
      </c>
      <c r="BA378" s="28" t="s">
        <v>2957</v>
      </c>
      <c r="BC378" s="29">
        <f t="shared" si="383"/>
        <v>0</v>
      </c>
      <c r="BD378" s="29">
        <f t="shared" si="384"/>
        <v>0</v>
      </c>
      <c r="BE378" s="29">
        <v>0</v>
      </c>
      <c r="BF378" s="29">
        <f>378</f>
        <v>378</v>
      </c>
      <c r="BH378" s="15">
        <f t="shared" si="385"/>
        <v>0</v>
      </c>
      <c r="BI378" s="15">
        <f t="shared" si="386"/>
        <v>0</v>
      </c>
      <c r="BJ378" s="15">
        <f t="shared" si="387"/>
        <v>0</v>
      </c>
      <c r="BK378" s="15" t="s">
        <v>2969</v>
      </c>
      <c r="BL378" s="29">
        <v>728</v>
      </c>
    </row>
    <row r="379" spans="1:64" ht="12.75">
      <c r="A379" s="4" t="s">
        <v>336</v>
      </c>
      <c r="B379" s="94" t="s">
        <v>1333</v>
      </c>
      <c r="C379" s="152" t="s">
        <v>2279</v>
      </c>
      <c r="D379" s="153"/>
      <c r="E379" s="153"/>
      <c r="F379" s="153"/>
      <c r="G379" s="94" t="s">
        <v>2851</v>
      </c>
      <c r="H379" s="73">
        <v>18.5</v>
      </c>
      <c r="I379" s="105">
        <v>0</v>
      </c>
      <c r="J379" s="15">
        <f t="shared" si="364"/>
        <v>0</v>
      </c>
      <c r="K379" s="15">
        <f t="shared" si="365"/>
        <v>0</v>
      </c>
      <c r="L379" s="15">
        <f t="shared" si="366"/>
        <v>0</v>
      </c>
      <c r="M379" s="25"/>
      <c r="N379" s="5"/>
      <c r="Z379" s="29">
        <f t="shared" si="367"/>
        <v>0</v>
      </c>
      <c r="AB379" s="29">
        <f t="shared" si="368"/>
        <v>0</v>
      </c>
      <c r="AC379" s="29">
        <f t="shared" si="369"/>
        <v>0</v>
      </c>
      <c r="AD379" s="29">
        <f t="shared" si="370"/>
        <v>0</v>
      </c>
      <c r="AE379" s="29">
        <f t="shared" si="371"/>
        <v>0</v>
      </c>
      <c r="AF379" s="29">
        <f t="shared" si="372"/>
        <v>0</v>
      </c>
      <c r="AG379" s="29">
        <f t="shared" si="373"/>
        <v>0</v>
      </c>
      <c r="AH379" s="29">
        <f t="shared" si="374"/>
        <v>0</v>
      </c>
      <c r="AI379" s="28" t="s">
        <v>2882</v>
      </c>
      <c r="AJ379" s="15">
        <f t="shared" si="375"/>
        <v>0</v>
      </c>
      <c r="AK379" s="15">
        <f t="shared" si="376"/>
        <v>0</v>
      </c>
      <c r="AL379" s="15">
        <f t="shared" si="377"/>
        <v>0</v>
      </c>
      <c r="AN379" s="29">
        <v>15</v>
      </c>
      <c r="AO379" s="29">
        <f t="shared" si="378"/>
        <v>0</v>
      </c>
      <c r="AP379" s="29">
        <f t="shared" si="379"/>
        <v>0</v>
      </c>
      <c r="AQ379" s="30" t="s">
        <v>13</v>
      </c>
      <c r="AV379" s="29">
        <f t="shared" si="380"/>
        <v>0</v>
      </c>
      <c r="AW379" s="29">
        <f t="shared" si="381"/>
        <v>0</v>
      </c>
      <c r="AX379" s="29">
        <f t="shared" si="382"/>
        <v>0</v>
      </c>
      <c r="AY379" s="32" t="s">
        <v>2916</v>
      </c>
      <c r="AZ379" s="32" t="s">
        <v>2943</v>
      </c>
      <c r="BA379" s="28" t="s">
        <v>2957</v>
      </c>
      <c r="BC379" s="29">
        <f t="shared" si="383"/>
        <v>0</v>
      </c>
      <c r="BD379" s="29">
        <f t="shared" si="384"/>
        <v>0</v>
      </c>
      <c r="BE379" s="29">
        <v>0</v>
      </c>
      <c r="BF379" s="29">
        <f>379</f>
        <v>379</v>
      </c>
      <c r="BH379" s="15">
        <f t="shared" si="385"/>
        <v>0</v>
      </c>
      <c r="BI379" s="15">
        <f t="shared" si="386"/>
        <v>0</v>
      </c>
      <c r="BJ379" s="15">
        <f t="shared" si="387"/>
        <v>0</v>
      </c>
      <c r="BK379" s="15" t="s">
        <v>2969</v>
      </c>
      <c r="BL379" s="29">
        <v>728</v>
      </c>
    </row>
    <row r="380" spans="1:64" ht="12.75">
      <c r="A380" s="4" t="s">
        <v>337</v>
      </c>
      <c r="B380" s="94" t="s">
        <v>1334</v>
      </c>
      <c r="C380" s="152" t="s">
        <v>2280</v>
      </c>
      <c r="D380" s="153"/>
      <c r="E380" s="153"/>
      <c r="F380" s="153"/>
      <c r="G380" s="94" t="s">
        <v>2851</v>
      </c>
      <c r="H380" s="73">
        <v>13</v>
      </c>
      <c r="I380" s="105">
        <v>0</v>
      </c>
      <c r="J380" s="15">
        <f t="shared" si="364"/>
        <v>0</v>
      </c>
      <c r="K380" s="15">
        <f t="shared" si="365"/>
        <v>0</v>
      </c>
      <c r="L380" s="15">
        <f t="shared" si="366"/>
        <v>0</v>
      </c>
      <c r="M380" s="25"/>
      <c r="N380" s="5"/>
      <c r="Z380" s="29">
        <f t="shared" si="367"/>
        <v>0</v>
      </c>
      <c r="AB380" s="29">
        <f t="shared" si="368"/>
        <v>0</v>
      </c>
      <c r="AC380" s="29">
        <f t="shared" si="369"/>
        <v>0</v>
      </c>
      <c r="AD380" s="29">
        <f t="shared" si="370"/>
        <v>0</v>
      </c>
      <c r="AE380" s="29">
        <f t="shared" si="371"/>
        <v>0</v>
      </c>
      <c r="AF380" s="29">
        <f t="shared" si="372"/>
        <v>0</v>
      </c>
      <c r="AG380" s="29">
        <f t="shared" si="373"/>
        <v>0</v>
      </c>
      <c r="AH380" s="29">
        <f t="shared" si="374"/>
        <v>0</v>
      </c>
      <c r="AI380" s="28" t="s">
        <v>2882</v>
      </c>
      <c r="AJ380" s="15">
        <f t="shared" si="375"/>
        <v>0</v>
      </c>
      <c r="AK380" s="15">
        <f t="shared" si="376"/>
        <v>0</v>
      </c>
      <c r="AL380" s="15">
        <f t="shared" si="377"/>
        <v>0</v>
      </c>
      <c r="AN380" s="29">
        <v>15</v>
      </c>
      <c r="AO380" s="29">
        <f t="shared" si="378"/>
        <v>0</v>
      </c>
      <c r="AP380" s="29">
        <f t="shared" si="379"/>
        <v>0</v>
      </c>
      <c r="AQ380" s="30" t="s">
        <v>13</v>
      </c>
      <c r="AV380" s="29">
        <f t="shared" si="380"/>
        <v>0</v>
      </c>
      <c r="AW380" s="29">
        <f t="shared" si="381"/>
        <v>0</v>
      </c>
      <c r="AX380" s="29">
        <f t="shared" si="382"/>
        <v>0</v>
      </c>
      <c r="AY380" s="32" t="s">
        <v>2916</v>
      </c>
      <c r="AZ380" s="32" t="s">
        <v>2943</v>
      </c>
      <c r="BA380" s="28" t="s">
        <v>2957</v>
      </c>
      <c r="BC380" s="29">
        <f t="shared" si="383"/>
        <v>0</v>
      </c>
      <c r="BD380" s="29">
        <f t="shared" si="384"/>
        <v>0</v>
      </c>
      <c r="BE380" s="29">
        <v>0</v>
      </c>
      <c r="BF380" s="29">
        <f>380</f>
        <v>380</v>
      </c>
      <c r="BH380" s="15">
        <f t="shared" si="385"/>
        <v>0</v>
      </c>
      <c r="BI380" s="15">
        <f t="shared" si="386"/>
        <v>0</v>
      </c>
      <c r="BJ380" s="15">
        <f t="shared" si="387"/>
        <v>0</v>
      </c>
      <c r="BK380" s="15" t="s">
        <v>2969</v>
      </c>
      <c r="BL380" s="29">
        <v>728</v>
      </c>
    </row>
    <row r="381" spans="1:64" ht="12.75">
      <c r="A381" s="4" t="s">
        <v>338</v>
      </c>
      <c r="B381" s="94" t="s">
        <v>1335</v>
      </c>
      <c r="C381" s="152" t="s">
        <v>2281</v>
      </c>
      <c r="D381" s="153"/>
      <c r="E381" s="153"/>
      <c r="F381" s="153"/>
      <c r="G381" s="94" t="s">
        <v>2851</v>
      </c>
      <c r="H381" s="73">
        <v>11</v>
      </c>
      <c r="I381" s="105">
        <v>0</v>
      </c>
      <c r="J381" s="15">
        <f t="shared" si="364"/>
        <v>0</v>
      </c>
      <c r="K381" s="15">
        <f t="shared" si="365"/>
        <v>0</v>
      </c>
      <c r="L381" s="15">
        <f t="shared" si="366"/>
        <v>0</v>
      </c>
      <c r="M381" s="25"/>
      <c r="N381" s="5"/>
      <c r="Z381" s="29">
        <f t="shared" si="367"/>
        <v>0</v>
      </c>
      <c r="AB381" s="29">
        <f t="shared" si="368"/>
        <v>0</v>
      </c>
      <c r="AC381" s="29">
        <f t="shared" si="369"/>
        <v>0</v>
      </c>
      <c r="AD381" s="29">
        <f t="shared" si="370"/>
        <v>0</v>
      </c>
      <c r="AE381" s="29">
        <f t="shared" si="371"/>
        <v>0</v>
      </c>
      <c r="AF381" s="29">
        <f t="shared" si="372"/>
        <v>0</v>
      </c>
      <c r="AG381" s="29">
        <f t="shared" si="373"/>
        <v>0</v>
      </c>
      <c r="AH381" s="29">
        <f t="shared" si="374"/>
        <v>0</v>
      </c>
      <c r="AI381" s="28" t="s">
        <v>2882</v>
      </c>
      <c r="AJ381" s="15">
        <f t="shared" si="375"/>
        <v>0</v>
      </c>
      <c r="AK381" s="15">
        <f t="shared" si="376"/>
        <v>0</v>
      </c>
      <c r="AL381" s="15">
        <f t="shared" si="377"/>
        <v>0</v>
      </c>
      <c r="AN381" s="29">
        <v>15</v>
      </c>
      <c r="AO381" s="29">
        <f t="shared" si="378"/>
        <v>0</v>
      </c>
      <c r="AP381" s="29">
        <f t="shared" si="379"/>
        <v>0</v>
      </c>
      <c r="AQ381" s="30" t="s">
        <v>13</v>
      </c>
      <c r="AV381" s="29">
        <f t="shared" si="380"/>
        <v>0</v>
      </c>
      <c r="AW381" s="29">
        <f t="shared" si="381"/>
        <v>0</v>
      </c>
      <c r="AX381" s="29">
        <f t="shared" si="382"/>
        <v>0</v>
      </c>
      <c r="AY381" s="32" t="s">
        <v>2916</v>
      </c>
      <c r="AZ381" s="32" t="s">
        <v>2943</v>
      </c>
      <c r="BA381" s="28" t="s">
        <v>2957</v>
      </c>
      <c r="BC381" s="29">
        <f t="shared" si="383"/>
        <v>0</v>
      </c>
      <c r="BD381" s="29">
        <f t="shared" si="384"/>
        <v>0</v>
      </c>
      <c r="BE381" s="29">
        <v>0</v>
      </c>
      <c r="BF381" s="29">
        <f>381</f>
        <v>381</v>
      </c>
      <c r="BH381" s="15">
        <f t="shared" si="385"/>
        <v>0</v>
      </c>
      <c r="BI381" s="15">
        <f t="shared" si="386"/>
        <v>0</v>
      </c>
      <c r="BJ381" s="15">
        <f t="shared" si="387"/>
        <v>0</v>
      </c>
      <c r="BK381" s="15" t="s">
        <v>2969</v>
      </c>
      <c r="BL381" s="29">
        <v>728</v>
      </c>
    </row>
    <row r="382" spans="1:64" ht="12.75">
      <c r="A382" s="4" t="s">
        <v>339</v>
      </c>
      <c r="B382" s="94" t="s">
        <v>1336</v>
      </c>
      <c r="C382" s="152" t="s">
        <v>2282</v>
      </c>
      <c r="D382" s="153"/>
      <c r="E382" s="153"/>
      <c r="F382" s="153"/>
      <c r="G382" s="94" t="s">
        <v>2851</v>
      </c>
      <c r="H382" s="73">
        <v>20.5</v>
      </c>
      <c r="I382" s="105">
        <v>0</v>
      </c>
      <c r="J382" s="15">
        <f t="shared" si="364"/>
        <v>0</v>
      </c>
      <c r="K382" s="15">
        <f t="shared" si="365"/>
        <v>0</v>
      </c>
      <c r="L382" s="15">
        <f t="shared" si="366"/>
        <v>0</v>
      </c>
      <c r="M382" s="25"/>
      <c r="N382" s="5"/>
      <c r="Z382" s="29">
        <f t="shared" si="367"/>
        <v>0</v>
      </c>
      <c r="AB382" s="29">
        <f t="shared" si="368"/>
        <v>0</v>
      </c>
      <c r="AC382" s="29">
        <f t="shared" si="369"/>
        <v>0</v>
      </c>
      <c r="AD382" s="29">
        <f t="shared" si="370"/>
        <v>0</v>
      </c>
      <c r="AE382" s="29">
        <f t="shared" si="371"/>
        <v>0</v>
      </c>
      <c r="AF382" s="29">
        <f t="shared" si="372"/>
        <v>0</v>
      </c>
      <c r="AG382" s="29">
        <f t="shared" si="373"/>
        <v>0</v>
      </c>
      <c r="AH382" s="29">
        <f t="shared" si="374"/>
        <v>0</v>
      </c>
      <c r="AI382" s="28" t="s">
        <v>2882</v>
      </c>
      <c r="AJ382" s="15">
        <f t="shared" si="375"/>
        <v>0</v>
      </c>
      <c r="AK382" s="15">
        <f t="shared" si="376"/>
        <v>0</v>
      </c>
      <c r="AL382" s="15">
        <f t="shared" si="377"/>
        <v>0</v>
      </c>
      <c r="AN382" s="29">
        <v>15</v>
      </c>
      <c r="AO382" s="29">
        <f t="shared" si="378"/>
        <v>0</v>
      </c>
      <c r="AP382" s="29">
        <f t="shared" si="379"/>
        <v>0</v>
      </c>
      <c r="AQ382" s="30" t="s">
        <v>13</v>
      </c>
      <c r="AV382" s="29">
        <f t="shared" si="380"/>
        <v>0</v>
      </c>
      <c r="AW382" s="29">
        <f t="shared" si="381"/>
        <v>0</v>
      </c>
      <c r="AX382" s="29">
        <f t="shared" si="382"/>
        <v>0</v>
      </c>
      <c r="AY382" s="32" t="s">
        <v>2916</v>
      </c>
      <c r="AZ382" s="32" t="s">
        <v>2943</v>
      </c>
      <c r="BA382" s="28" t="s">
        <v>2957</v>
      </c>
      <c r="BC382" s="29">
        <f t="shared" si="383"/>
        <v>0</v>
      </c>
      <c r="BD382" s="29">
        <f t="shared" si="384"/>
        <v>0</v>
      </c>
      <c r="BE382" s="29">
        <v>0</v>
      </c>
      <c r="BF382" s="29">
        <f>382</f>
        <v>382</v>
      </c>
      <c r="BH382" s="15">
        <f t="shared" si="385"/>
        <v>0</v>
      </c>
      <c r="BI382" s="15">
        <f t="shared" si="386"/>
        <v>0</v>
      </c>
      <c r="BJ382" s="15">
        <f t="shared" si="387"/>
        <v>0</v>
      </c>
      <c r="BK382" s="15" t="s">
        <v>2969</v>
      </c>
      <c r="BL382" s="29">
        <v>728</v>
      </c>
    </row>
    <row r="383" spans="1:64" ht="12.75">
      <c r="A383" s="4" t="s">
        <v>340</v>
      </c>
      <c r="B383" s="94" t="s">
        <v>1337</v>
      </c>
      <c r="C383" s="152" t="s">
        <v>2283</v>
      </c>
      <c r="D383" s="153"/>
      <c r="E383" s="153"/>
      <c r="F383" s="153"/>
      <c r="G383" s="94" t="s">
        <v>2851</v>
      </c>
      <c r="H383" s="73">
        <v>5.5</v>
      </c>
      <c r="I383" s="105">
        <v>0</v>
      </c>
      <c r="J383" s="15">
        <f t="shared" si="364"/>
        <v>0</v>
      </c>
      <c r="K383" s="15">
        <f t="shared" si="365"/>
        <v>0</v>
      </c>
      <c r="L383" s="15">
        <f t="shared" si="366"/>
        <v>0</v>
      </c>
      <c r="M383" s="25"/>
      <c r="N383" s="5"/>
      <c r="Z383" s="29">
        <f t="shared" si="367"/>
        <v>0</v>
      </c>
      <c r="AB383" s="29">
        <f t="shared" si="368"/>
        <v>0</v>
      </c>
      <c r="AC383" s="29">
        <f t="shared" si="369"/>
        <v>0</v>
      </c>
      <c r="AD383" s="29">
        <f t="shared" si="370"/>
        <v>0</v>
      </c>
      <c r="AE383" s="29">
        <f t="shared" si="371"/>
        <v>0</v>
      </c>
      <c r="AF383" s="29">
        <f t="shared" si="372"/>
        <v>0</v>
      </c>
      <c r="AG383" s="29">
        <f t="shared" si="373"/>
        <v>0</v>
      </c>
      <c r="AH383" s="29">
        <f t="shared" si="374"/>
        <v>0</v>
      </c>
      <c r="AI383" s="28" t="s">
        <v>2882</v>
      </c>
      <c r="AJ383" s="15">
        <f t="shared" si="375"/>
        <v>0</v>
      </c>
      <c r="AK383" s="15">
        <f t="shared" si="376"/>
        <v>0</v>
      </c>
      <c r="AL383" s="15">
        <f t="shared" si="377"/>
        <v>0</v>
      </c>
      <c r="AN383" s="29">
        <v>15</v>
      </c>
      <c r="AO383" s="29">
        <f t="shared" si="378"/>
        <v>0</v>
      </c>
      <c r="AP383" s="29">
        <f t="shared" si="379"/>
        <v>0</v>
      </c>
      <c r="AQ383" s="30" t="s">
        <v>13</v>
      </c>
      <c r="AV383" s="29">
        <f t="shared" si="380"/>
        <v>0</v>
      </c>
      <c r="AW383" s="29">
        <f t="shared" si="381"/>
        <v>0</v>
      </c>
      <c r="AX383" s="29">
        <f t="shared" si="382"/>
        <v>0</v>
      </c>
      <c r="AY383" s="32" t="s">
        <v>2916</v>
      </c>
      <c r="AZ383" s="32" t="s">
        <v>2943</v>
      </c>
      <c r="BA383" s="28" t="s">
        <v>2957</v>
      </c>
      <c r="BC383" s="29">
        <f t="shared" si="383"/>
        <v>0</v>
      </c>
      <c r="BD383" s="29">
        <f t="shared" si="384"/>
        <v>0</v>
      </c>
      <c r="BE383" s="29">
        <v>0</v>
      </c>
      <c r="BF383" s="29">
        <f>383</f>
        <v>383</v>
      </c>
      <c r="BH383" s="15">
        <f t="shared" si="385"/>
        <v>0</v>
      </c>
      <c r="BI383" s="15">
        <f t="shared" si="386"/>
        <v>0</v>
      </c>
      <c r="BJ383" s="15">
        <f t="shared" si="387"/>
        <v>0</v>
      </c>
      <c r="BK383" s="15" t="s">
        <v>2969</v>
      </c>
      <c r="BL383" s="29">
        <v>728</v>
      </c>
    </row>
    <row r="384" spans="1:64" ht="12.75">
      <c r="A384" s="4" t="s">
        <v>341</v>
      </c>
      <c r="B384" s="94" t="s">
        <v>1338</v>
      </c>
      <c r="C384" s="152" t="s">
        <v>2284</v>
      </c>
      <c r="D384" s="153"/>
      <c r="E384" s="153"/>
      <c r="F384" s="153"/>
      <c r="G384" s="94" t="s">
        <v>2851</v>
      </c>
      <c r="H384" s="73">
        <v>4.5</v>
      </c>
      <c r="I384" s="105">
        <v>0</v>
      </c>
      <c r="J384" s="15">
        <f t="shared" si="364"/>
        <v>0</v>
      </c>
      <c r="K384" s="15">
        <f t="shared" si="365"/>
        <v>0</v>
      </c>
      <c r="L384" s="15">
        <f t="shared" si="366"/>
        <v>0</v>
      </c>
      <c r="M384" s="25"/>
      <c r="N384" s="5"/>
      <c r="Z384" s="29">
        <f t="shared" si="367"/>
        <v>0</v>
      </c>
      <c r="AB384" s="29">
        <f t="shared" si="368"/>
        <v>0</v>
      </c>
      <c r="AC384" s="29">
        <f t="shared" si="369"/>
        <v>0</v>
      </c>
      <c r="AD384" s="29">
        <f t="shared" si="370"/>
        <v>0</v>
      </c>
      <c r="AE384" s="29">
        <f t="shared" si="371"/>
        <v>0</v>
      </c>
      <c r="AF384" s="29">
        <f t="shared" si="372"/>
        <v>0</v>
      </c>
      <c r="AG384" s="29">
        <f t="shared" si="373"/>
        <v>0</v>
      </c>
      <c r="AH384" s="29">
        <f t="shared" si="374"/>
        <v>0</v>
      </c>
      <c r="AI384" s="28" t="s">
        <v>2882</v>
      </c>
      <c r="AJ384" s="15">
        <f t="shared" si="375"/>
        <v>0</v>
      </c>
      <c r="AK384" s="15">
        <f t="shared" si="376"/>
        <v>0</v>
      </c>
      <c r="AL384" s="15">
        <f t="shared" si="377"/>
        <v>0</v>
      </c>
      <c r="AN384" s="29">
        <v>15</v>
      </c>
      <c r="AO384" s="29">
        <f t="shared" si="378"/>
        <v>0</v>
      </c>
      <c r="AP384" s="29">
        <f t="shared" si="379"/>
        <v>0</v>
      </c>
      <c r="AQ384" s="30" t="s">
        <v>13</v>
      </c>
      <c r="AV384" s="29">
        <f t="shared" si="380"/>
        <v>0</v>
      </c>
      <c r="AW384" s="29">
        <f t="shared" si="381"/>
        <v>0</v>
      </c>
      <c r="AX384" s="29">
        <f t="shared" si="382"/>
        <v>0</v>
      </c>
      <c r="AY384" s="32" t="s">
        <v>2916</v>
      </c>
      <c r="AZ384" s="32" t="s">
        <v>2943</v>
      </c>
      <c r="BA384" s="28" t="s">
        <v>2957</v>
      </c>
      <c r="BC384" s="29">
        <f t="shared" si="383"/>
        <v>0</v>
      </c>
      <c r="BD384" s="29">
        <f t="shared" si="384"/>
        <v>0</v>
      </c>
      <c r="BE384" s="29">
        <v>0</v>
      </c>
      <c r="BF384" s="29">
        <f>384</f>
        <v>384</v>
      </c>
      <c r="BH384" s="15">
        <f t="shared" si="385"/>
        <v>0</v>
      </c>
      <c r="BI384" s="15">
        <f t="shared" si="386"/>
        <v>0</v>
      </c>
      <c r="BJ384" s="15">
        <f t="shared" si="387"/>
        <v>0</v>
      </c>
      <c r="BK384" s="15" t="s">
        <v>2969</v>
      </c>
      <c r="BL384" s="29">
        <v>728</v>
      </c>
    </row>
    <row r="385" spans="1:64" ht="12.75">
      <c r="A385" s="4" t="s">
        <v>342</v>
      </c>
      <c r="B385" s="94" t="s">
        <v>1339</v>
      </c>
      <c r="C385" s="152" t="s">
        <v>2285</v>
      </c>
      <c r="D385" s="153"/>
      <c r="E385" s="153"/>
      <c r="F385" s="153"/>
      <c r="G385" s="94" t="s">
        <v>2850</v>
      </c>
      <c r="H385" s="73">
        <v>2</v>
      </c>
      <c r="I385" s="105">
        <v>0</v>
      </c>
      <c r="J385" s="15">
        <f t="shared" si="364"/>
        <v>0</v>
      </c>
      <c r="K385" s="15">
        <f t="shared" si="365"/>
        <v>0</v>
      </c>
      <c r="L385" s="15">
        <f t="shared" si="366"/>
        <v>0</v>
      </c>
      <c r="M385" s="25"/>
      <c r="N385" s="5"/>
      <c r="Z385" s="29">
        <f t="shared" si="367"/>
        <v>0</v>
      </c>
      <c r="AB385" s="29">
        <f t="shared" si="368"/>
        <v>0</v>
      </c>
      <c r="AC385" s="29">
        <f t="shared" si="369"/>
        <v>0</v>
      </c>
      <c r="AD385" s="29">
        <f t="shared" si="370"/>
        <v>0</v>
      </c>
      <c r="AE385" s="29">
        <f t="shared" si="371"/>
        <v>0</v>
      </c>
      <c r="AF385" s="29">
        <f t="shared" si="372"/>
        <v>0</v>
      </c>
      <c r="AG385" s="29">
        <f t="shared" si="373"/>
        <v>0</v>
      </c>
      <c r="AH385" s="29">
        <f t="shared" si="374"/>
        <v>0</v>
      </c>
      <c r="AI385" s="28" t="s">
        <v>2882</v>
      </c>
      <c r="AJ385" s="15">
        <f t="shared" si="375"/>
        <v>0</v>
      </c>
      <c r="AK385" s="15">
        <f t="shared" si="376"/>
        <v>0</v>
      </c>
      <c r="AL385" s="15">
        <f t="shared" si="377"/>
        <v>0</v>
      </c>
      <c r="AN385" s="29">
        <v>15</v>
      </c>
      <c r="AO385" s="29">
        <f t="shared" si="378"/>
        <v>0</v>
      </c>
      <c r="AP385" s="29">
        <f t="shared" si="379"/>
        <v>0</v>
      </c>
      <c r="AQ385" s="30" t="s">
        <v>13</v>
      </c>
      <c r="AV385" s="29">
        <f t="shared" si="380"/>
        <v>0</v>
      </c>
      <c r="AW385" s="29">
        <f t="shared" si="381"/>
        <v>0</v>
      </c>
      <c r="AX385" s="29">
        <f t="shared" si="382"/>
        <v>0</v>
      </c>
      <c r="AY385" s="32" t="s">
        <v>2916</v>
      </c>
      <c r="AZ385" s="32" t="s">
        <v>2943</v>
      </c>
      <c r="BA385" s="28" t="s">
        <v>2957</v>
      </c>
      <c r="BC385" s="29">
        <f t="shared" si="383"/>
        <v>0</v>
      </c>
      <c r="BD385" s="29">
        <f t="shared" si="384"/>
        <v>0</v>
      </c>
      <c r="BE385" s="29">
        <v>0</v>
      </c>
      <c r="BF385" s="29">
        <f>385</f>
        <v>385</v>
      </c>
      <c r="BH385" s="15">
        <f t="shared" si="385"/>
        <v>0</v>
      </c>
      <c r="BI385" s="15">
        <f t="shared" si="386"/>
        <v>0</v>
      </c>
      <c r="BJ385" s="15">
        <f t="shared" si="387"/>
        <v>0</v>
      </c>
      <c r="BK385" s="15" t="s">
        <v>2969</v>
      </c>
      <c r="BL385" s="29">
        <v>728</v>
      </c>
    </row>
    <row r="386" spans="1:64" ht="12.75">
      <c r="A386" s="4" t="s">
        <v>343</v>
      </c>
      <c r="B386" s="94" t="s">
        <v>1340</v>
      </c>
      <c r="C386" s="152" t="s">
        <v>2286</v>
      </c>
      <c r="D386" s="153"/>
      <c r="E386" s="153"/>
      <c r="F386" s="153"/>
      <c r="G386" s="94" t="s">
        <v>2850</v>
      </c>
      <c r="H386" s="73">
        <v>1</v>
      </c>
      <c r="I386" s="105">
        <v>0</v>
      </c>
      <c r="J386" s="15">
        <f t="shared" si="364"/>
        <v>0</v>
      </c>
      <c r="K386" s="15">
        <f t="shared" si="365"/>
        <v>0</v>
      </c>
      <c r="L386" s="15">
        <f t="shared" si="366"/>
        <v>0</v>
      </c>
      <c r="M386" s="25"/>
      <c r="N386" s="5"/>
      <c r="Z386" s="29">
        <f t="shared" si="367"/>
        <v>0</v>
      </c>
      <c r="AB386" s="29">
        <f t="shared" si="368"/>
        <v>0</v>
      </c>
      <c r="AC386" s="29">
        <f t="shared" si="369"/>
        <v>0</v>
      </c>
      <c r="AD386" s="29">
        <f t="shared" si="370"/>
        <v>0</v>
      </c>
      <c r="AE386" s="29">
        <f t="shared" si="371"/>
        <v>0</v>
      </c>
      <c r="AF386" s="29">
        <f t="shared" si="372"/>
        <v>0</v>
      </c>
      <c r="AG386" s="29">
        <f t="shared" si="373"/>
        <v>0</v>
      </c>
      <c r="AH386" s="29">
        <f t="shared" si="374"/>
        <v>0</v>
      </c>
      <c r="AI386" s="28" t="s">
        <v>2882</v>
      </c>
      <c r="AJ386" s="15">
        <f t="shared" si="375"/>
        <v>0</v>
      </c>
      <c r="AK386" s="15">
        <f t="shared" si="376"/>
        <v>0</v>
      </c>
      <c r="AL386" s="15">
        <f t="shared" si="377"/>
        <v>0</v>
      </c>
      <c r="AN386" s="29">
        <v>15</v>
      </c>
      <c r="AO386" s="29">
        <f t="shared" si="378"/>
        <v>0</v>
      </c>
      <c r="AP386" s="29">
        <f t="shared" si="379"/>
        <v>0</v>
      </c>
      <c r="AQ386" s="30" t="s">
        <v>13</v>
      </c>
      <c r="AV386" s="29">
        <f t="shared" si="380"/>
        <v>0</v>
      </c>
      <c r="AW386" s="29">
        <f t="shared" si="381"/>
        <v>0</v>
      </c>
      <c r="AX386" s="29">
        <f t="shared" si="382"/>
        <v>0</v>
      </c>
      <c r="AY386" s="32" t="s">
        <v>2916</v>
      </c>
      <c r="AZ386" s="32" t="s">
        <v>2943</v>
      </c>
      <c r="BA386" s="28" t="s">
        <v>2957</v>
      </c>
      <c r="BC386" s="29">
        <f t="shared" si="383"/>
        <v>0</v>
      </c>
      <c r="BD386" s="29">
        <f t="shared" si="384"/>
        <v>0</v>
      </c>
      <c r="BE386" s="29">
        <v>0</v>
      </c>
      <c r="BF386" s="29">
        <f>386</f>
        <v>386</v>
      </c>
      <c r="BH386" s="15">
        <f t="shared" si="385"/>
        <v>0</v>
      </c>
      <c r="BI386" s="15">
        <f t="shared" si="386"/>
        <v>0</v>
      </c>
      <c r="BJ386" s="15">
        <f t="shared" si="387"/>
        <v>0</v>
      </c>
      <c r="BK386" s="15" t="s">
        <v>2969</v>
      </c>
      <c r="BL386" s="29">
        <v>728</v>
      </c>
    </row>
    <row r="387" spans="1:64" ht="12.75">
      <c r="A387" s="4" t="s">
        <v>344</v>
      </c>
      <c r="B387" s="94" t="s">
        <v>1341</v>
      </c>
      <c r="C387" s="152" t="s">
        <v>2287</v>
      </c>
      <c r="D387" s="153"/>
      <c r="E387" s="153"/>
      <c r="F387" s="153"/>
      <c r="G387" s="94" t="s">
        <v>2850</v>
      </c>
      <c r="H387" s="73">
        <v>2</v>
      </c>
      <c r="I387" s="105">
        <v>0</v>
      </c>
      <c r="J387" s="15">
        <f t="shared" si="364"/>
        <v>0</v>
      </c>
      <c r="K387" s="15">
        <f t="shared" si="365"/>
        <v>0</v>
      </c>
      <c r="L387" s="15">
        <f t="shared" si="366"/>
        <v>0</v>
      </c>
      <c r="M387" s="25"/>
      <c r="N387" s="5"/>
      <c r="Z387" s="29">
        <f t="shared" si="367"/>
        <v>0</v>
      </c>
      <c r="AB387" s="29">
        <f t="shared" si="368"/>
        <v>0</v>
      </c>
      <c r="AC387" s="29">
        <f t="shared" si="369"/>
        <v>0</v>
      </c>
      <c r="AD387" s="29">
        <f t="shared" si="370"/>
        <v>0</v>
      </c>
      <c r="AE387" s="29">
        <f t="shared" si="371"/>
        <v>0</v>
      </c>
      <c r="AF387" s="29">
        <f t="shared" si="372"/>
        <v>0</v>
      </c>
      <c r="AG387" s="29">
        <f t="shared" si="373"/>
        <v>0</v>
      </c>
      <c r="AH387" s="29">
        <f t="shared" si="374"/>
        <v>0</v>
      </c>
      <c r="AI387" s="28" t="s">
        <v>2882</v>
      </c>
      <c r="AJ387" s="15">
        <f t="shared" si="375"/>
        <v>0</v>
      </c>
      <c r="AK387" s="15">
        <f t="shared" si="376"/>
        <v>0</v>
      </c>
      <c r="AL387" s="15">
        <f t="shared" si="377"/>
        <v>0</v>
      </c>
      <c r="AN387" s="29">
        <v>15</v>
      </c>
      <c r="AO387" s="29">
        <f t="shared" si="378"/>
        <v>0</v>
      </c>
      <c r="AP387" s="29">
        <f t="shared" si="379"/>
        <v>0</v>
      </c>
      <c r="AQ387" s="30" t="s">
        <v>13</v>
      </c>
      <c r="AV387" s="29">
        <f t="shared" si="380"/>
        <v>0</v>
      </c>
      <c r="AW387" s="29">
        <f t="shared" si="381"/>
        <v>0</v>
      </c>
      <c r="AX387" s="29">
        <f t="shared" si="382"/>
        <v>0</v>
      </c>
      <c r="AY387" s="32" t="s">
        <v>2916</v>
      </c>
      <c r="AZ387" s="32" t="s">
        <v>2943</v>
      </c>
      <c r="BA387" s="28" t="s">
        <v>2957</v>
      </c>
      <c r="BC387" s="29">
        <f t="shared" si="383"/>
        <v>0</v>
      </c>
      <c r="BD387" s="29">
        <f t="shared" si="384"/>
        <v>0</v>
      </c>
      <c r="BE387" s="29">
        <v>0</v>
      </c>
      <c r="BF387" s="29">
        <f>387</f>
        <v>387</v>
      </c>
      <c r="BH387" s="15">
        <f t="shared" si="385"/>
        <v>0</v>
      </c>
      <c r="BI387" s="15">
        <f t="shared" si="386"/>
        <v>0</v>
      </c>
      <c r="BJ387" s="15">
        <f t="shared" si="387"/>
        <v>0</v>
      </c>
      <c r="BK387" s="15" t="s">
        <v>2969</v>
      </c>
      <c r="BL387" s="29">
        <v>728</v>
      </c>
    </row>
    <row r="388" spans="1:64" ht="12.75">
      <c r="A388" s="4" t="s">
        <v>345</v>
      </c>
      <c r="B388" s="94" t="s">
        <v>1342</v>
      </c>
      <c r="C388" s="152" t="s">
        <v>2288</v>
      </c>
      <c r="D388" s="153"/>
      <c r="E388" s="153"/>
      <c r="F388" s="153"/>
      <c r="G388" s="94" t="s">
        <v>2850</v>
      </c>
      <c r="H388" s="73">
        <v>2</v>
      </c>
      <c r="I388" s="105">
        <v>0</v>
      </c>
      <c r="J388" s="15">
        <f t="shared" si="364"/>
        <v>0</v>
      </c>
      <c r="K388" s="15">
        <f t="shared" si="365"/>
        <v>0</v>
      </c>
      <c r="L388" s="15">
        <f t="shared" si="366"/>
        <v>0</v>
      </c>
      <c r="M388" s="25"/>
      <c r="N388" s="5"/>
      <c r="Z388" s="29">
        <f t="shared" si="367"/>
        <v>0</v>
      </c>
      <c r="AB388" s="29">
        <f t="shared" si="368"/>
        <v>0</v>
      </c>
      <c r="AC388" s="29">
        <f t="shared" si="369"/>
        <v>0</v>
      </c>
      <c r="AD388" s="29">
        <f t="shared" si="370"/>
        <v>0</v>
      </c>
      <c r="AE388" s="29">
        <f t="shared" si="371"/>
        <v>0</v>
      </c>
      <c r="AF388" s="29">
        <f t="shared" si="372"/>
        <v>0</v>
      </c>
      <c r="AG388" s="29">
        <f t="shared" si="373"/>
        <v>0</v>
      </c>
      <c r="AH388" s="29">
        <f t="shared" si="374"/>
        <v>0</v>
      </c>
      <c r="AI388" s="28" t="s">
        <v>2882</v>
      </c>
      <c r="AJ388" s="15">
        <f t="shared" si="375"/>
        <v>0</v>
      </c>
      <c r="AK388" s="15">
        <f t="shared" si="376"/>
        <v>0</v>
      </c>
      <c r="AL388" s="15">
        <f t="shared" si="377"/>
        <v>0</v>
      </c>
      <c r="AN388" s="29">
        <v>15</v>
      </c>
      <c r="AO388" s="29">
        <f t="shared" si="378"/>
        <v>0</v>
      </c>
      <c r="AP388" s="29">
        <f t="shared" si="379"/>
        <v>0</v>
      </c>
      <c r="AQ388" s="30" t="s">
        <v>13</v>
      </c>
      <c r="AV388" s="29">
        <f t="shared" si="380"/>
        <v>0</v>
      </c>
      <c r="AW388" s="29">
        <f t="shared" si="381"/>
        <v>0</v>
      </c>
      <c r="AX388" s="29">
        <f t="shared" si="382"/>
        <v>0</v>
      </c>
      <c r="AY388" s="32" t="s">
        <v>2916</v>
      </c>
      <c r="AZ388" s="32" t="s">
        <v>2943</v>
      </c>
      <c r="BA388" s="28" t="s">
        <v>2957</v>
      </c>
      <c r="BC388" s="29">
        <f t="shared" si="383"/>
        <v>0</v>
      </c>
      <c r="BD388" s="29">
        <f t="shared" si="384"/>
        <v>0</v>
      </c>
      <c r="BE388" s="29">
        <v>0</v>
      </c>
      <c r="BF388" s="29">
        <f>388</f>
        <v>388</v>
      </c>
      <c r="BH388" s="15">
        <f t="shared" si="385"/>
        <v>0</v>
      </c>
      <c r="BI388" s="15">
        <f t="shared" si="386"/>
        <v>0</v>
      </c>
      <c r="BJ388" s="15">
        <f t="shared" si="387"/>
        <v>0</v>
      </c>
      <c r="BK388" s="15" t="s">
        <v>2969</v>
      </c>
      <c r="BL388" s="29">
        <v>728</v>
      </c>
    </row>
    <row r="389" spans="1:64" ht="12.75">
      <c r="A389" s="4" t="s">
        <v>346</v>
      </c>
      <c r="B389" s="94" t="s">
        <v>1343</v>
      </c>
      <c r="C389" s="152" t="s">
        <v>2289</v>
      </c>
      <c r="D389" s="153"/>
      <c r="E389" s="153"/>
      <c r="F389" s="153"/>
      <c r="G389" s="94" t="s">
        <v>2850</v>
      </c>
      <c r="H389" s="73">
        <v>2</v>
      </c>
      <c r="I389" s="105">
        <v>0</v>
      </c>
      <c r="J389" s="15">
        <f t="shared" si="364"/>
        <v>0</v>
      </c>
      <c r="K389" s="15">
        <f t="shared" si="365"/>
        <v>0</v>
      </c>
      <c r="L389" s="15">
        <f t="shared" si="366"/>
        <v>0</v>
      </c>
      <c r="M389" s="25"/>
      <c r="N389" s="5"/>
      <c r="Z389" s="29">
        <f t="shared" si="367"/>
        <v>0</v>
      </c>
      <c r="AB389" s="29">
        <f t="shared" si="368"/>
        <v>0</v>
      </c>
      <c r="AC389" s="29">
        <f t="shared" si="369"/>
        <v>0</v>
      </c>
      <c r="AD389" s="29">
        <f t="shared" si="370"/>
        <v>0</v>
      </c>
      <c r="AE389" s="29">
        <f t="shared" si="371"/>
        <v>0</v>
      </c>
      <c r="AF389" s="29">
        <f t="shared" si="372"/>
        <v>0</v>
      </c>
      <c r="AG389" s="29">
        <f t="shared" si="373"/>
        <v>0</v>
      </c>
      <c r="AH389" s="29">
        <f t="shared" si="374"/>
        <v>0</v>
      </c>
      <c r="AI389" s="28" t="s">
        <v>2882</v>
      </c>
      <c r="AJ389" s="15">
        <f t="shared" si="375"/>
        <v>0</v>
      </c>
      <c r="AK389" s="15">
        <f t="shared" si="376"/>
        <v>0</v>
      </c>
      <c r="AL389" s="15">
        <f t="shared" si="377"/>
        <v>0</v>
      </c>
      <c r="AN389" s="29">
        <v>15</v>
      </c>
      <c r="AO389" s="29">
        <f t="shared" si="378"/>
        <v>0</v>
      </c>
      <c r="AP389" s="29">
        <f t="shared" si="379"/>
        <v>0</v>
      </c>
      <c r="AQ389" s="30" t="s">
        <v>13</v>
      </c>
      <c r="AV389" s="29">
        <f t="shared" si="380"/>
        <v>0</v>
      </c>
      <c r="AW389" s="29">
        <f t="shared" si="381"/>
        <v>0</v>
      </c>
      <c r="AX389" s="29">
        <f t="shared" si="382"/>
        <v>0</v>
      </c>
      <c r="AY389" s="32" t="s">
        <v>2916</v>
      </c>
      <c r="AZ389" s="32" t="s">
        <v>2943</v>
      </c>
      <c r="BA389" s="28" t="s">
        <v>2957</v>
      </c>
      <c r="BC389" s="29">
        <f t="shared" si="383"/>
        <v>0</v>
      </c>
      <c r="BD389" s="29">
        <f t="shared" si="384"/>
        <v>0</v>
      </c>
      <c r="BE389" s="29">
        <v>0</v>
      </c>
      <c r="BF389" s="29">
        <f>389</f>
        <v>389</v>
      </c>
      <c r="BH389" s="15">
        <f t="shared" si="385"/>
        <v>0</v>
      </c>
      <c r="BI389" s="15">
        <f t="shared" si="386"/>
        <v>0</v>
      </c>
      <c r="BJ389" s="15">
        <f t="shared" si="387"/>
        <v>0</v>
      </c>
      <c r="BK389" s="15" t="s">
        <v>2969</v>
      </c>
      <c r="BL389" s="29">
        <v>728</v>
      </c>
    </row>
    <row r="390" spans="1:64" ht="12.75">
      <c r="A390" s="4" t="s">
        <v>347</v>
      </c>
      <c r="B390" s="94" t="s">
        <v>1344</v>
      </c>
      <c r="C390" s="152" t="s">
        <v>2290</v>
      </c>
      <c r="D390" s="153"/>
      <c r="E390" s="153"/>
      <c r="F390" s="153"/>
      <c r="G390" s="94" t="s">
        <v>2850</v>
      </c>
      <c r="H390" s="73">
        <v>1</v>
      </c>
      <c r="I390" s="105">
        <v>0</v>
      </c>
      <c r="J390" s="15">
        <f t="shared" si="364"/>
        <v>0</v>
      </c>
      <c r="K390" s="15">
        <f t="shared" si="365"/>
        <v>0</v>
      </c>
      <c r="L390" s="15">
        <f t="shared" si="366"/>
        <v>0</v>
      </c>
      <c r="M390" s="25"/>
      <c r="N390" s="5"/>
      <c r="Z390" s="29">
        <f t="shared" si="367"/>
        <v>0</v>
      </c>
      <c r="AB390" s="29">
        <f t="shared" si="368"/>
        <v>0</v>
      </c>
      <c r="AC390" s="29">
        <f t="shared" si="369"/>
        <v>0</v>
      </c>
      <c r="AD390" s="29">
        <f t="shared" si="370"/>
        <v>0</v>
      </c>
      <c r="AE390" s="29">
        <f t="shared" si="371"/>
        <v>0</v>
      </c>
      <c r="AF390" s="29">
        <f t="shared" si="372"/>
        <v>0</v>
      </c>
      <c r="AG390" s="29">
        <f t="shared" si="373"/>
        <v>0</v>
      </c>
      <c r="AH390" s="29">
        <f t="shared" si="374"/>
        <v>0</v>
      </c>
      <c r="AI390" s="28" t="s">
        <v>2882</v>
      </c>
      <c r="AJ390" s="15">
        <f t="shared" si="375"/>
        <v>0</v>
      </c>
      <c r="AK390" s="15">
        <f t="shared" si="376"/>
        <v>0</v>
      </c>
      <c r="AL390" s="15">
        <f t="shared" si="377"/>
        <v>0</v>
      </c>
      <c r="AN390" s="29">
        <v>15</v>
      </c>
      <c r="AO390" s="29">
        <f t="shared" si="378"/>
        <v>0</v>
      </c>
      <c r="AP390" s="29">
        <f t="shared" si="379"/>
        <v>0</v>
      </c>
      <c r="AQ390" s="30" t="s">
        <v>13</v>
      </c>
      <c r="AV390" s="29">
        <f t="shared" si="380"/>
        <v>0</v>
      </c>
      <c r="AW390" s="29">
        <f t="shared" si="381"/>
        <v>0</v>
      </c>
      <c r="AX390" s="29">
        <f t="shared" si="382"/>
        <v>0</v>
      </c>
      <c r="AY390" s="32" t="s">
        <v>2916</v>
      </c>
      <c r="AZ390" s="32" t="s">
        <v>2943</v>
      </c>
      <c r="BA390" s="28" t="s">
        <v>2957</v>
      </c>
      <c r="BC390" s="29">
        <f t="shared" si="383"/>
        <v>0</v>
      </c>
      <c r="BD390" s="29">
        <f t="shared" si="384"/>
        <v>0</v>
      </c>
      <c r="BE390" s="29">
        <v>0</v>
      </c>
      <c r="BF390" s="29">
        <f>390</f>
        <v>390</v>
      </c>
      <c r="BH390" s="15">
        <f t="shared" si="385"/>
        <v>0</v>
      </c>
      <c r="BI390" s="15">
        <f t="shared" si="386"/>
        <v>0</v>
      </c>
      <c r="BJ390" s="15">
        <f t="shared" si="387"/>
        <v>0</v>
      </c>
      <c r="BK390" s="15" t="s">
        <v>2969</v>
      </c>
      <c r="BL390" s="29">
        <v>728</v>
      </c>
    </row>
    <row r="391" spans="1:64" ht="12.75">
      <c r="A391" s="4" t="s">
        <v>348</v>
      </c>
      <c r="B391" s="94" t="s">
        <v>1345</v>
      </c>
      <c r="C391" s="152" t="s">
        <v>2291</v>
      </c>
      <c r="D391" s="153"/>
      <c r="E391" s="153"/>
      <c r="F391" s="153"/>
      <c r="G391" s="94" t="s">
        <v>2850</v>
      </c>
      <c r="H391" s="73">
        <v>3</v>
      </c>
      <c r="I391" s="105">
        <v>0</v>
      </c>
      <c r="J391" s="15">
        <f t="shared" si="364"/>
        <v>0</v>
      </c>
      <c r="K391" s="15">
        <f t="shared" si="365"/>
        <v>0</v>
      </c>
      <c r="L391" s="15">
        <f t="shared" si="366"/>
        <v>0</v>
      </c>
      <c r="M391" s="25"/>
      <c r="N391" s="5"/>
      <c r="Z391" s="29">
        <f t="shared" si="367"/>
        <v>0</v>
      </c>
      <c r="AB391" s="29">
        <f t="shared" si="368"/>
        <v>0</v>
      </c>
      <c r="AC391" s="29">
        <f t="shared" si="369"/>
        <v>0</v>
      </c>
      <c r="AD391" s="29">
        <f t="shared" si="370"/>
        <v>0</v>
      </c>
      <c r="AE391" s="29">
        <f t="shared" si="371"/>
        <v>0</v>
      </c>
      <c r="AF391" s="29">
        <f t="shared" si="372"/>
        <v>0</v>
      </c>
      <c r="AG391" s="29">
        <f t="shared" si="373"/>
        <v>0</v>
      </c>
      <c r="AH391" s="29">
        <f t="shared" si="374"/>
        <v>0</v>
      </c>
      <c r="AI391" s="28" t="s">
        <v>2882</v>
      </c>
      <c r="AJ391" s="15">
        <f t="shared" si="375"/>
        <v>0</v>
      </c>
      <c r="AK391" s="15">
        <f t="shared" si="376"/>
        <v>0</v>
      </c>
      <c r="AL391" s="15">
        <f t="shared" si="377"/>
        <v>0</v>
      </c>
      <c r="AN391" s="29">
        <v>15</v>
      </c>
      <c r="AO391" s="29">
        <f t="shared" si="378"/>
        <v>0</v>
      </c>
      <c r="AP391" s="29">
        <f t="shared" si="379"/>
        <v>0</v>
      </c>
      <c r="AQ391" s="30" t="s">
        <v>13</v>
      </c>
      <c r="AV391" s="29">
        <f t="shared" si="380"/>
        <v>0</v>
      </c>
      <c r="AW391" s="29">
        <f t="shared" si="381"/>
        <v>0</v>
      </c>
      <c r="AX391" s="29">
        <f t="shared" si="382"/>
        <v>0</v>
      </c>
      <c r="AY391" s="32" t="s">
        <v>2916</v>
      </c>
      <c r="AZ391" s="32" t="s">
        <v>2943</v>
      </c>
      <c r="BA391" s="28" t="s">
        <v>2957</v>
      </c>
      <c r="BC391" s="29">
        <f t="shared" si="383"/>
        <v>0</v>
      </c>
      <c r="BD391" s="29">
        <f t="shared" si="384"/>
        <v>0</v>
      </c>
      <c r="BE391" s="29">
        <v>0</v>
      </c>
      <c r="BF391" s="29">
        <f>391</f>
        <v>391</v>
      </c>
      <c r="BH391" s="15">
        <f t="shared" si="385"/>
        <v>0</v>
      </c>
      <c r="BI391" s="15">
        <f t="shared" si="386"/>
        <v>0</v>
      </c>
      <c r="BJ391" s="15">
        <f t="shared" si="387"/>
        <v>0</v>
      </c>
      <c r="BK391" s="15" t="s">
        <v>2969</v>
      </c>
      <c r="BL391" s="29">
        <v>728</v>
      </c>
    </row>
    <row r="392" spans="1:64" ht="12.75">
      <c r="A392" s="4" t="s">
        <v>349</v>
      </c>
      <c r="B392" s="94" t="s">
        <v>1346</v>
      </c>
      <c r="C392" s="152" t="s">
        <v>2292</v>
      </c>
      <c r="D392" s="153"/>
      <c r="E392" s="153"/>
      <c r="F392" s="153"/>
      <c r="G392" s="94" t="s">
        <v>2850</v>
      </c>
      <c r="H392" s="73">
        <v>1</v>
      </c>
      <c r="I392" s="105">
        <v>0</v>
      </c>
      <c r="J392" s="15">
        <f t="shared" si="364"/>
        <v>0</v>
      </c>
      <c r="K392" s="15">
        <f t="shared" si="365"/>
        <v>0</v>
      </c>
      <c r="L392" s="15">
        <f t="shared" si="366"/>
        <v>0</v>
      </c>
      <c r="M392" s="25"/>
      <c r="N392" s="5"/>
      <c r="Z392" s="29">
        <f t="shared" si="367"/>
        <v>0</v>
      </c>
      <c r="AB392" s="29">
        <f t="shared" si="368"/>
        <v>0</v>
      </c>
      <c r="AC392" s="29">
        <f t="shared" si="369"/>
        <v>0</v>
      </c>
      <c r="AD392" s="29">
        <f t="shared" si="370"/>
        <v>0</v>
      </c>
      <c r="AE392" s="29">
        <f t="shared" si="371"/>
        <v>0</v>
      </c>
      <c r="AF392" s="29">
        <f t="shared" si="372"/>
        <v>0</v>
      </c>
      <c r="AG392" s="29">
        <f t="shared" si="373"/>
        <v>0</v>
      </c>
      <c r="AH392" s="29">
        <f t="shared" si="374"/>
        <v>0</v>
      </c>
      <c r="AI392" s="28" t="s">
        <v>2882</v>
      </c>
      <c r="AJ392" s="15">
        <f t="shared" si="375"/>
        <v>0</v>
      </c>
      <c r="AK392" s="15">
        <f t="shared" si="376"/>
        <v>0</v>
      </c>
      <c r="AL392" s="15">
        <f t="shared" si="377"/>
        <v>0</v>
      </c>
      <c r="AN392" s="29">
        <v>15</v>
      </c>
      <c r="AO392" s="29">
        <f t="shared" si="378"/>
        <v>0</v>
      </c>
      <c r="AP392" s="29">
        <f t="shared" si="379"/>
        <v>0</v>
      </c>
      <c r="AQ392" s="30" t="s">
        <v>13</v>
      </c>
      <c r="AV392" s="29">
        <f t="shared" si="380"/>
        <v>0</v>
      </c>
      <c r="AW392" s="29">
        <f t="shared" si="381"/>
        <v>0</v>
      </c>
      <c r="AX392" s="29">
        <f t="shared" si="382"/>
        <v>0</v>
      </c>
      <c r="AY392" s="32" t="s">
        <v>2916</v>
      </c>
      <c r="AZ392" s="32" t="s">
        <v>2943</v>
      </c>
      <c r="BA392" s="28" t="s">
        <v>2957</v>
      </c>
      <c r="BC392" s="29">
        <f t="shared" si="383"/>
        <v>0</v>
      </c>
      <c r="BD392" s="29">
        <f t="shared" si="384"/>
        <v>0</v>
      </c>
      <c r="BE392" s="29">
        <v>0</v>
      </c>
      <c r="BF392" s="29">
        <f>392</f>
        <v>392</v>
      </c>
      <c r="BH392" s="15">
        <f t="shared" si="385"/>
        <v>0</v>
      </c>
      <c r="BI392" s="15">
        <f t="shared" si="386"/>
        <v>0</v>
      </c>
      <c r="BJ392" s="15">
        <f t="shared" si="387"/>
        <v>0</v>
      </c>
      <c r="BK392" s="15" t="s">
        <v>2969</v>
      </c>
      <c r="BL392" s="29">
        <v>728</v>
      </c>
    </row>
    <row r="393" spans="1:64" ht="12.75">
      <c r="A393" s="4" t="s">
        <v>350</v>
      </c>
      <c r="B393" s="94" t="s">
        <v>1347</v>
      </c>
      <c r="C393" s="152" t="s">
        <v>2293</v>
      </c>
      <c r="D393" s="153"/>
      <c r="E393" s="153"/>
      <c r="F393" s="153"/>
      <c r="G393" s="94" t="s">
        <v>2850</v>
      </c>
      <c r="H393" s="73">
        <v>12</v>
      </c>
      <c r="I393" s="105">
        <v>0</v>
      </c>
      <c r="J393" s="15">
        <f t="shared" si="364"/>
        <v>0</v>
      </c>
      <c r="K393" s="15">
        <f t="shared" si="365"/>
        <v>0</v>
      </c>
      <c r="L393" s="15">
        <f t="shared" si="366"/>
        <v>0</v>
      </c>
      <c r="M393" s="25"/>
      <c r="N393" s="5"/>
      <c r="Z393" s="29">
        <f t="shared" si="367"/>
        <v>0</v>
      </c>
      <c r="AB393" s="29">
        <f t="shared" si="368"/>
        <v>0</v>
      </c>
      <c r="AC393" s="29">
        <f t="shared" si="369"/>
        <v>0</v>
      </c>
      <c r="AD393" s="29">
        <f t="shared" si="370"/>
        <v>0</v>
      </c>
      <c r="AE393" s="29">
        <f t="shared" si="371"/>
        <v>0</v>
      </c>
      <c r="AF393" s="29">
        <f t="shared" si="372"/>
        <v>0</v>
      </c>
      <c r="AG393" s="29">
        <f t="shared" si="373"/>
        <v>0</v>
      </c>
      <c r="AH393" s="29">
        <f t="shared" si="374"/>
        <v>0</v>
      </c>
      <c r="AI393" s="28" t="s">
        <v>2882</v>
      </c>
      <c r="AJ393" s="15">
        <f t="shared" si="375"/>
        <v>0</v>
      </c>
      <c r="AK393" s="15">
        <f t="shared" si="376"/>
        <v>0</v>
      </c>
      <c r="AL393" s="15">
        <f t="shared" si="377"/>
        <v>0</v>
      </c>
      <c r="AN393" s="29">
        <v>15</v>
      </c>
      <c r="AO393" s="29">
        <f t="shared" si="378"/>
        <v>0</v>
      </c>
      <c r="AP393" s="29">
        <f t="shared" si="379"/>
        <v>0</v>
      </c>
      <c r="AQ393" s="30" t="s">
        <v>13</v>
      </c>
      <c r="AV393" s="29">
        <f t="shared" si="380"/>
        <v>0</v>
      </c>
      <c r="AW393" s="29">
        <f t="shared" si="381"/>
        <v>0</v>
      </c>
      <c r="AX393" s="29">
        <f t="shared" si="382"/>
        <v>0</v>
      </c>
      <c r="AY393" s="32" t="s">
        <v>2916</v>
      </c>
      <c r="AZ393" s="32" t="s">
        <v>2943</v>
      </c>
      <c r="BA393" s="28" t="s">
        <v>2957</v>
      </c>
      <c r="BC393" s="29">
        <f t="shared" si="383"/>
        <v>0</v>
      </c>
      <c r="BD393" s="29">
        <f t="shared" si="384"/>
        <v>0</v>
      </c>
      <c r="BE393" s="29">
        <v>0</v>
      </c>
      <c r="BF393" s="29">
        <f>393</f>
        <v>393</v>
      </c>
      <c r="BH393" s="15">
        <f t="shared" si="385"/>
        <v>0</v>
      </c>
      <c r="BI393" s="15">
        <f t="shared" si="386"/>
        <v>0</v>
      </c>
      <c r="BJ393" s="15">
        <f t="shared" si="387"/>
        <v>0</v>
      </c>
      <c r="BK393" s="15" t="s">
        <v>2969</v>
      </c>
      <c r="BL393" s="29">
        <v>728</v>
      </c>
    </row>
    <row r="394" spans="1:64" ht="12.75">
      <c r="A394" s="4" t="s">
        <v>351</v>
      </c>
      <c r="B394" s="94" t="s">
        <v>1348</v>
      </c>
      <c r="C394" s="152" t="s">
        <v>2294</v>
      </c>
      <c r="D394" s="153"/>
      <c r="E394" s="153"/>
      <c r="F394" s="153"/>
      <c r="G394" s="94" t="s">
        <v>2850</v>
      </c>
      <c r="H394" s="73">
        <v>3</v>
      </c>
      <c r="I394" s="105">
        <v>0</v>
      </c>
      <c r="J394" s="15">
        <f t="shared" si="364"/>
        <v>0</v>
      </c>
      <c r="K394" s="15">
        <f t="shared" si="365"/>
        <v>0</v>
      </c>
      <c r="L394" s="15">
        <f t="shared" si="366"/>
        <v>0</v>
      </c>
      <c r="M394" s="25"/>
      <c r="N394" s="5"/>
      <c r="Z394" s="29">
        <f t="shared" si="367"/>
        <v>0</v>
      </c>
      <c r="AB394" s="29">
        <f t="shared" si="368"/>
        <v>0</v>
      </c>
      <c r="AC394" s="29">
        <f t="shared" si="369"/>
        <v>0</v>
      </c>
      <c r="AD394" s="29">
        <f t="shared" si="370"/>
        <v>0</v>
      </c>
      <c r="AE394" s="29">
        <f t="shared" si="371"/>
        <v>0</v>
      </c>
      <c r="AF394" s="29">
        <f t="shared" si="372"/>
        <v>0</v>
      </c>
      <c r="AG394" s="29">
        <f t="shared" si="373"/>
        <v>0</v>
      </c>
      <c r="AH394" s="29">
        <f t="shared" si="374"/>
        <v>0</v>
      </c>
      <c r="AI394" s="28" t="s">
        <v>2882</v>
      </c>
      <c r="AJ394" s="15">
        <f t="shared" si="375"/>
        <v>0</v>
      </c>
      <c r="AK394" s="15">
        <f t="shared" si="376"/>
        <v>0</v>
      </c>
      <c r="AL394" s="15">
        <f t="shared" si="377"/>
        <v>0</v>
      </c>
      <c r="AN394" s="29">
        <v>15</v>
      </c>
      <c r="AO394" s="29">
        <f t="shared" si="378"/>
        <v>0</v>
      </c>
      <c r="AP394" s="29">
        <f t="shared" si="379"/>
        <v>0</v>
      </c>
      <c r="AQ394" s="30" t="s">
        <v>13</v>
      </c>
      <c r="AV394" s="29">
        <f t="shared" si="380"/>
        <v>0</v>
      </c>
      <c r="AW394" s="29">
        <f t="shared" si="381"/>
        <v>0</v>
      </c>
      <c r="AX394" s="29">
        <f t="shared" si="382"/>
        <v>0</v>
      </c>
      <c r="AY394" s="32" t="s">
        <v>2916</v>
      </c>
      <c r="AZ394" s="32" t="s">
        <v>2943</v>
      </c>
      <c r="BA394" s="28" t="s">
        <v>2957</v>
      </c>
      <c r="BC394" s="29">
        <f t="shared" si="383"/>
        <v>0</v>
      </c>
      <c r="BD394" s="29">
        <f t="shared" si="384"/>
        <v>0</v>
      </c>
      <c r="BE394" s="29">
        <v>0</v>
      </c>
      <c r="BF394" s="29">
        <f>394</f>
        <v>394</v>
      </c>
      <c r="BH394" s="15">
        <f t="shared" si="385"/>
        <v>0</v>
      </c>
      <c r="BI394" s="15">
        <f t="shared" si="386"/>
        <v>0</v>
      </c>
      <c r="BJ394" s="15">
        <f t="shared" si="387"/>
        <v>0</v>
      </c>
      <c r="BK394" s="15" t="s">
        <v>2969</v>
      </c>
      <c r="BL394" s="29">
        <v>728</v>
      </c>
    </row>
    <row r="395" spans="1:64" ht="12.75">
      <c r="A395" s="4" t="s">
        <v>352</v>
      </c>
      <c r="B395" s="94" t="s">
        <v>1349</v>
      </c>
      <c r="C395" s="152" t="s">
        <v>2295</v>
      </c>
      <c r="D395" s="153"/>
      <c r="E395" s="153"/>
      <c r="F395" s="153"/>
      <c r="G395" s="94" t="s">
        <v>2850</v>
      </c>
      <c r="H395" s="73">
        <v>1</v>
      </c>
      <c r="I395" s="105">
        <v>0</v>
      </c>
      <c r="J395" s="15">
        <f t="shared" si="364"/>
        <v>0</v>
      </c>
      <c r="K395" s="15">
        <f t="shared" si="365"/>
        <v>0</v>
      </c>
      <c r="L395" s="15">
        <f t="shared" si="366"/>
        <v>0</v>
      </c>
      <c r="M395" s="25"/>
      <c r="N395" s="5"/>
      <c r="Z395" s="29">
        <f t="shared" si="367"/>
        <v>0</v>
      </c>
      <c r="AB395" s="29">
        <f t="shared" si="368"/>
        <v>0</v>
      </c>
      <c r="AC395" s="29">
        <f t="shared" si="369"/>
        <v>0</v>
      </c>
      <c r="AD395" s="29">
        <f t="shared" si="370"/>
        <v>0</v>
      </c>
      <c r="AE395" s="29">
        <f t="shared" si="371"/>
        <v>0</v>
      </c>
      <c r="AF395" s="29">
        <f t="shared" si="372"/>
        <v>0</v>
      </c>
      <c r="AG395" s="29">
        <f t="shared" si="373"/>
        <v>0</v>
      </c>
      <c r="AH395" s="29">
        <f t="shared" si="374"/>
        <v>0</v>
      </c>
      <c r="AI395" s="28" t="s">
        <v>2882</v>
      </c>
      <c r="AJ395" s="15">
        <f t="shared" si="375"/>
        <v>0</v>
      </c>
      <c r="AK395" s="15">
        <f t="shared" si="376"/>
        <v>0</v>
      </c>
      <c r="AL395" s="15">
        <f t="shared" si="377"/>
        <v>0</v>
      </c>
      <c r="AN395" s="29">
        <v>15</v>
      </c>
      <c r="AO395" s="29">
        <f t="shared" si="378"/>
        <v>0</v>
      </c>
      <c r="AP395" s="29">
        <f t="shared" si="379"/>
        <v>0</v>
      </c>
      <c r="AQ395" s="30" t="s">
        <v>13</v>
      </c>
      <c r="AV395" s="29">
        <f t="shared" si="380"/>
        <v>0</v>
      </c>
      <c r="AW395" s="29">
        <f t="shared" si="381"/>
        <v>0</v>
      </c>
      <c r="AX395" s="29">
        <f t="shared" si="382"/>
        <v>0</v>
      </c>
      <c r="AY395" s="32" t="s">
        <v>2916</v>
      </c>
      <c r="AZ395" s="32" t="s">
        <v>2943</v>
      </c>
      <c r="BA395" s="28" t="s">
        <v>2957</v>
      </c>
      <c r="BC395" s="29">
        <f t="shared" si="383"/>
        <v>0</v>
      </c>
      <c r="BD395" s="29">
        <f t="shared" si="384"/>
        <v>0</v>
      </c>
      <c r="BE395" s="29">
        <v>0</v>
      </c>
      <c r="BF395" s="29">
        <f>395</f>
        <v>395</v>
      </c>
      <c r="BH395" s="15">
        <f t="shared" si="385"/>
        <v>0</v>
      </c>
      <c r="BI395" s="15">
        <f t="shared" si="386"/>
        <v>0</v>
      </c>
      <c r="BJ395" s="15">
        <f t="shared" si="387"/>
        <v>0</v>
      </c>
      <c r="BK395" s="15" t="s">
        <v>2969</v>
      </c>
      <c r="BL395" s="29">
        <v>728</v>
      </c>
    </row>
    <row r="396" spans="1:64" ht="12.75">
      <c r="A396" s="4" t="s">
        <v>353</v>
      </c>
      <c r="B396" s="94" t="s">
        <v>1350</v>
      </c>
      <c r="C396" s="152" t="s">
        <v>2296</v>
      </c>
      <c r="D396" s="153"/>
      <c r="E396" s="153"/>
      <c r="F396" s="153"/>
      <c r="G396" s="94" t="s">
        <v>2849</v>
      </c>
      <c r="H396" s="73">
        <v>23.369</v>
      </c>
      <c r="I396" s="105">
        <v>0</v>
      </c>
      <c r="J396" s="15">
        <f t="shared" si="364"/>
        <v>0</v>
      </c>
      <c r="K396" s="15">
        <f t="shared" si="365"/>
        <v>0</v>
      </c>
      <c r="L396" s="15">
        <f t="shared" si="366"/>
        <v>0</v>
      </c>
      <c r="M396" s="25"/>
      <c r="N396" s="5"/>
      <c r="Z396" s="29">
        <f t="shared" si="367"/>
        <v>0</v>
      </c>
      <c r="AB396" s="29">
        <f t="shared" si="368"/>
        <v>0</v>
      </c>
      <c r="AC396" s="29">
        <f t="shared" si="369"/>
        <v>0</v>
      </c>
      <c r="AD396" s="29">
        <f t="shared" si="370"/>
        <v>0</v>
      </c>
      <c r="AE396" s="29">
        <f t="shared" si="371"/>
        <v>0</v>
      </c>
      <c r="AF396" s="29">
        <f t="shared" si="372"/>
        <v>0</v>
      </c>
      <c r="AG396" s="29">
        <f t="shared" si="373"/>
        <v>0</v>
      </c>
      <c r="AH396" s="29">
        <f t="shared" si="374"/>
        <v>0</v>
      </c>
      <c r="AI396" s="28" t="s">
        <v>2882</v>
      </c>
      <c r="AJ396" s="15">
        <f t="shared" si="375"/>
        <v>0</v>
      </c>
      <c r="AK396" s="15">
        <f t="shared" si="376"/>
        <v>0</v>
      </c>
      <c r="AL396" s="15">
        <f t="shared" si="377"/>
        <v>0</v>
      </c>
      <c r="AN396" s="29">
        <v>15</v>
      </c>
      <c r="AO396" s="29">
        <f t="shared" si="378"/>
        <v>0</v>
      </c>
      <c r="AP396" s="29">
        <f t="shared" si="379"/>
        <v>0</v>
      </c>
      <c r="AQ396" s="30" t="s">
        <v>13</v>
      </c>
      <c r="AV396" s="29">
        <f t="shared" si="380"/>
        <v>0</v>
      </c>
      <c r="AW396" s="29">
        <f t="shared" si="381"/>
        <v>0</v>
      </c>
      <c r="AX396" s="29">
        <f t="shared" si="382"/>
        <v>0</v>
      </c>
      <c r="AY396" s="32" t="s">
        <v>2916</v>
      </c>
      <c r="AZ396" s="32" t="s">
        <v>2943</v>
      </c>
      <c r="BA396" s="28" t="s">
        <v>2957</v>
      </c>
      <c r="BC396" s="29">
        <f t="shared" si="383"/>
        <v>0</v>
      </c>
      <c r="BD396" s="29">
        <f t="shared" si="384"/>
        <v>0</v>
      </c>
      <c r="BE396" s="29">
        <v>0</v>
      </c>
      <c r="BF396" s="29">
        <f>396</f>
        <v>396</v>
      </c>
      <c r="BH396" s="15">
        <f t="shared" si="385"/>
        <v>0</v>
      </c>
      <c r="BI396" s="15">
        <f t="shared" si="386"/>
        <v>0</v>
      </c>
      <c r="BJ396" s="15">
        <f t="shared" si="387"/>
        <v>0</v>
      </c>
      <c r="BK396" s="15" t="s">
        <v>2969</v>
      </c>
      <c r="BL396" s="29">
        <v>728</v>
      </c>
    </row>
    <row r="397" spans="1:64" ht="12.75">
      <c r="A397" s="4" t="s">
        <v>354</v>
      </c>
      <c r="B397" s="94" t="s">
        <v>1351</v>
      </c>
      <c r="C397" s="152" t="s">
        <v>2297</v>
      </c>
      <c r="D397" s="153"/>
      <c r="E397" s="153"/>
      <c r="F397" s="153"/>
      <c r="G397" s="94" t="s">
        <v>2853</v>
      </c>
      <c r="H397" s="73">
        <v>32</v>
      </c>
      <c r="I397" s="105">
        <v>0</v>
      </c>
      <c r="J397" s="15">
        <f t="shared" si="364"/>
        <v>0</v>
      </c>
      <c r="K397" s="15">
        <f t="shared" si="365"/>
        <v>0</v>
      </c>
      <c r="L397" s="15">
        <f t="shared" si="366"/>
        <v>0</v>
      </c>
      <c r="M397" s="25"/>
      <c r="N397" s="5"/>
      <c r="Z397" s="29">
        <f t="shared" si="367"/>
        <v>0</v>
      </c>
      <c r="AB397" s="29">
        <f t="shared" si="368"/>
        <v>0</v>
      </c>
      <c r="AC397" s="29">
        <f t="shared" si="369"/>
        <v>0</v>
      </c>
      <c r="AD397" s="29">
        <f t="shared" si="370"/>
        <v>0</v>
      </c>
      <c r="AE397" s="29">
        <f t="shared" si="371"/>
        <v>0</v>
      </c>
      <c r="AF397" s="29">
        <f t="shared" si="372"/>
        <v>0</v>
      </c>
      <c r="AG397" s="29">
        <f t="shared" si="373"/>
        <v>0</v>
      </c>
      <c r="AH397" s="29">
        <f t="shared" si="374"/>
        <v>0</v>
      </c>
      <c r="AI397" s="28" t="s">
        <v>2882</v>
      </c>
      <c r="AJ397" s="15">
        <f t="shared" si="375"/>
        <v>0</v>
      </c>
      <c r="AK397" s="15">
        <f t="shared" si="376"/>
        <v>0</v>
      </c>
      <c r="AL397" s="15">
        <f t="shared" si="377"/>
        <v>0</v>
      </c>
      <c r="AN397" s="29">
        <v>15</v>
      </c>
      <c r="AO397" s="29">
        <f t="shared" si="378"/>
        <v>0</v>
      </c>
      <c r="AP397" s="29">
        <f t="shared" si="379"/>
        <v>0</v>
      </c>
      <c r="AQ397" s="30" t="s">
        <v>13</v>
      </c>
      <c r="AV397" s="29">
        <f t="shared" si="380"/>
        <v>0</v>
      </c>
      <c r="AW397" s="29">
        <f t="shared" si="381"/>
        <v>0</v>
      </c>
      <c r="AX397" s="29">
        <f t="shared" si="382"/>
        <v>0</v>
      </c>
      <c r="AY397" s="32" t="s">
        <v>2916</v>
      </c>
      <c r="AZ397" s="32" t="s">
        <v>2943</v>
      </c>
      <c r="BA397" s="28" t="s">
        <v>2957</v>
      </c>
      <c r="BC397" s="29">
        <f t="shared" si="383"/>
        <v>0</v>
      </c>
      <c r="BD397" s="29">
        <f t="shared" si="384"/>
        <v>0</v>
      </c>
      <c r="BE397" s="29">
        <v>0</v>
      </c>
      <c r="BF397" s="29">
        <f>397</f>
        <v>397</v>
      </c>
      <c r="BH397" s="15">
        <f t="shared" si="385"/>
        <v>0</v>
      </c>
      <c r="BI397" s="15">
        <f t="shared" si="386"/>
        <v>0</v>
      </c>
      <c r="BJ397" s="15">
        <f t="shared" si="387"/>
        <v>0</v>
      </c>
      <c r="BK397" s="15" t="s">
        <v>2969</v>
      </c>
      <c r="BL397" s="29">
        <v>728</v>
      </c>
    </row>
    <row r="398" spans="1:64" ht="12.75">
      <c r="A398" s="4" t="s">
        <v>355</v>
      </c>
      <c r="B398" s="94" t="s">
        <v>1352</v>
      </c>
      <c r="C398" s="152" t="s">
        <v>2298</v>
      </c>
      <c r="D398" s="153"/>
      <c r="E398" s="153"/>
      <c r="F398" s="153"/>
      <c r="G398" s="94" t="s">
        <v>2853</v>
      </c>
      <c r="H398" s="73">
        <v>35</v>
      </c>
      <c r="I398" s="105">
        <v>0</v>
      </c>
      <c r="J398" s="15">
        <f aca="true" t="shared" si="388" ref="J398:J421">H398*AO398</f>
        <v>0</v>
      </c>
      <c r="K398" s="15">
        <f aca="true" t="shared" si="389" ref="K398:K421">H398*AP398</f>
        <v>0</v>
      </c>
      <c r="L398" s="15">
        <f aca="true" t="shared" si="390" ref="L398:L421">H398*I398</f>
        <v>0</v>
      </c>
      <c r="M398" s="25"/>
      <c r="N398" s="5"/>
      <c r="Z398" s="29">
        <f aca="true" t="shared" si="391" ref="Z398:Z421">IF(AQ398="5",BJ398,0)</f>
        <v>0</v>
      </c>
      <c r="AB398" s="29">
        <f aca="true" t="shared" si="392" ref="AB398:AB421">IF(AQ398="1",BH398,0)</f>
        <v>0</v>
      </c>
      <c r="AC398" s="29">
        <f aca="true" t="shared" si="393" ref="AC398:AC421">IF(AQ398="1",BI398,0)</f>
        <v>0</v>
      </c>
      <c r="AD398" s="29">
        <f aca="true" t="shared" si="394" ref="AD398:AD421">IF(AQ398="7",BH398,0)</f>
        <v>0</v>
      </c>
      <c r="AE398" s="29">
        <f aca="true" t="shared" si="395" ref="AE398:AE421">IF(AQ398="7",BI398,0)</f>
        <v>0</v>
      </c>
      <c r="AF398" s="29">
        <f aca="true" t="shared" si="396" ref="AF398:AF421">IF(AQ398="2",BH398,0)</f>
        <v>0</v>
      </c>
      <c r="AG398" s="29">
        <f aca="true" t="shared" si="397" ref="AG398:AG421">IF(AQ398="2",BI398,0)</f>
        <v>0</v>
      </c>
      <c r="AH398" s="29">
        <f aca="true" t="shared" si="398" ref="AH398:AH421">IF(AQ398="0",BJ398,0)</f>
        <v>0</v>
      </c>
      <c r="AI398" s="28" t="s">
        <v>2882</v>
      </c>
      <c r="AJ398" s="15">
        <f aca="true" t="shared" si="399" ref="AJ398:AJ421">IF(AN398=0,L398,0)</f>
        <v>0</v>
      </c>
      <c r="AK398" s="15">
        <f aca="true" t="shared" si="400" ref="AK398:AK421">IF(AN398=15,L398,0)</f>
        <v>0</v>
      </c>
      <c r="AL398" s="15">
        <f aca="true" t="shared" si="401" ref="AL398:AL421">IF(AN398=21,L398,0)</f>
        <v>0</v>
      </c>
      <c r="AN398" s="29">
        <v>15</v>
      </c>
      <c r="AO398" s="29">
        <f aca="true" t="shared" si="402" ref="AO398:AO421">I398*0</f>
        <v>0</v>
      </c>
      <c r="AP398" s="29">
        <f aca="true" t="shared" si="403" ref="AP398:AP421">I398*(1-0)</f>
        <v>0</v>
      </c>
      <c r="AQ398" s="30" t="s">
        <v>13</v>
      </c>
      <c r="AV398" s="29">
        <f aca="true" t="shared" si="404" ref="AV398:AV421">AW398+AX398</f>
        <v>0</v>
      </c>
      <c r="AW398" s="29">
        <f aca="true" t="shared" si="405" ref="AW398:AW421">H398*AO398</f>
        <v>0</v>
      </c>
      <c r="AX398" s="29">
        <f aca="true" t="shared" si="406" ref="AX398:AX421">H398*AP398</f>
        <v>0</v>
      </c>
      <c r="AY398" s="32" t="s">
        <v>2916</v>
      </c>
      <c r="AZ398" s="32" t="s">
        <v>2943</v>
      </c>
      <c r="BA398" s="28" t="s">
        <v>2957</v>
      </c>
      <c r="BC398" s="29">
        <f aca="true" t="shared" si="407" ref="BC398:BC421">AW398+AX398</f>
        <v>0</v>
      </c>
      <c r="BD398" s="29">
        <f aca="true" t="shared" si="408" ref="BD398:BD421">I398/(100-BE398)*100</f>
        <v>0</v>
      </c>
      <c r="BE398" s="29">
        <v>0</v>
      </c>
      <c r="BF398" s="29">
        <f>398</f>
        <v>398</v>
      </c>
      <c r="BH398" s="15">
        <f aca="true" t="shared" si="409" ref="BH398:BH421">H398*AO398</f>
        <v>0</v>
      </c>
      <c r="BI398" s="15">
        <f aca="true" t="shared" si="410" ref="BI398:BI421">H398*AP398</f>
        <v>0</v>
      </c>
      <c r="BJ398" s="15">
        <f aca="true" t="shared" si="411" ref="BJ398:BJ421">H398*I398</f>
        <v>0</v>
      </c>
      <c r="BK398" s="15" t="s">
        <v>2969</v>
      </c>
      <c r="BL398" s="29">
        <v>728</v>
      </c>
    </row>
    <row r="399" spans="1:64" ht="12.75">
      <c r="A399" s="4" t="s">
        <v>356</v>
      </c>
      <c r="B399" s="94" t="s">
        <v>1353</v>
      </c>
      <c r="C399" s="152" t="s">
        <v>2299</v>
      </c>
      <c r="D399" s="153"/>
      <c r="E399" s="153"/>
      <c r="F399" s="153"/>
      <c r="G399" s="94" t="s">
        <v>2850</v>
      </c>
      <c r="H399" s="73">
        <v>2</v>
      </c>
      <c r="I399" s="105">
        <v>0</v>
      </c>
      <c r="J399" s="15">
        <f t="shared" si="388"/>
        <v>0</v>
      </c>
      <c r="K399" s="15">
        <f t="shared" si="389"/>
        <v>0</v>
      </c>
      <c r="L399" s="15">
        <f t="shared" si="390"/>
        <v>0</v>
      </c>
      <c r="M399" s="25"/>
      <c r="N399" s="5"/>
      <c r="Z399" s="29">
        <f t="shared" si="391"/>
        <v>0</v>
      </c>
      <c r="AB399" s="29">
        <f t="shared" si="392"/>
        <v>0</v>
      </c>
      <c r="AC399" s="29">
        <f t="shared" si="393"/>
        <v>0</v>
      </c>
      <c r="AD399" s="29">
        <f t="shared" si="394"/>
        <v>0</v>
      </c>
      <c r="AE399" s="29">
        <f t="shared" si="395"/>
        <v>0</v>
      </c>
      <c r="AF399" s="29">
        <f t="shared" si="396"/>
        <v>0</v>
      </c>
      <c r="AG399" s="29">
        <f t="shared" si="397"/>
        <v>0</v>
      </c>
      <c r="AH399" s="29">
        <f t="shared" si="398"/>
        <v>0</v>
      </c>
      <c r="AI399" s="28" t="s">
        <v>2882</v>
      </c>
      <c r="AJ399" s="15">
        <f t="shared" si="399"/>
        <v>0</v>
      </c>
      <c r="AK399" s="15">
        <f t="shared" si="400"/>
        <v>0</v>
      </c>
      <c r="AL399" s="15">
        <f t="shared" si="401"/>
        <v>0</v>
      </c>
      <c r="AN399" s="29">
        <v>15</v>
      </c>
      <c r="AO399" s="29">
        <f t="shared" si="402"/>
        <v>0</v>
      </c>
      <c r="AP399" s="29">
        <f t="shared" si="403"/>
        <v>0</v>
      </c>
      <c r="AQ399" s="30" t="s">
        <v>13</v>
      </c>
      <c r="AV399" s="29">
        <f t="shared" si="404"/>
        <v>0</v>
      </c>
      <c r="AW399" s="29">
        <f t="shared" si="405"/>
        <v>0</v>
      </c>
      <c r="AX399" s="29">
        <f t="shared" si="406"/>
        <v>0</v>
      </c>
      <c r="AY399" s="32" t="s">
        <v>2916</v>
      </c>
      <c r="AZ399" s="32" t="s">
        <v>2943</v>
      </c>
      <c r="BA399" s="28" t="s">
        <v>2957</v>
      </c>
      <c r="BC399" s="29">
        <f t="shared" si="407"/>
        <v>0</v>
      </c>
      <c r="BD399" s="29">
        <f t="shared" si="408"/>
        <v>0</v>
      </c>
      <c r="BE399" s="29">
        <v>0</v>
      </c>
      <c r="BF399" s="29">
        <f>399</f>
        <v>399</v>
      </c>
      <c r="BH399" s="15">
        <f t="shared" si="409"/>
        <v>0</v>
      </c>
      <c r="BI399" s="15">
        <f t="shared" si="410"/>
        <v>0</v>
      </c>
      <c r="BJ399" s="15">
        <f t="shared" si="411"/>
        <v>0</v>
      </c>
      <c r="BK399" s="15" t="s">
        <v>2969</v>
      </c>
      <c r="BL399" s="29">
        <v>728</v>
      </c>
    </row>
    <row r="400" spans="1:64" ht="12.75">
      <c r="A400" s="4" t="s">
        <v>357</v>
      </c>
      <c r="B400" s="94" t="s">
        <v>1354</v>
      </c>
      <c r="C400" s="152" t="s">
        <v>2276</v>
      </c>
      <c r="D400" s="153"/>
      <c r="E400" s="153"/>
      <c r="F400" s="153"/>
      <c r="G400" s="94" t="s">
        <v>2850</v>
      </c>
      <c r="H400" s="73">
        <v>2</v>
      </c>
      <c r="I400" s="105">
        <v>0</v>
      </c>
      <c r="J400" s="15">
        <f t="shared" si="388"/>
        <v>0</v>
      </c>
      <c r="K400" s="15">
        <f t="shared" si="389"/>
        <v>0</v>
      </c>
      <c r="L400" s="15">
        <f t="shared" si="390"/>
        <v>0</v>
      </c>
      <c r="M400" s="25"/>
      <c r="N400" s="5"/>
      <c r="Z400" s="29">
        <f t="shared" si="391"/>
        <v>0</v>
      </c>
      <c r="AB400" s="29">
        <f t="shared" si="392"/>
        <v>0</v>
      </c>
      <c r="AC400" s="29">
        <f t="shared" si="393"/>
        <v>0</v>
      </c>
      <c r="AD400" s="29">
        <f t="shared" si="394"/>
        <v>0</v>
      </c>
      <c r="AE400" s="29">
        <f t="shared" si="395"/>
        <v>0</v>
      </c>
      <c r="AF400" s="29">
        <f t="shared" si="396"/>
        <v>0</v>
      </c>
      <c r="AG400" s="29">
        <f t="shared" si="397"/>
        <v>0</v>
      </c>
      <c r="AH400" s="29">
        <f t="shared" si="398"/>
        <v>0</v>
      </c>
      <c r="AI400" s="28" t="s">
        <v>2882</v>
      </c>
      <c r="AJ400" s="15">
        <f t="shared" si="399"/>
        <v>0</v>
      </c>
      <c r="AK400" s="15">
        <f t="shared" si="400"/>
        <v>0</v>
      </c>
      <c r="AL400" s="15">
        <f t="shared" si="401"/>
        <v>0</v>
      </c>
      <c r="AN400" s="29">
        <v>15</v>
      </c>
      <c r="AO400" s="29">
        <f t="shared" si="402"/>
        <v>0</v>
      </c>
      <c r="AP400" s="29">
        <f t="shared" si="403"/>
        <v>0</v>
      </c>
      <c r="AQ400" s="30" t="s">
        <v>13</v>
      </c>
      <c r="AV400" s="29">
        <f t="shared" si="404"/>
        <v>0</v>
      </c>
      <c r="AW400" s="29">
        <f t="shared" si="405"/>
        <v>0</v>
      </c>
      <c r="AX400" s="29">
        <f t="shared" si="406"/>
        <v>0</v>
      </c>
      <c r="AY400" s="32" t="s">
        <v>2916</v>
      </c>
      <c r="AZ400" s="32" t="s">
        <v>2943</v>
      </c>
      <c r="BA400" s="28" t="s">
        <v>2957</v>
      </c>
      <c r="BC400" s="29">
        <f t="shared" si="407"/>
        <v>0</v>
      </c>
      <c r="BD400" s="29">
        <f t="shared" si="408"/>
        <v>0</v>
      </c>
      <c r="BE400" s="29">
        <v>0</v>
      </c>
      <c r="BF400" s="29">
        <f>400</f>
        <v>400</v>
      </c>
      <c r="BH400" s="15">
        <f t="shared" si="409"/>
        <v>0</v>
      </c>
      <c r="BI400" s="15">
        <f t="shared" si="410"/>
        <v>0</v>
      </c>
      <c r="BJ400" s="15">
        <f t="shared" si="411"/>
        <v>0</v>
      </c>
      <c r="BK400" s="15" t="s">
        <v>2969</v>
      </c>
      <c r="BL400" s="29">
        <v>728</v>
      </c>
    </row>
    <row r="401" spans="1:64" ht="12.75">
      <c r="A401" s="4" t="s">
        <v>358</v>
      </c>
      <c r="B401" s="94" t="s">
        <v>1355</v>
      </c>
      <c r="C401" s="152" t="s">
        <v>2279</v>
      </c>
      <c r="D401" s="153"/>
      <c r="E401" s="153"/>
      <c r="F401" s="153"/>
      <c r="G401" s="94" t="s">
        <v>2851</v>
      </c>
      <c r="H401" s="73">
        <v>15.5</v>
      </c>
      <c r="I401" s="105">
        <v>0</v>
      </c>
      <c r="J401" s="15">
        <f t="shared" si="388"/>
        <v>0</v>
      </c>
      <c r="K401" s="15">
        <f t="shared" si="389"/>
        <v>0</v>
      </c>
      <c r="L401" s="15">
        <f t="shared" si="390"/>
        <v>0</v>
      </c>
      <c r="M401" s="25"/>
      <c r="N401" s="5"/>
      <c r="Z401" s="29">
        <f t="shared" si="391"/>
        <v>0</v>
      </c>
      <c r="AB401" s="29">
        <f t="shared" si="392"/>
        <v>0</v>
      </c>
      <c r="AC401" s="29">
        <f t="shared" si="393"/>
        <v>0</v>
      </c>
      <c r="AD401" s="29">
        <f t="shared" si="394"/>
        <v>0</v>
      </c>
      <c r="AE401" s="29">
        <f t="shared" si="395"/>
        <v>0</v>
      </c>
      <c r="AF401" s="29">
        <f t="shared" si="396"/>
        <v>0</v>
      </c>
      <c r="AG401" s="29">
        <f t="shared" si="397"/>
        <v>0</v>
      </c>
      <c r="AH401" s="29">
        <f t="shared" si="398"/>
        <v>0</v>
      </c>
      <c r="AI401" s="28" t="s">
        <v>2882</v>
      </c>
      <c r="AJ401" s="15">
        <f t="shared" si="399"/>
        <v>0</v>
      </c>
      <c r="AK401" s="15">
        <f t="shared" si="400"/>
        <v>0</v>
      </c>
      <c r="AL401" s="15">
        <f t="shared" si="401"/>
        <v>0</v>
      </c>
      <c r="AN401" s="29">
        <v>15</v>
      </c>
      <c r="AO401" s="29">
        <f t="shared" si="402"/>
        <v>0</v>
      </c>
      <c r="AP401" s="29">
        <f t="shared" si="403"/>
        <v>0</v>
      </c>
      <c r="AQ401" s="30" t="s">
        <v>13</v>
      </c>
      <c r="AV401" s="29">
        <f t="shared" si="404"/>
        <v>0</v>
      </c>
      <c r="AW401" s="29">
        <f t="shared" si="405"/>
        <v>0</v>
      </c>
      <c r="AX401" s="29">
        <f t="shared" si="406"/>
        <v>0</v>
      </c>
      <c r="AY401" s="32" t="s">
        <v>2916</v>
      </c>
      <c r="AZ401" s="32" t="s">
        <v>2943</v>
      </c>
      <c r="BA401" s="28" t="s">
        <v>2957</v>
      </c>
      <c r="BC401" s="29">
        <f t="shared" si="407"/>
        <v>0</v>
      </c>
      <c r="BD401" s="29">
        <f t="shared" si="408"/>
        <v>0</v>
      </c>
      <c r="BE401" s="29">
        <v>0</v>
      </c>
      <c r="BF401" s="29">
        <f>401</f>
        <v>401</v>
      </c>
      <c r="BH401" s="15">
        <f t="shared" si="409"/>
        <v>0</v>
      </c>
      <c r="BI401" s="15">
        <f t="shared" si="410"/>
        <v>0</v>
      </c>
      <c r="BJ401" s="15">
        <f t="shared" si="411"/>
        <v>0</v>
      </c>
      <c r="BK401" s="15" t="s">
        <v>2969</v>
      </c>
      <c r="BL401" s="29">
        <v>728</v>
      </c>
    </row>
    <row r="402" spans="1:64" ht="12.75">
      <c r="A402" s="4" t="s">
        <v>359</v>
      </c>
      <c r="B402" s="94" t="s">
        <v>1356</v>
      </c>
      <c r="C402" s="152" t="s">
        <v>2289</v>
      </c>
      <c r="D402" s="153"/>
      <c r="E402" s="153"/>
      <c r="F402" s="153"/>
      <c r="G402" s="94" t="s">
        <v>2850</v>
      </c>
      <c r="H402" s="73">
        <v>2</v>
      </c>
      <c r="I402" s="105">
        <v>0</v>
      </c>
      <c r="J402" s="15">
        <f t="shared" si="388"/>
        <v>0</v>
      </c>
      <c r="K402" s="15">
        <f t="shared" si="389"/>
        <v>0</v>
      </c>
      <c r="L402" s="15">
        <f t="shared" si="390"/>
        <v>0</v>
      </c>
      <c r="M402" s="25"/>
      <c r="N402" s="5"/>
      <c r="Z402" s="29">
        <f t="shared" si="391"/>
        <v>0</v>
      </c>
      <c r="AB402" s="29">
        <f t="shared" si="392"/>
        <v>0</v>
      </c>
      <c r="AC402" s="29">
        <f t="shared" si="393"/>
        <v>0</v>
      </c>
      <c r="AD402" s="29">
        <f t="shared" si="394"/>
        <v>0</v>
      </c>
      <c r="AE402" s="29">
        <f t="shared" si="395"/>
        <v>0</v>
      </c>
      <c r="AF402" s="29">
        <f t="shared" si="396"/>
        <v>0</v>
      </c>
      <c r="AG402" s="29">
        <f t="shared" si="397"/>
        <v>0</v>
      </c>
      <c r="AH402" s="29">
        <f t="shared" si="398"/>
        <v>0</v>
      </c>
      <c r="AI402" s="28" t="s">
        <v>2882</v>
      </c>
      <c r="AJ402" s="15">
        <f t="shared" si="399"/>
        <v>0</v>
      </c>
      <c r="AK402" s="15">
        <f t="shared" si="400"/>
        <v>0</v>
      </c>
      <c r="AL402" s="15">
        <f t="shared" si="401"/>
        <v>0</v>
      </c>
      <c r="AN402" s="29">
        <v>15</v>
      </c>
      <c r="AO402" s="29">
        <f t="shared" si="402"/>
        <v>0</v>
      </c>
      <c r="AP402" s="29">
        <f t="shared" si="403"/>
        <v>0</v>
      </c>
      <c r="AQ402" s="30" t="s">
        <v>13</v>
      </c>
      <c r="AV402" s="29">
        <f t="shared" si="404"/>
        <v>0</v>
      </c>
      <c r="AW402" s="29">
        <f t="shared" si="405"/>
        <v>0</v>
      </c>
      <c r="AX402" s="29">
        <f t="shared" si="406"/>
        <v>0</v>
      </c>
      <c r="AY402" s="32" t="s">
        <v>2916</v>
      </c>
      <c r="AZ402" s="32" t="s">
        <v>2943</v>
      </c>
      <c r="BA402" s="28" t="s">
        <v>2957</v>
      </c>
      <c r="BC402" s="29">
        <f t="shared" si="407"/>
        <v>0</v>
      </c>
      <c r="BD402" s="29">
        <f t="shared" si="408"/>
        <v>0</v>
      </c>
      <c r="BE402" s="29">
        <v>0</v>
      </c>
      <c r="BF402" s="29">
        <f>402</f>
        <v>402</v>
      </c>
      <c r="BH402" s="15">
        <f t="shared" si="409"/>
        <v>0</v>
      </c>
      <c r="BI402" s="15">
        <f t="shared" si="410"/>
        <v>0</v>
      </c>
      <c r="BJ402" s="15">
        <f t="shared" si="411"/>
        <v>0</v>
      </c>
      <c r="BK402" s="15" t="s">
        <v>2969</v>
      </c>
      <c r="BL402" s="29">
        <v>728</v>
      </c>
    </row>
    <row r="403" spans="1:64" ht="12.75">
      <c r="A403" s="4" t="s">
        <v>360</v>
      </c>
      <c r="B403" s="94" t="s">
        <v>1357</v>
      </c>
      <c r="C403" s="152" t="s">
        <v>2300</v>
      </c>
      <c r="D403" s="153"/>
      <c r="E403" s="153"/>
      <c r="F403" s="153"/>
      <c r="G403" s="94" t="s">
        <v>2850</v>
      </c>
      <c r="H403" s="73">
        <v>2</v>
      </c>
      <c r="I403" s="105">
        <v>0</v>
      </c>
      <c r="J403" s="15">
        <f t="shared" si="388"/>
        <v>0</v>
      </c>
      <c r="K403" s="15">
        <f t="shared" si="389"/>
        <v>0</v>
      </c>
      <c r="L403" s="15">
        <f t="shared" si="390"/>
        <v>0</v>
      </c>
      <c r="M403" s="25"/>
      <c r="N403" s="5"/>
      <c r="Z403" s="29">
        <f t="shared" si="391"/>
        <v>0</v>
      </c>
      <c r="AB403" s="29">
        <f t="shared" si="392"/>
        <v>0</v>
      </c>
      <c r="AC403" s="29">
        <f t="shared" si="393"/>
        <v>0</v>
      </c>
      <c r="AD403" s="29">
        <f t="shared" si="394"/>
        <v>0</v>
      </c>
      <c r="AE403" s="29">
        <f t="shared" si="395"/>
        <v>0</v>
      </c>
      <c r="AF403" s="29">
        <f t="shared" si="396"/>
        <v>0</v>
      </c>
      <c r="AG403" s="29">
        <f t="shared" si="397"/>
        <v>0</v>
      </c>
      <c r="AH403" s="29">
        <f t="shared" si="398"/>
        <v>0</v>
      </c>
      <c r="AI403" s="28" t="s">
        <v>2882</v>
      </c>
      <c r="AJ403" s="15">
        <f t="shared" si="399"/>
        <v>0</v>
      </c>
      <c r="AK403" s="15">
        <f t="shared" si="400"/>
        <v>0</v>
      </c>
      <c r="AL403" s="15">
        <f t="shared" si="401"/>
        <v>0</v>
      </c>
      <c r="AN403" s="29">
        <v>15</v>
      </c>
      <c r="AO403" s="29">
        <f t="shared" si="402"/>
        <v>0</v>
      </c>
      <c r="AP403" s="29">
        <f t="shared" si="403"/>
        <v>0</v>
      </c>
      <c r="AQ403" s="30" t="s">
        <v>13</v>
      </c>
      <c r="AV403" s="29">
        <f t="shared" si="404"/>
        <v>0</v>
      </c>
      <c r="AW403" s="29">
        <f t="shared" si="405"/>
        <v>0</v>
      </c>
      <c r="AX403" s="29">
        <f t="shared" si="406"/>
        <v>0</v>
      </c>
      <c r="AY403" s="32" t="s">
        <v>2916</v>
      </c>
      <c r="AZ403" s="32" t="s">
        <v>2943</v>
      </c>
      <c r="BA403" s="28" t="s">
        <v>2957</v>
      </c>
      <c r="BC403" s="29">
        <f t="shared" si="407"/>
        <v>0</v>
      </c>
      <c r="BD403" s="29">
        <f t="shared" si="408"/>
        <v>0</v>
      </c>
      <c r="BE403" s="29">
        <v>0</v>
      </c>
      <c r="BF403" s="29">
        <f>403</f>
        <v>403</v>
      </c>
      <c r="BH403" s="15">
        <f t="shared" si="409"/>
        <v>0</v>
      </c>
      <c r="BI403" s="15">
        <f t="shared" si="410"/>
        <v>0</v>
      </c>
      <c r="BJ403" s="15">
        <f t="shared" si="411"/>
        <v>0</v>
      </c>
      <c r="BK403" s="15" t="s">
        <v>2969</v>
      </c>
      <c r="BL403" s="29">
        <v>728</v>
      </c>
    </row>
    <row r="404" spans="1:64" ht="12.75">
      <c r="A404" s="4" t="s">
        <v>361</v>
      </c>
      <c r="B404" s="94" t="s">
        <v>1358</v>
      </c>
      <c r="C404" s="152" t="s">
        <v>2301</v>
      </c>
      <c r="D404" s="153"/>
      <c r="E404" s="153"/>
      <c r="F404" s="153"/>
      <c r="G404" s="94" t="s">
        <v>2849</v>
      </c>
      <c r="H404" s="73">
        <v>6.996</v>
      </c>
      <c r="I404" s="105">
        <v>0</v>
      </c>
      <c r="J404" s="15">
        <f t="shared" si="388"/>
        <v>0</v>
      </c>
      <c r="K404" s="15">
        <f t="shared" si="389"/>
        <v>0</v>
      </c>
      <c r="L404" s="15">
        <f t="shared" si="390"/>
        <v>0</v>
      </c>
      <c r="M404" s="25"/>
      <c r="N404" s="5"/>
      <c r="Z404" s="29">
        <f t="shared" si="391"/>
        <v>0</v>
      </c>
      <c r="AB404" s="29">
        <f t="shared" si="392"/>
        <v>0</v>
      </c>
      <c r="AC404" s="29">
        <f t="shared" si="393"/>
        <v>0</v>
      </c>
      <c r="AD404" s="29">
        <f t="shared" si="394"/>
        <v>0</v>
      </c>
      <c r="AE404" s="29">
        <f t="shared" si="395"/>
        <v>0</v>
      </c>
      <c r="AF404" s="29">
        <f t="shared" si="396"/>
        <v>0</v>
      </c>
      <c r="AG404" s="29">
        <f t="shared" si="397"/>
        <v>0</v>
      </c>
      <c r="AH404" s="29">
        <f t="shared" si="398"/>
        <v>0</v>
      </c>
      <c r="AI404" s="28" t="s">
        <v>2882</v>
      </c>
      <c r="AJ404" s="15">
        <f t="shared" si="399"/>
        <v>0</v>
      </c>
      <c r="AK404" s="15">
        <f t="shared" si="400"/>
        <v>0</v>
      </c>
      <c r="AL404" s="15">
        <f t="shared" si="401"/>
        <v>0</v>
      </c>
      <c r="AN404" s="29">
        <v>15</v>
      </c>
      <c r="AO404" s="29">
        <f t="shared" si="402"/>
        <v>0</v>
      </c>
      <c r="AP404" s="29">
        <f t="shared" si="403"/>
        <v>0</v>
      </c>
      <c r="AQ404" s="30" t="s">
        <v>13</v>
      </c>
      <c r="AV404" s="29">
        <f t="shared" si="404"/>
        <v>0</v>
      </c>
      <c r="AW404" s="29">
        <f t="shared" si="405"/>
        <v>0</v>
      </c>
      <c r="AX404" s="29">
        <f t="shared" si="406"/>
        <v>0</v>
      </c>
      <c r="AY404" s="32" t="s">
        <v>2916</v>
      </c>
      <c r="AZ404" s="32" t="s">
        <v>2943</v>
      </c>
      <c r="BA404" s="28" t="s">
        <v>2957</v>
      </c>
      <c r="BC404" s="29">
        <f t="shared" si="407"/>
        <v>0</v>
      </c>
      <c r="BD404" s="29">
        <f t="shared" si="408"/>
        <v>0</v>
      </c>
      <c r="BE404" s="29">
        <v>0</v>
      </c>
      <c r="BF404" s="29">
        <f>404</f>
        <v>404</v>
      </c>
      <c r="BH404" s="15">
        <f t="shared" si="409"/>
        <v>0</v>
      </c>
      <c r="BI404" s="15">
        <f t="shared" si="410"/>
        <v>0</v>
      </c>
      <c r="BJ404" s="15">
        <f t="shared" si="411"/>
        <v>0</v>
      </c>
      <c r="BK404" s="15" t="s">
        <v>2969</v>
      </c>
      <c r="BL404" s="29">
        <v>728</v>
      </c>
    </row>
    <row r="405" spans="1:64" ht="12.75">
      <c r="A405" s="4" t="s">
        <v>362</v>
      </c>
      <c r="B405" s="94" t="s">
        <v>1359</v>
      </c>
      <c r="C405" s="152" t="s">
        <v>2297</v>
      </c>
      <c r="D405" s="153"/>
      <c r="E405" s="153"/>
      <c r="F405" s="153"/>
      <c r="G405" s="94" t="s">
        <v>2853</v>
      </c>
      <c r="H405" s="73">
        <v>5</v>
      </c>
      <c r="I405" s="105">
        <v>0</v>
      </c>
      <c r="J405" s="15">
        <f t="shared" si="388"/>
        <v>0</v>
      </c>
      <c r="K405" s="15">
        <f t="shared" si="389"/>
        <v>0</v>
      </c>
      <c r="L405" s="15">
        <f t="shared" si="390"/>
        <v>0</v>
      </c>
      <c r="M405" s="25"/>
      <c r="N405" s="5"/>
      <c r="Z405" s="29">
        <f t="shared" si="391"/>
        <v>0</v>
      </c>
      <c r="AB405" s="29">
        <f t="shared" si="392"/>
        <v>0</v>
      </c>
      <c r="AC405" s="29">
        <f t="shared" si="393"/>
        <v>0</v>
      </c>
      <c r="AD405" s="29">
        <f t="shared" si="394"/>
        <v>0</v>
      </c>
      <c r="AE405" s="29">
        <f t="shared" si="395"/>
        <v>0</v>
      </c>
      <c r="AF405" s="29">
        <f t="shared" si="396"/>
        <v>0</v>
      </c>
      <c r="AG405" s="29">
        <f t="shared" si="397"/>
        <v>0</v>
      </c>
      <c r="AH405" s="29">
        <f t="shared" si="398"/>
        <v>0</v>
      </c>
      <c r="AI405" s="28" t="s">
        <v>2882</v>
      </c>
      <c r="AJ405" s="15">
        <f t="shared" si="399"/>
        <v>0</v>
      </c>
      <c r="AK405" s="15">
        <f t="shared" si="400"/>
        <v>0</v>
      </c>
      <c r="AL405" s="15">
        <f t="shared" si="401"/>
        <v>0</v>
      </c>
      <c r="AN405" s="29">
        <v>15</v>
      </c>
      <c r="AO405" s="29">
        <f t="shared" si="402"/>
        <v>0</v>
      </c>
      <c r="AP405" s="29">
        <f t="shared" si="403"/>
        <v>0</v>
      </c>
      <c r="AQ405" s="30" t="s">
        <v>13</v>
      </c>
      <c r="AV405" s="29">
        <f t="shared" si="404"/>
        <v>0</v>
      </c>
      <c r="AW405" s="29">
        <f t="shared" si="405"/>
        <v>0</v>
      </c>
      <c r="AX405" s="29">
        <f t="shared" si="406"/>
        <v>0</v>
      </c>
      <c r="AY405" s="32" t="s">
        <v>2916</v>
      </c>
      <c r="AZ405" s="32" t="s">
        <v>2943</v>
      </c>
      <c r="BA405" s="28" t="s">
        <v>2957</v>
      </c>
      <c r="BC405" s="29">
        <f t="shared" si="407"/>
        <v>0</v>
      </c>
      <c r="BD405" s="29">
        <f t="shared" si="408"/>
        <v>0</v>
      </c>
      <c r="BE405" s="29">
        <v>0</v>
      </c>
      <c r="BF405" s="29">
        <f>405</f>
        <v>405</v>
      </c>
      <c r="BH405" s="15">
        <f t="shared" si="409"/>
        <v>0</v>
      </c>
      <c r="BI405" s="15">
        <f t="shared" si="410"/>
        <v>0</v>
      </c>
      <c r="BJ405" s="15">
        <f t="shared" si="411"/>
        <v>0</v>
      </c>
      <c r="BK405" s="15" t="s">
        <v>2969</v>
      </c>
      <c r="BL405" s="29">
        <v>728</v>
      </c>
    </row>
    <row r="406" spans="1:64" ht="12.75">
      <c r="A406" s="4" t="s">
        <v>363</v>
      </c>
      <c r="B406" s="94" t="s">
        <v>1360</v>
      </c>
      <c r="C406" s="152" t="s">
        <v>2298</v>
      </c>
      <c r="D406" s="153"/>
      <c r="E406" s="153"/>
      <c r="F406" s="153"/>
      <c r="G406" s="94" t="s">
        <v>2853</v>
      </c>
      <c r="H406" s="73">
        <v>7</v>
      </c>
      <c r="I406" s="105">
        <v>0</v>
      </c>
      <c r="J406" s="15">
        <f t="shared" si="388"/>
        <v>0</v>
      </c>
      <c r="K406" s="15">
        <f t="shared" si="389"/>
        <v>0</v>
      </c>
      <c r="L406" s="15">
        <f t="shared" si="390"/>
        <v>0</v>
      </c>
      <c r="M406" s="25"/>
      <c r="N406" s="5"/>
      <c r="Z406" s="29">
        <f t="shared" si="391"/>
        <v>0</v>
      </c>
      <c r="AB406" s="29">
        <f t="shared" si="392"/>
        <v>0</v>
      </c>
      <c r="AC406" s="29">
        <f t="shared" si="393"/>
        <v>0</v>
      </c>
      <c r="AD406" s="29">
        <f t="shared" si="394"/>
        <v>0</v>
      </c>
      <c r="AE406" s="29">
        <f t="shared" si="395"/>
        <v>0</v>
      </c>
      <c r="AF406" s="29">
        <f t="shared" si="396"/>
        <v>0</v>
      </c>
      <c r="AG406" s="29">
        <f t="shared" si="397"/>
        <v>0</v>
      </c>
      <c r="AH406" s="29">
        <f t="shared" si="398"/>
        <v>0</v>
      </c>
      <c r="AI406" s="28" t="s">
        <v>2882</v>
      </c>
      <c r="AJ406" s="15">
        <f t="shared" si="399"/>
        <v>0</v>
      </c>
      <c r="AK406" s="15">
        <f t="shared" si="400"/>
        <v>0</v>
      </c>
      <c r="AL406" s="15">
        <f t="shared" si="401"/>
        <v>0</v>
      </c>
      <c r="AN406" s="29">
        <v>15</v>
      </c>
      <c r="AO406" s="29">
        <f t="shared" si="402"/>
        <v>0</v>
      </c>
      <c r="AP406" s="29">
        <f t="shared" si="403"/>
        <v>0</v>
      </c>
      <c r="AQ406" s="30" t="s">
        <v>13</v>
      </c>
      <c r="AV406" s="29">
        <f t="shared" si="404"/>
        <v>0</v>
      </c>
      <c r="AW406" s="29">
        <f t="shared" si="405"/>
        <v>0</v>
      </c>
      <c r="AX406" s="29">
        <f t="shared" si="406"/>
        <v>0</v>
      </c>
      <c r="AY406" s="32" t="s">
        <v>2916</v>
      </c>
      <c r="AZ406" s="32" t="s">
        <v>2943</v>
      </c>
      <c r="BA406" s="28" t="s">
        <v>2957</v>
      </c>
      <c r="BC406" s="29">
        <f t="shared" si="407"/>
        <v>0</v>
      </c>
      <c r="BD406" s="29">
        <f t="shared" si="408"/>
        <v>0</v>
      </c>
      <c r="BE406" s="29">
        <v>0</v>
      </c>
      <c r="BF406" s="29">
        <f>406</f>
        <v>406</v>
      </c>
      <c r="BH406" s="15">
        <f t="shared" si="409"/>
        <v>0</v>
      </c>
      <c r="BI406" s="15">
        <f t="shared" si="410"/>
        <v>0</v>
      </c>
      <c r="BJ406" s="15">
        <f t="shared" si="411"/>
        <v>0</v>
      </c>
      <c r="BK406" s="15" t="s">
        <v>2969</v>
      </c>
      <c r="BL406" s="29">
        <v>728</v>
      </c>
    </row>
    <row r="407" spans="1:64" ht="12.75">
      <c r="A407" s="4" t="s">
        <v>364</v>
      </c>
      <c r="B407" s="94" t="s">
        <v>1361</v>
      </c>
      <c r="C407" s="152" t="s">
        <v>2302</v>
      </c>
      <c r="D407" s="153"/>
      <c r="E407" s="153"/>
      <c r="F407" s="153"/>
      <c r="G407" s="94" t="s">
        <v>2850</v>
      </c>
      <c r="H407" s="73">
        <v>5</v>
      </c>
      <c r="I407" s="105">
        <v>0</v>
      </c>
      <c r="J407" s="15">
        <f t="shared" si="388"/>
        <v>0</v>
      </c>
      <c r="K407" s="15">
        <f t="shared" si="389"/>
        <v>0</v>
      </c>
      <c r="L407" s="15">
        <f t="shared" si="390"/>
        <v>0</v>
      </c>
      <c r="M407" s="25"/>
      <c r="N407" s="5"/>
      <c r="Z407" s="29">
        <f t="shared" si="391"/>
        <v>0</v>
      </c>
      <c r="AB407" s="29">
        <f t="shared" si="392"/>
        <v>0</v>
      </c>
      <c r="AC407" s="29">
        <f t="shared" si="393"/>
        <v>0</v>
      </c>
      <c r="AD407" s="29">
        <f t="shared" si="394"/>
        <v>0</v>
      </c>
      <c r="AE407" s="29">
        <f t="shared" si="395"/>
        <v>0</v>
      </c>
      <c r="AF407" s="29">
        <f t="shared" si="396"/>
        <v>0</v>
      </c>
      <c r="AG407" s="29">
        <f t="shared" si="397"/>
        <v>0</v>
      </c>
      <c r="AH407" s="29">
        <f t="shared" si="398"/>
        <v>0</v>
      </c>
      <c r="AI407" s="28" t="s">
        <v>2882</v>
      </c>
      <c r="AJ407" s="15">
        <f t="shared" si="399"/>
        <v>0</v>
      </c>
      <c r="AK407" s="15">
        <f t="shared" si="400"/>
        <v>0</v>
      </c>
      <c r="AL407" s="15">
        <f t="shared" si="401"/>
        <v>0</v>
      </c>
      <c r="AN407" s="29">
        <v>15</v>
      </c>
      <c r="AO407" s="29">
        <f t="shared" si="402"/>
        <v>0</v>
      </c>
      <c r="AP407" s="29">
        <f t="shared" si="403"/>
        <v>0</v>
      </c>
      <c r="AQ407" s="30" t="s">
        <v>13</v>
      </c>
      <c r="AV407" s="29">
        <f t="shared" si="404"/>
        <v>0</v>
      </c>
      <c r="AW407" s="29">
        <f t="shared" si="405"/>
        <v>0</v>
      </c>
      <c r="AX407" s="29">
        <f t="shared" si="406"/>
        <v>0</v>
      </c>
      <c r="AY407" s="32" t="s">
        <v>2916</v>
      </c>
      <c r="AZ407" s="32" t="s">
        <v>2943</v>
      </c>
      <c r="BA407" s="28" t="s">
        <v>2957</v>
      </c>
      <c r="BC407" s="29">
        <f t="shared" si="407"/>
        <v>0</v>
      </c>
      <c r="BD407" s="29">
        <f t="shared" si="408"/>
        <v>0</v>
      </c>
      <c r="BE407" s="29">
        <v>0</v>
      </c>
      <c r="BF407" s="29">
        <f>407</f>
        <v>407</v>
      </c>
      <c r="BH407" s="15">
        <f t="shared" si="409"/>
        <v>0</v>
      </c>
      <c r="BI407" s="15">
        <f t="shared" si="410"/>
        <v>0</v>
      </c>
      <c r="BJ407" s="15">
        <f t="shared" si="411"/>
        <v>0</v>
      </c>
      <c r="BK407" s="15" t="s">
        <v>2969</v>
      </c>
      <c r="BL407" s="29">
        <v>728</v>
      </c>
    </row>
    <row r="408" spans="1:64" ht="12.75">
      <c r="A408" s="4" t="s">
        <v>365</v>
      </c>
      <c r="B408" s="94" t="s">
        <v>1362</v>
      </c>
      <c r="C408" s="152" t="s">
        <v>2303</v>
      </c>
      <c r="D408" s="153"/>
      <c r="E408" s="153"/>
      <c r="F408" s="153"/>
      <c r="G408" s="94" t="s">
        <v>2850</v>
      </c>
      <c r="H408" s="73">
        <v>18</v>
      </c>
      <c r="I408" s="105">
        <v>0</v>
      </c>
      <c r="J408" s="15">
        <f t="shared" si="388"/>
        <v>0</v>
      </c>
      <c r="K408" s="15">
        <f t="shared" si="389"/>
        <v>0</v>
      </c>
      <c r="L408" s="15">
        <f t="shared" si="390"/>
        <v>0</v>
      </c>
      <c r="M408" s="25"/>
      <c r="N408" s="5"/>
      <c r="Z408" s="29">
        <f t="shared" si="391"/>
        <v>0</v>
      </c>
      <c r="AB408" s="29">
        <f t="shared" si="392"/>
        <v>0</v>
      </c>
      <c r="AC408" s="29">
        <f t="shared" si="393"/>
        <v>0</v>
      </c>
      <c r="AD408" s="29">
        <f t="shared" si="394"/>
        <v>0</v>
      </c>
      <c r="AE408" s="29">
        <f t="shared" si="395"/>
        <v>0</v>
      </c>
      <c r="AF408" s="29">
        <f t="shared" si="396"/>
        <v>0</v>
      </c>
      <c r="AG408" s="29">
        <f t="shared" si="397"/>
        <v>0</v>
      </c>
      <c r="AH408" s="29">
        <f t="shared" si="398"/>
        <v>0</v>
      </c>
      <c r="AI408" s="28" t="s">
        <v>2882</v>
      </c>
      <c r="AJ408" s="15">
        <f t="shared" si="399"/>
        <v>0</v>
      </c>
      <c r="AK408" s="15">
        <f t="shared" si="400"/>
        <v>0</v>
      </c>
      <c r="AL408" s="15">
        <f t="shared" si="401"/>
        <v>0</v>
      </c>
      <c r="AN408" s="29">
        <v>15</v>
      </c>
      <c r="AO408" s="29">
        <f t="shared" si="402"/>
        <v>0</v>
      </c>
      <c r="AP408" s="29">
        <f t="shared" si="403"/>
        <v>0</v>
      </c>
      <c r="AQ408" s="30" t="s">
        <v>13</v>
      </c>
      <c r="AV408" s="29">
        <f t="shared" si="404"/>
        <v>0</v>
      </c>
      <c r="AW408" s="29">
        <f t="shared" si="405"/>
        <v>0</v>
      </c>
      <c r="AX408" s="29">
        <f t="shared" si="406"/>
        <v>0</v>
      </c>
      <c r="AY408" s="32" t="s">
        <v>2916</v>
      </c>
      <c r="AZ408" s="32" t="s">
        <v>2943</v>
      </c>
      <c r="BA408" s="28" t="s">
        <v>2957</v>
      </c>
      <c r="BC408" s="29">
        <f t="shared" si="407"/>
        <v>0</v>
      </c>
      <c r="BD408" s="29">
        <f t="shared" si="408"/>
        <v>0</v>
      </c>
      <c r="BE408" s="29">
        <v>0</v>
      </c>
      <c r="BF408" s="29">
        <f>408</f>
        <v>408</v>
      </c>
      <c r="BH408" s="15">
        <f t="shared" si="409"/>
        <v>0</v>
      </c>
      <c r="BI408" s="15">
        <f t="shared" si="410"/>
        <v>0</v>
      </c>
      <c r="BJ408" s="15">
        <f t="shared" si="411"/>
        <v>0</v>
      </c>
      <c r="BK408" s="15" t="s">
        <v>2969</v>
      </c>
      <c r="BL408" s="29">
        <v>728</v>
      </c>
    </row>
    <row r="409" spans="1:64" ht="12.75">
      <c r="A409" s="4" t="s">
        <v>366</v>
      </c>
      <c r="B409" s="94" t="s">
        <v>1363</v>
      </c>
      <c r="C409" s="152" t="s">
        <v>2304</v>
      </c>
      <c r="D409" s="153"/>
      <c r="E409" s="153"/>
      <c r="F409" s="153"/>
      <c r="G409" s="94" t="s">
        <v>2854</v>
      </c>
      <c r="H409" s="73">
        <v>1</v>
      </c>
      <c r="I409" s="105">
        <v>0</v>
      </c>
      <c r="J409" s="15">
        <f t="shared" si="388"/>
        <v>0</v>
      </c>
      <c r="K409" s="15">
        <f t="shared" si="389"/>
        <v>0</v>
      </c>
      <c r="L409" s="15">
        <f t="shared" si="390"/>
        <v>0</v>
      </c>
      <c r="M409" s="25"/>
      <c r="N409" s="5"/>
      <c r="Z409" s="29">
        <f t="shared" si="391"/>
        <v>0</v>
      </c>
      <c r="AB409" s="29">
        <f t="shared" si="392"/>
        <v>0</v>
      </c>
      <c r="AC409" s="29">
        <f t="shared" si="393"/>
        <v>0</v>
      </c>
      <c r="AD409" s="29">
        <f t="shared" si="394"/>
        <v>0</v>
      </c>
      <c r="AE409" s="29">
        <f t="shared" si="395"/>
        <v>0</v>
      </c>
      <c r="AF409" s="29">
        <f t="shared" si="396"/>
        <v>0</v>
      </c>
      <c r="AG409" s="29">
        <f t="shared" si="397"/>
        <v>0</v>
      </c>
      <c r="AH409" s="29">
        <f t="shared" si="398"/>
        <v>0</v>
      </c>
      <c r="AI409" s="28" t="s">
        <v>2882</v>
      </c>
      <c r="AJ409" s="15">
        <f t="shared" si="399"/>
        <v>0</v>
      </c>
      <c r="AK409" s="15">
        <f t="shared" si="400"/>
        <v>0</v>
      </c>
      <c r="AL409" s="15">
        <f t="shared" si="401"/>
        <v>0</v>
      </c>
      <c r="AN409" s="29">
        <v>15</v>
      </c>
      <c r="AO409" s="29">
        <f t="shared" si="402"/>
        <v>0</v>
      </c>
      <c r="AP409" s="29">
        <f t="shared" si="403"/>
        <v>0</v>
      </c>
      <c r="AQ409" s="30" t="s">
        <v>13</v>
      </c>
      <c r="AV409" s="29">
        <f t="shared" si="404"/>
        <v>0</v>
      </c>
      <c r="AW409" s="29">
        <f t="shared" si="405"/>
        <v>0</v>
      </c>
      <c r="AX409" s="29">
        <f t="shared" si="406"/>
        <v>0</v>
      </c>
      <c r="AY409" s="32" t="s">
        <v>2916</v>
      </c>
      <c r="AZ409" s="32" t="s">
        <v>2943</v>
      </c>
      <c r="BA409" s="28" t="s">
        <v>2957</v>
      </c>
      <c r="BC409" s="29">
        <f t="shared" si="407"/>
        <v>0</v>
      </c>
      <c r="BD409" s="29">
        <f t="shared" si="408"/>
        <v>0</v>
      </c>
      <c r="BE409" s="29">
        <v>0</v>
      </c>
      <c r="BF409" s="29">
        <f>409</f>
        <v>409</v>
      </c>
      <c r="BH409" s="15">
        <f t="shared" si="409"/>
        <v>0</v>
      </c>
      <c r="BI409" s="15">
        <f t="shared" si="410"/>
        <v>0</v>
      </c>
      <c r="BJ409" s="15">
        <f t="shared" si="411"/>
        <v>0</v>
      </c>
      <c r="BK409" s="15" t="s">
        <v>2969</v>
      </c>
      <c r="BL409" s="29">
        <v>728</v>
      </c>
    </row>
    <row r="410" spans="1:64" ht="12.75">
      <c r="A410" s="4" t="s">
        <v>367</v>
      </c>
      <c r="B410" s="94" t="s">
        <v>1364</v>
      </c>
      <c r="C410" s="152" t="s">
        <v>2189</v>
      </c>
      <c r="D410" s="153"/>
      <c r="E410" s="153"/>
      <c r="F410" s="153"/>
      <c r="G410" s="94" t="s">
        <v>2852</v>
      </c>
      <c r="H410" s="73">
        <v>50</v>
      </c>
      <c r="I410" s="105">
        <v>0</v>
      </c>
      <c r="J410" s="15">
        <f t="shared" si="388"/>
        <v>0</v>
      </c>
      <c r="K410" s="15">
        <f t="shared" si="389"/>
        <v>0</v>
      </c>
      <c r="L410" s="15">
        <f t="shared" si="390"/>
        <v>0</v>
      </c>
      <c r="M410" s="25"/>
      <c r="N410" s="5"/>
      <c r="Z410" s="29">
        <f t="shared" si="391"/>
        <v>0</v>
      </c>
      <c r="AB410" s="29">
        <f t="shared" si="392"/>
        <v>0</v>
      </c>
      <c r="AC410" s="29">
        <f t="shared" si="393"/>
        <v>0</v>
      </c>
      <c r="AD410" s="29">
        <f t="shared" si="394"/>
        <v>0</v>
      </c>
      <c r="AE410" s="29">
        <f t="shared" si="395"/>
        <v>0</v>
      </c>
      <c r="AF410" s="29">
        <f t="shared" si="396"/>
        <v>0</v>
      </c>
      <c r="AG410" s="29">
        <f t="shared" si="397"/>
        <v>0</v>
      </c>
      <c r="AH410" s="29">
        <f t="shared" si="398"/>
        <v>0</v>
      </c>
      <c r="AI410" s="28" t="s">
        <v>2882</v>
      </c>
      <c r="AJ410" s="15">
        <f t="shared" si="399"/>
        <v>0</v>
      </c>
      <c r="AK410" s="15">
        <f t="shared" si="400"/>
        <v>0</v>
      </c>
      <c r="AL410" s="15">
        <f t="shared" si="401"/>
        <v>0</v>
      </c>
      <c r="AN410" s="29">
        <v>15</v>
      </c>
      <c r="AO410" s="29">
        <f t="shared" si="402"/>
        <v>0</v>
      </c>
      <c r="AP410" s="29">
        <f t="shared" si="403"/>
        <v>0</v>
      </c>
      <c r="AQ410" s="30" t="s">
        <v>13</v>
      </c>
      <c r="AV410" s="29">
        <f t="shared" si="404"/>
        <v>0</v>
      </c>
      <c r="AW410" s="29">
        <f t="shared" si="405"/>
        <v>0</v>
      </c>
      <c r="AX410" s="29">
        <f t="shared" si="406"/>
        <v>0</v>
      </c>
      <c r="AY410" s="32" t="s">
        <v>2916</v>
      </c>
      <c r="AZ410" s="32" t="s">
        <v>2943</v>
      </c>
      <c r="BA410" s="28" t="s">
        <v>2957</v>
      </c>
      <c r="BC410" s="29">
        <f t="shared" si="407"/>
        <v>0</v>
      </c>
      <c r="BD410" s="29">
        <f t="shared" si="408"/>
        <v>0</v>
      </c>
      <c r="BE410" s="29">
        <v>0</v>
      </c>
      <c r="BF410" s="29">
        <f>410</f>
        <v>410</v>
      </c>
      <c r="BH410" s="15">
        <f t="shared" si="409"/>
        <v>0</v>
      </c>
      <c r="BI410" s="15">
        <f t="shared" si="410"/>
        <v>0</v>
      </c>
      <c r="BJ410" s="15">
        <f t="shared" si="411"/>
        <v>0</v>
      </c>
      <c r="BK410" s="15" t="s">
        <v>2969</v>
      </c>
      <c r="BL410" s="29">
        <v>728</v>
      </c>
    </row>
    <row r="411" spans="1:64" ht="12.75">
      <c r="A411" s="4" t="s">
        <v>368</v>
      </c>
      <c r="B411" s="94" t="s">
        <v>1365</v>
      </c>
      <c r="C411" s="152" t="s">
        <v>2305</v>
      </c>
      <c r="D411" s="153"/>
      <c r="E411" s="153"/>
      <c r="F411" s="153"/>
      <c r="G411" s="94" t="s">
        <v>2850</v>
      </c>
      <c r="H411" s="73">
        <v>1</v>
      </c>
      <c r="I411" s="105">
        <v>0</v>
      </c>
      <c r="J411" s="15">
        <f t="shared" si="388"/>
        <v>0</v>
      </c>
      <c r="K411" s="15">
        <f t="shared" si="389"/>
        <v>0</v>
      </c>
      <c r="L411" s="15">
        <f t="shared" si="390"/>
        <v>0</v>
      </c>
      <c r="M411" s="25"/>
      <c r="N411" s="5"/>
      <c r="Z411" s="29">
        <f t="shared" si="391"/>
        <v>0</v>
      </c>
      <c r="AB411" s="29">
        <f t="shared" si="392"/>
        <v>0</v>
      </c>
      <c r="AC411" s="29">
        <f t="shared" si="393"/>
        <v>0</v>
      </c>
      <c r="AD411" s="29">
        <f t="shared" si="394"/>
        <v>0</v>
      </c>
      <c r="AE411" s="29">
        <f t="shared" si="395"/>
        <v>0</v>
      </c>
      <c r="AF411" s="29">
        <f t="shared" si="396"/>
        <v>0</v>
      </c>
      <c r="AG411" s="29">
        <f t="shared" si="397"/>
        <v>0</v>
      </c>
      <c r="AH411" s="29">
        <f t="shared" si="398"/>
        <v>0</v>
      </c>
      <c r="AI411" s="28" t="s">
        <v>2882</v>
      </c>
      <c r="AJ411" s="15">
        <f t="shared" si="399"/>
        <v>0</v>
      </c>
      <c r="AK411" s="15">
        <f t="shared" si="400"/>
        <v>0</v>
      </c>
      <c r="AL411" s="15">
        <f t="shared" si="401"/>
        <v>0</v>
      </c>
      <c r="AN411" s="29">
        <v>15</v>
      </c>
      <c r="AO411" s="29">
        <f t="shared" si="402"/>
        <v>0</v>
      </c>
      <c r="AP411" s="29">
        <f t="shared" si="403"/>
        <v>0</v>
      </c>
      <c r="AQ411" s="30" t="s">
        <v>13</v>
      </c>
      <c r="AV411" s="29">
        <f t="shared" si="404"/>
        <v>0</v>
      </c>
      <c r="AW411" s="29">
        <f t="shared" si="405"/>
        <v>0</v>
      </c>
      <c r="AX411" s="29">
        <f t="shared" si="406"/>
        <v>0</v>
      </c>
      <c r="AY411" s="32" t="s">
        <v>2916</v>
      </c>
      <c r="AZ411" s="32" t="s">
        <v>2943</v>
      </c>
      <c r="BA411" s="28" t="s">
        <v>2957</v>
      </c>
      <c r="BC411" s="29">
        <f t="shared" si="407"/>
        <v>0</v>
      </c>
      <c r="BD411" s="29">
        <f t="shared" si="408"/>
        <v>0</v>
      </c>
      <c r="BE411" s="29">
        <v>0</v>
      </c>
      <c r="BF411" s="29">
        <f>411</f>
        <v>411</v>
      </c>
      <c r="BH411" s="15">
        <f t="shared" si="409"/>
        <v>0</v>
      </c>
      <c r="BI411" s="15">
        <f t="shared" si="410"/>
        <v>0</v>
      </c>
      <c r="BJ411" s="15">
        <f t="shared" si="411"/>
        <v>0</v>
      </c>
      <c r="BK411" s="15" t="s">
        <v>2969</v>
      </c>
      <c r="BL411" s="29">
        <v>728</v>
      </c>
    </row>
    <row r="412" spans="1:64" ht="12.75">
      <c r="A412" s="4" t="s">
        <v>369</v>
      </c>
      <c r="B412" s="94" t="s">
        <v>1366</v>
      </c>
      <c r="C412" s="152" t="s">
        <v>2306</v>
      </c>
      <c r="D412" s="153"/>
      <c r="E412" s="153"/>
      <c r="F412" s="153"/>
      <c r="G412" s="94" t="s">
        <v>2850</v>
      </c>
      <c r="H412" s="73">
        <v>1</v>
      </c>
      <c r="I412" s="105">
        <v>0</v>
      </c>
      <c r="J412" s="15">
        <f t="shared" si="388"/>
        <v>0</v>
      </c>
      <c r="K412" s="15">
        <f t="shared" si="389"/>
        <v>0</v>
      </c>
      <c r="L412" s="15">
        <f t="shared" si="390"/>
        <v>0</v>
      </c>
      <c r="M412" s="25"/>
      <c r="N412" s="5"/>
      <c r="Z412" s="29">
        <f t="shared" si="391"/>
        <v>0</v>
      </c>
      <c r="AB412" s="29">
        <f t="shared" si="392"/>
        <v>0</v>
      </c>
      <c r="AC412" s="29">
        <f t="shared" si="393"/>
        <v>0</v>
      </c>
      <c r="AD412" s="29">
        <f t="shared" si="394"/>
        <v>0</v>
      </c>
      <c r="AE412" s="29">
        <f t="shared" si="395"/>
        <v>0</v>
      </c>
      <c r="AF412" s="29">
        <f t="shared" si="396"/>
        <v>0</v>
      </c>
      <c r="AG412" s="29">
        <f t="shared" si="397"/>
        <v>0</v>
      </c>
      <c r="AH412" s="29">
        <f t="shared" si="398"/>
        <v>0</v>
      </c>
      <c r="AI412" s="28" t="s">
        <v>2882</v>
      </c>
      <c r="AJ412" s="15">
        <f t="shared" si="399"/>
        <v>0</v>
      </c>
      <c r="AK412" s="15">
        <f t="shared" si="400"/>
        <v>0</v>
      </c>
      <c r="AL412" s="15">
        <f t="shared" si="401"/>
        <v>0</v>
      </c>
      <c r="AN412" s="29">
        <v>15</v>
      </c>
      <c r="AO412" s="29">
        <f t="shared" si="402"/>
        <v>0</v>
      </c>
      <c r="AP412" s="29">
        <f t="shared" si="403"/>
        <v>0</v>
      </c>
      <c r="AQ412" s="30" t="s">
        <v>13</v>
      </c>
      <c r="AV412" s="29">
        <f t="shared" si="404"/>
        <v>0</v>
      </c>
      <c r="AW412" s="29">
        <f t="shared" si="405"/>
        <v>0</v>
      </c>
      <c r="AX412" s="29">
        <f t="shared" si="406"/>
        <v>0</v>
      </c>
      <c r="AY412" s="32" t="s">
        <v>2916</v>
      </c>
      <c r="AZ412" s="32" t="s">
        <v>2943</v>
      </c>
      <c r="BA412" s="28" t="s">
        <v>2957</v>
      </c>
      <c r="BC412" s="29">
        <f t="shared" si="407"/>
        <v>0</v>
      </c>
      <c r="BD412" s="29">
        <f t="shared" si="408"/>
        <v>0</v>
      </c>
      <c r="BE412" s="29">
        <v>0</v>
      </c>
      <c r="BF412" s="29">
        <f>412</f>
        <v>412</v>
      </c>
      <c r="BH412" s="15">
        <f t="shared" si="409"/>
        <v>0</v>
      </c>
      <c r="BI412" s="15">
        <f t="shared" si="410"/>
        <v>0</v>
      </c>
      <c r="BJ412" s="15">
        <f t="shared" si="411"/>
        <v>0</v>
      </c>
      <c r="BK412" s="15" t="s">
        <v>2969</v>
      </c>
      <c r="BL412" s="29">
        <v>728</v>
      </c>
    </row>
    <row r="413" spans="1:64" ht="12.75">
      <c r="A413" s="4" t="s">
        <v>370</v>
      </c>
      <c r="B413" s="94" t="s">
        <v>1367</v>
      </c>
      <c r="C413" s="152" t="s">
        <v>2307</v>
      </c>
      <c r="D413" s="153"/>
      <c r="E413" s="153"/>
      <c r="F413" s="153"/>
      <c r="G413" s="94" t="s">
        <v>2850</v>
      </c>
      <c r="H413" s="73">
        <v>1</v>
      </c>
      <c r="I413" s="105">
        <v>0</v>
      </c>
      <c r="J413" s="15">
        <f t="shared" si="388"/>
        <v>0</v>
      </c>
      <c r="K413" s="15">
        <f t="shared" si="389"/>
        <v>0</v>
      </c>
      <c r="L413" s="15">
        <f t="shared" si="390"/>
        <v>0</v>
      </c>
      <c r="M413" s="25"/>
      <c r="N413" s="5"/>
      <c r="Z413" s="29">
        <f t="shared" si="391"/>
        <v>0</v>
      </c>
      <c r="AB413" s="29">
        <f t="shared" si="392"/>
        <v>0</v>
      </c>
      <c r="AC413" s="29">
        <f t="shared" si="393"/>
        <v>0</v>
      </c>
      <c r="AD413" s="29">
        <f t="shared" si="394"/>
        <v>0</v>
      </c>
      <c r="AE413" s="29">
        <f t="shared" si="395"/>
        <v>0</v>
      </c>
      <c r="AF413" s="29">
        <f t="shared" si="396"/>
        <v>0</v>
      </c>
      <c r="AG413" s="29">
        <f t="shared" si="397"/>
        <v>0</v>
      </c>
      <c r="AH413" s="29">
        <f t="shared" si="398"/>
        <v>0</v>
      </c>
      <c r="AI413" s="28" t="s">
        <v>2882</v>
      </c>
      <c r="AJ413" s="15">
        <f t="shared" si="399"/>
        <v>0</v>
      </c>
      <c r="AK413" s="15">
        <f t="shared" si="400"/>
        <v>0</v>
      </c>
      <c r="AL413" s="15">
        <f t="shared" si="401"/>
        <v>0</v>
      </c>
      <c r="AN413" s="29">
        <v>15</v>
      </c>
      <c r="AO413" s="29">
        <f t="shared" si="402"/>
        <v>0</v>
      </c>
      <c r="AP413" s="29">
        <f t="shared" si="403"/>
        <v>0</v>
      </c>
      <c r="AQ413" s="30" t="s">
        <v>13</v>
      </c>
      <c r="AV413" s="29">
        <f t="shared" si="404"/>
        <v>0</v>
      </c>
      <c r="AW413" s="29">
        <f t="shared" si="405"/>
        <v>0</v>
      </c>
      <c r="AX413" s="29">
        <f t="shared" si="406"/>
        <v>0</v>
      </c>
      <c r="AY413" s="32" t="s">
        <v>2916</v>
      </c>
      <c r="AZ413" s="32" t="s">
        <v>2943</v>
      </c>
      <c r="BA413" s="28" t="s">
        <v>2957</v>
      </c>
      <c r="BC413" s="29">
        <f t="shared" si="407"/>
        <v>0</v>
      </c>
      <c r="BD413" s="29">
        <f t="shared" si="408"/>
        <v>0</v>
      </c>
      <c r="BE413" s="29">
        <v>0</v>
      </c>
      <c r="BF413" s="29">
        <f>413</f>
        <v>413</v>
      </c>
      <c r="BH413" s="15">
        <f t="shared" si="409"/>
        <v>0</v>
      </c>
      <c r="BI413" s="15">
        <f t="shared" si="410"/>
        <v>0</v>
      </c>
      <c r="BJ413" s="15">
        <f t="shared" si="411"/>
        <v>0</v>
      </c>
      <c r="BK413" s="15" t="s">
        <v>2969</v>
      </c>
      <c r="BL413" s="29">
        <v>728</v>
      </c>
    </row>
    <row r="414" spans="1:64" ht="12.75">
      <c r="A414" s="4" t="s">
        <v>371</v>
      </c>
      <c r="B414" s="94" t="s">
        <v>1368</v>
      </c>
      <c r="C414" s="152" t="s">
        <v>2308</v>
      </c>
      <c r="D414" s="153"/>
      <c r="E414" s="153"/>
      <c r="F414" s="153"/>
      <c r="G414" s="94" t="s">
        <v>2850</v>
      </c>
      <c r="H414" s="73">
        <v>1</v>
      </c>
      <c r="I414" s="105">
        <v>0</v>
      </c>
      <c r="J414" s="15">
        <f t="shared" si="388"/>
        <v>0</v>
      </c>
      <c r="K414" s="15">
        <f t="shared" si="389"/>
        <v>0</v>
      </c>
      <c r="L414" s="15">
        <f t="shared" si="390"/>
        <v>0</v>
      </c>
      <c r="M414" s="25"/>
      <c r="N414" s="5"/>
      <c r="Z414" s="29">
        <f t="shared" si="391"/>
        <v>0</v>
      </c>
      <c r="AB414" s="29">
        <f t="shared" si="392"/>
        <v>0</v>
      </c>
      <c r="AC414" s="29">
        <f t="shared" si="393"/>
        <v>0</v>
      </c>
      <c r="AD414" s="29">
        <f t="shared" si="394"/>
        <v>0</v>
      </c>
      <c r="AE414" s="29">
        <f t="shared" si="395"/>
        <v>0</v>
      </c>
      <c r="AF414" s="29">
        <f t="shared" si="396"/>
        <v>0</v>
      </c>
      <c r="AG414" s="29">
        <f t="shared" si="397"/>
        <v>0</v>
      </c>
      <c r="AH414" s="29">
        <f t="shared" si="398"/>
        <v>0</v>
      </c>
      <c r="AI414" s="28" t="s">
        <v>2882</v>
      </c>
      <c r="AJ414" s="15">
        <f t="shared" si="399"/>
        <v>0</v>
      </c>
      <c r="AK414" s="15">
        <f t="shared" si="400"/>
        <v>0</v>
      </c>
      <c r="AL414" s="15">
        <f t="shared" si="401"/>
        <v>0</v>
      </c>
      <c r="AN414" s="29">
        <v>15</v>
      </c>
      <c r="AO414" s="29">
        <f t="shared" si="402"/>
        <v>0</v>
      </c>
      <c r="AP414" s="29">
        <f t="shared" si="403"/>
        <v>0</v>
      </c>
      <c r="AQ414" s="30" t="s">
        <v>13</v>
      </c>
      <c r="AV414" s="29">
        <f t="shared" si="404"/>
        <v>0</v>
      </c>
      <c r="AW414" s="29">
        <f t="shared" si="405"/>
        <v>0</v>
      </c>
      <c r="AX414" s="29">
        <f t="shared" si="406"/>
        <v>0</v>
      </c>
      <c r="AY414" s="32" t="s">
        <v>2916</v>
      </c>
      <c r="AZ414" s="32" t="s">
        <v>2943</v>
      </c>
      <c r="BA414" s="28" t="s">
        <v>2957</v>
      </c>
      <c r="BC414" s="29">
        <f t="shared" si="407"/>
        <v>0</v>
      </c>
      <c r="BD414" s="29">
        <f t="shared" si="408"/>
        <v>0</v>
      </c>
      <c r="BE414" s="29">
        <v>0</v>
      </c>
      <c r="BF414" s="29">
        <f>414</f>
        <v>414</v>
      </c>
      <c r="BH414" s="15">
        <f t="shared" si="409"/>
        <v>0</v>
      </c>
      <c r="BI414" s="15">
        <f t="shared" si="410"/>
        <v>0</v>
      </c>
      <c r="BJ414" s="15">
        <f t="shared" si="411"/>
        <v>0</v>
      </c>
      <c r="BK414" s="15" t="s">
        <v>2969</v>
      </c>
      <c r="BL414" s="29">
        <v>728</v>
      </c>
    </row>
    <row r="415" spans="1:64" ht="12.75">
      <c r="A415" s="4" t="s">
        <v>372</v>
      </c>
      <c r="B415" s="94" t="s">
        <v>1369</v>
      </c>
      <c r="C415" s="152" t="s">
        <v>2309</v>
      </c>
      <c r="D415" s="153"/>
      <c r="E415" s="153"/>
      <c r="F415" s="153"/>
      <c r="G415" s="94" t="s">
        <v>2852</v>
      </c>
      <c r="H415" s="73">
        <v>70</v>
      </c>
      <c r="I415" s="105">
        <v>0</v>
      </c>
      <c r="J415" s="15">
        <f t="shared" si="388"/>
        <v>0</v>
      </c>
      <c r="K415" s="15">
        <f t="shared" si="389"/>
        <v>0</v>
      </c>
      <c r="L415" s="15">
        <f t="shared" si="390"/>
        <v>0</v>
      </c>
      <c r="M415" s="25"/>
      <c r="N415" s="5"/>
      <c r="Z415" s="29">
        <f t="shared" si="391"/>
        <v>0</v>
      </c>
      <c r="AB415" s="29">
        <f t="shared" si="392"/>
        <v>0</v>
      </c>
      <c r="AC415" s="29">
        <f t="shared" si="393"/>
        <v>0</v>
      </c>
      <c r="AD415" s="29">
        <f t="shared" si="394"/>
        <v>0</v>
      </c>
      <c r="AE415" s="29">
        <f t="shared" si="395"/>
        <v>0</v>
      </c>
      <c r="AF415" s="29">
        <f t="shared" si="396"/>
        <v>0</v>
      </c>
      <c r="AG415" s="29">
        <f t="shared" si="397"/>
        <v>0</v>
      </c>
      <c r="AH415" s="29">
        <f t="shared" si="398"/>
        <v>0</v>
      </c>
      <c r="AI415" s="28" t="s">
        <v>2882</v>
      </c>
      <c r="AJ415" s="15">
        <f t="shared" si="399"/>
        <v>0</v>
      </c>
      <c r="AK415" s="15">
        <f t="shared" si="400"/>
        <v>0</v>
      </c>
      <c r="AL415" s="15">
        <f t="shared" si="401"/>
        <v>0</v>
      </c>
      <c r="AN415" s="29">
        <v>15</v>
      </c>
      <c r="AO415" s="29">
        <f t="shared" si="402"/>
        <v>0</v>
      </c>
      <c r="AP415" s="29">
        <f t="shared" si="403"/>
        <v>0</v>
      </c>
      <c r="AQ415" s="30" t="s">
        <v>13</v>
      </c>
      <c r="AV415" s="29">
        <f t="shared" si="404"/>
        <v>0</v>
      </c>
      <c r="AW415" s="29">
        <f t="shared" si="405"/>
        <v>0</v>
      </c>
      <c r="AX415" s="29">
        <f t="shared" si="406"/>
        <v>0</v>
      </c>
      <c r="AY415" s="32" t="s">
        <v>2916</v>
      </c>
      <c r="AZ415" s="32" t="s">
        <v>2943</v>
      </c>
      <c r="BA415" s="28" t="s">
        <v>2957</v>
      </c>
      <c r="BC415" s="29">
        <f t="shared" si="407"/>
        <v>0</v>
      </c>
      <c r="BD415" s="29">
        <f t="shared" si="408"/>
        <v>0</v>
      </c>
      <c r="BE415" s="29">
        <v>0</v>
      </c>
      <c r="BF415" s="29">
        <f>415</f>
        <v>415</v>
      </c>
      <c r="BH415" s="15">
        <f t="shared" si="409"/>
        <v>0</v>
      </c>
      <c r="BI415" s="15">
        <f t="shared" si="410"/>
        <v>0</v>
      </c>
      <c r="BJ415" s="15">
        <f t="shared" si="411"/>
        <v>0</v>
      </c>
      <c r="BK415" s="15" t="s">
        <v>2969</v>
      </c>
      <c r="BL415" s="29">
        <v>728</v>
      </c>
    </row>
    <row r="416" spans="1:64" ht="12.75">
      <c r="A416" s="4" t="s">
        <v>373</v>
      </c>
      <c r="B416" s="94" t="s">
        <v>1370</v>
      </c>
      <c r="C416" s="152" t="s">
        <v>2310</v>
      </c>
      <c r="D416" s="153"/>
      <c r="E416" s="153"/>
      <c r="F416" s="153"/>
      <c r="G416" s="94" t="s">
        <v>2852</v>
      </c>
      <c r="H416" s="73">
        <v>30</v>
      </c>
      <c r="I416" s="105">
        <v>0</v>
      </c>
      <c r="J416" s="15">
        <f t="shared" si="388"/>
        <v>0</v>
      </c>
      <c r="K416" s="15">
        <f t="shared" si="389"/>
        <v>0</v>
      </c>
      <c r="L416" s="15">
        <f t="shared" si="390"/>
        <v>0</v>
      </c>
      <c r="M416" s="25"/>
      <c r="N416" s="5"/>
      <c r="Z416" s="29">
        <f t="shared" si="391"/>
        <v>0</v>
      </c>
      <c r="AB416" s="29">
        <f t="shared" si="392"/>
        <v>0</v>
      </c>
      <c r="AC416" s="29">
        <f t="shared" si="393"/>
        <v>0</v>
      </c>
      <c r="AD416" s="29">
        <f t="shared" si="394"/>
        <v>0</v>
      </c>
      <c r="AE416" s="29">
        <f t="shared" si="395"/>
        <v>0</v>
      </c>
      <c r="AF416" s="29">
        <f t="shared" si="396"/>
        <v>0</v>
      </c>
      <c r="AG416" s="29">
        <f t="shared" si="397"/>
        <v>0</v>
      </c>
      <c r="AH416" s="29">
        <f t="shared" si="398"/>
        <v>0</v>
      </c>
      <c r="AI416" s="28" t="s">
        <v>2882</v>
      </c>
      <c r="AJ416" s="15">
        <f t="shared" si="399"/>
        <v>0</v>
      </c>
      <c r="AK416" s="15">
        <f t="shared" si="400"/>
        <v>0</v>
      </c>
      <c r="AL416" s="15">
        <f t="shared" si="401"/>
        <v>0</v>
      </c>
      <c r="AN416" s="29">
        <v>15</v>
      </c>
      <c r="AO416" s="29">
        <f t="shared" si="402"/>
        <v>0</v>
      </c>
      <c r="AP416" s="29">
        <f t="shared" si="403"/>
        <v>0</v>
      </c>
      <c r="AQ416" s="30" t="s">
        <v>13</v>
      </c>
      <c r="AV416" s="29">
        <f t="shared" si="404"/>
        <v>0</v>
      </c>
      <c r="AW416" s="29">
        <f t="shared" si="405"/>
        <v>0</v>
      </c>
      <c r="AX416" s="29">
        <f t="shared" si="406"/>
        <v>0</v>
      </c>
      <c r="AY416" s="32" t="s">
        <v>2916</v>
      </c>
      <c r="AZ416" s="32" t="s">
        <v>2943</v>
      </c>
      <c r="BA416" s="28" t="s">
        <v>2957</v>
      </c>
      <c r="BC416" s="29">
        <f t="shared" si="407"/>
        <v>0</v>
      </c>
      <c r="BD416" s="29">
        <f t="shared" si="408"/>
        <v>0</v>
      </c>
      <c r="BE416" s="29">
        <v>0</v>
      </c>
      <c r="BF416" s="29">
        <f>416</f>
        <v>416</v>
      </c>
      <c r="BH416" s="15">
        <f t="shared" si="409"/>
        <v>0</v>
      </c>
      <c r="BI416" s="15">
        <f t="shared" si="410"/>
        <v>0</v>
      </c>
      <c r="BJ416" s="15">
        <f t="shared" si="411"/>
        <v>0</v>
      </c>
      <c r="BK416" s="15" t="s">
        <v>2969</v>
      </c>
      <c r="BL416" s="29">
        <v>728</v>
      </c>
    </row>
    <row r="417" spans="1:64" ht="12.75">
      <c r="A417" s="4" t="s">
        <v>374</v>
      </c>
      <c r="B417" s="94" t="s">
        <v>1371</v>
      </c>
      <c r="C417" s="152" t="s">
        <v>2311</v>
      </c>
      <c r="D417" s="153"/>
      <c r="E417" s="153"/>
      <c r="F417" s="153"/>
      <c r="G417" s="94" t="s">
        <v>2850</v>
      </c>
      <c r="H417" s="73">
        <v>1</v>
      </c>
      <c r="I417" s="105">
        <v>0</v>
      </c>
      <c r="J417" s="15">
        <f t="shared" si="388"/>
        <v>0</v>
      </c>
      <c r="K417" s="15">
        <f t="shared" si="389"/>
        <v>0</v>
      </c>
      <c r="L417" s="15">
        <f t="shared" si="390"/>
        <v>0</v>
      </c>
      <c r="M417" s="25"/>
      <c r="N417" s="5"/>
      <c r="Z417" s="29">
        <f t="shared" si="391"/>
        <v>0</v>
      </c>
      <c r="AB417" s="29">
        <f t="shared" si="392"/>
        <v>0</v>
      </c>
      <c r="AC417" s="29">
        <f t="shared" si="393"/>
        <v>0</v>
      </c>
      <c r="AD417" s="29">
        <f t="shared" si="394"/>
        <v>0</v>
      </c>
      <c r="AE417" s="29">
        <f t="shared" si="395"/>
        <v>0</v>
      </c>
      <c r="AF417" s="29">
        <f t="shared" si="396"/>
        <v>0</v>
      </c>
      <c r="AG417" s="29">
        <f t="shared" si="397"/>
        <v>0</v>
      </c>
      <c r="AH417" s="29">
        <f t="shared" si="398"/>
        <v>0</v>
      </c>
      <c r="AI417" s="28" t="s">
        <v>2882</v>
      </c>
      <c r="AJ417" s="15">
        <f t="shared" si="399"/>
        <v>0</v>
      </c>
      <c r="AK417" s="15">
        <f t="shared" si="400"/>
        <v>0</v>
      </c>
      <c r="AL417" s="15">
        <f t="shared" si="401"/>
        <v>0</v>
      </c>
      <c r="AN417" s="29">
        <v>15</v>
      </c>
      <c r="AO417" s="29">
        <f t="shared" si="402"/>
        <v>0</v>
      </c>
      <c r="AP417" s="29">
        <f t="shared" si="403"/>
        <v>0</v>
      </c>
      <c r="AQ417" s="30" t="s">
        <v>13</v>
      </c>
      <c r="AV417" s="29">
        <f t="shared" si="404"/>
        <v>0</v>
      </c>
      <c r="AW417" s="29">
        <f t="shared" si="405"/>
        <v>0</v>
      </c>
      <c r="AX417" s="29">
        <f t="shared" si="406"/>
        <v>0</v>
      </c>
      <c r="AY417" s="32" t="s">
        <v>2916</v>
      </c>
      <c r="AZ417" s="32" t="s">
        <v>2943</v>
      </c>
      <c r="BA417" s="28" t="s">
        <v>2957</v>
      </c>
      <c r="BC417" s="29">
        <f t="shared" si="407"/>
        <v>0</v>
      </c>
      <c r="BD417" s="29">
        <f t="shared" si="408"/>
        <v>0</v>
      </c>
      <c r="BE417" s="29">
        <v>0</v>
      </c>
      <c r="BF417" s="29">
        <f>417</f>
        <v>417</v>
      </c>
      <c r="BH417" s="15">
        <f t="shared" si="409"/>
        <v>0</v>
      </c>
      <c r="BI417" s="15">
        <f t="shared" si="410"/>
        <v>0</v>
      </c>
      <c r="BJ417" s="15">
        <f t="shared" si="411"/>
        <v>0</v>
      </c>
      <c r="BK417" s="15" t="s">
        <v>2969</v>
      </c>
      <c r="BL417" s="29">
        <v>728</v>
      </c>
    </row>
    <row r="418" spans="1:64" ht="12.75">
      <c r="A418" s="4" t="s">
        <v>375</v>
      </c>
      <c r="B418" s="94" t="s">
        <v>1372</v>
      </c>
      <c r="C418" s="152" t="s">
        <v>2193</v>
      </c>
      <c r="D418" s="153"/>
      <c r="E418" s="153"/>
      <c r="F418" s="153"/>
      <c r="G418" s="94" t="s">
        <v>2852</v>
      </c>
      <c r="H418" s="73">
        <v>25</v>
      </c>
      <c r="I418" s="105">
        <v>0</v>
      </c>
      <c r="J418" s="15">
        <f t="shared" si="388"/>
        <v>0</v>
      </c>
      <c r="K418" s="15">
        <f t="shared" si="389"/>
        <v>0</v>
      </c>
      <c r="L418" s="15">
        <f t="shared" si="390"/>
        <v>0</v>
      </c>
      <c r="M418" s="25"/>
      <c r="N418" s="5"/>
      <c r="Z418" s="29">
        <f t="shared" si="391"/>
        <v>0</v>
      </c>
      <c r="AB418" s="29">
        <f t="shared" si="392"/>
        <v>0</v>
      </c>
      <c r="AC418" s="29">
        <f t="shared" si="393"/>
        <v>0</v>
      </c>
      <c r="AD418" s="29">
        <f t="shared" si="394"/>
        <v>0</v>
      </c>
      <c r="AE418" s="29">
        <f t="shared" si="395"/>
        <v>0</v>
      </c>
      <c r="AF418" s="29">
        <f t="shared" si="396"/>
        <v>0</v>
      </c>
      <c r="AG418" s="29">
        <f t="shared" si="397"/>
        <v>0</v>
      </c>
      <c r="AH418" s="29">
        <f t="shared" si="398"/>
        <v>0</v>
      </c>
      <c r="AI418" s="28" t="s">
        <v>2882</v>
      </c>
      <c r="AJ418" s="15">
        <f t="shared" si="399"/>
        <v>0</v>
      </c>
      <c r="AK418" s="15">
        <f t="shared" si="400"/>
        <v>0</v>
      </c>
      <c r="AL418" s="15">
        <f t="shared" si="401"/>
        <v>0</v>
      </c>
      <c r="AN418" s="29">
        <v>15</v>
      </c>
      <c r="AO418" s="29">
        <f t="shared" si="402"/>
        <v>0</v>
      </c>
      <c r="AP418" s="29">
        <f t="shared" si="403"/>
        <v>0</v>
      </c>
      <c r="AQ418" s="30" t="s">
        <v>13</v>
      </c>
      <c r="AV418" s="29">
        <f t="shared" si="404"/>
        <v>0</v>
      </c>
      <c r="AW418" s="29">
        <f t="shared" si="405"/>
        <v>0</v>
      </c>
      <c r="AX418" s="29">
        <f t="shared" si="406"/>
        <v>0</v>
      </c>
      <c r="AY418" s="32" t="s">
        <v>2916</v>
      </c>
      <c r="AZ418" s="32" t="s">
        <v>2943</v>
      </c>
      <c r="BA418" s="28" t="s">
        <v>2957</v>
      </c>
      <c r="BC418" s="29">
        <f t="shared" si="407"/>
        <v>0</v>
      </c>
      <c r="BD418" s="29">
        <f t="shared" si="408"/>
        <v>0</v>
      </c>
      <c r="BE418" s="29">
        <v>0</v>
      </c>
      <c r="BF418" s="29">
        <f>418</f>
        <v>418</v>
      </c>
      <c r="BH418" s="15">
        <f t="shared" si="409"/>
        <v>0</v>
      </c>
      <c r="BI418" s="15">
        <f t="shared" si="410"/>
        <v>0</v>
      </c>
      <c r="BJ418" s="15">
        <f t="shared" si="411"/>
        <v>0</v>
      </c>
      <c r="BK418" s="15" t="s">
        <v>2969</v>
      </c>
      <c r="BL418" s="29">
        <v>728</v>
      </c>
    </row>
    <row r="419" spans="1:64" ht="12.75">
      <c r="A419" s="4" t="s">
        <v>376</v>
      </c>
      <c r="B419" s="94" t="s">
        <v>1373</v>
      </c>
      <c r="C419" s="152" t="s">
        <v>2194</v>
      </c>
      <c r="D419" s="153"/>
      <c r="E419" s="153"/>
      <c r="F419" s="153"/>
      <c r="G419" s="94" t="s">
        <v>2850</v>
      </c>
      <c r="H419" s="73">
        <v>1</v>
      </c>
      <c r="I419" s="105">
        <v>0</v>
      </c>
      <c r="J419" s="15">
        <f t="shared" si="388"/>
        <v>0</v>
      </c>
      <c r="K419" s="15">
        <f t="shared" si="389"/>
        <v>0</v>
      </c>
      <c r="L419" s="15">
        <f t="shared" si="390"/>
        <v>0</v>
      </c>
      <c r="M419" s="25"/>
      <c r="N419" s="5"/>
      <c r="Z419" s="29">
        <f t="shared" si="391"/>
        <v>0</v>
      </c>
      <c r="AB419" s="29">
        <f t="shared" si="392"/>
        <v>0</v>
      </c>
      <c r="AC419" s="29">
        <f t="shared" si="393"/>
        <v>0</v>
      </c>
      <c r="AD419" s="29">
        <f t="shared" si="394"/>
        <v>0</v>
      </c>
      <c r="AE419" s="29">
        <f t="shared" si="395"/>
        <v>0</v>
      </c>
      <c r="AF419" s="29">
        <f t="shared" si="396"/>
        <v>0</v>
      </c>
      <c r="AG419" s="29">
        <f t="shared" si="397"/>
        <v>0</v>
      </c>
      <c r="AH419" s="29">
        <f t="shared" si="398"/>
        <v>0</v>
      </c>
      <c r="AI419" s="28" t="s">
        <v>2882</v>
      </c>
      <c r="AJ419" s="15">
        <f t="shared" si="399"/>
        <v>0</v>
      </c>
      <c r="AK419" s="15">
        <f t="shared" si="400"/>
        <v>0</v>
      </c>
      <c r="AL419" s="15">
        <f t="shared" si="401"/>
        <v>0</v>
      </c>
      <c r="AN419" s="29">
        <v>15</v>
      </c>
      <c r="AO419" s="29">
        <f t="shared" si="402"/>
        <v>0</v>
      </c>
      <c r="AP419" s="29">
        <f t="shared" si="403"/>
        <v>0</v>
      </c>
      <c r="AQ419" s="30" t="s">
        <v>13</v>
      </c>
      <c r="AV419" s="29">
        <f t="shared" si="404"/>
        <v>0</v>
      </c>
      <c r="AW419" s="29">
        <f t="shared" si="405"/>
        <v>0</v>
      </c>
      <c r="AX419" s="29">
        <f t="shared" si="406"/>
        <v>0</v>
      </c>
      <c r="AY419" s="32" t="s">
        <v>2916</v>
      </c>
      <c r="AZ419" s="32" t="s">
        <v>2943</v>
      </c>
      <c r="BA419" s="28" t="s">
        <v>2957</v>
      </c>
      <c r="BC419" s="29">
        <f t="shared" si="407"/>
        <v>0</v>
      </c>
      <c r="BD419" s="29">
        <f t="shared" si="408"/>
        <v>0</v>
      </c>
      <c r="BE419" s="29">
        <v>0</v>
      </c>
      <c r="BF419" s="29">
        <f>419</f>
        <v>419</v>
      </c>
      <c r="BH419" s="15">
        <f t="shared" si="409"/>
        <v>0</v>
      </c>
      <c r="BI419" s="15">
        <f t="shared" si="410"/>
        <v>0</v>
      </c>
      <c r="BJ419" s="15">
        <f t="shared" si="411"/>
        <v>0</v>
      </c>
      <c r="BK419" s="15" t="s">
        <v>2969</v>
      </c>
      <c r="BL419" s="29">
        <v>728</v>
      </c>
    </row>
    <row r="420" spans="1:64" ht="12.75">
      <c r="A420" s="4" t="s">
        <v>377</v>
      </c>
      <c r="B420" s="94" t="s">
        <v>1374</v>
      </c>
      <c r="C420" s="152" t="s">
        <v>2195</v>
      </c>
      <c r="D420" s="153"/>
      <c r="E420" s="153"/>
      <c r="F420" s="153"/>
      <c r="G420" s="94" t="s">
        <v>2850</v>
      </c>
      <c r="H420" s="73">
        <v>1</v>
      </c>
      <c r="I420" s="105">
        <v>0</v>
      </c>
      <c r="J420" s="15">
        <f t="shared" si="388"/>
        <v>0</v>
      </c>
      <c r="K420" s="15">
        <f t="shared" si="389"/>
        <v>0</v>
      </c>
      <c r="L420" s="15">
        <f t="shared" si="390"/>
        <v>0</v>
      </c>
      <c r="M420" s="25"/>
      <c r="N420" s="5"/>
      <c r="Z420" s="29">
        <f t="shared" si="391"/>
        <v>0</v>
      </c>
      <c r="AB420" s="29">
        <f t="shared" si="392"/>
        <v>0</v>
      </c>
      <c r="AC420" s="29">
        <f t="shared" si="393"/>
        <v>0</v>
      </c>
      <c r="AD420" s="29">
        <f t="shared" si="394"/>
        <v>0</v>
      </c>
      <c r="AE420" s="29">
        <f t="shared" si="395"/>
        <v>0</v>
      </c>
      <c r="AF420" s="29">
        <f t="shared" si="396"/>
        <v>0</v>
      </c>
      <c r="AG420" s="29">
        <f t="shared" si="397"/>
        <v>0</v>
      </c>
      <c r="AH420" s="29">
        <f t="shared" si="398"/>
        <v>0</v>
      </c>
      <c r="AI420" s="28" t="s">
        <v>2882</v>
      </c>
      <c r="AJ420" s="15">
        <f t="shared" si="399"/>
        <v>0</v>
      </c>
      <c r="AK420" s="15">
        <f t="shared" si="400"/>
        <v>0</v>
      </c>
      <c r="AL420" s="15">
        <f t="shared" si="401"/>
        <v>0</v>
      </c>
      <c r="AN420" s="29">
        <v>15</v>
      </c>
      <c r="AO420" s="29">
        <f t="shared" si="402"/>
        <v>0</v>
      </c>
      <c r="AP420" s="29">
        <f t="shared" si="403"/>
        <v>0</v>
      </c>
      <c r="AQ420" s="30" t="s">
        <v>13</v>
      </c>
      <c r="AV420" s="29">
        <f t="shared" si="404"/>
        <v>0</v>
      </c>
      <c r="AW420" s="29">
        <f t="shared" si="405"/>
        <v>0</v>
      </c>
      <c r="AX420" s="29">
        <f t="shared" si="406"/>
        <v>0</v>
      </c>
      <c r="AY420" s="32" t="s">
        <v>2916</v>
      </c>
      <c r="AZ420" s="32" t="s">
        <v>2943</v>
      </c>
      <c r="BA420" s="28" t="s">
        <v>2957</v>
      </c>
      <c r="BC420" s="29">
        <f t="shared" si="407"/>
        <v>0</v>
      </c>
      <c r="BD420" s="29">
        <f t="shared" si="408"/>
        <v>0</v>
      </c>
      <c r="BE420" s="29">
        <v>0</v>
      </c>
      <c r="BF420" s="29">
        <f>420</f>
        <v>420</v>
      </c>
      <c r="BH420" s="15">
        <f t="shared" si="409"/>
        <v>0</v>
      </c>
      <c r="BI420" s="15">
        <f t="shared" si="410"/>
        <v>0</v>
      </c>
      <c r="BJ420" s="15">
        <f t="shared" si="411"/>
        <v>0</v>
      </c>
      <c r="BK420" s="15" t="s">
        <v>2969</v>
      </c>
      <c r="BL420" s="29">
        <v>728</v>
      </c>
    </row>
    <row r="421" spans="1:64" ht="12.75">
      <c r="A421" s="4" t="s">
        <v>378</v>
      </c>
      <c r="B421" s="94" t="s">
        <v>1375</v>
      </c>
      <c r="C421" s="152" t="s">
        <v>2196</v>
      </c>
      <c r="D421" s="153"/>
      <c r="E421" s="153"/>
      <c r="F421" s="153"/>
      <c r="G421" s="94" t="s">
        <v>2850</v>
      </c>
      <c r="H421" s="73">
        <v>1</v>
      </c>
      <c r="I421" s="105">
        <v>0</v>
      </c>
      <c r="J421" s="15">
        <f t="shared" si="388"/>
        <v>0</v>
      </c>
      <c r="K421" s="15">
        <f t="shared" si="389"/>
        <v>0</v>
      </c>
      <c r="L421" s="15">
        <f t="shared" si="390"/>
        <v>0</v>
      </c>
      <c r="M421" s="25"/>
      <c r="N421" s="5"/>
      <c r="Z421" s="29">
        <f t="shared" si="391"/>
        <v>0</v>
      </c>
      <c r="AB421" s="29">
        <f t="shared" si="392"/>
        <v>0</v>
      </c>
      <c r="AC421" s="29">
        <f t="shared" si="393"/>
        <v>0</v>
      </c>
      <c r="AD421" s="29">
        <f t="shared" si="394"/>
        <v>0</v>
      </c>
      <c r="AE421" s="29">
        <f t="shared" si="395"/>
        <v>0</v>
      </c>
      <c r="AF421" s="29">
        <f t="shared" si="396"/>
        <v>0</v>
      </c>
      <c r="AG421" s="29">
        <f t="shared" si="397"/>
        <v>0</v>
      </c>
      <c r="AH421" s="29">
        <f t="shared" si="398"/>
        <v>0</v>
      </c>
      <c r="AI421" s="28" t="s">
        <v>2882</v>
      </c>
      <c r="AJ421" s="15">
        <f t="shared" si="399"/>
        <v>0</v>
      </c>
      <c r="AK421" s="15">
        <f t="shared" si="400"/>
        <v>0</v>
      </c>
      <c r="AL421" s="15">
        <f t="shared" si="401"/>
        <v>0</v>
      </c>
      <c r="AN421" s="29">
        <v>15</v>
      </c>
      <c r="AO421" s="29">
        <f t="shared" si="402"/>
        <v>0</v>
      </c>
      <c r="AP421" s="29">
        <f t="shared" si="403"/>
        <v>0</v>
      </c>
      <c r="AQ421" s="30" t="s">
        <v>13</v>
      </c>
      <c r="AV421" s="29">
        <f t="shared" si="404"/>
        <v>0</v>
      </c>
      <c r="AW421" s="29">
        <f t="shared" si="405"/>
        <v>0</v>
      </c>
      <c r="AX421" s="29">
        <f t="shared" si="406"/>
        <v>0</v>
      </c>
      <c r="AY421" s="32" t="s">
        <v>2916</v>
      </c>
      <c r="AZ421" s="32" t="s">
        <v>2943</v>
      </c>
      <c r="BA421" s="28" t="s">
        <v>2957</v>
      </c>
      <c r="BC421" s="29">
        <f t="shared" si="407"/>
        <v>0</v>
      </c>
      <c r="BD421" s="29">
        <f t="shared" si="408"/>
        <v>0</v>
      </c>
      <c r="BE421" s="29">
        <v>0</v>
      </c>
      <c r="BF421" s="29">
        <f>421</f>
        <v>421</v>
      </c>
      <c r="BH421" s="15">
        <f t="shared" si="409"/>
        <v>0</v>
      </c>
      <c r="BI421" s="15">
        <f t="shared" si="410"/>
        <v>0</v>
      </c>
      <c r="BJ421" s="15">
        <f t="shared" si="411"/>
        <v>0</v>
      </c>
      <c r="BK421" s="15" t="s">
        <v>2969</v>
      </c>
      <c r="BL421" s="29">
        <v>728</v>
      </c>
    </row>
    <row r="422" spans="1:47" ht="12.75">
      <c r="A422" s="3"/>
      <c r="B422" s="97" t="s">
        <v>736</v>
      </c>
      <c r="C422" s="161" t="s">
        <v>2312</v>
      </c>
      <c r="D422" s="162"/>
      <c r="E422" s="162"/>
      <c r="F422" s="162"/>
      <c r="G422" s="13" t="s">
        <v>6</v>
      </c>
      <c r="H422" s="13" t="s">
        <v>6</v>
      </c>
      <c r="I422" s="13" t="s">
        <v>6</v>
      </c>
      <c r="J422" s="34">
        <f>SUM(J423:J519)</f>
        <v>0</v>
      </c>
      <c r="K422" s="34">
        <f>SUM(K423:K519)</f>
        <v>0</v>
      </c>
      <c r="L422" s="34">
        <f>SUM(L423:L519)</f>
        <v>0</v>
      </c>
      <c r="M422" s="24"/>
      <c r="N422" s="5"/>
      <c r="AI422" s="28" t="s">
        <v>2882</v>
      </c>
      <c r="AS422" s="34">
        <f>SUM(AJ423:AJ519)</f>
        <v>0</v>
      </c>
      <c r="AT422" s="34">
        <f>SUM(AK423:AK519)</f>
        <v>0</v>
      </c>
      <c r="AU422" s="34">
        <f>SUM(AL423:AL519)</f>
        <v>0</v>
      </c>
    </row>
    <row r="423" spans="1:64" ht="12.75">
      <c r="A423" s="4" t="s">
        <v>379</v>
      </c>
      <c r="B423" s="94" t="s">
        <v>1376</v>
      </c>
      <c r="C423" s="152" t="s">
        <v>2313</v>
      </c>
      <c r="D423" s="153"/>
      <c r="E423" s="153"/>
      <c r="F423" s="153"/>
      <c r="G423" s="94" t="s">
        <v>2851</v>
      </c>
      <c r="H423" s="73">
        <v>6.5</v>
      </c>
      <c r="I423" s="105">
        <v>0</v>
      </c>
      <c r="J423" s="15">
        <f aca="true" t="shared" si="412" ref="J423:J454">H423*AO423</f>
        <v>0</v>
      </c>
      <c r="K423" s="15">
        <f aca="true" t="shared" si="413" ref="K423:K454">H423*AP423</f>
        <v>0</v>
      </c>
      <c r="L423" s="15">
        <f aca="true" t="shared" si="414" ref="L423:L454">H423*I423</f>
        <v>0</v>
      </c>
      <c r="M423" s="25"/>
      <c r="N423" s="5"/>
      <c r="Z423" s="29">
        <f aca="true" t="shared" si="415" ref="Z423:Z454">IF(AQ423="5",BJ423,0)</f>
        <v>0</v>
      </c>
      <c r="AB423" s="29">
        <f aca="true" t="shared" si="416" ref="AB423:AB454">IF(AQ423="1",BH423,0)</f>
        <v>0</v>
      </c>
      <c r="AC423" s="29">
        <f aca="true" t="shared" si="417" ref="AC423:AC454">IF(AQ423="1",BI423,0)</f>
        <v>0</v>
      </c>
      <c r="AD423" s="29">
        <f aca="true" t="shared" si="418" ref="AD423:AD454">IF(AQ423="7",BH423,0)</f>
        <v>0</v>
      </c>
      <c r="AE423" s="29">
        <f aca="true" t="shared" si="419" ref="AE423:AE454">IF(AQ423="7",BI423,0)</f>
        <v>0</v>
      </c>
      <c r="AF423" s="29">
        <f aca="true" t="shared" si="420" ref="AF423:AF454">IF(AQ423="2",BH423,0)</f>
        <v>0</v>
      </c>
      <c r="AG423" s="29">
        <f aca="true" t="shared" si="421" ref="AG423:AG454">IF(AQ423="2",BI423,0)</f>
        <v>0</v>
      </c>
      <c r="AH423" s="29">
        <f aca="true" t="shared" si="422" ref="AH423:AH454">IF(AQ423="0",BJ423,0)</f>
        <v>0</v>
      </c>
      <c r="AI423" s="28" t="s">
        <v>2882</v>
      </c>
      <c r="AJ423" s="15">
        <f aca="true" t="shared" si="423" ref="AJ423:AJ454">IF(AN423=0,L423,0)</f>
        <v>0</v>
      </c>
      <c r="AK423" s="15">
        <f aca="true" t="shared" si="424" ref="AK423:AK454">IF(AN423=15,L423,0)</f>
        <v>0</v>
      </c>
      <c r="AL423" s="15">
        <f aca="true" t="shared" si="425" ref="AL423:AL454">IF(AN423=21,L423,0)</f>
        <v>0</v>
      </c>
      <c r="AN423" s="29">
        <v>15</v>
      </c>
      <c r="AO423" s="29">
        <f aca="true" t="shared" si="426" ref="AO423:AO454">I423*0</f>
        <v>0</v>
      </c>
      <c r="AP423" s="29">
        <f aca="true" t="shared" si="427" ref="AP423:AP454">I423*(1-0)</f>
        <v>0</v>
      </c>
      <c r="AQ423" s="30" t="s">
        <v>13</v>
      </c>
      <c r="AV423" s="29">
        <f aca="true" t="shared" si="428" ref="AV423:AV454">AW423+AX423</f>
        <v>0</v>
      </c>
      <c r="AW423" s="29">
        <f aca="true" t="shared" si="429" ref="AW423:AW454">H423*AO423</f>
        <v>0</v>
      </c>
      <c r="AX423" s="29">
        <f aca="true" t="shared" si="430" ref="AX423:AX454">H423*AP423</f>
        <v>0</v>
      </c>
      <c r="AY423" s="32" t="s">
        <v>2917</v>
      </c>
      <c r="AZ423" s="32" t="s">
        <v>2944</v>
      </c>
      <c r="BA423" s="28" t="s">
        <v>2957</v>
      </c>
      <c r="BC423" s="29">
        <f aca="true" t="shared" si="431" ref="BC423:BC454">AW423+AX423</f>
        <v>0</v>
      </c>
      <c r="BD423" s="29">
        <f aca="true" t="shared" si="432" ref="BD423:BD454">I423/(100-BE423)*100</f>
        <v>0</v>
      </c>
      <c r="BE423" s="29">
        <v>0</v>
      </c>
      <c r="BF423" s="29">
        <f>423</f>
        <v>423</v>
      </c>
      <c r="BH423" s="15">
        <f aca="true" t="shared" si="433" ref="BH423:BH454">H423*AO423</f>
        <v>0</v>
      </c>
      <c r="BI423" s="15">
        <f aca="true" t="shared" si="434" ref="BI423:BI454">H423*AP423</f>
        <v>0</v>
      </c>
      <c r="BJ423" s="15">
        <f aca="true" t="shared" si="435" ref="BJ423:BJ454">H423*I423</f>
        <v>0</v>
      </c>
      <c r="BK423" s="15" t="s">
        <v>2969</v>
      </c>
      <c r="BL423" s="29">
        <v>730</v>
      </c>
    </row>
    <row r="424" spans="1:64" ht="12.75">
      <c r="A424" s="4" t="s">
        <v>380</v>
      </c>
      <c r="B424" s="94" t="s">
        <v>1377</v>
      </c>
      <c r="C424" s="152" t="s">
        <v>2314</v>
      </c>
      <c r="D424" s="153"/>
      <c r="E424" s="153"/>
      <c r="F424" s="153"/>
      <c r="G424" s="94" t="s">
        <v>2851</v>
      </c>
      <c r="H424" s="73">
        <v>57.5</v>
      </c>
      <c r="I424" s="105">
        <v>0</v>
      </c>
      <c r="J424" s="15">
        <f t="shared" si="412"/>
        <v>0</v>
      </c>
      <c r="K424" s="15">
        <f t="shared" si="413"/>
        <v>0</v>
      </c>
      <c r="L424" s="15">
        <f t="shared" si="414"/>
        <v>0</v>
      </c>
      <c r="M424" s="25"/>
      <c r="N424" s="5"/>
      <c r="Z424" s="29">
        <f t="shared" si="415"/>
        <v>0</v>
      </c>
      <c r="AB424" s="29">
        <f t="shared" si="416"/>
        <v>0</v>
      </c>
      <c r="AC424" s="29">
        <f t="shared" si="417"/>
        <v>0</v>
      </c>
      <c r="AD424" s="29">
        <f t="shared" si="418"/>
        <v>0</v>
      </c>
      <c r="AE424" s="29">
        <f t="shared" si="419"/>
        <v>0</v>
      </c>
      <c r="AF424" s="29">
        <f t="shared" si="420"/>
        <v>0</v>
      </c>
      <c r="AG424" s="29">
        <f t="shared" si="421"/>
        <v>0</v>
      </c>
      <c r="AH424" s="29">
        <f t="shared" si="422"/>
        <v>0</v>
      </c>
      <c r="AI424" s="28" t="s">
        <v>2882</v>
      </c>
      <c r="AJ424" s="15">
        <f t="shared" si="423"/>
        <v>0</v>
      </c>
      <c r="AK424" s="15">
        <f t="shared" si="424"/>
        <v>0</v>
      </c>
      <c r="AL424" s="15">
        <f t="shared" si="425"/>
        <v>0</v>
      </c>
      <c r="AN424" s="29">
        <v>15</v>
      </c>
      <c r="AO424" s="29">
        <f t="shared" si="426"/>
        <v>0</v>
      </c>
      <c r="AP424" s="29">
        <f t="shared" si="427"/>
        <v>0</v>
      </c>
      <c r="AQ424" s="30" t="s">
        <v>13</v>
      </c>
      <c r="AV424" s="29">
        <f t="shared" si="428"/>
        <v>0</v>
      </c>
      <c r="AW424" s="29">
        <f t="shared" si="429"/>
        <v>0</v>
      </c>
      <c r="AX424" s="29">
        <f t="shared" si="430"/>
        <v>0</v>
      </c>
      <c r="AY424" s="32" t="s">
        <v>2917</v>
      </c>
      <c r="AZ424" s="32" t="s">
        <v>2944</v>
      </c>
      <c r="BA424" s="28" t="s">
        <v>2957</v>
      </c>
      <c r="BC424" s="29">
        <f t="shared" si="431"/>
        <v>0</v>
      </c>
      <c r="BD424" s="29">
        <f t="shared" si="432"/>
        <v>0</v>
      </c>
      <c r="BE424" s="29">
        <v>0</v>
      </c>
      <c r="BF424" s="29">
        <f>424</f>
        <v>424</v>
      </c>
      <c r="BH424" s="15">
        <f t="shared" si="433"/>
        <v>0</v>
      </c>
      <c r="BI424" s="15">
        <f t="shared" si="434"/>
        <v>0</v>
      </c>
      <c r="BJ424" s="15">
        <f t="shared" si="435"/>
        <v>0</v>
      </c>
      <c r="BK424" s="15" t="s">
        <v>2969</v>
      </c>
      <c r="BL424" s="29">
        <v>730</v>
      </c>
    </row>
    <row r="425" spans="1:64" ht="12.75">
      <c r="A425" s="4" t="s">
        <v>381</v>
      </c>
      <c r="B425" s="94" t="s">
        <v>1378</v>
      </c>
      <c r="C425" s="152" t="s">
        <v>2315</v>
      </c>
      <c r="D425" s="153"/>
      <c r="E425" s="153"/>
      <c r="F425" s="153"/>
      <c r="G425" s="94" t="s">
        <v>2851</v>
      </c>
      <c r="H425" s="73">
        <v>58.5</v>
      </c>
      <c r="I425" s="105">
        <v>0</v>
      </c>
      <c r="J425" s="15">
        <f t="shared" si="412"/>
        <v>0</v>
      </c>
      <c r="K425" s="15">
        <f t="shared" si="413"/>
        <v>0</v>
      </c>
      <c r="L425" s="15">
        <f t="shared" si="414"/>
        <v>0</v>
      </c>
      <c r="M425" s="25"/>
      <c r="N425" s="5"/>
      <c r="Z425" s="29">
        <f t="shared" si="415"/>
        <v>0</v>
      </c>
      <c r="AB425" s="29">
        <f t="shared" si="416"/>
        <v>0</v>
      </c>
      <c r="AC425" s="29">
        <f t="shared" si="417"/>
        <v>0</v>
      </c>
      <c r="AD425" s="29">
        <f t="shared" si="418"/>
        <v>0</v>
      </c>
      <c r="AE425" s="29">
        <f t="shared" si="419"/>
        <v>0</v>
      </c>
      <c r="AF425" s="29">
        <f t="shared" si="420"/>
        <v>0</v>
      </c>
      <c r="AG425" s="29">
        <f t="shared" si="421"/>
        <v>0</v>
      </c>
      <c r="AH425" s="29">
        <f t="shared" si="422"/>
        <v>0</v>
      </c>
      <c r="AI425" s="28" t="s">
        <v>2882</v>
      </c>
      <c r="AJ425" s="15">
        <f t="shared" si="423"/>
        <v>0</v>
      </c>
      <c r="AK425" s="15">
        <f t="shared" si="424"/>
        <v>0</v>
      </c>
      <c r="AL425" s="15">
        <f t="shared" si="425"/>
        <v>0</v>
      </c>
      <c r="AN425" s="29">
        <v>15</v>
      </c>
      <c r="AO425" s="29">
        <f t="shared" si="426"/>
        <v>0</v>
      </c>
      <c r="AP425" s="29">
        <f t="shared" si="427"/>
        <v>0</v>
      </c>
      <c r="AQ425" s="30" t="s">
        <v>13</v>
      </c>
      <c r="AV425" s="29">
        <f t="shared" si="428"/>
        <v>0</v>
      </c>
      <c r="AW425" s="29">
        <f t="shared" si="429"/>
        <v>0</v>
      </c>
      <c r="AX425" s="29">
        <f t="shared" si="430"/>
        <v>0</v>
      </c>
      <c r="AY425" s="32" t="s">
        <v>2917</v>
      </c>
      <c r="AZ425" s="32" t="s">
        <v>2944</v>
      </c>
      <c r="BA425" s="28" t="s">
        <v>2957</v>
      </c>
      <c r="BC425" s="29">
        <f t="shared" si="431"/>
        <v>0</v>
      </c>
      <c r="BD425" s="29">
        <f t="shared" si="432"/>
        <v>0</v>
      </c>
      <c r="BE425" s="29">
        <v>0</v>
      </c>
      <c r="BF425" s="29">
        <f>425</f>
        <v>425</v>
      </c>
      <c r="BH425" s="15">
        <f t="shared" si="433"/>
        <v>0</v>
      </c>
      <c r="BI425" s="15">
        <f t="shared" si="434"/>
        <v>0</v>
      </c>
      <c r="BJ425" s="15">
        <f t="shared" si="435"/>
        <v>0</v>
      </c>
      <c r="BK425" s="15" t="s">
        <v>2969</v>
      </c>
      <c r="BL425" s="29">
        <v>730</v>
      </c>
    </row>
    <row r="426" spans="1:64" ht="12.75">
      <c r="A426" s="4" t="s">
        <v>382</v>
      </c>
      <c r="B426" s="94" t="s">
        <v>1379</v>
      </c>
      <c r="C426" s="152" t="s">
        <v>2316</v>
      </c>
      <c r="D426" s="153"/>
      <c r="E426" s="153"/>
      <c r="F426" s="153"/>
      <c r="G426" s="94" t="s">
        <v>2851</v>
      </c>
      <c r="H426" s="73">
        <v>6.5</v>
      </c>
      <c r="I426" s="105">
        <v>0</v>
      </c>
      <c r="J426" s="15">
        <f t="shared" si="412"/>
        <v>0</v>
      </c>
      <c r="K426" s="15">
        <f t="shared" si="413"/>
        <v>0</v>
      </c>
      <c r="L426" s="15">
        <f t="shared" si="414"/>
        <v>0</v>
      </c>
      <c r="M426" s="25"/>
      <c r="N426" s="5"/>
      <c r="Z426" s="29">
        <f t="shared" si="415"/>
        <v>0</v>
      </c>
      <c r="AB426" s="29">
        <f t="shared" si="416"/>
        <v>0</v>
      </c>
      <c r="AC426" s="29">
        <f t="shared" si="417"/>
        <v>0</v>
      </c>
      <c r="AD426" s="29">
        <f t="shared" si="418"/>
        <v>0</v>
      </c>
      <c r="AE426" s="29">
        <f t="shared" si="419"/>
        <v>0</v>
      </c>
      <c r="AF426" s="29">
        <f t="shared" si="420"/>
        <v>0</v>
      </c>
      <c r="AG426" s="29">
        <f t="shared" si="421"/>
        <v>0</v>
      </c>
      <c r="AH426" s="29">
        <f t="shared" si="422"/>
        <v>0</v>
      </c>
      <c r="AI426" s="28" t="s">
        <v>2882</v>
      </c>
      <c r="AJ426" s="15">
        <f t="shared" si="423"/>
        <v>0</v>
      </c>
      <c r="AK426" s="15">
        <f t="shared" si="424"/>
        <v>0</v>
      </c>
      <c r="AL426" s="15">
        <f t="shared" si="425"/>
        <v>0</v>
      </c>
      <c r="AN426" s="29">
        <v>15</v>
      </c>
      <c r="AO426" s="29">
        <f t="shared" si="426"/>
        <v>0</v>
      </c>
      <c r="AP426" s="29">
        <f t="shared" si="427"/>
        <v>0</v>
      </c>
      <c r="AQ426" s="30" t="s">
        <v>13</v>
      </c>
      <c r="AV426" s="29">
        <f t="shared" si="428"/>
        <v>0</v>
      </c>
      <c r="AW426" s="29">
        <f t="shared" si="429"/>
        <v>0</v>
      </c>
      <c r="AX426" s="29">
        <f t="shared" si="430"/>
        <v>0</v>
      </c>
      <c r="AY426" s="32" t="s">
        <v>2917</v>
      </c>
      <c r="AZ426" s="32" t="s">
        <v>2944</v>
      </c>
      <c r="BA426" s="28" t="s">
        <v>2957</v>
      </c>
      <c r="BC426" s="29">
        <f t="shared" si="431"/>
        <v>0</v>
      </c>
      <c r="BD426" s="29">
        <f t="shared" si="432"/>
        <v>0</v>
      </c>
      <c r="BE426" s="29">
        <v>0</v>
      </c>
      <c r="BF426" s="29">
        <f>426</f>
        <v>426</v>
      </c>
      <c r="BH426" s="15">
        <f t="shared" si="433"/>
        <v>0</v>
      </c>
      <c r="BI426" s="15">
        <f t="shared" si="434"/>
        <v>0</v>
      </c>
      <c r="BJ426" s="15">
        <f t="shared" si="435"/>
        <v>0</v>
      </c>
      <c r="BK426" s="15" t="s">
        <v>2969</v>
      </c>
      <c r="BL426" s="29">
        <v>730</v>
      </c>
    </row>
    <row r="427" spans="1:64" ht="12.75">
      <c r="A427" s="4" t="s">
        <v>383</v>
      </c>
      <c r="B427" s="94" t="s">
        <v>1380</v>
      </c>
      <c r="C427" s="152" t="s">
        <v>2317</v>
      </c>
      <c r="D427" s="153"/>
      <c r="E427" s="153"/>
      <c r="F427" s="153"/>
      <c r="G427" s="94" t="s">
        <v>2851</v>
      </c>
      <c r="H427" s="73">
        <v>24</v>
      </c>
      <c r="I427" s="105">
        <v>0</v>
      </c>
      <c r="J427" s="15">
        <f t="shared" si="412"/>
        <v>0</v>
      </c>
      <c r="K427" s="15">
        <f t="shared" si="413"/>
        <v>0</v>
      </c>
      <c r="L427" s="15">
        <f t="shared" si="414"/>
        <v>0</v>
      </c>
      <c r="M427" s="25"/>
      <c r="N427" s="5"/>
      <c r="Z427" s="29">
        <f t="shared" si="415"/>
        <v>0</v>
      </c>
      <c r="AB427" s="29">
        <f t="shared" si="416"/>
        <v>0</v>
      </c>
      <c r="AC427" s="29">
        <f t="shared" si="417"/>
        <v>0</v>
      </c>
      <c r="AD427" s="29">
        <f t="shared" si="418"/>
        <v>0</v>
      </c>
      <c r="AE427" s="29">
        <f t="shared" si="419"/>
        <v>0</v>
      </c>
      <c r="AF427" s="29">
        <f t="shared" si="420"/>
        <v>0</v>
      </c>
      <c r="AG427" s="29">
        <f t="shared" si="421"/>
        <v>0</v>
      </c>
      <c r="AH427" s="29">
        <f t="shared" si="422"/>
        <v>0</v>
      </c>
      <c r="AI427" s="28" t="s">
        <v>2882</v>
      </c>
      <c r="AJ427" s="15">
        <f t="shared" si="423"/>
        <v>0</v>
      </c>
      <c r="AK427" s="15">
        <f t="shared" si="424"/>
        <v>0</v>
      </c>
      <c r="AL427" s="15">
        <f t="shared" si="425"/>
        <v>0</v>
      </c>
      <c r="AN427" s="29">
        <v>15</v>
      </c>
      <c r="AO427" s="29">
        <f t="shared" si="426"/>
        <v>0</v>
      </c>
      <c r="AP427" s="29">
        <f t="shared" si="427"/>
        <v>0</v>
      </c>
      <c r="AQ427" s="30" t="s">
        <v>13</v>
      </c>
      <c r="AV427" s="29">
        <f t="shared" si="428"/>
        <v>0</v>
      </c>
      <c r="AW427" s="29">
        <f t="shared" si="429"/>
        <v>0</v>
      </c>
      <c r="AX427" s="29">
        <f t="shared" si="430"/>
        <v>0</v>
      </c>
      <c r="AY427" s="32" t="s">
        <v>2917</v>
      </c>
      <c r="AZ427" s="32" t="s">
        <v>2944</v>
      </c>
      <c r="BA427" s="28" t="s">
        <v>2957</v>
      </c>
      <c r="BC427" s="29">
        <f t="shared" si="431"/>
        <v>0</v>
      </c>
      <c r="BD427" s="29">
        <f t="shared" si="432"/>
        <v>0</v>
      </c>
      <c r="BE427" s="29">
        <v>0</v>
      </c>
      <c r="BF427" s="29">
        <f>427</f>
        <v>427</v>
      </c>
      <c r="BH427" s="15">
        <f t="shared" si="433"/>
        <v>0</v>
      </c>
      <c r="BI427" s="15">
        <f t="shared" si="434"/>
        <v>0</v>
      </c>
      <c r="BJ427" s="15">
        <f t="shared" si="435"/>
        <v>0</v>
      </c>
      <c r="BK427" s="15" t="s">
        <v>2969</v>
      </c>
      <c r="BL427" s="29">
        <v>730</v>
      </c>
    </row>
    <row r="428" spans="1:64" ht="12.75">
      <c r="A428" s="4" t="s">
        <v>384</v>
      </c>
      <c r="B428" s="94" t="s">
        <v>1381</v>
      </c>
      <c r="C428" s="152" t="s">
        <v>2318</v>
      </c>
      <c r="D428" s="153"/>
      <c r="E428" s="153"/>
      <c r="F428" s="153"/>
      <c r="G428" s="94" t="s">
        <v>2851</v>
      </c>
      <c r="H428" s="73">
        <v>15</v>
      </c>
      <c r="I428" s="105">
        <v>0</v>
      </c>
      <c r="J428" s="15">
        <f t="shared" si="412"/>
        <v>0</v>
      </c>
      <c r="K428" s="15">
        <f t="shared" si="413"/>
        <v>0</v>
      </c>
      <c r="L428" s="15">
        <f t="shared" si="414"/>
        <v>0</v>
      </c>
      <c r="M428" s="25"/>
      <c r="N428" s="5"/>
      <c r="Z428" s="29">
        <f t="shared" si="415"/>
        <v>0</v>
      </c>
      <c r="AB428" s="29">
        <f t="shared" si="416"/>
        <v>0</v>
      </c>
      <c r="AC428" s="29">
        <f t="shared" si="417"/>
        <v>0</v>
      </c>
      <c r="AD428" s="29">
        <f t="shared" si="418"/>
        <v>0</v>
      </c>
      <c r="AE428" s="29">
        <f t="shared" si="419"/>
        <v>0</v>
      </c>
      <c r="AF428" s="29">
        <f t="shared" si="420"/>
        <v>0</v>
      </c>
      <c r="AG428" s="29">
        <f t="shared" si="421"/>
        <v>0</v>
      </c>
      <c r="AH428" s="29">
        <f t="shared" si="422"/>
        <v>0</v>
      </c>
      <c r="AI428" s="28" t="s">
        <v>2882</v>
      </c>
      <c r="AJ428" s="15">
        <f t="shared" si="423"/>
        <v>0</v>
      </c>
      <c r="AK428" s="15">
        <f t="shared" si="424"/>
        <v>0</v>
      </c>
      <c r="AL428" s="15">
        <f t="shared" si="425"/>
        <v>0</v>
      </c>
      <c r="AN428" s="29">
        <v>15</v>
      </c>
      <c r="AO428" s="29">
        <f t="shared" si="426"/>
        <v>0</v>
      </c>
      <c r="AP428" s="29">
        <f t="shared" si="427"/>
        <v>0</v>
      </c>
      <c r="AQ428" s="30" t="s">
        <v>13</v>
      </c>
      <c r="AV428" s="29">
        <f t="shared" si="428"/>
        <v>0</v>
      </c>
      <c r="AW428" s="29">
        <f t="shared" si="429"/>
        <v>0</v>
      </c>
      <c r="AX428" s="29">
        <f t="shared" si="430"/>
        <v>0</v>
      </c>
      <c r="AY428" s="32" t="s">
        <v>2917</v>
      </c>
      <c r="AZ428" s="32" t="s">
        <v>2944</v>
      </c>
      <c r="BA428" s="28" t="s">
        <v>2957</v>
      </c>
      <c r="BC428" s="29">
        <f t="shared" si="431"/>
        <v>0</v>
      </c>
      <c r="BD428" s="29">
        <f t="shared" si="432"/>
        <v>0</v>
      </c>
      <c r="BE428" s="29">
        <v>0</v>
      </c>
      <c r="BF428" s="29">
        <f>428</f>
        <v>428</v>
      </c>
      <c r="BH428" s="15">
        <f t="shared" si="433"/>
        <v>0</v>
      </c>
      <c r="BI428" s="15">
        <f t="shared" si="434"/>
        <v>0</v>
      </c>
      <c r="BJ428" s="15">
        <f t="shared" si="435"/>
        <v>0</v>
      </c>
      <c r="BK428" s="15" t="s">
        <v>2969</v>
      </c>
      <c r="BL428" s="29">
        <v>730</v>
      </c>
    </row>
    <row r="429" spans="1:64" ht="12.75">
      <c r="A429" s="4" t="s">
        <v>385</v>
      </c>
      <c r="B429" s="94" t="s">
        <v>1382</v>
      </c>
      <c r="C429" s="152" t="s">
        <v>2319</v>
      </c>
      <c r="D429" s="153"/>
      <c r="E429" s="153"/>
      <c r="F429" s="153"/>
      <c r="G429" s="94" t="s">
        <v>2851</v>
      </c>
      <c r="H429" s="73">
        <v>33.5</v>
      </c>
      <c r="I429" s="105">
        <v>0</v>
      </c>
      <c r="J429" s="15">
        <f t="shared" si="412"/>
        <v>0</v>
      </c>
      <c r="K429" s="15">
        <f t="shared" si="413"/>
        <v>0</v>
      </c>
      <c r="L429" s="15">
        <f t="shared" si="414"/>
        <v>0</v>
      </c>
      <c r="M429" s="25"/>
      <c r="N429" s="5"/>
      <c r="Z429" s="29">
        <f t="shared" si="415"/>
        <v>0</v>
      </c>
      <c r="AB429" s="29">
        <f t="shared" si="416"/>
        <v>0</v>
      </c>
      <c r="AC429" s="29">
        <f t="shared" si="417"/>
        <v>0</v>
      </c>
      <c r="AD429" s="29">
        <f t="shared" si="418"/>
        <v>0</v>
      </c>
      <c r="AE429" s="29">
        <f t="shared" si="419"/>
        <v>0</v>
      </c>
      <c r="AF429" s="29">
        <f t="shared" si="420"/>
        <v>0</v>
      </c>
      <c r="AG429" s="29">
        <f t="shared" si="421"/>
        <v>0</v>
      </c>
      <c r="AH429" s="29">
        <f t="shared" si="422"/>
        <v>0</v>
      </c>
      <c r="AI429" s="28" t="s">
        <v>2882</v>
      </c>
      <c r="AJ429" s="15">
        <f t="shared" si="423"/>
        <v>0</v>
      </c>
      <c r="AK429" s="15">
        <f t="shared" si="424"/>
        <v>0</v>
      </c>
      <c r="AL429" s="15">
        <f t="shared" si="425"/>
        <v>0</v>
      </c>
      <c r="AN429" s="29">
        <v>15</v>
      </c>
      <c r="AO429" s="29">
        <f t="shared" si="426"/>
        <v>0</v>
      </c>
      <c r="AP429" s="29">
        <f t="shared" si="427"/>
        <v>0</v>
      </c>
      <c r="AQ429" s="30" t="s">
        <v>13</v>
      </c>
      <c r="AV429" s="29">
        <f t="shared" si="428"/>
        <v>0</v>
      </c>
      <c r="AW429" s="29">
        <f t="shared" si="429"/>
        <v>0</v>
      </c>
      <c r="AX429" s="29">
        <f t="shared" si="430"/>
        <v>0</v>
      </c>
      <c r="AY429" s="32" t="s">
        <v>2917</v>
      </c>
      <c r="AZ429" s="32" t="s">
        <v>2944</v>
      </c>
      <c r="BA429" s="28" t="s">
        <v>2957</v>
      </c>
      <c r="BC429" s="29">
        <f t="shared" si="431"/>
        <v>0</v>
      </c>
      <c r="BD429" s="29">
        <f t="shared" si="432"/>
        <v>0</v>
      </c>
      <c r="BE429" s="29">
        <v>0</v>
      </c>
      <c r="BF429" s="29">
        <f>429</f>
        <v>429</v>
      </c>
      <c r="BH429" s="15">
        <f t="shared" si="433"/>
        <v>0</v>
      </c>
      <c r="BI429" s="15">
        <f t="shared" si="434"/>
        <v>0</v>
      </c>
      <c r="BJ429" s="15">
        <f t="shared" si="435"/>
        <v>0</v>
      </c>
      <c r="BK429" s="15" t="s">
        <v>2969</v>
      </c>
      <c r="BL429" s="29">
        <v>730</v>
      </c>
    </row>
    <row r="430" spans="1:64" ht="12.75">
      <c r="A430" s="4" t="s">
        <v>386</v>
      </c>
      <c r="B430" s="94" t="s">
        <v>1383</v>
      </c>
      <c r="C430" s="152" t="s">
        <v>2320</v>
      </c>
      <c r="D430" s="153"/>
      <c r="E430" s="153"/>
      <c r="F430" s="153"/>
      <c r="G430" s="94" t="s">
        <v>2851</v>
      </c>
      <c r="H430" s="73">
        <v>43.5</v>
      </c>
      <c r="I430" s="105">
        <v>0</v>
      </c>
      <c r="J430" s="15">
        <f t="shared" si="412"/>
        <v>0</v>
      </c>
      <c r="K430" s="15">
        <f t="shared" si="413"/>
        <v>0</v>
      </c>
      <c r="L430" s="15">
        <f t="shared" si="414"/>
        <v>0</v>
      </c>
      <c r="M430" s="25"/>
      <c r="N430" s="5"/>
      <c r="Z430" s="29">
        <f t="shared" si="415"/>
        <v>0</v>
      </c>
      <c r="AB430" s="29">
        <f t="shared" si="416"/>
        <v>0</v>
      </c>
      <c r="AC430" s="29">
        <f t="shared" si="417"/>
        <v>0</v>
      </c>
      <c r="AD430" s="29">
        <f t="shared" si="418"/>
        <v>0</v>
      </c>
      <c r="AE430" s="29">
        <f t="shared" si="419"/>
        <v>0</v>
      </c>
      <c r="AF430" s="29">
        <f t="shared" si="420"/>
        <v>0</v>
      </c>
      <c r="AG430" s="29">
        <f t="shared" si="421"/>
        <v>0</v>
      </c>
      <c r="AH430" s="29">
        <f t="shared" si="422"/>
        <v>0</v>
      </c>
      <c r="AI430" s="28" t="s">
        <v>2882</v>
      </c>
      <c r="AJ430" s="15">
        <f t="shared" si="423"/>
        <v>0</v>
      </c>
      <c r="AK430" s="15">
        <f t="shared" si="424"/>
        <v>0</v>
      </c>
      <c r="AL430" s="15">
        <f t="shared" si="425"/>
        <v>0</v>
      </c>
      <c r="AN430" s="29">
        <v>15</v>
      </c>
      <c r="AO430" s="29">
        <f t="shared" si="426"/>
        <v>0</v>
      </c>
      <c r="AP430" s="29">
        <f t="shared" si="427"/>
        <v>0</v>
      </c>
      <c r="AQ430" s="30" t="s">
        <v>13</v>
      </c>
      <c r="AV430" s="29">
        <f t="shared" si="428"/>
        <v>0</v>
      </c>
      <c r="AW430" s="29">
        <f t="shared" si="429"/>
        <v>0</v>
      </c>
      <c r="AX430" s="29">
        <f t="shared" si="430"/>
        <v>0</v>
      </c>
      <c r="AY430" s="32" t="s">
        <v>2917</v>
      </c>
      <c r="AZ430" s="32" t="s">
        <v>2944</v>
      </c>
      <c r="BA430" s="28" t="s">
        <v>2957</v>
      </c>
      <c r="BC430" s="29">
        <f t="shared" si="431"/>
        <v>0</v>
      </c>
      <c r="BD430" s="29">
        <f t="shared" si="432"/>
        <v>0</v>
      </c>
      <c r="BE430" s="29">
        <v>0</v>
      </c>
      <c r="BF430" s="29">
        <f>430</f>
        <v>430</v>
      </c>
      <c r="BH430" s="15">
        <f t="shared" si="433"/>
        <v>0</v>
      </c>
      <c r="BI430" s="15">
        <f t="shared" si="434"/>
        <v>0</v>
      </c>
      <c r="BJ430" s="15">
        <f t="shared" si="435"/>
        <v>0</v>
      </c>
      <c r="BK430" s="15" t="s">
        <v>2969</v>
      </c>
      <c r="BL430" s="29">
        <v>730</v>
      </c>
    </row>
    <row r="431" spans="1:64" ht="12.75">
      <c r="A431" s="4" t="s">
        <v>387</v>
      </c>
      <c r="B431" s="94" t="s">
        <v>1384</v>
      </c>
      <c r="C431" s="152" t="s">
        <v>2321</v>
      </c>
      <c r="D431" s="153"/>
      <c r="E431" s="153"/>
      <c r="F431" s="153"/>
      <c r="G431" s="94" t="s">
        <v>2850</v>
      </c>
      <c r="H431" s="73">
        <v>6</v>
      </c>
      <c r="I431" s="105">
        <v>0</v>
      </c>
      <c r="J431" s="15">
        <f t="shared" si="412"/>
        <v>0</v>
      </c>
      <c r="K431" s="15">
        <f t="shared" si="413"/>
        <v>0</v>
      </c>
      <c r="L431" s="15">
        <f t="shared" si="414"/>
        <v>0</v>
      </c>
      <c r="M431" s="25"/>
      <c r="N431" s="5"/>
      <c r="Z431" s="29">
        <f t="shared" si="415"/>
        <v>0</v>
      </c>
      <c r="AB431" s="29">
        <f t="shared" si="416"/>
        <v>0</v>
      </c>
      <c r="AC431" s="29">
        <f t="shared" si="417"/>
        <v>0</v>
      </c>
      <c r="AD431" s="29">
        <f t="shared" si="418"/>
        <v>0</v>
      </c>
      <c r="AE431" s="29">
        <f t="shared" si="419"/>
        <v>0</v>
      </c>
      <c r="AF431" s="29">
        <f t="shared" si="420"/>
        <v>0</v>
      </c>
      <c r="AG431" s="29">
        <f t="shared" si="421"/>
        <v>0</v>
      </c>
      <c r="AH431" s="29">
        <f t="shared" si="422"/>
        <v>0</v>
      </c>
      <c r="AI431" s="28" t="s">
        <v>2882</v>
      </c>
      <c r="AJ431" s="15">
        <f t="shared" si="423"/>
        <v>0</v>
      </c>
      <c r="AK431" s="15">
        <f t="shared" si="424"/>
        <v>0</v>
      </c>
      <c r="AL431" s="15">
        <f t="shared" si="425"/>
        <v>0</v>
      </c>
      <c r="AN431" s="29">
        <v>15</v>
      </c>
      <c r="AO431" s="29">
        <f t="shared" si="426"/>
        <v>0</v>
      </c>
      <c r="AP431" s="29">
        <f t="shared" si="427"/>
        <v>0</v>
      </c>
      <c r="AQ431" s="30" t="s">
        <v>13</v>
      </c>
      <c r="AV431" s="29">
        <f t="shared" si="428"/>
        <v>0</v>
      </c>
      <c r="AW431" s="29">
        <f t="shared" si="429"/>
        <v>0</v>
      </c>
      <c r="AX431" s="29">
        <f t="shared" si="430"/>
        <v>0</v>
      </c>
      <c r="AY431" s="32" t="s">
        <v>2917</v>
      </c>
      <c r="AZ431" s="32" t="s">
        <v>2944</v>
      </c>
      <c r="BA431" s="28" t="s">
        <v>2957</v>
      </c>
      <c r="BC431" s="29">
        <f t="shared" si="431"/>
        <v>0</v>
      </c>
      <c r="BD431" s="29">
        <f t="shared" si="432"/>
        <v>0</v>
      </c>
      <c r="BE431" s="29">
        <v>0</v>
      </c>
      <c r="BF431" s="29">
        <f>431</f>
        <v>431</v>
      </c>
      <c r="BH431" s="15">
        <f t="shared" si="433"/>
        <v>0</v>
      </c>
      <c r="BI431" s="15">
        <f t="shared" si="434"/>
        <v>0</v>
      </c>
      <c r="BJ431" s="15">
        <f t="shared" si="435"/>
        <v>0</v>
      </c>
      <c r="BK431" s="15" t="s">
        <v>2969</v>
      </c>
      <c r="BL431" s="29">
        <v>730</v>
      </c>
    </row>
    <row r="432" spans="1:64" ht="12.75">
      <c r="A432" s="4" t="s">
        <v>388</v>
      </c>
      <c r="B432" s="94" t="s">
        <v>1385</v>
      </c>
      <c r="C432" s="152" t="s">
        <v>2322</v>
      </c>
      <c r="D432" s="153"/>
      <c r="E432" s="153"/>
      <c r="F432" s="153"/>
      <c r="G432" s="94" t="s">
        <v>2850</v>
      </c>
      <c r="H432" s="73">
        <v>6</v>
      </c>
      <c r="I432" s="105">
        <v>0</v>
      </c>
      <c r="J432" s="15">
        <f t="shared" si="412"/>
        <v>0</v>
      </c>
      <c r="K432" s="15">
        <f t="shared" si="413"/>
        <v>0</v>
      </c>
      <c r="L432" s="15">
        <f t="shared" si="414"/>
        <v>0</v>
      </c>
      <c r="M432" s="25"/>
      <c r="N432" s="5"/>
      <c r="Z432" s="29">
        <f t="shared" si="415"/>
        <v>0</v>
      </c>
      <c r="AB432" s="29">
        <f t="shared" si="416"/>
        <v>0</v>
      </c>
      <c r="AC432" s="29">
        <f t="shared" si="417"/>
        <v>0</v>
      </c>
      <c r="AD432" s="29">
        <f t="shared" si="418"/>
        <v>0</v>
      </c>
      <c r="AE432" s="29">
        <f t="shared" si="419"/>
        <v>0</v>
      </c>
      <c r="AF432" s="29">
        <f t="shared" si="420"/>
        <v>0</v>
      </c>
      <c r="AG432" s="29">
        <f t="shared" si="421"/>
        <v>0</v>
      </c>
      <c r="AH432" s="29">
        <f t="shared" si="422"/>
        <v>0</v>
      </c>
      <c r="AI432" s="28" t="s">
        <v>2882</v>
      </c>
      <c r="AJ432" s="15">
        <f t="shared" si="423"/>
        <v>0</v>
      </c>
      <c r="AK432" s="15">
        <f t="shared" si="424"/>
        <v>0</v>
      </c>
      <c r="AL432" s="15">
        <f t="shared" si="425"/>
        <v>0</v>
      </c>
      <c r="AN432" s="29">
        <v>15</v>
      </c>
      <c r="AO432" s="29">
        <f t="shared" si="426"/>
        <v>0</v>
      </c>
      <c r="AP432" s="29">
        <f t="shared" si="427"/>
        <v>0</v>
      </c>
      <c r="AQ432" s="30" t="s">
        <v>13</v>
      </c>
      <c r="AV432" s="29">
        <f t="shared" si="428"/>
        <v>0</v>
      </c>
      <c r="AW432" s="29">
        <f t="shared" si="429"/>
        <v>0</v>
      </c>
      <c r="AX432" s="29">
        <f t="shared" si="430"/>
        <v>0</v>
      </c>
      <c r="AY432" s="32" t="s">
        <v>2917</v>
      </c>
      <c r="AZ432" s="32" t="s">
        <v>2944</v>
      </c>
      <c r="BA432" s="28" t="s">
        <v>2957</v>
      </c>
      <c r="BC432" s="29">
        <f t="shared" si="431"/>
        <v>0</v>
      </c>
      <c r="BD432" s="29">
        <f t="shared" si="432"/>
        <v>0</v>
      </c>
      <c r="BE432" s="29">
        <v>0</v>
      </c>
      <c r="BF432" s="29">
        <f>432</f>
        <v>432</v>
      </c>
      <c r="BH432" s="15">
        <f t="shared" si="433"/>
        <v>0</v>
      </c>
      <c r="BI432" s="15">
        <f t="shared" si="434"/>
        <v>0</v>
      </c>
      <c r="BJ432" s="15">
        <f t="shared" si="435"/>
        <v>0</v>
      </c>
      <c r="BK432" s="15" t="s">
        <v>2969</v>
      </c>
      <c r="BL432" s="29">
        <v>730</v>
      </c>
    </row>
    <row r="433" spans="1:64" ht="12.75">
      <c r="A433" s="4" t="s">
        <v>389</v>
      </c>
      <c r="B433" s="94" t="s">
        <v>1386</v>
      </c>
      <c r="C433" s="152" t="s">
        <v>2323</v>
      </c>
      <c r="D433" s="153"/>
      <c r="E433" s="153"/>
      <c r="F433" s="153"/>
      <c r="G433" s="94" t="s">
        <v>2850</v>
      </c>
      <c r="H433" s="73">
        <v>6</v>
      </c>
      <c r="I433" s="105">
        <v>0</v>
      </c>
      <c r="J433" s="15">
        <f t="shared" si="412"/>
        <v>0</v>
      </c>
      <c r="K433" s="15">
        <f t="shared" si="413"/>
        <v>0</v>
      </c>
      <c r="L433" s="15">
        <f t="shared" si="414"/>
        <v>0</v>
      </c>
      <c r="M433" s="25"/>
      <c r="N433" s="5"/>
      <c r="Z433" s="29">
        <f t="shared" si="415"/>
        <v>0</v>
      </c>
      <c r="AB433" s="29">
        <f t="shared" si="416"/>
        <v>0</v>
      </c>
      <c r="AC433" s="29">
        <f t="shared" si="417"/>
        <v>0</v>
      </c>
      <c r="AD433" s="29">
        <f t="shared" si="418"/>
        <v>0</v>
      </c>
      <c r="AE433" s="29">
        <f t="shared" si="419"/>
        <v>0</v>
      </c>
      <c r="AF433" s="29">
        <f t="shared" si="420"/>
        <v>0</v>
      </c>
      <c r="AG433" s="29">
        <f t="shared" si="421"/>
        <v>0</v>
      </c>
      <c r="AH433" s="29">
        <f t="shared" si="422"/>
        <v>0</v>
      </c>
      <c r="AI433" s="28" t="s">
        <v>2882</v>
      </c>
      <c r="AJ433" s="15">
        <f t="shared" si="423"/>
        <v>0</v>
      </c>
      <c r="AK433" s="15">
        <f t="shared" si="424"/>
        <v>0</v>
      </c>
      <c r="AL433" s="15">
        <f t="shared" si="425"/>
        <v>0</v>
      </c>
      <c r="AN433" s="29">
        <v>15</v>
      </c>
      <c r="AO433" s="29">
        <f t="shared" si="426"/>
        <v>0</v>
      </c>
      <c r="AP433" s="29">
        <f t="shared" si="427"/>
        <v>0</v>
      </c>
      <c r="AQ433" s="30" t="s">
        <v>13</v>
      </c>
      <c r="AV433" s="29">
        <f t="shared" si="428"/>
        <v>0</v>
      </c>
      <c r="AW433" s="29">
        <f t="shared" si="429"/>
        <v>0</v>
      </c>
      <c r="AX433" s="29">
        <f t="shared" si="430"/>
        <v>0</v>
      </c>
      <c r="AY433" s="32" t="s">
        <v>2917</v>
      </c>
      <c r="AZ433" s="32" t="s">
        <v>2944</v>
      </c>
      <c r="BA433" s="28" t="s">
        <v>2957</v>
      </c>
      <c r="BC433" s="29">
        <f t="shared" si="431"/>
        <v>0</v>
      </c>
      <c r="BD433" s="29">
        <f t="shared" si="432"/>
        <v>0</v>
      </c>
      <c r="BE433" s="29">
        <v>0</v>
      </c>
      <c r="BF433" s="29">
        <f>433</f>
        <v>433</v>
      </c>
      <c r="BH433" s="15">
        <f t="shared" si="433"/>
        <v>0</v>
      </c>
      <c r="BI433" s="15">
        <f t="shared" si="434"/>
        <v>0</v>
      </c>
      <c r="BJ433" s="15">
        <f t="shared" si="435"/>
        <v>0</v>
      </c>
      <c r="BK433" s="15" t="s">
        <v>2969</v>
      </c>
      <c r="BL433" s="29">
        <v>730</v>
      </c>
    </row>
    <row r="434" spans="1:64" ht="12.75">
      <c r="A434" s="4" t="s">
        <v>390</v>
      </c>
      <c r="B434" s="94" t="s">
        <v>1387</v>
      </c>
      <c r="C434" s="152" t="s">
        <v>2324</v>
      </c>
      <c r="D434" s="153"/>
      <c r="E434" s="153"/>
      <c r="F434" s="153"/>
      <c r="G434" s="94" t="s">
        <v>2850</v>
      </c>
      <c r="H434" s="73">
        <v>1</v>
      </c>
      <c r="I434" s="105">
        <v>0</v>
      </c>
      <c r="J434" s="15">
        <f t="shared" si="412"/>
        <v>0</v>
      </c>
      <c r="K434" s="15">
        <f t="shared" si="413"/>
        <v>0</v>
      </c>
      <c r="L434" s="15">
        <f t="shared" si="414"/>
        <v>0</v>
      </c>
      <c r="M434" s="25"/>
      <c r="N434" s="5"/>
      <c r="Z434" s="29">
        <f t="shared" si="415"/>
        <v>0</v>
      </c>
      <c r="AB434" s="29">
        <f t="shared" si="416"/>
        <v>0</v>
      </c>
      <c r="AC434" s="29">
        <f t="shared" si="417"/>
        <v>0</v>
      </c>
      <c r="AD434" s="29">
        <f t="shared" si="418"/>
        <v>0</v>
      </c>
      <c r="AE434" s="29">
        <f t="shared" si="419"/>
        <v>0</v>
      </c>
      <c r="AF434" s="29">
        <f t="shared" si="420"/>
        <v>0</v>
      </c>
      <c r="AG434" s="29">
        <f t="shared" si="421"/>
        <v>0</v>
      </c>
      <c r="AH434" s="29">
        <f t="shared" si="422"/>
        <v>0</v>
      </c>
      <c r="AI434" s="28" t="s">
        <v>2882</v>
      </c>
      <c r="AJ434" s="15">
        <f t="shared" si="423"/>
        <v>0</v>
      </c>
      <c r="AK434" s="15">
        <f t="shared" si="424"/>
        <v>0</v>
      </c>
      <c r="AL434" s="15">
        <f t="shared" si="425"/>
        <v>0</v>
      </c>
      <c r="AN434" s="29">
        <v>15</v>
      </c>
      <c r="AO434" s="29">
        <f t="shared" si="426"/>
        <v>0</v>
      </c>
      <c r="AP434" s="29">
        <f t="shared" si="427"/>
        <v>0</v>
      </c>
      <c r="AQ434" s="30" t="s">
        <v>13</v>
      </c>
      <c r="AV434" s="29">
        <f t="shared" si="428"/>
        <v>0</v>
      </c>
      <c r="AW434" s="29">
        <f t="shared" si="429"/>
        <v>0</v>
      </c>
      <c r="AX434" s="29">
        <f t="shared" si="430"/>
        <v>0</v>
      </c>
      <c r="AY434" s="32" t="s">
        <v>2917</v>
      </c>
      <c r="AZ434" s="32" t="s">
        <v>2944</v>
      </c>
      <c r="BA434" s="28" t="s">
        <v>2957</v>
      </c>
      <c r="BC434" s="29">
        <f t="shared" si="431"/>
        <v>0</v>
      </c>
      <c r="BD434" s="29">
        <f t="shared" si="432"/>
        <v>0</v>
      </c>
      <c r="BE434" s="29">
        <v>0</v>
      </c>
      <c r="BF434" s="29">
        <f>434</f>
        <v>434</v>
      </c>
      <c r="BH434" s="15">
        <f t="shared" si="433"/>
        <v>0</v>
      </c>
      <c r="BI434" s="15">
        <f t="shared" si="434"/>
        <v>0</v>
      </c>
      <c r="BJ434" s="15">
        <f t="shared" si="435"/>
        <v>0</v>
      </c>
      <c r="BK434" s="15" t="s">
        <v>2969</v>
      </c>
      <c r="BL434" s="29">
        <v>730</v>
      </c>
    </row>
    <row r="435" spans="1:64" ht="12.75">
      <c r="A435" s="4" t="s">
        <v>391</v>
      </c>
      <c r="B435" s="94" t="s">
        <v>1388</v>
      </c>
      <c r="C435" s="152" t="s">
        <v>2325</v>
      </c>
      <c r="D435" s="153"/>
      <c r="E435" s="153"/>
      <c r="F435" s="153"/>
      <c r="G435" s="94" t="s">
        <v>2850</v>
      </c>
      <c r="H435" s="73">
        <v>1</v>
      </c>
      <c r="I435" s="105">
        <v>0</v>
      </c>
      <c r="J435" s="15">
        <f t="shared" si="412"/>
        <v>0</v>
      </c>
      <c r="K435" s="15">
        <f t="shared" si="413"/>
        <v>0</v>
      </c>
      <c r="L435" s="15">
        <f t="shared" si="414"/>
        <v>0</v>
      </c>
      <c r="M435" s="25"/>
      <c r="N435" s="5"/>
      <c r="Z435" s="29">
        <f t="shared" si="415"/>
        <v>0</v>
      </c>
      <c r="AB435" s="29">
        <f t="shared" si="416"/>
        <v>0</v>
      </c>
      <c r="AC435" s="29">
        <f t="shared" si="417"/>
        <v>0</v>
      </c>
      <c r="AD435" s="29">
        <f t="shared" si="418"/>
        <v>0</v>
      </c>
      <c r="AE435" s="29">
        <f t="shared" si="419"/>
        <v>0</v>
      </c>
      <c r="AF435" s="29">
        <f t="shared" si="420"/>
        <v>0</v>
      </c>
      <c r="AG435" s="29">
        <f t="shared" si="421"/>
        <v>0</v>
      </c>
      <c r="AH435" s="29">
        <f t="shared" si="422"/>
        <v>0</v>
      </c>
      <c r="AI435" s="28" t="s">
        <v>2882</v>
      </c>
      <c r="AJ435" s="15">
        <f t="shared" si="423"/>
        <v>0</v>
      </c>
      <c r="AK435" s="15">
        <f t="shared" si="424"/>
        <v>0</v>
      </c>
      <c r="AL435" s="15">
        <f t="shared" si="425"/>
        <v>0</v>
      </c>
      <c r="AN435" s="29">
        <v>15</v>
      </c>
      <c r="AO435" s="29">
        <f t="shared" si="426"/>
        <v>0</v>
      </c>
      <c r="AP435" s="29">
        <f t="shared" si="427"/>
        <v>0</v>
      </c>
      <c r="AQ435" s="30" t="s">
        <v>13</v>
      </c>
      <c r="AV435" s="29">
        <f t="shared" si="428"/>
        <v>0</v>
      </c>
      <c r="AW435" s="29">
        <f t="shared" si="429"/>
        <v>0</v>
      </c>
      <c r="AX435" s="29">
        <f t="shared" si="430"/>
        <v>0</v>
      </c>
      <c r="AY435" s="32" t="s">
        <v>2917</v>
      </c>
      <c r="AZ435" s="32" t="s">
        <v>2944</v>
      </c>
      <c r="BA435" s="28" t="s">
        <v>2957</v>
      </c>
      <c r="BC435" s="29">
        <f t="shared" si="431"/>
        <v>0</v>
      </c>
      <c r="BD435" s="29">
        <f t="shared" si="432"/>
        <v>0</v>
      </c>
      <c r="BE435" s="29">
        <v>0</v>
      </c>
      <c r="BF435" s="29">
        <f>435</f>
        <v>435</v>
      </c>
      <c r="BH435" s="15">
        <f t="shared" si="433"/>
        <v>0</v>
      </c>
      <c r="BI435" s="15">
        <f t="shared" si="434"/>
        <v>0</v>
      </c>
      <c r="BJ435" s="15">
        <f t="shared" si="435"/>
        <v>0</v>
      </c>
      <c r="BK435" s="15" t="s">
        <v>2969</v>
      </c>
      <c r="BL435" s="29">
        <v>730</v>
      </c>
    </row>
    <row r="436" spans="1:64" ht="12.75">
      <c r="A436" s="4" t="s">
        <v>392</v>
      </c>
      <c r="B436" s="94" t="s">
        <v>1389</v>
      </c>
      <c r="C436" s="152" t="s">
        <v>2326</v>
      </c>
      <c r="D436" s="153"/>
      <c r="E436" s="153"/>
      <c r="F436" s="153"/>
      <c r="G436" s="94" t="s">
        <v>2850</v>
      </c>
      <c r="H436" s="73">
        <v>1</v>
      </c>
      <c r="I436" s="105">
        <v>0</v>
      </c>
      <c r="J436" s="15">
        <f t="shared" si="412"/>
        <v>0</v>
      </c>
      <c r="K436" s="15">
        <f t="shared" si="413"/>
        <v>0</v>
      </c>
      <c r="L436" s="15">
        <f t="shared" si="414"/>
        <v>0</v>
      </c>
      <c r="M436" s="25"/>
      <c r="N436" s="5"/>
      <c r="Z436" s="29">
        <f t="shared" si="415"/>
        <v>0</v>
      </c>
      <c r="AB436" s="29">
        <f t="shared" si="416"/>
        <v>0</v>
      </c>
      <c r="AC436" s="29">
        <f t="shared" si="417"/>
        <v>0</v>
      </c>
      <c r="AD436" s="29">
        <f t="shared" si="418"/>
        <v>0</v>
      </c>
      <c r="AE436" s="29">
        <f t="shared" si="419"/>
        <v>0</v>
      </c>
      <c r="AF436" s="29">
        <f t="shared" si="420"/>
        <v>0</v>
      </c>
      <c r="AG436" s="29">
        <f t="shared" si="421"/>
        <v>0</v>
      </c>
      <c r="AH436" s="29">
        <f t="shared" si="422"/>
        <v>0</v>
      </c>
      <c r="AI436" s="28" t="s">
        <v>2882</v>
      </c>
      <c r="AJ436" s="15">
        <f t="shared" si="423"/>
        <v>0</v>
      </c>
      <c r="AK436" s="15">
        <f t="shared" si="424"/>
        <v>0</v>
      </c>
      <c r="AL436" s="15">
        <f t="shared" si="425"/>
        <v>0</v>
      </c>
      <c r="AN436" s="29">
        <v>15</v>
      </c>
      <c r="AO436" s="29">
        <f t="shared" si="426"/>
        <v>0</v>
      </c>
      <c r="AP436" s="29">
        <f t="shared" si="427"/>
        <v>0</v>
      </c>
      <c r="AQ436" s="30" t="s">
        <v>13</v>
      </c>
      <c r="AV436" s="29">
        <f t="shared" si="428"/>
        <v>0</v>
      </c>
      <c r="AW436" s="29">
        <f t="shared" si="429"/>
        <v>0</v>
      </c>
      <c r="AX436" s="29">
        <f t="shared" si="430"/>
        <v>0</v>
      </c>
      <c r="AY436" s="32" t="s">
        <v>2917</v>
      </c>
      <c r="AZ436" s="32" t="s">
        <v>2944</v>
      </c>
      <c r="BA436" s="28" t="s">
        <v>2957</v>
      </c>
      <c r="BC436" s="29">
        <f t="shared" si="431"/>
        <v>0</v>
      </c>
      <c r="BD436" s="29">
        <f t="shared" si="432"/>
        <v>0</v>
      </c>
      <c r="BE436" s="29">
        <v>0</v>
      </c>
      <c r="BF436" s="29">
        <f>436</f>
        <v>436</v>
      </c>
      <c r="BH436" s="15">
        <f t="shared" si="433"/>
        <v>0</v>
      </c>
      <c r="BI436" s="15">
        <f t="shared" si="434"/>
        <v>0</v>
      </c>
      <c r="BJ436" s="15">
        <f t="shared" si="435"/>
        <v>0</v>
      </c>
      <c r="BK436" s="15" t="s">
        <v>2969</v>
      </c>
      <c r="BL436" s="29">
        <v>730</v>
      </c>
    </row>
    <row r="437" spans="1:64" ht="12.75">
      <c r="A437" s="4" t="s">
        <v>393</v>
      </c>
      <c r="B437" s="94" t="s">
        <v>1390</v>
      </c>
      <c r="C437" s="152" t="s">
        <v>2327</v>
      </c>
      <c r="D437" s="153"/>
      <c r="E437" s="153"/>
      <c r="F437" s="153"/>
      <c r="G437" s="94" t="s">
        <v>2850</v>
      </c>
      <c r="H437" s="73">
        <v>1</v>
      </c>
      <c r="I437" s="105">
        <v>0</v>
      </c>
      <c r="J437" s="15">
        <f t="shared" si="412"/>
        <v>0</v>
      </c>
      <c r="K437" s="15">
        <f t="shared" si="413"/>
        <v>0</v>
      </c>
      <c r="L437" s="15">
        <f t="shared" si="414"/>
        <v>0</v>
      </c>
      <c r="M437" s="25"/>
      <c r="N437" s="5"/>
      <c r="Z437" s="29">
        <f t="shared" si="415"/>
        <v>0</v>
      </c>
      <c r="AB437" s="29">
        <f t="shared" si="416"/>
        <v>0</v>
      </c>
      <c r="AC437" s="29">
        <f t="shared" si="417"/>
        <v>0</v>
      </c>
      <c r="AD437" s="29">
        <f t="shared" si="418"/>
        <v>0</v>
      </c>
      <c r="AE437" s="29">
        <f t="shared" si="419"/>
        <v>0</v>
      </c>
      <c r="AF437" s="29">
        <f t="shared" si="420"/>
        <v>0</v>
      </c>
      <c r="AG437" s="29">
        <f t="shared" si="421"/>
        <v>0</v>
      </c>
      <c r="AH437" s="29">
        <f t="shared" si="422"/>
        <v>0</v>
      </c>
      <c r="AI437" s="28" t="s">
        <v>2882</v>
      </c>
      <c r="AJ437" s="15">
        <f t="shared" si="423"/>
        <v>0</v>
      </c>
      <c r="AK437" s="15">
        <f t="shared" si="424"/>
        <v>0</v>
      </c>
      <c r="AL437" s="15">
        <f t="shared" si="425"/>
        <v>0</v>
      </c>
      <c r="AN437" s="29">
        <v>15</v>
      </c>
      <c r="AO437" s="29">
        <f t="shared" si="426"/>
        <v>0</v>
      </c>
      <c r="AP437" s="29">
        <f t="shared" si="427"/>
        <v>0</v>
      </c>
      <c r="AQ437" s="30" t="s">
        <v>13</v>
      </c>
      <c r="AV437" s="29">
        <f t="shared" si="428"/>
        <v>0</v>
      </c>
      <c r="AW437" s="29">
        <f t="shared" si="429"/>
        <v>0</v>
      </c>
      <c r="AX437" s="29">
        <f t="shared" si="430"/>
        <v>0</v>
      </c>
      <c r="AY437" s="32" t="s">
        <v>2917</v>
      </c>
      <c r="AZ437" s="32" t="s">
        <v>2944</v>
      </c>
      <c r="BA437" s="28" t="s">
        <v>2957</v>
      </c>
      <c r="BC437" s="29">
        <f t="shared" si="431"/>
        <v>0</v>
      </c>
      <c r="BD437" s="29">
        <f t="shared" si="432"/>
        <v>0</v>
      </c>
      <c r="BE437" s="29">
        <v>0</v>
      </c>
      <c r="BF437" s="29">
        <f>437</f>
        <v>437</v>
      </c>
      <c r="BH437" s="15">
        <f t="shared" si="433"/>
        <v>0</v>
      </c>
      <c r="BI437" s="15">
        <f t="shared" si="434"/>
        <v>0</v>
      </c>
      <c r="BJ437" s="15">
        <f t="shared" si="435"/>
        <v>0</v>
      </c>
      <c r="BK437" s="15" t="s">
        <v>2969</v>
      </c>
      <c r="BL437" s="29">
        <v>730</v>
      </c>
    </row>
    <row r="438" spans="1:64" ht="12.75">
      <c r="A438" s="4" t="s">
        <v>394</v>
      </c>
      <c r="B438" s="94" t="s">
        <v>1391</v>
      </c>
      <c r="C438" s="152" t="s">
        <v>2328</v>
      </c>
      <c r="D438" s="153"/>
      <c r="E438" s="153"/>
      <c r="F438" s="153"/>
      <c r="G438" s="94" t="s">
        <v>2850</v>
      </c>
      <c r="H438" s="73">
        <v>1</v>
      </c>
      <c r="I438" s="105">
        <v>0</v>
      </c>
      <c r="J438" s="15">
        <f t="shared" si="412"/>
        <v>0</v>
      </c>
      <c r="K438" s="15">
        <f t="shared" si="413"/>
        <v>0</v>
      </c>
      <c r="L438" s="15">
        <f t="shared" si="414"/>
        <v>0</v>
      </c>
      <c r="M438" s="25"/>
      <c r="N438" s="5"/>
      <c r="Z438" s="29">
        <f t="shared" si="415"/>
        <v>0</v>
      </c>
      <c r="AB438" s="29">
        <f t="shared" si="416"/>
        <v>0</v>
      </c>
      <c r="AC438" s="29">
        <f t="shared" si="417"/>
        <v>0</v>
      </c>
      <c r="AD438" s="29">
        <f t="shared" si="418"/>
        <v>0</v>
      </c>
      <c r="AE438" s="29">
        <f t="shared" si="419"/>
        <v>0</v>
      </c>
      <c r="AF438" s="29">
        <f t="shared" si="420"/>
        <v>0</v>
      </c>
      <c r="AG438" s="29">
        <f t="shared" si="421"/>
        <v>0</v>
      </c>
      <c r="AH438" s="29">
        <f t="shared" si="422"/>
        <v>0</v>
      </c>
      <c r="AI438" s="28" t="s">
        <v>2882</v>
      </c>
      <c r="AJ438" s="15">
        <f t="shared" si="423"/>
        <v>0</v>
      </c>
      <c r="AK438" s="15">
        <f t="shared" si="424"/>
        <v>0</v>
      </c>
      <c r="AL438" s="15">
        <f t="shared" si="425"/>
        <v>0</v>
      </c>
      <c r="AN438" s="29">
        <v>15</v>
      </c>
      <c r="AO438" s="29">
        <f t="shared" si="426"/>
        <v>0</v>
      </c>
      <c r="AP438" s="29">
        <f t="shared" si="427"/>
        <v>0</v>
      </c>
      <c r="AQ438" s="30" t="s">
        <v>13</v>
      </c>
      <c r="AV438" s="29">
        <f t="shared" si="428"/>
        <v>0</v>
      </c>
      <c r="AW438" s="29">
        <f t="shared" si="429"/>
        <v>0</v>
      </c>
      <c r="AX438" s="29">
        <f t="shared" si="430"/>
        <v>0</v>
      </c>
      <c r="AY438" s="32" t="s">
        <v>2917</v>
      </c>
      <c r="AZ438" s="32" t="s">
        <v>2944</v>
      </c>
      <c r="BA438" s="28" t="s">
        <v>2957</v>
      </c>
      <c r="BC438" s="29">
        <f t="shared" si="431"/>
        <v>0</v>
      </c>
      <c r="BD438" s="29">
        <f t="shared" si="432"/>
        <v>0</v>
      </c>
      <c r="BE438" s="29">
        <v>0</v>
      </c>
      <c r="BF438" s="29">
        <f>438</f>
        <v>438</v>
      </c>
      <c r="BH438" s="15">
        <f t="shared" si="433"/>
        <v>0</v>
      </c>
      <c r="BI438" s="15">
        <f t="shared" si="434"/>
        <v>0</v>
      </c>
      <c r="BJ438" s="15">
        <f t="shared" si="435"/>
        <v>0</v>
      </c>
      <c r="BK438" s="15" t="s">
        <v>2969</v>
      </c>
      <c r="BL438" s="29">
        <v>730</v>
      </c>
    </row>
    <row r="439" spans="1:64" ht="12.75">
      <c r="A439" s="4" t="s">
        <v>395</v>
      </c>
      <c r="B439" s="94" t="s">
        <v>1392</v>
      </c>
      <c r="C439" s="152" t="s">
        <v>2329</v>
      </c>
      <c r="D439" s="153"/>
      <c r="E439" s="153"/>
      <c r="F439" s="153"/>
      <c r="G439" s="94" t="s">
        <v>2850</v>
      </c>
      <c r="H439" s="73">
        <v>2</v>
      </c>
      <c r="I439" s="105">
        <v>0</v>
      </c>
      <c r="J439" s="15">
        <f t="shared" si="412"/>
        <v>0</v>
      </c>
      <c r="K439" s="15">
        <f t="shared" si="413"/>
        <v>0</v>
      </c>
      <c r="L439" s="15">
        <f t="shared" si="414"/>
        <v>0</v>
      </c>
      <c r="M439" s="25"/>
      <c r="N439" s="5"/>
      <c r="Z439" s="29">
        <f t="shared" si="415"/>
        <v>0</v>
      </c>
      <c r="AB439" s="29">
        <f t="shared" si="416"/>
        <v>0</v>
      </c>
      <c r="AC439" s="29">
        <f t="shared" si="417"/>
        <v>0</v>
      </c>
      <c r="AD439" s="29">
        <f t="shared" si="418"/>
        <v>0</v>
      </c>
      <c r="AE439" s="29">
        <f t="shared" si="419"/>
        <v>0</v>
      </c>
      <c r="AF439" s="29">
        <f t="shared" si="420"/>
        <v>0</v>
      </c>
      <c r="AG439" s="29">
        <f t="shared" si="421"/>
        <v>0</v>
      </c>
      <c r="AH439" s="29">
        <f t="shared" si="422"/>
        <v>0</v>
      </c>
      <c r="AI439" s="28" t="s">
        <v>2882</v>
      </c>
      <c r="AJ439" s="15">
        <f t="shared" si="423"/>
        <v>0</v>
      </c>
      <c r="AK439" s="15">
        <f t="shared" si="424"/>
        <v>0</v>
      </c>
      <c r="AL439" s="15">
        <f t="shared" si="425"/>
        <v>0</v>
      </c>
      <c r="AN439" s="29">
        <v>15</v>
      </c>
      <c r="AO439" s="29">
        <f t="shared" si="426"/>
        <v>0</v>
      </c>
      <c r="AP439" s="29">
        <f t="shared" si="427"/>
        <v>0</v>
      </c>
      <c r="AQ439" s="30" t="s">
        <v>13</v>
      </c>
      <c r="AV439" s="29">
        <f t="shared" si="428"/>
        <v>0</v>
      </c>
      <c r="AW439" s="29">
        <f t="shared" si="429"/>
        <v>0</v>
      </c>
      <c r="AX439" s="29">
        <f t="shared" si="430"/>
        <v>0</v>
      </c>
      <c r="AY439" s="32" t="s">
        <v>2917</v>
      </c>
      <c r="AZ439" s="32" t="s">
        <v>2944</v>
      </c>
      <c r="BA439" s="28" t="s">
        <v>2957</v>
      </c>
      <c r="BC439" s="29">
        <f t="shared" si="431"/>
        <v>0</v>
      </c>
      <c r="BD439" s="29">
        <f t="shared" si="432"/>
        <v>0</v>
      </c>
      <c r="BE439" s="29">
        <v>0</v>
      </c>
      <c r="BF439" s="29">
        <f>439</f>
        <v>439</v>
      </c>
      <c r="BH439" s="15">
        <f t="shared" si="433"/>
        <v>0</v>
      </c>
      <c r="BI439" s="15">
        <f t="shared" si="434"/>
        <v>0</v>
      </c>
      <c r="BJ439" s="15">
        <f t="shared" si="435"/>
        <v>0</v>
      </c>
      <c r="BK439" s="15" t="s">
        <v>2969</v>
      </c>
      <c r="BL439" s="29">
        <v>730</v>
      </c>
    </row>
    <row r="440" spans="1:64" ht="12.75">
      <c r="A440" s="4" t="s">
        <v>396</v>
      </c>
      <c r="B440" s="94" t="s">
        <v>1393</v>
      </c>
      <c r="C440" s="152" t="s">
        <v>2330</v>
      </c>
      <c r="D440" s="153"/>
      <c r="E440" s="153"/>
      <c r="F440" s="153"/>
      <c r="G440" s="94" t="s">
        <v>2850</v>
      </c>
      <c r="H440" s="73">
        <v>6</v>
      </c>
      <c r="I440" s="105">
        <v>0</v>
      </c>
      <c r="J440" s="15">
        <f t="shared" si="412"/>
        <v>0</v>
      </c>
      <c r="K440" s="15">
        <f t="shared" si="413"/>
        <v>0</v>
      </c>
      <c r="L440" s="15">
        <f t="shared" si="414"/>
        <v>0</v>
      </c>
      <c r="M440" s="25"/>
      <c r="N440" s="5"/>
      <c r="Z440" s="29">
        <f t="shared" si="415"/>
        <v>0</v>
      </c>
      <c r="AB440" s="29">
        <f t="shared" si="416"/>
        <v>0</v>
      </c>
      <c r="AC440" s="29">
        <f t="shared" si="417"/>
        <v>0</v>
      </c>
      <c r="AD440" s="29">
        <f t="shared" si="418"/>
        <v>0</v>
      </c>
      <c r="AE440" s="29">
        <f t="shared" si="419"/>
        <v>0</v>
      </c>
      <c r="AF440" s="29">
        <f t="shared" si="420"/>
        <v>0</v>
      </c>
      <c r="AG440" s="29">
        <f t="shared" si="421"/>
        <v>0</v>
      </c>
      <c r="AH440" s="29">
        <f t="shared" si="422"/>
        <v>0</v>
      </c>
      <c r="AI440" s="28" t="s">
        <v>2882</v>
      </c>
      <c r="AJ440" s="15">
        <f t="shared" si="423"/>
        <v>0</v>
      </c>
      <c r="AK440" s="15">
        <f t="shared" si="424"/>
        <v>0</v>
      </c>
      <c r="AL440" s="15">
        <f t="shared" si="425"/>
        <v>0</v>
      </c>
      <c r="AN440" s="29">
        <v>15</v>
      </c>
      <c r="AO440" s="29">
        <f t="shared" si="426"/>
        <v>0</v>
      </c>
      <c r="AP440" s="29">
        <f t="shared" si="427"/>
        <v>0</v>
      </c>
      <c r="AQ440" s="30" t="s">
        <v>13</v>
      </c>
      <c r="AV440" s="29">
        <f t="shared" si="428"/>
        <v>0</v>
      </c>
      <c r="AW440" s="29">
        <f t="shared" si="429"/>
        <v>0</v>
      </c>
      <c r="AX440" s="29">
        <f t="shared" si="430"/>
        <v>0</v>
      </c>
      <c r="AY440" s="32" t="s">
        <v>2917</v>
      </c>
      <c r="AZ440" s="32" t="s">
        <v>2944</v>
      </c>
      <c r="BA440" s="28" t="s">
        <v>2957</v>
      </c>
      <c r="BC440" s="29">
        <f t="shared" si="431"/>
        <v>0</v>
      </c>
      <c r="BD440" s="29">
        <f t="shared" si="432"/>
        <v>0</v>
      </c>
      <c r="BE440" s="29">
        <v>0</v>
      </c>
      <c r="BF440" s="29">
        <f>440</f>
        <v>440</v>
      </c>
      <c r="BH440" s="15">
        <f t="shared" si="433"/>
        <v>0</v>
      </c>
      <c r="BI440" s="15">
        <f t="shared" si="434"/>
        <v>0</v>
      </c>
      <c r="BJ440" s="15">
        <f t="shared" si="435"/>
        <v>0</v>
      </c>
      <c r="BK440" s="15" t="s">
        <v>2969</v>
      </c>
      <c r="BL440" s="29">
        <v>730</v>
      </c>
    </row>
    <row r="441" spans="1:64" ht="12.75">
      <c r="A441" s="4" t="s">
        <v>397</v>
      </c>
      <c r="B441" s="94" t="s">
        <v>1394</v>
      </c>
      <c r="C441" s="152" t="s">
        <v>2331</v>
      </c>
      <c r="D441" s="153"/>
      <c r="E441" s="153"/>
      <c r="F441" s="153"/>
      <c r="G441" s="94" t="s">
        <v>2850</v>
      </c>
      <c r="H441" s="73">
        <v>6</v>
      </c>
      <c r="I441" s="105">
        <v>0</v>
      </c>
      <c r="J441" s="15">
        <f t="shared" si="412"/>
        <v>0</v>
      </c>
      <c r="K441" s="15">
        <f t="shared" si="413"/>
        <v>0</v>
      </c>
      <c r="L441" s="15">
        <f t="shared" si="414"/>
        <v>0</v>
      </c>
      <c r="M441" s="25"/>
      <c r="N441" s="5"/>
      <c r="Z441" s="29">
        <f t="shared" si="415"/>
        <v>0</v>
      </c>
      <c r="AB441" s="29">
        <f t="shared" si="416"/>
        <v>0</v>
      </c>
      <c r="AC441" s="29">
        <f t="shared" si="417"/>
        <v>0</v>
      </c>
      <c r="AD441" s="29">
        <f t="shared" si="418"/>
        <v>0</v>
      </c>
      <c r="AE441" s="29">
        <f t="shared" si="419"/>
        <v>0</v>
      </c>
      <c r="AF441" s="29">
        <f t="shared" si="420"/>
        <v>0</v>
      </c>
      <c r="AG441" s="29">
        <f t="shared" si="421"/>
        <v>0</v>
      </c>
      <c r="AH441" s="29">
        <f t="shared" si="422"/>
        <v>0</v>
      </c>
      <c r="AI441" s="28" t="s">
        <v>2882</v>
      </c>
      <c r="AJ441" s="15">
        <f t="shared" si="423"/>
        <v>0</v>
      </c>
      <c r="AK441" s="15">
        <f t="shared" si="424"/>
        <v>0</v>
      </c>
      <c r="AL441" s="15">
        <f t="shared" si="425"/>
        <v>0</v>
      </c>
      <c r="AN441" s="29">
        <v>15</v>
      </c>
      <c r="AO441" s="29">
        <f t="shared" si="426"/>
        <v>0</v>
      </c>
      <c r="AP441" s="29">
        <f t="shared" si="427"/>
        <v>0</v>
      </c>
      <c r="AQ441" s="30" t="s">
        <v>13</v>
      </c>
      <c r="AV441" s="29">
        <f t="shared" si="428"/>
        <v>0</v>
      </c>
      <c r="AW441" s="29">
        <f t="shared" si="429"/>
        <v>0</v>
      </c>
      <c r="AX441" s="29">
        <f t="shared" si="430"/>
        <v>0</v>
      </c>
      <c r="AY441" s="32" t="s">
        <v>2917</v>
      </c>
      <c r="AZ441" s="32" t="s">
        <v>2944</v>
      </c>
      <c r="BA441" s="28" t="s">
        <v>2957</v>
      </c>
      <c r="BC441" s="29">
        <f t="shared" si="431"/>
        <v>0</v>
      </c>
      <c r="BD441" s="29">
        <f t="shared" si="432"/>
        <v>0</v>
      </c>
      <c r="BE441" s="29">
        <v>0</v>
      </c>
      <c r="BF441" s="29">
        <f>441</f>
        <v>441</v>
      </c>
      <c r="BH441" s="15">
        <f t="shared" si="433"/>
        <v>0</v>
      </c>
      <c r="BI441" s="15">
        <f t="shared" si="434"/>
        <v>0</v>
      </c>
      <c r="BJ441" s="15">
        <f t="shared" si="435"/>
        <v>0</v>
      </c>
      <c r="BK441" s="15" t="s">
        <v>2969</v>
      </c>
      <c r="BL441" s="29">
        <v>730</v>
      </c>
    </row>
    <row r="442" spans="1:64" ht="12.75">
      <c r="A442" s="4" t="s">
        <v>398</v>
      </c>
      <c r="B442" s="94" t="s">
        <v>1395</v>
      </c>
      <c r="C442" s="152" t="s">
        <v>2332</v>
      </c>
      <c r="D442" s="153"/>
      <c r="E442" s="153"/>
      <c r="F442" s="153"/>
      <c r="G442" s="94" t="s">
        <v>2850</v>
      </c>
      <c r="H442" s="73">
        <v>2</v>
      </c>
      <c r="I442" s="105">
        <v>0</v>
      </c>
      <c r="J442" s="15">
        <f t="shared" si="412"/>
        <v>0</v>
      </c>
      <c r="K442" s="15">
        <f t="shared" si="413"/>
        <v>0</v>
      </c>
      <c r="L442" s="15">
        <f t="shared" si="414"/>
        <v>0</v>
      </c>
      <c r="M442" s="25"/>
      <c r="N442" s="5"/>
      <c r="Z442" s="29">
        <f t="shared" si="415"/>
        <v>0</v>
      </c>
      <c r="AB442" s="29">
        <f t="shared" si="416"/>
        <v>0</v>
      </c>
      <c r="AC442" s="29">
        <f t="shared" si="417"/>
        <v>0</v>
      </c>
      <c r="AD442" s="29">
        <f t="shared" si="418"/>
        <v>0</v>
      </c>
      <c r="AE442" s="29">
        <f t="shared" si="419"/>
        <v>0</v>
      </c>
      <c r="AF442" s="29">
        <f t="shared" si="420"/>
        <v>0</v>
      </c>
      <c r="AG442" s="29">
        <f t="shared" si="421"/>
        <v>0</v>
      </c>
      <c r="AH442" s="29">
        <f t="shared" si="422"/>
        <v>0</v>
      </c>
      <c r="AI442" s="28" t="s">
        <v>2882</v>
      </c>
      <c r="AJ442" s="15">
        <f t="shared" si="423"/>
        <v>0</v>
      </c>
      <c r="AK442" s="15">
        <f t="shared" si="424"/>
        <v>0</v>
      </c>
      <c r="AL442" s="15">
        <f t="shared" si="425"/>
        <v>0</v>
      </c>
      <c r="AN442" s="29">
        <v>15</v>
      </c>
      <c r="AO442" s="29">
        <f t="shared" si="426"/>
        <v>0</v>
      </c>
      <c r="AP442" s="29">
        <f t="shared" si="427"/>
        <v>0</v>
      </c>
      <c r="AQ442" s="30" t="s">
        <v>13</v>
      </c>
      <c r="AV442" s="29">
        <f t="shared" si="428"/>
        <v>0</v>
      </c>
      <c r="AW442" s="29">
        <f t="shared" si="429"/>
        <v>0</v>
      </c>
      <c r="AX442" s="29">
        <f t="shared" si="430"/>
        <v>0</v>
      </c>
      <c r="AY442" s="32" t="s">
        <v>2917</v>
      </c>
      <c r="AZ442" s="32" t="s">
        <v>2944</v>
      </c>
      <c r="BA442" s="28" t="s">
        <v>2957</v>
      </c>
      <c r="BC442" s="29">
        <f t="shared" si="431"/>
        <v>0</v>
      </c>
      <c r="BD442" s="29">
        <f t="shared" si="432"/>
        <v>0</v>
      </c>
      <c r="BE442" s="29">
        <v>0</v>
      </c>
      <c r="BF442" s="29">
        <f>442</f>
        <v>442</v>
      </c>
      <c r="BH442" s="15">
        <f t="shared" si="433"/>
        <v>0</v>
      </c>
      <c r="BI442" s="15">
        <f t="shared" si="434"/>
        <v>0</v>
      </c>
      <c r="BJ442" s="15">
        <f t="shared" si="435"/>
        <v>0</v>
      </c>
      <c r="BK442" s="15" t="s">
        <v>2969</v>
      </c>
      <c r="BL442" s="29">
        <v>730</v>
      </c>
    </row>
    <row r="443" spans="1:64" ht="12.75">
      <c r="A443" s="4" t="s">
        <v>399</v>
      </c>
      <c r="B443" s="94" t="s">
        <v>1396</v>
      </c>
      <c r="C443" s="152" t="s">
        <v>2333</v>
      </c>
      <c r="D443" s="153"/>
      <c r="E443" s="153"/>
      <c r="F443" s="153"/>
      <c r="G443" s="94" t="s">
        <v>2850</v>
      </c>
      <c r="H443" s="73">
        <v>2</v>
      </c>
      <c r="I443" s="105">
        <v>0</v>
      </c>
      <c r="J443" s="15">
        <f t="shared" si="412"/>
        <v>0</v>
      </c>
      <c r="K443" s="15">
        <f t="shared" si="413"/>
        <v>0</v>
      </c>
      <c r="L443" s="15">
        <f t="shared" si="414"/>
        <v>0</v>
      </c>
      <c r="M443" s="25"/>
      <c r="N443" s="5"/>
      <c r="Z443" s="29">
        <f t="shared" si="415"/>
        <v>0</v>
      </c>
      <c r="AB443" s="29">
        <f t="shared" si="416"/>
        <v>0</v>
      </c>
      <c r="AC443" s="29">
        <f t="shared" si="417"/>
        <v>0</v>
      </c>
      <c r="AD443" s="29">
        <f t="shared" si="418"/>
        <v>0</v>
      </c>
      <c r="AE443" s="29">
        <f t="shared" si="419"/>
        <v>0</v>
      </c>
      <c r="AF443" s="29">
        <f t="shared" si="420"/>
        <v>0</v>
      </c>
      <c r="AG443" s="29">
        <f t="shared" si="421"/>
        <v>0</v>
      </c>
      <c r="AH443" s="29">
        <f t="shared" si="422"/>
        <v>0</v>
      </c>
      <c r="AI443" s="28" t="s">
        <v>2882</v>
      </c>
      <c r="AJ443" s="15">
        <f t="shared" si="423"/>
        <v>0</v>
      </c>
      <c r="AK443" s="15">
        <f t="shared" si="424"/>
        <v>0</v>
      </c>
      <c r="AL443" s="15">
        <f t="shared" si="425"/>
        <v>0</v>
      </c>
      <c r="AN443" s="29">
        <v>15</v>
      </c>
      <c r="AO443" s="29">
        <f t="shared" si="426"/>
        <v>0</v>
      </c>
      <c r="AP443" s="29">
        <f t="shared" si="427"/>
        <v>0</v>
      </c>
      <c r="AQ443" s="30" t="s">
        <v>13</v>
      </c>
      <c r="AV443" s="29">
        <f t="shared" si="428"/>
        <v>0</v>
      </c>
      <c r="AW443" s="29">
        <f t="shared" si="429"/>
        <v>0</v>
      </c>
      <c r="AX443" s="29">
        <f t="shared" si="430"/>
        <v>0</v>
      </c>
      <c r="AY443" s="32" t="s">
        <v>2917</v>
      </c>
      <c r="AZ443" s="32" t="s">
        <v>2944</v>
      </c>
      <c r="BA443" s="28" t="s">
        <v>2957</v>
      </c>
      <c r="BC443" s="29">
        <f t="shared" si="431"/>
        <v>0</v>
      </c>
      <c r="BD443" s="29">
        <f t="shared" si="432"/>
        <v>0</v>
      </c>
      <c r="BE443" s="29">
        <v>0</v>
      </c>
      <c r="BF443" s="29">
        <f>443</f>
        <v>443</v>
      </c>
      <c r="BH443" s="15">
        <f t="shared" si="433"/>
        <v>0</v>
      </c>
      <c r="BI443" s="15">
        <f t="shared" si="434"/>
        <v>0</v>
      </c>
      <c r="BJ443" s="15">
        <f t="shared" si="435"/>
        <v>0</v>
      </c>
      <c r="BK443" s="15" t="s">
        <v>2969</v>
      </c>
      <c r="BL443" s="29">
        <v>730</v>
      </c>
    </row>
    <row r="444" spans="1:64" ht="12.75">
      <c r="A444" s="4" t="s">
        <v>400</v>
      </c>
      <c r="B444" s="94" t="s">
        <v>1397</v>
      </c>
      <c r="C444" s="152" t="s">
        <v>2334</v>
      </c>
      <c r="D444" s="153"/>
      <c r="E444" s="153"/>
      <c r="F444" s="153"/>
      <c r="G444" s="94" t="s">
        <v>2850</v>
      </c>
      <c r="H444" s="73">
        <v>1</v>
      </c>
      <c r="I444" s="105">
        <v>0</v>
      </c>
      <c r="J444" s="15">
        <f t="shared" si="412"/>
        <v>0</v>
      </c>
      <c r="K444" s="15">
        <f t="shared" si="413"/>
        <v>0</v>
      </c>
      <c r="L444" s="15">
        <f t="shared" si="414"/>
        <v>0</v>
      </c>
      <c r="M444" s="25"/>
      <c r="N444" s="5"/>
      <c r="Z444" s="29">
        <f t="shared" si="415"/>
        <v>0</v>
      </c>
      <c r="AB444" s="29">
        <f t="shared" si="416"/>
        <v>0</v>
      </c>
      <c r="AC444" s="29">
        <f t="shared" si="417"/>
        <v>0</v>
      </c>
      <c r="AD444" s="29">
        <f t="shared" si="418"/>
        <v>0</v>
      </c>
      <c r="AE444" s="29">
        <f t="shared" si="419"/>
        <v>0</v>
      </c>
      <c r="AF444" s="29">
        <f t="shared" si="420"/>
        <v>0</v>
      </c>
      <c r="AG444" s="29">
        <f t="shared" si="421"/>
        <v>0</v>
      </c>
      <c r="AH444" s="29">
        <f t="shared" si="422"/>
        <v>0</v>
      </c>
      <c r="AI444" s="28" t="s">
        <v>2882</v>
      </c>
      <c r="AJ444" s="15">
        <f t="shared" si="423"/>
        <v>0</v>
      </c>
      <c r="AK444" s="15">
        <f t="shared" si="424"/>
        <v>0</v>
      </c>
      <c r="AL444" s="15">
        <f t="shared" si="425"/>
        <v>0</v>
      </c>
      <c r="AN444" s="29">
        <v>15</v>
      </c>
      <c r="AO444" s="29">
        <f t="shared" si="426"/>
        <v>0</v>
      </c>
      <c r="AP444" s="29">
        <f t="shared" si="427"/>
        <v>0</v>
      </c>
      <c r="AQ444" s="30" t="s">
        <v>13</v>
      </c>
      <c r="AV444" s="29">
        <f t="shared" si="428"/>
        <v>0</v>
      </c>
      <c r="AW444" s="29">
        <f t="shared" si="429"/>
        <v>0</v>
      </c>
      <c r="AX444" s="29">
        <f t="shared" si="430"/>
        <v>0</v>
      </c>
      <c r="AY444" s="32" t="s">
        <v>2917</v>
      </c>
      <c r="AZ444" s="32" t="s">
        <v>2944</v>
      </c>
      <c r="BA444" s="28" t="s">
        <v>2957</v>
      </c>
      <c r="BC444" s="29">
        <f t="shared" si="431"/>
        <v>0</v>
      </c>
      <c r="BD444" s="29">
        <f t="shared" si="432"/>
        <v>0</v>
      </c>
      <c r="BE444" s="29">
        <v>0</v>
      </c>
      <c r="BF444" s="29">
        <f>444</f>
        <v>444</v>
      </c>
      <c r="BH444" s="15">
        <f t="shared" si="433"/>
        <v>0</v>
      </c>
      <c r="BI444" s="15">
        <f t="shared" si="434"/>
        <v>0</v>
      </c>
      <c r="BJ444" s="15">
        <f t="shared" si="435"/>
        <v>0</v>
      </c>
      <c r="BK444" s="15" t="s">
        <v>2969</v>
      </c>
      <c r="BL444" s="29">
        <v>730</v>
      </c>
    </row>
    <row r="445" spans="1:64" ht="12.75">
      <c r="A445" s="4" t="s">
        <v>401</v>
      </c>
      <c r="B445" s="94" t="s">
        <v>1398</v>
      </c>
      <c r="C445" s="152" t="s">
        <v>2335</v>
      </c>
      <c r="D445" s="153"/>
      <c r="E445" s="153"/>
      <c r="F445" s="153"/>
      <c r="G445" s="94" t="s">
        <v>2850</v>
      </c>
      <c r="H445" s="73">
        <v>1</v>
      </c>
      <c r="I445" s="105">
        <v>0</v>
      </c>
      <c r="J445" s="15">
        <f t="shared" si="412"/>
        <v>0</v>
      </c>
      <c r="K445" s="15">
        <f t="shared" si="413"/>
        <v>0</v>
      </c>
      <c r="L445" s="15">
        <f t="shared" si="414"/>
        <v>0</v>
      </c>
      <c r="M445" s="25"/>
      <c r="N445" s="5"/>
      <c r="Z445" s="29">
        <f t="shared" si="415"/>
        <v>0</v>
      </c>
      <c r="AB445" s="29">
        <f t="shared" si="416"/>
        <v>0</v>
      </c>
      <c r="AC445" s="29">
        <f t="shared" si="417"/>
        <v>0</v>
      </c>
      <c r="AD445" s="29">
        <f t="shared" si="418"/>
        <v>0</v>
      </c>
      <c r="AE445" s="29">
        <f t="shared" si="419"/>
        <v>0</v>
      </c>
      <c r="AF445" s="29">
        <f t="shared" si="420"/>
        <v>0</v>
      </c>
      <c r="AG445" s="29">
        <f t="shared" si="421"/>
        <v>0</v>
      </c>
      <c r="AH445" s="29">
        <f t="shared" si="422"/>
        <v>0</v>
      </c>
      <c r="AI445" s="28" t="s">
        <v>2882</v>
      </c>
      <c r="AJ445" s="15">
        <f t="shared" si="423"/>
        <v>0</v>
      </c>
      <c r="AK445" s="15">
        <f t="shared" si="424"/>
        <v>0</v>
      </c>
      <c r="AL445" s="15">
        <f t="shared" si="425"/>
        <v>0</v>
      </c>
      <c r="AN445" s="29">
        <v>15</v>
      </c>
      <c r="AO445" s="29">
        <f t="shared" si="426"/>
        <v>0</v>
      </c>
      <c r="AP445" s="29">
        <f t="shared" si="427"/>
        <v>0</v>
      </c>
      <c r="AQ445" s="30" t="s">
        <v>13</v>
      </c>
      <c r="AV445" s="29">
        <f t="shared" si="428"/>
        <v>0</v>
      </c>
      <c r="AW445" s="29">
        <f t="shared" si="429"/>
        <v>0</v>
      </c>
      <c r="AX445" s="29">
        <f t="shared" si="430"/>
        <v>0</v>
      </c>
      <c r="AY445" s="32" t="s">
        <v>2917</v>
      </c>
      <c r="AZ445" s="32" t="s">
        <v>2944</v>
      </c>
      <c r="BA445" s="28" t="s">
        <v>2957</v>
      </c>
      <c r="BC445" s="29">
        <f t="shared" si="431"/>
        <v>0</v>
      </c>
      <c r="BD445" s="29">
        <f t="shared" si="432"/>
        <v>0</v>
      </c>
      <c r="BE445" s="29">
        <v>0</v>
      </c>
      <c r="BF445" s="29">
        <f>445</f>
        <v>445</v>
      </c>
      <c r="BH445" s="15">
        <f t="shared" si="433"/>
        <v>0</v>
      </c>
      <c r="BI445" s="15">
        <f t="shared" si="434"/>
        <v>0</v>
      </c>
      <c r="BJ445" s="15">
        <f t="shared" si="435"/>
        <v>0</v>
      </c>
      <c r="BK445" s="15" t="s">
        <v>2969</v>
      </c>
      <c r="BL445" s="29">
        <v>730</v>
      </c>
    </row>
    <row r="446" spans="1:64" ht="12.75">
      <c r="A446" s="4" t="s">
        <v>402</v>
      </c>
      <c r="B446" s="94" t="s">
        <v>1399</v>
      </c>
      <c r="C446" s="152" t="s">
        <v>2336</v>
      </c>
      <c r="D446" s="153"/>
      <c r="E446" s="153"/>
      <c r="F446" s="153"/>
      <c r="G446" s="94" t="s">
        <v>2850</v>
      </c>
      <c r="H446" s="73">
        <v>1</v>
      </c>
      <c r="I446" s="105">
        <v>0</v>
      </c>
      <c r="J446" s="15">
        <f t="shared" si="412"/>
        <v>0</v>
      </c>
      <c r="K446" s="15">
        <f t="shared" si="413"/>
        <v>0</v>
      </c>
      <c r="L446" s="15">
        <f t="shared" si="414"/>
        <v>0</v>
      </c>
      <c r="M446" s="25"/>
      <c r="N446" s="5"/>
      <c r="Z446" s="29">
        <f t="shared" si="415"/>
        <v>0</v>
      </c>
      <c r="AB446" s="29">
        <f t="shared" si="416"/>
        <v>0</v>
      </c>
      <c r="AC446" s="29">
        <f t="shared" si="417"/>
        <v>0</v>
      </c>
      <c r="AD446" s="29">
        <f t="shared" si="418"/>
        <v>0</v>
      </c>
      <c r="AE446" s="29">
        <f t="shared" si="419"/>
        <v>0</v>
      </c>
      <c r="AF446" s="29">
        <f t="shared" si="420"/>
        <v>0</v>
      </c>
      <c r="AG446" s="29">
        <f t="shared" si="421"/>
        <v>0</v>
      </c>
      <c r="AH446" s="29">
        <f t="shared" si="422"/>
        <v>0</v>
      </c>
      <c r="AI446" s="28" t="s">
        <v>2882</v>
      </c>
      <c r="AJ446" s="15">
        <f t="shared" si="423"/>
        <v>0</v>
      </c>
      <c r="AK446" s="15">
        <f t="shared" si="424"/>
        <v>0</v>
      </c>
      <c r="AL446" s="15">
        <f t="shared" si="425"/>
        <v>0</v>
      </c>
      <c r="AN446" s="29">
        <v>15</v>
      </c>
      <c r="AO446" s="29">
        <f t="shared" si="426"/>
        <v>0</v>
      </c>
      <c r="AP446" s="29">
        <f t="shared" si="427"/>
        <v>0</v>
      </c>
      <c r="AQ446" s="30" t="s">
        <v>13</v>
      </c>
      <c r="AV446" s="29">
        <f t="shared" si="428"/>
        <v>0</v>
      </c>
      <c r="AW446" s="29">
        <f t="shared" si="429"/>
        <v>0</v>
      </c>
      <c r="AX446" s="29">
        <f t="shared" si="430"/>
        <v>0</v>
      </c>
      <c r="AY446" s="32" t="s">
        <v>2917</v>
      </c>
      <c r="AZ446" s="32" t="s">
        <v>2944</v>
      </c>
      <c r="BA446" s="28" t="s">
        <v>2957</v>
      </c>
      <c r="BC446" s="29">
        <f t="shared" si="431"/>
        <v>0</v>
      </c>
      <c r="BD446" s="29">
        <f t="shared" si="432"/>
        <v>0</v>
      </c>
      <c r="BE446" s="29">
        <v>0</v>
      </c>
      <c r="BF446" s="29">
        <f>446</f>
        <v>446</v>
      </c>
      <c r="BH446" s="15">
        <f t="shared" si="433"/>
        <v>0</v>
      </c>
      <c r="BI446" s="15">
        <f t="shared" si="434"/>
        <v>0</v>
      </c>
      <c r="BJ446" s="15">
        <f t="shared" si="435"/>
        <v>0</v>
      </c>
      <c r="BK446" s="15" t="s">
        <v>2969</v>
      </c>
      <c r="BL446" s="29">
        <v>730</v>
      </c>
    </row>
    <row r="447" spans="1:64" ht="12.75">
      <c r="A447" s="4" t="s">
        <v>403</v>
      </c>
      <c r="B447" s="94" t="s">
        <v>1400</v>
      </c>
      <c r="C447" s="152" t="s">
        <v>2337</v>
      </c>
      <c r="D447" s="153"/>
      <c r="E447" s="153"/>
      <c r="F447" s="153"/>
      <c r="G447" s="94" t="s">
        <v>2850</v>
      </c>
      <c r="H447" s="73">
        <v>14</v>
      </c>
      <c r="I447" s="105">
        <v>0</v>
      </c>
      <c r="J447" s="15">
        <f t="shared" si="412"/>
        <v>0</v>
      </c>
      <c r="K447" s="15">
        <f t="shared" si="413"/>
        <v>0</v>
      </c>
      <c r="L447" s="15">
        <f t="shared" si="414"/>
        <v>0</v>
      </c>
      <c r="M447" s="25"/>
      <c r="N447" s="5"/>
      <c r="Z447" s="29">
        <f t="shared" si="415"/>
        <v>0</v>
      </c>
      <c r="AB447" s="29">
        <f t="shared" si="416"/>
        <v>0</v>
      </c>
      <c r="AC447" s="29">
        <f t="shared" si="417"/>
        <v>0</v>
      </c>
      <c r="AD447" s="29">
        <f t="shared" si="418"/>
        <v>0</v>
      </c>
      <c r="AE447" s="29">
        <f t="shared" si="419"/>
        <v>0</v>
      </c>
      <c r="AF447" s="29">
        <f t="shared" si="420"/>
        <v>0</v>
      </c>
      <c r="AG447" s="29">
        <f t="shared" si="421"/>
        <v>0</v>
      </c>
      <c r="AH447" s="29">
        <f t="shared" si="422"/>
        <v>0</v>
      </c>
      <c r="AI447" s="28" t="s">
        <v>2882</v>
      </c>
      <c r="AJ447" s="15">
        <f t="shared" si="423"/>
        <v>0</v>
      </c>
      <c r="AK447" s="15">
        <f t="shared" si="424"/>
        <v>0</v>
      </c>
      <c r="AL447" s="15">
        <f t="shared" si="425"/>
        <v>0</v>
      </c>
      <c r="AN447" s="29">
        <v>15</v>
      </c>
      <c r="AO447" s="29">
        <f t="shared" si="426"/>
        <v>0</v>
      </c>
      <c r="AP447" s="29">
        <f t="shared" si="427"/>
        <v>0</v>
      </c>
      <c r="AQ447" s="30" t="s">
        <v>13</v>
      </c>
      <c r="AV447" s="29">
        <f t="shared" si="428"/>
        <v>0</v>
      </c>
      <c r="AW447" s="29">
        <f t="shared" si="429"/>
        <v>0</v>
      </c>
      <c r="AX447" s="29">
        <f t="shared" si="430"/>
        <v>0</v>
      </c>
      <c r="AY447" s="32" t="s">
        <v>2917</v>
      </c>
      <c r="AZ447" s="32" t="s">
        <v>2944</v>
      </c>
      <c r="BA447" s="28" t="s">
        <v>2957</v>
      </c>
      <c r="BC447" s="29">
        <f t="shared" si="431"/>
        <v>0</v>
      </c>
      <c r="BD447" s="29">
        <f t="shared" si="432"/>
        <v>0</v>
      </c>
      <c r="BE447" s="29">
        <v>0</v>
      </c>
      <c r="BF447" s="29">
        <f>447</f>
        <v>447</v>
      </c>
      <c r="BH447" s="15">
        <f t="shared" si="433"/>
        <v>0</v>
      </c>
      <c r="BI447" s="15">
        <f t="shared" si="434"/>
        <v>0</v>
      </c>
      <c r="BJ447" s="15">
        <f t="shared" si="435"/>
        <v>0</v>
      </c>
      <c r="BK447" s="15" t="s">
        <v>2969</v>
      </c>
      <c r="BL447" s="29">
        <v>730</v>
      </c>
    </row>
    <row r="448" spans="1:64" ht="12.75">
      <c r="A448" s="4" t="s">
        <v>404</v>
      </c>
      <c r="B448" s="94" t="s">
        <v>1401</v>
      </c>
      <c r="C448" s="152" t="s">
        <v>2338</v>
      </c>
      <c r="D448" s="153"/>
      <c r="E448" s="153"/>
      <c r="F448" s="153"/>
      <c r="G448" s="94" t="s">
        <v>2850</v>
      </c>
      <c r="H448" s="73">
        <v>1</v>
      </c>
      <c r="I448" s="105">
        <v>0</v>
      </c>
      <c r="J448" s="15">
        <f t="shared" si="412"/>
        <v>0</v>
      </c>
      <c r="K448" s="15">
        <f t="shared" si="413"/>
        <v>0</v>
      </c>
      <c r="L448" s="15">
        <f t="shared" si="414"/>
        <v>0</v>
      </c>
      <c r="M448" s="25"/>
      <c r="N448" s="5"/>
      <c r="Z448" s="29">
        <f t="shared" si="415"/>
        <v>0</v>
      </c>
      <c r="AB448" s="29">
        <f t="shared" si="416"/>
        <v>0</v>
      </c>
      <c r="AC448" s="29">
        <f t="shared" si="417"/>
        <v>0</v>
      </c>
      <c r="AD448" s="29">
        <f t="shared" si="418"/>
        <v>0</v>
      </c>
      <c r="AE448" s="29">
        <f t="shared" si="419"/>
        <v>0</v>
      </c>
      <c r="AF448" s="29">
        <f t="shared" si="420"/>
        <v>0</v>
      </c>
      <c r="AG448" s="29">
        <f t="shared" si="421"/>
        <v>0</v>
      </c>
      <c r="AH448" s="29">
        <f t="shared" si="422"/>
        <v>0</v>
      </c>
      <c r="AI448" s="28" t="s">
        <v>2882</v>
      </c>
      <c r="AJ448" s="15">
        <f t="shared" si="423"/>
        <v>0</v>
      </c>
      <c r="AK448" s="15">
        <f t="shared" si="424"/>
        <v>0</v>
      </c>
      <c r="AL448" s="15">
        <f t="shared" si="425"/>
        <v>0</v>
      </c>
      <c r="AN448" s="29">
        <v>15</v>
      </c>
      <c r="AO448" s="29">
        <f t="shared" si="426"/>
        <v>0</v>
      </c>
      <c r="AP448" s="29">
        <f t="shared" si="427"/>
        <v>0</v>
      </c>
      <c r="AQ448" s="30" t="s">
        <v>13</v>
      </c>
      <c r="AV448" s="29">
        <f t="shared" si="428"/>
        <v>0</v>
      </c>
      <c r="AW448" s="29">
        <f t="shared" si="429"/>
        <v>0</v>
      </c>
      <c r="AX448" s="29">
        <f t="shared" si="430"/>
        <v>0</v>
      </c>
      <c r="AY448" s="32" t="s">
        <v>2917</v>
      </c>
      <c r="AZ448" s="32" t="s">
        <v>2944</v>
      </c>
      <c r="BA448" s="28" t="s">
        <v>2957</v>
      </c>
      <c r="BC448" s="29">
        <f t="shared" si="431"/>
        <v>0</v>
      </c>
      <c r="BD448" s="29">
        <f t="shared" si="432"/>
        <v>0</v>
      </c>
      <c r="BE448" s="29">
        <v>0</v>
      </c>
      <c r="BF448" s="29">
        <f>448</f>
        <v>448</v>
      </c>
      <c r="BH448" s="15">
        <f t="shared" si="433"/>
        <v>0</v>
      </c>
      <c r="BI448" s="15">
        <f t="shared" si="434"/>
        <v>0</v>
      </c>
      <c r="BJ448" s="15">
        <f t="shared" si="435"/>
        <v>0</v>
      </c>
      <c r="BK448" s="15" t="s">
        <v>2969</v>
      </c>
      <c r="BL448" s="29">
        <v>730</v>
      </c>
    </row>
    <row r="449" spans="1:64" ht="12.75">
      <c r="A449" s="4" t="s">
        <v>405</v>
      </c>
      <c r="B449" s="94" t="s">
        <v>1402</v>
      </c>
      <c r="C449" s="152" t="s">
        <v>2339</v>
      </c>
      <c r="D449" s="153"/>
      <c r="E449" s="153"/>
      <c r="F449" s="153"/>
      <c r="G449" s="94" t="s">
        <v>2850</v>
      </c>
      <c r="H449" s="73">
        <v>2</v>
      </c>
      <c r="I449" s="105">
        <v>0</v>
      </c>
      <c r="J449" s="15">
        <f t="shared" si="412"/>
        <v>0</v>
      </c>
      <c r="K449" s="15">
        <f t="shared" si="413"/>
        <v>0</v>
      </c>
      <c r="L449" s="15">
        <f t="shared" si="414"/>
        <v>0</v>
      </c>
      <c r="M449" s="25"/>
      <c r="N449" s="5"/>
      <c r="Z449" s="29">
        <f t="shared" si="415"/>
        <v>0</v>
      </c>
      <c r="AB449" s="29">
        <f t="shared" si="416"/>
        <v>0</v>
      </c>
      <c r="AC449" s="29">
        <f t="shared" si="417"/>
        <v>0</v>
      </c>
      <c r="AD449" s="29">
        <f t="shared" si="418"/>
        <v>0</v>
      </c>
      <c r="AE449" s="29">
        <f t="shared" si="419"/>
        <v>0</v>
      </c>
      <c r="AF449" s="29">
        <f t="shared" si="420"/>
        <v>0</v>
      </c>
      <c r="AG449" s="29">
        <f t="shared" si="421"/>
        <v>0</v>
      </c>
      <c r="AH449" s="29">
        <f t="shared" si="422"/>
        <v>0</v>
      </c>
      <c r="AI449" s="28" t="s">
        <v>2882</v>
      </c>
      <c r="AJ449" s="15">
        <f t="shared" si="423"/>
        <v>0</v>
      </c>
      <c r="AK449" s="15">
        <f t="shared" si="424"/>
        <v>0</v>
      </c>
      <c r="AL449" s="15">
        <f t="shared" si="425"/>
        <v>0</v>
      </c>
      <c r="AN449" s="29">
        <v>15</v>
      </c>
      <c r="AO449" s="29">
        <f t="shared" si="426"/>
        <v>0</v>
      </c>
      <c r="AP449" s="29">
        <f t="shared" si="427"/>
        <v>0</v>
      </c>
      <c r="AQ449" s="30" t="s">
        <v>13</v>
      </c>
      <c r="AV449" s="29">
        <f t="shared" si="428"/>
        <v>0</v>
      </c>
      <c r="AW449" s="29">
        <f t="shared" si="429"/>
        <v>0</v>
      </c>
      <c r="AX449" s="29">
        <f t="shared" si="430"/>
        <v>0</v>
      </c>
      <c r="AY449" s="32" t="s">
        <v>2917</v>
      </c>
      <c r="AZ449" s="32" t="s">
        <v>2944</v>
      </c>
      <c r="BA449" s="28" t="s">
        <v>2957</v>
      </c>
      <c r="BC449" s="29">
        <f t="shared" si="431"/>
        <v>0</v>
      </c>
      <c r="BD449" s="29">
        <f t="shared" si="432"/>
        <v>0</v>
      </c>
      <c r="BE449" s="29">
        <v>0</v>
      </c>
      <c r="BF449" s="29">
        <f>449</f>
        <v>449</v>
      </c>
      <c r="BH449" s="15">
        <f t="shared" si="433"/>
        <v>0</v>
      </c>
      <c r="BI449" s="15">
        <f t="shared" si="434"/>
        <v>0</v>
      </c>
      <c r="BJ449" s="15">
        <f t="shared" si="435"/>
        <v>0</v>
      </c>
      <c r="BK449" s="15" t="s">
        <v>2969</v>
      </c>
      <c r="BL449" s="29">
        <v>730</v>
      </c>
    </row>
    <row r="450" spans="1:64" ht="12.75">
      <c r="A450" s="4" t="s">
        <v>406</v>
      </c>
      <c r="B450" s="94" t="s">
        <v>1402</v>
      </c>
      <c r="C450" s="152" t="s">
        <v>2340</v>
      </c>
      <c r="D450" s="153"/>
      <c r="E450" s="153"/>
      <c r="F450" s="153"/>
      <c r="G450" s="94" t="s">
        <v>2850</v>
      </c>
      <c r="H450" s="73">
        <v>4</v>
      </c>
      <c r="I450" s="105">
        <v>0</v>
      </c>
      <c r="J450" s="15">
        <f t="shared" si="412"/>
        <v>0</v>
      </c>
      <c r="K450" s="15">
        <f t="shared" si="413"/>
        <v>0</v>
      </c>
      <c r="L450" s="15">
        <f t="shared" si="414"/>
        <v>0</v>
      </c>
      <c r="M450" s="25"/>
      <c r="N450" s="5"/>
      <c r="Z450" s="29">
        <f t="shared" si="415"/>
        <v>0</v>
      </c>
      <c r="AB450" s="29">
        <f t="shared" si="416"/>
        <v>0</v>
      </c>
      <c r="AC450" s="29">
        <f t="shared" si="417"/>
        <v>0</v>
      </c>
      <c r="AD450" s="29">
        <f t="shared" si="418"/>
        <v>0</v>
      </c>
      <c r="AE450" s="29">
        <f t="shared" si="419"/>
        <v>0</v>
      </c>
      <c r="AF450" s="29">
        <f t="shared" si="420"/>
        <v>0</v>
      </c>
      <c r="AG450" s="29">
        <f t="shared" si="421"/>
        <v>0</v>
      </c>
      <c r="AH450" s="29">
        <f t="shared" si="422"/>
        <v>0</v>
      </c>
      <c r="AI450" s="28" t="s">
        <v>2882</v>
      </c>
      <c r="AJ450" s="15">
        <f t="shared" si="423"/>
        <v>0</v>
      </c>
      <c r="AK450" s="15">
        <f t="shared" si="424"/>
        <v>0</v>
      </c>
      <c r="AL450" s="15">
        <f t="shared" si="425"/>
        <v>0</v>
      </c>
      <c r="AN450" s="29">
        <v>15</v>
      </c>
      <c r="AO450" s="29">
        <f t="shared" si="426"/>
        <v>0</v>
      </c>
      <c r="AP450" s="29">
        <f t="shared" si="427"/>
        <v>0</v>
      </c>
      <c r="AQ450" s="30" t="s">
        <v>13</v>
      </c>
      <c r="AV450" s="29">
        <f t="shared" si="428"/>
        <v>0</v>
      </c>
      <c r="AW450" s="29">
        <f t="shared" si="429"/>
        <v>0</v>
      </c>
      <c r="AX450" s="29">
        <f t="shared" si="430"/>
        <v>0</v>
      </c>
      <c r="AY450" s="32" t="s">
        <v>2917</v>
      </c>
      <c r="AZ450" s="32" t="s">
        <v>2944</v>
      </c>
      <c r="BA450" s="28" t="s">
        <v>2957</v>
      </c>
      <c r="BC450" s="29">
        <f t="shared" si="431"/>
        <v>0</v>
      </c>
      <c r="BD450" s="29">
        <f t="shared" si="432"/>
        <v>0</v>
      </c>
      <c r="BE450" s="29">
        <v>0</v>
      </c>
      <c r="BF450" s="29">
        <f>450</f>
        <v>450</v>
      </c>
      <c r="BH450" s="15">
        <f t="shared" si="433"/>
        <v>0</v>
      </c>
      <c r="BI450" s="15">
        <f t="shared" si="434"/>
        <v>0</v>
      </c>
      <c r="BJ450" s="15">
        <f t="shared" si="435"/>
        <v>0</v>
      </c>
      <c r="BK450" s="15" t="s">
        <v>2969</v>
      </c>
      <c r="BL450" s="29">
        <v>730</v>
      </c>
    </row>
    <row r="451" spans="1:64" ht="12.75">
      <c r="A451" s="4" t="s">
        <v>407</v>
      </c>
      <c r="B451" s="94" t="s">
        <v>1403</v>
      </c>
      <c r="C451" s="152" t="s">
        <v>2341</v>
      </c>
      <c r="D451" s="153"/>
      <c r="E451" s="153"/>
      <c r="F451" s="153"/>
      <c r="G451" s="94" t="s">
        <v>2850</v>
      </c>
      <c r="H451" s="73">
        <v>1</v>
      </c>
      <c r="I451" s="105">
        <v>0</v>
      </c>
      <c r="J451" s="15">
        <f t="shared" si="412"/>
        <v>0</v>
      </c>
      <c r="K451" s="15">
        <f t="shared" si="413"/>
        <v>0</v>
      </c>
      <c r="L451" s="15">
        <f t="shared" si="414"/>
        <v>0</v>
      </c>
      <c r="M451" s="25"/>
      <c r="N451" s="5"/>
      <c r="Z451" s="29">
        <f t="shared" si="415"/>
        <v>0</v>
      </c>
      <c r="AB451" s="29">
        <f t="shared" si="416"/>
        <v>0</v>
      </c>
      <c r="AC451" s="29">
        <f t="shared" si="417"/>
        <v>0</v>
      </c>
      <c r="AD451" s="29">
        <f t="shared" si="418"/>
        <v>0</v>
      </c>
      <c r="AE451" s="29">
        <f t="shared" si="419"/>
        <v>0</v>
      </c>
      <c r="AF451" s="29">
        <f t="shared" si="420"/>
        <v>0</v>
      </c>
      <c r="AG451" s="29">
        <f t="shared" si="421"/>
        <v>0</v>
      </c>
      <c r="AH451" s="29">
        <f t="shared" si="422"/>
        <v>0</v>
      </c>
      <c r="AI451" s="28" t="s">
        <v>2882</v>
      </c>
      <c r="AJ451" s="15">
        <f t="shared" si="423"/>
        <v>0</v>
      </c>
      <c r="AK451" s="15">
        <f t="shared" si="424"/>
        <v>0</v>
      </c>
      <c r="AL451" s="15">
        <f t="shared" si="425"/>
        <v>0</v>
      </c>
      <c r="AN451" s="29">
        <v>15</v>
      </c>
      <c r="AO451" s="29">
        <f t="shared" si="426"/>
        <v>0</v>
      </c>
      <c r="AP451" s="29">
        <f t="shared" si="427"/>
        <v>0</v>
      </c>
      <c r="AQ451" s="30" t="s">
        <v>13</v>
      </c>
      <c r="AV451" s="29">
        <f t="shared" si="428"/>
        <v>0</v>
      </c>
      <c r="AW451" s="29">
        <f t="shared" si="429"/>
        <v>0</v>
      </c>
      <c r="AX451" s="29">
        <f t="shared" si="430"/>
        <v>0</v>
      </c>
      <c r="AY451" s="32" t="s">
        <v>2917</v>
      </c>
      <c r="AZ451" s="32" t="s">
        <v>2944</v>
      </c>
      <c r="BA451" s="28" t="s">
        <v>2957</v>
      </c>
      <c r="BC451" s="29">
        <f t="shared" si="431"/>
        <v>0</v>
      </c>
      <c r="BD451" s="29">
        <f t="shared" si="432"/>
        <v>0</v>
      </c>
      <c r="BE451" s="29">
        <v>0</v>
      </c>
      <c r="BF451" s="29">
        <f>451</f>
        <v>451</v>
      </c>
      <c r="BH451" s="15">
        <f t="shared" si="433"/>
        <v>0</v>
      </c>
      <c r="BI451" s="15">
        <f t="shared" si="434"/>
        <v>0</v>
      </c>
      <c r="BJ451" s="15">
        <f t="shared" si="435"/>
        <v>0</v>
      </c>
      <c r="BK451" s="15" t="s">
        <v>2969</v>
      </c>
      <c r="BL451" s="29">
        <v>730</v>
      </c>
    </row>
    <row r="452" spans="1:64" ht="12.75">
      <c r="A452" s="4" t="s">
        <v>408</v>
      </c>
      <c r="B452" s="94" t="s">
        <v>1404</v>
      </c>
      <c r="C452" s="152" t="s">
        <v>2342</v>
      </c>
      <c r="D452" s="153"/>
      <c r="E452" s="153"/>
      <c r="F452" s="153"/>
      <c r="G452" s="94" t="s">
        <v>2850</v>
      </c>
      <c r="H452" s="73">
        <v>1</v>
      </c>
      <c r="I452" s="105">
        <v>0</v>
      </c>
      <c r="J452" s="15">
        <f t="shared" si="412"/>
        <v>0</v>
      </c>
      <c r="K452" s="15">
        <f t="shared" si="413"/>
        <v>0</v>
      </c>
      <c r="L452" s="15">
        <f t="shared" si="414"/>
        <v>0</v>
      </c>
      <c r="M452" s="25"/>
      <c r="N452" s="5"/>
      <c r="Z452" s="29">
        <f t="shared" si="415"/>
        <v>0</v>
      </c>
      <c r="AB452" s="29">
        <f t="shared" si="416"/>
        <v>0</v>
      </c>
      <c r="AC452" s="29">
        <f t="shared" si="417"/>
        <v>0</v>
      </c>
      <c r="AD452" s="29">
        <f t="shared" si="418"/>
        <v>0</v>
      </c>
      <c r="AE452" s="29">
        <f t="shared" si="419"/>
        <v>0</v>
      </c>
      <c r="AF452" s="29">
        <f t="shared" si="420"/>
        <v>0</v>
      </c>
      <c r="AG452" s="29">
        <f t="shared" si="421"/>
        <v>0</v>
      </c>
      <c r="AH452" s="29">
        <f t="shared" si="422"/>
        <v>0</v>
      </c>
      <c r="AI452" s="28" t="s">
        <v>2882</v>
      </c>
      <c r="AJ452" s="15">
        <f t="shared" si="423"/>
        <v>0</v>
      </c>
      <c r="AK452" s="15">
        <f t="shared" si="424"/>
        <v>0</v>
      </c>
      <c r="AL452" s="15">
        <f t="shared" si="425"/>
        <v>0</v>
      </c>
      <c r="AN452" s="29">
        <v>15</v>
      </c>
      <c r="AO452" s="29">
        <f t="shared" si="426"/>
        <v>0</v>
      </c>
      <c r="AP452" s="29">
        <f t="shared" si="427"/>
        <v>0</v>
      </c>
      <c r="AQ452" s="30" t="s">
        <v>13</v>
      </c>
      <c r="AV452" s="29">
        <f t="shared" si="428"/>
        <v>0</v>
      </c>
      <c r="AW452" s="29">
        <f t="shared" si="429"/>
        <v>0</v>
      </c>
      <c r="AX452" s="29">
        <f t="shared" si="430"/>
        <v>0</v>
      </c>
      <c r="AY452" s="32" t="s">
        <v>2917</v>
      </c>
      <c r="AZ452" s="32" t="s">
        <v>2944</v>
      </c>
      <c r="BA452" s="28" t="s">
        <v>2957</v>
      </c>
      <c r="BC452" s="29">
        <f t="shared" si="431"/>
        <v>0</v>
      </c>
      <c r="BD452" s="29">
        <f t="shared" si="432"/>
        <v>0</v>
      </c>
      <c r="BE452" s="29">
        <v>0</v>
      </c>
      <c r="BF452" s="29">
        <f>452</f>
        <v>452</v>
      </c>
      <c r="BH452" s="15">
        <f t="shared" si="433"/>
        <v>0</v>
      </c>
      <c r="BI452" s="15">
        <f t="shared" si="434"/>
        <v>0</v>
      </c>
      <c r="BJ452" s="15">
        <f t="shared" si="435"/>
        <v>0</v>
      </c>
      <c r="BK452" s="15" t="s">
        <v>2969</v>
      </c>
      <c r="BL452" s="29">
        <v>730</v>
      </c>
    </row>
    <row r="453" spans="1:64" ht="12.75">
      <c r="A453" s="4" t="s">
        <v>409</v>
      </c>
      <c r="B453" s="94" t="s">
        <v>1405</v>
      </c>
      <c r="C453" s="152" t="s">
        <v>2343</v>
      </c>
      <c r="D453" s="153"/>
      <c r="E453" s="153"/>
      <c r="F453" s="153"/>
      <c r="G453" s="94" t="s">
        <v>2850</v>
      </c>
      <c r="H453" s="73">
        <v>1</v>
      </c>
      <c r="I453" s="105">
        <v>0</v>
      </c>
      <c r="J453" s="15">
        <f t="shared" si="412"/>
        <v>0</v>
      </c>
      <c r="K453" s="15">
        <f t="shared" si="413"/>
        <v>0</v>
      </c>
      <c r="L453" s="15">
        <f t="shared" si="414"/>
        <v>0</v>
      </c>
      <c r="M453" s="25"/>
      <c r="N453" s="5"/>
      <c r="Z453" s="29">
        <f t="shared" si="415"/>
        <v>0</v>
      </c>
      <c r="AB453" s="29">
        <f t="shared" si="416"/>
        <v>0</v>
      </c>
      <c r="AC453" s="29">
        <f t="shared" si="417"/>
        <v>0</v>
      </c>
      <c r="AD453" s="29">
        <f t="shared" si="418"/>
        <v>0</v>
      </c>
      <c r="AE453" s="29">
        <f t="shared" si="419"/>
        <v>0</v>
      </c>
      <c r="AF453" s="29">
        <f t="shared" si="420"/>
        <v>0</v>
      </c>
      <c r="AG453" s="29">
        <f t="shared" si="421"/>
        <v>0</v>
      </c>
      <c r="AH453" s="29">
        <f t="shared" si="422"/>
        <v>0</v>
      </c>
      <c r="AI453" s="28" t="s">
        <v>2882</v>
      </c>
      <c r="AJ453" s="15">
        <f t="shared" si="423"/>
        <v>0</v>
      </c>
      <c r="AK453" s="15">
        <f t="shared" si="424"/>
        <v>0</v>
      </c>
      <c r="AL453" s="15">
        <f t="shared" si="425"/>
        <v>0</v>
      </c>
      <c r="AN453" s="29">
        <v>15</v>
      </c>
      <c r="AO453" s="29">
        <f t="shared" si="426"/>
        <v>0</v>
      </c>
      <c r="AP453" s="29">
        <f t="shared" si="427"/>
        <v>0</v>
      </c>
      <c r="AQ453" s="30" t="s">
        <v>13</v>
      </c>
      <c r="AV453" s="29">
        <f t="shared" si="428"/>
        <v>0</v>
      </c>
      <c r="AW453" s="29">
        <f t="shared" si="429"/>
        <v>0</v>
      </c>
      <c r="AX453" s="29">
        <f t="shared" si="430"/>
        <v>0</v>
      </c>
      <c r="AY453" s="32" t="s">
        <v>2917</v>
      </c>
      <c r="AZ453" s="32" t="s">
        <v>2944</v>
      </c>
      <c r="BA453" s="28" t="s">
        <v>2957</v>
      </c>
      <c r="BC453" s="29">
        <f t="shared" si="431"/>
        <v>0</v>
      </c>
      <c r="BD453" s="29">
        <f t="shared" si="432"/>
        <v>0</v>
      </c>
      <c r="BE453" s="29">
        <v>0</v>
      </c>
      <c r="BF453" s="29">
        <f>453</f>
        <v>453</v>
      </c>
      <c r="BH453" s="15">
        <f t="shared" si="433"/>
        <v>0</v>
      </c>
      <c r="BI453" s="15">
        <f t="shared" si="434"/>
        <v>0</v>
      </c>
      <c r="BJ453" s="15">
        <f t="shared" si="435"/>
        <v>0</v>
      </c>
      <c r="BK453" s="15" t="s">
        <v>2969</v>
      </c>
      <c r="BL453" s="29">
        <v>730</v>
      </c>
    </row>
    <row r="454" spans="1:64" ht="12.75">
      <c r="A454" s="4" t="s">
        <v>410</v>
      </c>
      <c r="B454" s="94" t="s">
        <v>1406</v>
      </c>
      <c r="C454" s="152" t="s">
        <v>2344</v>
      </c>
      <c r="D454" s="153"/>
      <c r="E454" s="153"/>
      <c r="F454" s="153"/>
      <c r="G454" s="94" t="s">
        <v>2850</v>
      </c>
      <c r="H454" s="73">
        <v>1</v>
      </c>
      <c r="I454" s="105">
        <v>0</v>
      </c>
      <c r="J454" s="15">
        <f t="shared" si="412"/>
        <v>0</v>
      </c>
      <c r="K454" s="15">
        <f t="shared" si="413"/>
        <v>0</v>
      </c>
      <c r="L454" s="15">
        <f t="shared" si="414"/>
        <v>0</v>
      </c>
      <c r="M454" s="25"/>
      <c r="N454" s="5"/>
      <c r="Z454" s="29">
        <f t="shared" si="415"/>
        <v>0</v>
      </c>
      <c r="AB454" s="29">
        <f t="shared" si="416"/>
        <v>0</v>
      </c>
      <c r="AC454" s="29">
        <f t="shared" si="417"/>
        <v>0</v>
      </c>
      <c r="AD454" s="29">
        <f t="shared" si="418"/>
        <v>0</v>
      </c>
      <c r="AE454" s="29">
        <f t="shared" si="419"/>
        <v>0</v>
      </c>
      <c r="AF454" s="29">
        <f t="shared" si="420"/>
        <v>0</v>
      </c>
      <c r="AG454" s="29">
        <f t="shared" si="421"/>
        <v>0</v>
      </c>
      <c r="AH454" s="29">
        <f t="shared" si="422"/>
        <v>0</v>
      </c>
      <c r="AI454" s="28" t="s">
        <v>2882</v>
      </c>
      <c r="AJ454" s="15">
        <f t="shared" si="423"/>
        <v>0</v>
      </c>
      <c r="AK454" s="15">
        <f t="shared" si="424"/>
        <v>0</v>
      </c>
      <c r="AL454" s="15">
        <f t="shared" si="425"/>
        <v>0</v>
      </c>
      <c r="AN454" s="29">
        <v>15</v>
      </c>
      <c r="AO454" s="29">
        <f t="shared" si="426"/>
        <v>0</v>
      </c>
      <c r="AP454" s="29">
        <f t="shared" si="427"/>
        <v>0</v>
      </c>
      <c r="AQ454" s="30" t="s">
        <v>13</v>
      </c>
      <c r="AV454" s="29">
        <f t="shared" si="428"/>
        <v>0</v>
      </c>
      <c r="AW454" s="29">
        <f t="shared" si="429"/>
        <v>0</v>
      </c>
      <c r="AX454" s="29">
        <f t="shared" si="430"/>
        <v>0</v>
      </c>
      <c r="AY454" s="32" t="s">
        <v>2917</v>
      </c>
      <c r="AZ454" s="32" t="s">
        <v>2944</v>
      </c>
      <c r="BA454" s="28" t="s">
        <v>2957</v>
      </c>
      <c r="BC454" s="29">
        <f t="shared" si="431"/>
        <v>0</v>
      </c>
      <c r="BD454" s="29">
        <f t="shared" si="432"/>
        <v>0</v>
      </c>
      <c r="BE454" s="29">
        <v>0</v>
      </c>
      <c r="BF454" s="29">
        <f>454</f>
        <v>454</v>
      </c>
      <c r="BH454" s="15">
        <f t="shared" si="433"/>
        <v>0</v>
      </c>
      <c r="BI454" s="15">
        <f t="shared" si="434"/>
        <v>0</v>
      </c>
      <c r="BJ454" s="15">
        <f t="shared" si="435"/>
        <v>0</v>
      </c>
      <c r="BK454" s="15" t="s">
        <v>2969</v>
      </c>
      <c r="BL454" s="29">
        <v>730</v>
      </c>
    </row>
    <row r="455" spans="1:64" ht="12.75">
      <c r="A455" s="4" t="s">
        <v>411</v>
      </c>
      <c r="B455" s="94" t="s">
        <v>1407</v>
      </c>
      <c r="C455" s="152" t="s">
        <v>2345</v>
      </c>
      <c r="D455" s="153"/>
      <c r="E455" s="153"/>
      <c r="F455" s="153"/>
      <c r="G455" s="94" t="s">
        <v>2850</v>
      </c>
      <c r="H455" s="73">
        <v>1</v>
      </c>
      <c r="I455" s="105">
        <v>0</v>
      </c>
      <c r="J455" s="15">
        <f aca="true" t="shared" si="436" ref="J455:J486">H455*AO455</f>
        <v>0</v>
      </c>
      <c r="K455" s="15">
        <f aca="true" t="shared" si="437" ref="K455:K486">H455*AP455</f>
        <v>0</v>
      </c>
      <c r="L455" s="15">
        <f aca="true" t="shared" si="438" ref="L455:L486">H455*I455</f>
        <v>0</v>
      </c>
      <c r="M455" s="25"/>
      <c r="N455" s="5"/>
      <c r="Z455" s="29">
        <f aca="true" t="shared" si="439" ref="Z455:Z486">IF(AQ455="5",BJ455,0)</f>
        <v>0</v>
      </c>
      <c r="AB455" s="29">
        <f aca="true" t="shared" si="440" ref="AB455:AB486">IF(AQ455="1",BH455,0)</f>
        <v>0</v>
      </c>
      <c r="AC455" s="29">
        <f aca="true" t="shared" si="441" ref="AC455:AC486">IF(AQ455="1",BI455,0)</f>
        <v>0</v>
      </c>
      <c r="AD455" s="29">
        <f aca="true" t="shared" si="442" ref="AD455:AD486">IF(AQ455="7",BH455,0)</f>
        <v>0</v>
      </c>
      <c r="AE455" s="29">
        <f aca="true" t="shared" si="443" ref="AE455:AE486">IF(AQ455="7",BI455,0)</f>
        <v>0</v>
      </c>
      <c r="AF455" s="29">
        <f aca="true" t="shared" si="444" ref="AF455:AF486">IF(AQ455="2",BH455,0)</f>
        <v>0</v>
      </c>
      <c r="AG455" s="29">
        <f aca="true" t="shared" si="445" ref="AG455:AG486">IF(AQ455="2",BI455,0)</f>
        <v>0</v>
      </c>
      <c r="AH455" s="29">
        <f aca="true" t="shared" si="446" ref="AH455:AH486">IF(AQ455="0",BJ455,0)</f>
        <v>0</v>
      </c>
      <c r="AI455" s="28" t="s">
        <v>2882</v>
      </c>
      <c r="AJ455" s="15">
        <f aca="true" t="shared" si="447" ref="AJ455:AJ486">IF(AN455=0,L455,0)</f>
        <v>0</v>
      </c>
      <c r="AK455" s="15">
        <f aca="true" t="shared" si="448" ref="AK455:AK486">IF(AN455=15,L455,0)</f>
        <v>0</v>
      </c>
      <c r="AL455" s="15">
        <f aca="true" t="shared" si="449" ref="AL455:AL486">IF(AN455=21,L455,0)</f>
        <v>0</v>
      </c>
      <c r="AN455" s="29">
        <v>15</v>
      </c>
      <c r="AO455" s="29">
        <f aca="true" t="shared" si="450" ref="AO455:AO486">I455*0</f>
        <v>0</v>
      </c>
      <c r="AP455" s="29">
        <f aca="true" t="shared" si="451" ref="AP455:AP486">I455*(1-0)</f>
        <v>0</v>
      </c>
      <c r="AQ455" s="30" t="s">
        <v>13</v>
      </c>
      <c r="AV455" s="29">
        <f aca="true" t="shared" si="452" ref="AV455:AV486">AW455+AX455</f>
        <v>0</v>
      </c>
      <c r="AW455" s="29">
        <f aca="true" t="shared" si="453" ref="AW455:AW486">H455*AO455</f>
        <v>0</v>
      </c>
      <c r="AX455" s="29">
        <f aca="true" t="shared" si="454" ref="AX455:AX486">H455*AP455</f>
        <v>0</v>
      </c>
      <c r="AY455" s="32" t="s">
        <v>2917</v>
      </c>
      <c r="AZ455" s="32" t="s">
        <v>2944</v>
      </c>
      <c r="BA455" s="28" t="s">
        <v>2957</v>
      </c>
      <c r="BC455" s="29">
        <f aca="true" t="shared" si="455" ref="BC455:BC486">AW455+AX455</f>
        <v>0</v>
      </c>
      <c r="BD455" s="29">
        <f aca="true" t="shared" si="456" ref="BD455:BD486">I455/(100-BE455)*100</f>
        <v>0</v>
      </c>
      <c r="BE455" s="29">
        <v>0</v>
      </c>
      <c r="BF455" s="29">
        <f>455</f>
        <v>455</v>
      </c>
      <c r="BH455" s="15">
        <f aca="true" t="shared" si="457" ref="BH455:BH486">H455*AO455</f>
        <v>0</v>
      </c>
      <c r="BI455" s="15">
        <f aca="true" t="shared" si="458" ref="BI455:BI486">H455*AP455</f>
        <v>0</v>
      </c>
      <c r="BJ455" s="15">
        <f aca="true" t="shared" si="459" ref="BJ455:BJ486">H455*I455</f>
        <v>0</v>
      </c>
      <c r="BK455" s="15" t="s">
        <v>2969</v>
      </c>
      <c r="BL455" s="29">
        <v>730</v>
      </c>
    </row>
    <row r="456" spans="1:64" ht="12.75">
      <c r="A456" s="4" t="s">
        <v>412</v>
      </c>
      <c r="B456" s="94" t="s">
        <v>1408</v>
      </c>
      <c r="C456" s="152" t="s">
        <v>2346</v>
      </c>
      <c r="D456" s="153"/>
      <c r="E456" s="153"/>
      <c r="F456" s="153"/>
      <c r="G456" s="94" t="s">
        <v>2850</v>
      </c>
      <c r="H456" s="73">
        <v>1</v>
      </c>
      <c r="I456" s="105">
        <v>0</v>
      </c>
      <c r="J456" s="15">
        <f t="shared" si="436"/>
        <v>0</v>
      </c>
      <c r="K456" s="15">
        <f t="shared" si="437"/>
        <v>0</v>
      </c>
      <c r="L456" s="15">
        <f t="shared" si="438"/>
        <v>0</v>
      </c>
      <c r="M456" s="25"/>
      <c r="N456" s="5"/>
      <c r="Z456" s="29">
        <f t="shared" si="439"/>
        <v>0</v>
      </c>
      <c r="AB456" s="29">
        <f t="shared" si="440"/>
        <v>0</v>
      </c>
      <c r="AC456" s="29">
        <f t="shared" si="441"/>
        <v>0</v>
      </c>
      <c r="AD456" s="29">
        <f t="shared" si="442"/>
        <v>0</v>
      </c>
      <c r="AE456" s="29">
        <f t="shared" si="443"/>
        <v>0</v>
      </c>
      <c r="AF456" s="29">
        <f t="shared" si="444"/>
        <v>0</v>
      </c>
      <c r="AG456" s="29">
        <f t="shared" si="445"/>
        <v>0</v>
      </c>
      <c r="AH456" s="29">
        <f t="shared" si="446"/>
        <v>0</v>
      </c>
      <c r="AI456" s="28" t="s">
        <v>2882</v>
      </c>
      <c r="AJ456" s="15">
        <f t="shared" si="447"/>
        <v>0</v>
      </c>
      <c r="AK456" s="15">
        <f t="shared" si="448"/>
        <v>0</v>
      </c>
      <c r="AL456" s="15">
        <f t="shared" si="449"/>
        <v>0</v>
      </c>
      <c r="AN456" s="29">
        <v>15</v>
      </c>
      <c r="AO456" s="29">
        <f t="shared" si="450"/>
        <v>0</v>
      </c>
      <c r="AP456" s="29">
        <f t="shared" si="451"/>
        <v>0</v>
      </c>
      <c r="AQ456" s="30" t="s">
        <v>13</v>
      </c>
      <c r="AV456" s="29">
        <f t="shared" si="452"/>
        <v>0</v>
      </c>
      <c r="AW456" s="29">
        <f t="shared" si="453"/>
        <v>0</v>
      </c>
      <c r="AX456" s="29">
        <f t="shared" si="454"/>
        <v>0</v>
      </c>
      <c r="AY456" s="32" t="s">
        <v>2917</v>
      </c>
      <c r="AZ456" s="32" t="s">
        <v>2944</v>
      </c>
      <c r="BA456" s="28" t="s">
        <v>2957</v>
      </c>
      <c r="BC456" s="29">
        <f t="shared" si="455"/>
        <v>0</v>
      </c>
      <c r="BD456" s="29">
        <f t="shared" si="456"/>
        <v>0</v>
      </c>
      <c r="BE456" s="29">
        <v>0</v>
      </c>
      <c r="BF456" s="29">
        <f>456</f>
        <v>456</v>
      </c>
      <c r="BH456" s="15">
        <f t="shared" si="457"/>
        <v>0</v>
      </c>
      <c r="BI456" s="15">
        <f t="shared" si="458"/>
        <v>0</v>
      </c>
      <c r="BJ456" s="15">
        <f t="shared" si="459"/>
        <v>0</v>
      </c>
      <c r="BK456" s="15" t="s">
        <v>2969</v>
      </c>
      <c r="BL456" s="29">
        <v>730</v>
      </c>
    </row>
    <row r="457" spans="1:64" ht="12.75">
      <c r="A457" s="4" t="s">
        <v>413</v>
      </c>
      <c r="B457" s="94" t="s">
        <v>1409</v>
      </c>
      <c r="C457" s="152" t="s">
        <v>2347</v>
      </c>
      <c r="D457" s="153"/>
      <c r="E457" s="153"/>
      <c r="F457" s="153"/>
      <c r="G457" s="94" t="s">
        <v>2850</v>
      </c>
      <c r="H457" s="73">
        <v>1</v>
      </c>
      <c r="I457" s="105">
        <v>0</v>
      </c>
      <c r="J457" s="15">
        <f t="shared" si="436"/>
        <v>0</v>
      </c>
      <c r="K457" s="15">
        <f t="shared" si="437"/>
        <v>0</v>
      </c>
      <c r="L457" s="15">
        <f t="shared" si="438"/>
        <v>0</v>
      </c>
      <c r="M457" s="25"/>
      <c r="N457" s="5"/>
      <c r="Z457" s="29">
        <f t="shared" si="439"/>
        <v>0</v>
      </c>
      <c r="AB457" s="29">
        <f t="shared" si="440"/>
        <v>0</v>
      </c>
      <c r="AC457" s="29">
        <f t="shared" si="441"/>
        <v>0</v>
      </c>
      <c r="AD457" s="29">
        <f t="shared" si="442"/>
        <v>0</v>
      </c>
      <c r="AE457" s="29">
        <f t="shared" si="443"/>
        <v>0</v>
      </c>
      <c r="AF457" s="29">
        <f t="shared" si="444"/>
        <v>0</v>
      </c>
      <c r="AG457" s="29">
        <f t="shared" si="445"/>
        <v>0</v>
      </c>
      <c r="AH457" s="29">
        <f t="shared" si="446"/>
        <v>0</v>
      </c>
      <c r="AI457" s="28" t="s">
        <v>2882</v>
      </c>
      <c r="AJ457" s="15">
        <f t="shared" si="447"/>
        <v>0</v>
      </c>
      <c r="AK457" s="15">
        <f t="shared" si="448"/>
        <v>0</v>
      </c>
      <c r="AL457" s="15">
        <f t="shared" si="449"/>
        <v>0</v>
      </c>
      <c r="AN457" s="29">
        <v>15</v>
      </c>
      <c r="AO457" s="29">
        <f t="shared" si="450"/>
        <v>0</v>
      </c>
      <c r="AP457" s="29">
        <f t="shared" si="451"/>
        <v>0</v>
      </c>
      <c r="AQ457" s="30" t="s">
        <v>13</v>
      </c>
      <c r="AV457" s="29">
        <f t="shared" si="452"/>
        <v>0</v>
      </c>
      <c r="AW457" s="29">
        <f t="shared" si="453"/>
        <v>0</v>
      </c>
      <c r="AX457" s="29">
        <f t="shared" si="454"/>
        <v>0</v>
      </c>
      <c r="AY457" s="32" t="s">
        <v>2917</v>
      </c>
      <c r="AZ457" s="32" t="s">
        <v>2944</v>
      </c>
      <c r="BA457" s="28" t="s">
        <v>2957</v>
      </c>
      <c r="BC457" s="29">
        <f t="shared" si="455"/>
        <v>0</v>
      </c>
      <c r="BD457" s="29">
        <f t="shared" si="456"/>
        <v>0</v>
      </c>
      <c r="BE457" s="29">
        <v>0</v>
      </c>
      <c r="BF457" s="29">
        <f>457</f>
        <v>457</v>
      </c>
      <c r="BH457" s="15">
        <f t="shared" si="457"/>
        <v>0</v>
      </c>
      <c r="BI457" s="15">
        <f t="shared" si="458"/>
        <v>0</v>
      </c>
      <c r="BJ457" s="15">
        <f t="shared" si="459"/>
        <v>0</v>
      </c>
      <c r="BK457" s="15" t="s">
        <v>2969</v>
      </c>
      <c r="BL457" s="29">
        <v>730</v>
      </c>
    </row>
    <row r="458" spans="1:64" ht="12.75">
      <c r="A458" s="4" t="s">
        <v>414</v>
      </c>
      <c r="B458" s="94" t="s">
        <v>1410</v>
      </c>
      <c r="C458" s="152" t="s">
        <v>2348</v>
      </c>
      <c r="D458" s="153"/>
      <c r="E458" s="153"/>
      <c r="F458" s="153"/>
      <c r="G458" s="94" t="s">
        <v>2850</v>
      </c>
      <c r="H458" s="73">
        <v>1</v>
      </c>
      <c r="I458" s="105">
        <v>0</v>
      </c>
      <c r="J458" s="15">
        <f t="shared" si="436"/>
        <v>0</v>
      </c>
      <c r="K458" s="15">
        <f t="shared" si="437"/>
        <v>0</v>
      </c>
      <c r="L458" s="15">
        <f t="shared" si="438"/>
        <v>0</v>
      </c>
      <c r="M458" s="25"/>
      <c r="N458" s="5"/>
      <c r="Z458" s="29">
        <f t="shared" si="439"/>
        <v>0</v>
      </c>
      <c r="AB458" s="29">
        <f t="shared" si="440"/>
        <v>0</v>
      </c>
      <c r="AC458" s="29">
        <f t="shared" si="441"/>
        <v>0</v>
      </c>
      <c r="AD458" s="29">
        <f t="shared" si="442"/>
        <v>0</v>
      </c>
      <c r="AE458" s="29">
        <f t="shared" si="443"/>
        <v>0</v>
      </c>
      <c r="AF458" s="29">
        <f t="shared" si="444"/>
        <v>0</v>
      </c>
      <c r="AG458" s="29">
        <f t="shared" si="445"/>
        <v>0</v>
      </c>
      <c r="AH458" s="29">
        <f t="shared" si="446"/>
        <v>0</v>
      </c>
      <c r="AI458" s="28" t="s">
        <v>2882</v>
      </c>
      <c r="AJ458" s="15">
        <f t="shared" si="447"/>
        <v>0</v>
      </c>
      <c r="AK458" s="15">
        <f t="shared" si="448"/>
        <v>0</v>
      </c>
      <c r="AL458" s="15">
        <f t="shared" si="449"/>
        <v>0</v>
      </c>
      <c r="AN458" s="29">
        <v>15</v>
      </c>
      <c r="AO458" s="29">
        <f t="shared" si="450"/>
        <v>0</v>
      </c>
      <c r="AP458" s="29">
        <f t="shared" si="451"/>
        <v>0</v>
      </c>
      <c r="AQ458" s="30" t="s">
        <v>13</v>
      </c>
      <c r="AV458" s="29">
        <f t="shared" si="452"/>
        <v>0</v>
      </c>
      <c r="AW458" s="29">
        <f t="shared" si="453"/>
        <v>0</v>
      </c>
      <c r="AX458" s="29">
        <f t="shared" si="454"/>
        <v>0</v>
      </c>
      <c r="AY458" s="32" t="s">
        <v>2917</v>
      </c>
      <c r="AZ458" s="32" t="s">
        <v>2944</v>
      </c>
      <c r="BA458" s="28" t="s">
        <v>2957</v>
      </c>
      <c r="BC458" s="29">
        <f t="shared" si="455"/>
        <v>0</v>
      </c>
      <c r="BD458" s="29">
        <f t="shared" si="456"/>
        <v>0</v>
      </c>
      <c r="BE458" s="29">
        <v>0</v>
      </c>
      <c r="BF458" s="29">
        <f>458</f>
        <v>458</v>
      </c>
      <c r="BH458" s="15">
        <f t="shared" si="457"/>
        <v>0</v>
      </c>
      <c r="BI458" s="15">
        <f t="shared" si="458"/>
        <v>0</v>
      </c>
      <c r="BJ458" s="15">
        <f t="shared" si="459"/>
        <v>0</v>
      </c>
      <c r="BK458" s="15" t="s">
        <v>2969</v>
      </c>
      <c r="BL458" s="29">
        <v>730</v>
      </c>
    </row>
    <row r="459" spans="1:64" ht="12.75">
      <c r="A459" s="4" t="s">
        <v>415</v>
      </c>
      <c r="B459" s="94" t="s">
        <v>1411</v>
      </c>
      <c r="C459" s="152" t="s">
        <v>2349</v>
      </c>
      <c r="D459" s="153"/>
      <c r="E459" s="153"/>
      <c r="F459" s="153"/>
      <c r="G459" s="94" t="s">
        <v>2850</v>
      </c>
      <c r="H459" s="73">
        <v>1</v>
      </c>
      <c r="I459" s="105">
        <v>0</v>
      </c>
      <c r="J459" s="15">
        <f t="shared" si="436"/>
        <v>0</v>
      </c>
      <c r="K459" s="15">
        <f t="shared" si="437"/>
        <v>0</v>
      </c>
      <c r="L459" s="15">
        <f t="shared" si="438"/>
        <v>0</v>
      </c>
      <c r="M459" s="25"/>
      <c r="N459" s="5"/>
      <c r="Z459" s="29">
        <f t="shared" si="439"/>
        <v>0</v>
      </c>
      <c r="AB459" s="29">
        <f t="shared" si="440"/>
        <v>0</v>
      </c>
      <c r="AC459" s="29">
        <f t="shared" si="441"/>
        <v>0</v>
      </c>
      <c r="AD459" s="29">
        <f t="shared" si="442"/>
        <v>0</v>
      </c>
      <c r="AE459" s="29">
        <f t="shared" si="443"/>
        <v>0</v>
      </c>
      <c r="AF459" s="29">
        <f t="shared" si="444"/>
        <v>0</v>
      </c>
      <c r="AG459" s="29">
        <f t="shared" si="445"/>
        <v>0</v>
      </c>
      <c r="AH459" s="29">
        <f t="shared" si="446"/>
        <v>0</v>
      </c>
      <c r="AI459" s="28" t="s">
        <v>2882</v>
      </c>
      <c r="AJ459" s="15">
        <f t="shared" si="447"/>
        <v>0</v>
      </c>
      <c r="AK459" s="15">
        <f t="shared" si="448"/>
        <v>0</v>
      </c>
      <c r="AL459" s="15">
        <f t="shared" si="449"/>
        <v>0</v>
      </c>
      <c r="AN459" s="29">
        <v>15</v>
      </c>
      <c r="AO459" s="29">
        <f t="shared" si="450"/>
        <v>0</v>
      </c>
      <c r="AP459" s="29">
        <f t="shared" si="451"/>
        <v>0</v>
      </c>
      <c r="AQ459" s="30" t="s">
        <v>13</v>
      </c>
      <c r="AV459" s="29">
        <f t="shared" si="452"/>
        <v>0</v>
      </c>
      <c r="AW459" s="29">
        <f t="shared" si="453"/>
        <v>0</v>
      </c>
      <c r="AX459" s="29">
        <f t="shared" si="454"/>
        <v>0</v>
      </c>
      <c r="AY459" s="32" t="s">
        <v>2917</v>
      </c>
      <c r="AZ459" s="32" t="s">
        <v>2944</v>
      </c>
      <c r="BA459" s="28" t="s">
        <v>2957</v>
      </c>
      <c r="BC459" s="29">
        <f t="shared" si="455"/>
        <v>0</v>
      </c>
      <c r="BD459" s="29">
        <f t="shared" si="456"/>
        <v>0</v>
      </c>
      <c r="BE459" s="29">
        <v>0</v>
      </c>
      <c r="BF459" s="29">
        <f>459</f>
        <v>459</v>
      </c>
      <c r="BH459" s="15">
        <f t="shared" si="457"/>
        <v>0</v>
      </c>
      <c r="BI459" s="15">
        <f t="shared" si="458"/>
        <v>0</v>
      </c>
      <c r="BJ459" s="15">
        <f t="shared" si="459"/>
        <v>0</v>
      </c>
      <c r="BK459" s="15" t="s">
        <v>2969</v>
      </c>
      <c r="BL459" s="29">
        <v>730</v>
      </c>
    </row>
    <row r="460" spans="1:64" ht="12.75">
      <c r="A460" s="4" t="s">
        <v>416</v>
      </c>
      <c r="B460" s="94" t="s">
        <v>1412</v>
      </c>
      <c r="C460" s="152" t="s">
        <v>2350</v>
      </c>
      <c r="D460" s="153"/>
      <c r="E460" s="153"/>
      <c r="F460" s="153"/>
      <c r="G460" s="94" t="s">
        <v>2850</v>
      </c>
      <c r="H460" s="73">
        <v>1</v>
      </c>
      <c r="I460" s="105">
        <v>0</v>
      </c>
      <c r="J460" s="15">
        <f t="shared" si="436"/>
        <v>0</v>
      </c>
      <c r="K460" s="15">
        <f t="shared" si="437"/>
        <v>0</v>
      </c>
      <c r="L460" s="15">
        <f t="shared" si="438"/>
        <v>0</v>
      </c>
      <c r="M460" s="25"/>
      <c r="N460" s="5"/>
      <c r="Z460" s="29">
        <f t="shared" si="439"/>
        <v>0</v>
      </c>
      <c r="AB460" s="29">
        <f t="shared" si="440"/>
        <v>0</v>
      </c>
      <c r="AC460" s="29">
        <f t="shared" si="441"/>
        <v>0</v>
      </c>
      <c r="AD460" s="29">
        <f t="shared" si="442"/>
        <v>0</v>
      </c>
      <c r="AE460" s="29">
        <f t="shared" si="443"/>
        <v>0</v>
      </c>
      <c r="AF460" s="29">
        <f t="shared" si="444"/>
        <v>0</v>
      </c>
      <c r="AG460" s="29">
        <f t="shared" si="445"/>
        <v>0</v>
      </c>
      <c r="AH460" s="29">
        <f t="shared" si="446"/>
        <v>0</v>
      </c>
      <c r="AI460" s="28" t="s">
        <v>2882</v>
      </c>
      <c r="AJ460" s="15">
        <f t="shared" si="447"/>
        <v>0</v>
      </c>
      <c r="AK460" s="15">
        <f t="shared" si="448"/>
        <v>0</v>
      </c>
      <c r="AL460" s="15">
        <f t="shared" si="449"/>
        <v>0</v>
      </c>
      <c r="AN460" s="29">
        <v>15</v>
      </c>
      <c r="AO460" s="29">
        <f t="shared" si="450"/>
        <v>0</v>
      </c>
      <c r="AP460" s="29">
        <f t="shared" si="451"/>
        <v>0</v>
      </c>
      <c r="AQ460" s="30" t="s">
        <v>13</v>
      </c>
      <c r="AV460" s="29">
        <f t="shared" si="452"/>
        <v>0</v>
      </c>
      <c r="AW460" s="29">
        <f t="shared" si="453"/>
        <v>0</v>
      </c>
      <c r="AX460" s="29">
        <f t="shared" si="454"/>
        <v>0</v>
      </c>
      <c r="AY460" s="32" t="s">
        <v>2917</v>
      </c>
      <c r="AZ460" s="32" t="s">
        <v>2944</v>
      </c>
      <c r="BA460" s="28" t="s">
        <v>2957</v>
      </c>
      <c r="BC460" s="29">
        <f t="shared" si="455"/>
        <v>0</v>
      </c>
      <c r="BD460" s="29">
        <f t="shared" si="456"/>
        <v>0</v>
      </c>
      <c r="BE460" s="29">
        <v>0</v>
      </c>
      <c r="BF460" s="29">
        <f>460</f>
        <v>460</v>
      </c>
      <c r="BH460" s="15">
        <f t="shared" si="457"/>
        <v>0</v>
      </c>
      <c r="BI460" s="15">
        <f t="shared" si="458"/>
        <v>0</v>
      </c>
      <c r="BJ460" s="15">
        <f t="shared" si="459"/>
        <v>0</v>
      </c>
      <c r="BK460" s="15" t="s">
        <v>2969</v>
      </c>
      <c r="BL460" s="29">
        <v>730</v>
      </c>
    </row>
    <row r="461" spans="1:64" ht="12.75">
      <c r="A461" s="4" t="s">
        <v>417</v>
      </c>
      <c r="B461" s="94" t="s">
        <v>1413</v>
      </c>
      <c r="C461" s="152" t="s">
        <v>2351</v>
      </c>
      <c r="D461" s="153"/>
      <c r="E461" s="153"/>
      <c r="F461" s="153"/>
      <c r="G461" s="94" t="s">
        <v>2850</v>
      </c>
      <c r="H461" s="73">
        <v>1</v>
      </c>
      <c r="I461" s="105">
        <v>0</v>
      </c>
      <c r="J461" s="15">
        <f t="shared" si="436"/>
        <v>0</v>
      </c>
      <c r="K461" s="15">
        <f t="shared" si="437"/>
        <v>0</v>
      </c>
      <c r="L461" s="15">
        <f t="shared" si="438"/>
        <v>0</v>
      </c>
      <c r="M461" s="25"/>
      <c r="N461" s="5"/>
      <c r="Z461" s="29">
        <f t="shared" si="439"/>
        <v>0</v>
      </c>
      <c r="AB461" s="29">
        <f t="shared" si="440"/>
        <v>0</v>
      </c>
      <c r="AC461" s="29">
        <f t="shared" si="441"/>
        <v>0</v>
      </c>
      <c r="AD461" s="29">
        <f t="shared" si="442"/>
        <v>0</v>
      </c>
      <c r="AE461" s="29">
        <f t="shared" si="443"/>
        <v>0</v>
      </c>
      <c r="AF461" s="29">
        <f t="shared" si="444"/>
        <v>0</v>
      </c>
      <c r="AG461" s="29">
        <f t="shared" si="445"/>
        <v>0</v>
      </c>
      <c r="AH461" s="29">
        <f t="shared" si="446"/>
        <v>0</v>
      </c>
      <c r="AI461" s="28" t="s">
        <v>2882</v>
      </c>
      <c r="AJ461" s="15">
        <f t="shared" si="447"/>
        <v>0</v>
      </c>
      <c r="AK461" s="15">
        <f t="shared" si="448"/>
        <v>0</v>
      </c>
      <c r="AL461" s="15">
        <f t="shared" si="449"/>
        <v>0</v>
      </c>
      <c r="AN461" s="29">
        <v>15</v>
      </c>
      <c r="AO461" s="29">
        <f t="shared" si="450"/>
        <v>0</v>
      </c>
      <c r="AP461" s="29">
        <f t="shared" si="451"/>
        <v>0</v>
      </c>
      <c r="AQ461" s="30" t="s">
        <v>13</v>
      </c>
      <c r="AV461" s="29">
        <f t="shared" si="452"/>
        <v>0</v>
      </c>
      <c r="AW461" s="29">
        <f t="shared" si="453"/>
        <v>0</v>
      </c>
      <c r="AX461" s="29">
        <f t="shared" si="454"/>
        <v>0</v>
      </c>
      <c r="AY461" s="32" t="s">
        <v>2917</v>
      </c>
      <c r="AZ461" s="32" t="s">
        <v>2944</v>
      </c>
      <c r="BA461" s="28" t="s">
        <v>2957</v>
      </c>
      <c r="BC461" s="29">
        <f t="shared" si="455"/>
        <v>0</v>
      </c>
      <c r="BD461" s="29">
        <f t="shared" si="456"/>
        <v>0</v>
      </c>
      <c r="BE461" s="29">
        <v>0</v>
      </c>
      <c r="BF461" s="29">
        <f>461</f>
        <v>461</v>
      </c>
      <c r="BH461" s="15">
        <f t="shared" si="457"/>
        <v>0</v>
      </c>
      <c r="BI461" s="15">
        <f t="shared" si="458"/>
        <v>0</v>
      </c>
      <c r="BJ461" s="15">
        <f t="shared" si="459"/>
        <v>0</v>
      </c>
      <c r="BK461" s="15" t="s">
        <v>2969</v>
      </c>
      <c r="BL461" s="29">
        <v>730</v>
      </c>
    </row>
    <row r="462" spans="1:64" ht="12.75">
      <c r="A462" s="4" t="s">
        <v>418</v>
      </c>
      <c r="B462" s="94" t="s">
        <v>1414</v>
      </c>
      <c r="C462" s="152" t="s">
        <v>2352</v>
      </c>
      <c r="D462" s="153"/>
      <c r="E462" s="153"/>
      <c r="F462" s="153"/>
      <c r="G462" s="94" t="s">
        <v>2850</v>
      </c>
      <c r="H462" s="73">
        <v>1</v>
      </c>
      <c r="I462" s="105">
        <v>0</v>
      </c>
      <c r="J462" s="15">
        <f t="shared" si="436"/>
        <v>0</v>
      </c>
      <c r="K462" s="15">
        <f t="shared" si="437"/>
        <v>0</v>
      </c>
      <c r="L462" s="15">
        <f t="shared" si="438"/>
        <v>0</v>
      </c>
      <c r="M462" s="25"/>
      <c r="N462" s="5"/>
      <c r="Z462" s="29">
        <f t="shared" si="439"/>
        <v>0</v>
      </c>
      <c r="AB462" s="29">
        <f t="shared" si="440"/>
        <v>0</v>
      </c>
      <c r="AC462" s="29">
        <f t="shared" si="441"/>
        <v>0</v>
      </c>
      <c r="AD462" s="29">
        <f t="shared" si="442"/>
        <v>0</v>
      </c>
      <c r="AE462" s="29">
        <f t="shared" si="443"/>
        <v>0</v>
      </c>
      <c r="AF462" s="29">
        <f t="shared" si="444"/>
        <v>0</v>
      </c>
      <c r="AG462" s="29">
        <f t="shared" si="445"/>
        <v>0</v>
      </c>
      <c r="AH462" s="29">
        <f t="shared" si="446"/>
        <v>0</v>
      </c>
      <c r="AI462" s="28" t="s">
        <v>2882</v>
      </c>
      <c r="AJ462" s="15">
        <f t="shared" si="447"/>
        <v>0</v>
      </c>
      <c r="AK462" s="15">
        <f t="shared" si="448"/>
        <v>0</v>
      </c>
      <c r="AL462" s="15">
        <f t="shared" si="449"/>
        <v>0</v>
      </c>
      <c r="AN462" s="29">
        <v>15</v>
      </c>
      <c r="AO462" s="29">
        <f t="shared" si="450"/>
        <v>0</v>
      </c>
      <c r="AP462" s="29">
        <f t="shared" si="451"/>
        <v>0</v>
      </c>
      <c r="AQ462" s="30" t="s">
        <v>13</v>
      </c>
      <c r="AV462" s="29">
        <f t="shared" si="452"/>
        <v>0</v>
      </c>
      <c r="AW462" s="29">
        <f t="shared" si="453"/>
        <v>0</v>
      </c>
      <c r="AX462" s="29">
        <f t="shared" si="454"/>
        <v>0</v>
      </c>
      <c r="AY462" s="32" t="s">
        <v>2917</v>
      </c>
      <c r="AZ462" s="32" t="s">
        <v>2944</v>
      </c>
      <c r="BA462" s="28" t="s">
        <v>2957</v>
      </c>
      <c r="BC462" s="29">
        <f t="shared" si="455"/>
        <v>0</v>
      </c>
      <c r="BD462" s="29">
        <f t="shared" si="456"/>
        <v>0</v>
      </c>
      <c r="BE462" s="29">
        <v>0</v>
      </c>
      <c r="BF462" s="29">
        <f>462</f>
        <v>462</v>
      </c>
      <c r="BH462" s="15">
        <f t="shared" si="457"/>
        <v>0</v>
      </c>
      <c r="BI462" s="15">
        <f t="shared" si="458"/>
        <v>0</v>
      </c>
      <c r="BJ462" s="15">
        <f t="shared" si="459"/>
        <v>0</v>
      </c>
      <c r="BK462" s="15" t="s">
        <v>2969</v>
      </c>
      <c r="BL462" s="29">
        <v>730</v>
      </c>
    </row>
    <row r="463" spans="1:64" ht="12.75">
      <c r="A463" s="4" t="s">
        <v>419</v>
      </c>
      <c r="B463" s="94" t="s">
        <v>1415</v>
      </c>
      <c r="C463" s="152" t="s">
        <v>2353</v>
      </c>
      <c r="D463" s="153"/>
      <c r="E463" s="153"/>
      <c r="F463" s="153"/>
      <c r="G463" s="94" t="s">
        <v>2850</v>
      </c>
      <c r="H463" s="73">
        <v>1</v>
      </c>
      <c r="I463" s="105">
        <v>0</v>
      </c>
      <c r="J463" s="15">
        <f t="shared" si="436"/>
        <v>0</v>
      </c>
      <c r="K463" s="15">
        <f t="shared" si="437"/>
        <v>0</v>
      </c>
      <c r="L463" s="15">
        <f t="shared" si="438"/>
        <v>0</v>
      </c>
      <c r="M463" s="25"/>
      <c r="N463" s="5"/>
      <c r="Z463" s="29">
        <f t="shared" si="439"/>
        <v>0</v>
      </c>
      <c r="AB463" s="29">
        <f t="shared" si="440"/>
        <v>0</v>
      </c>
      <c r="AC463" s="29">
        <f t="shared" si="441"/>
        <v>0</v>
      </c>
      <c r="AD463" s="29">
        <f t="shared" si="442"/>
        <v>0</v>
      </c>
      <c r="AE463" s="29">
        <f t="shared" si="443"/>
        <v>0</v>
      </c>
      <c r="AF463" s="29">
        <f t="shared" si="444"/>
        <v>0</v>
      </c>
      <c r="AG463" s="29">
        <f t="shared" si="445"/>
        <v>0</v>
      </c>
      <c r="AH463" s="29">
        <f t="shared" si="446"/>
        <v>0</v>
      </c>
      <c r="AI463" s="28" t="s">
        <v>2882</v>
      </c>
      <c r="AJ463" s="15">
        <f t="shared" si="447"/>
        <v>0</v>
      </c>
      <c r="AK463" s="15">
        <f t="shared" si="448"/>
        <v>0</v>
      </c>
      <c r="AL463" s="15">
        <f t="shared" si="449"/>
        <v>0</v>
      </c>
      <c r="AN463" s="29">
        <v>15</v>
      </c>
      <c r="AO463" s="29">
        <f t="shared" si="450"/>
        <v>0</v>
      </c>
      <c r="AP463" s="29">
        <f t="shared" si="451"/>
        <v>0</v>
      </c>
      <c r="AQ463" s="30" t="s">
        <v>13</v>
      </c>
      <c r="AV463" s="29">
        <f t="shared" si="452"/>
        <v>0</v>
      </c>
      <c r="AW463" s="29">
        <f t="shared" si="453"/>
        <v>0</v>
      </c>
      <c r="AX463" s="29">
        <f t="shared" si="454"/>
        <v>0</v>
      </c>
      <c r="AY463" s="32" t="s">
        <v>2917</v>
      </c>
      <c r="AZ463" s="32" t="s">
        <v>2944</v>
      </c>
      <c r="BA463" s="28" t="s">
        <v>2957</v>
      </c>
      <c r="BC463" s="29">
        <f t="shared" si="455"/>
        <v>0</v>
      </c>
      <c r="BD463" s="29">
        <f t="shared" si="456"/>
        <v>0</v>
      </c>
      <c r="BE463" s="29">
        <v>0</v>
      </c>
      <c r="BF463" s="29">
        <f>463</f>
        <v>463</v>
      </c>
      <c r="BH463" s="15">
        <f t="shared" si="457"/>
        <v>0</v>
      </c>
      <c r="BI463" s="15">
        <f t="shared" si="458"/>
        <v>0</v>
      </c>
      <c r="BJ463" s="15">
        <f t="shared" si="459"/>
        <v>0</v>
      </c>
      <c r="BK463" s="15" t="s">
        <v>2969</v>
      </c>
      <c r="BL463" s="29">
        <v>730</v>
      </c>
    </row>
    <row r="464" spans="1:64" ht="12.75">
      <c r="A464" s="4" t="s">
        <v>420</v>
      </c>
      <c r="B464" s="94" t="s">
        <v>1416</v>
      </c>
      <c r="C464" s="152" t="s">
        <v>2354</v>
      </c>
      <c r="D464" s="153"/>
      <c r="E464" s="153"/>
      <c r="F464" s="153"/>
      <c r="G464" s="94" t="s">
        <v>2850</v>
      </c>
      <c r="H464" s="73">
        <v>1</v>
      </c>
      <c r="I464" s="105">
        <v>0</v>
      </c>
      <c r="J464" s="15">
        <f t="shared" si="436"/>
        <v>0</v>
      </c>
      <c r="K464" s="15">
        <f t="shared" si="437"/>
        <v>0</v>
      </c>
      <c r="L464" s="15">
        <f t="shared" si="438"/>
        <v>0</v>
      </c>
      <c r="M464" s="25"/>
      <c r="N464" s="5"/>
      <c r="Z464" s="29">
        <f t="shared" si="439"/>
        <v>0</v>
      </c>
      <c r="AB464" s="29">
        <f t="shared" si="440"/>
        <v>0</v>
      </c>
      <c r="AC464" s="29">
        <f t="shared" si="441"/>
        <v>0</v>
      </c>
      <c r="AD464" s="29">
        <f t="shared" si="442"/>
        <v>0</v>
      </c>
      <c r="AE464" s="29">
        <f t="shared" si="443"/>
        <v>0</v>
      </c>
      <c r="AF464" s="29">
        <f t="shared" si="444"/>
        <v>0</v>
      </c>
      <c r="AG464" s="29">
        <f t="shared" si="445"/>
        <v>0</v>
      </c>
      <c r="AH464" s="29">
        <f t="shared" si="446"/>
        <v>0</v>
      </c>
      <c r="AI464" s="28" t="s">
        <v>2882</v>
      </c>
      <c r="AJ464" s="15">
        <f t="shared" si="447"/>
        <v>0</v>
      </c>
      <c r="AK464" s="15">
        <f t="shared" si="448"/>
        <v>0</v>
      </c>
      <c r="AL464" s="15">
        <f t="shared" si="449"/>
        <v>0</v>
      </c>
      <c r="AN464" s="29">
        <v>15</v>
      </c>
      <c r="AO464" s="29">
        <f t="shared" si="450"/>
        <v>0</v>
      </c>
      <c r="AP464" s="29">
        <f t="shared" si="451"/>
        <v>0</v>
      </c>
      <c r="AQ464" s="30" t="s">
        <v>13</v>
      </c>
      <c r="AV464" s="29">
        <f t="shared" si="452"/>
        <v>0</v>
      </c>
      <c r="AW464" s="29">
        <f t="shared" si="453"/>
        <v>0</v>
      </c>
      <c r="AX464" s="29">
        <f t="shared" si="454"/>
        <v>0</v>
      </c>
      <c r="AY464" s="32" t="s">
        <v>2917</v>
      </c>
      <c r="AZ464" s="32" t="s">
        <v>2944</v>
      </c>
      <c r="BA464" s="28" t="s">
        <v>2957</v>
      </c>
      <c r="BC464" s="29">
        <f t="shared" si="455"/>
        <v>0</v>
      </c>
      <c r="BD464" s="29">
        <f t="shared" si="456"/>
        <v>0</v>
      </c>
      <c r="BE464" s="29">
        <v>0</v>
      </c>
      <c r="BF464" s="29">
        <f>464</f>
        <v>464</v>
      </c>
      <c r="BH464" s="15">
        <f t="shared" si="457"/>
        <v>0</v>
      </c>
      <c r="BI464" s="15">
        <f t="shared" si="458"/>
        <v>0</v>
      </c>
      <c r="BJ464" s="15">
        <f t="shared" si="459"/>
        <v>0</v>
      </c>
      <c r="BK464" s="15" t="s">
        <v>2969</v>
      </c>
      <c r="BL464" s="29">
        <v>730</v>
      </c>
    </row>
    <row r="465" spans="1:64" ht="12.75">
      <c r="A465" s="4" t="s">
        <v>421</v>
      </c>
      <c r="B465" s="94" t="s">
        <v>1417</v>
      </c>
      <c r="C465" s="152" t="s">
        <v>2355</v>
      </c>
      <c r="D465" s="153"/>
      <c r="E465" s="153"/>
      <c r="F465" s="153"/>
      <c r="G465" s="94" t="s">
        <v>2850</v>
      </c>
      <c r="H465" s="73">
        <v>1</v>
      </c>
      <c r="I465" s="105">
        <v>0</v>
      </c>
      <c r="J465" s="15">
        <f t="shared" si="436"/>
        <v>0</v>
      </c>
      <c r="K465" s="15">
        <f t="shared" si="437"/>
        <v>0</v>
      </c>
      <c r="L465" s="15">
        <f t="shared" si="438"/>
        <v>0</v>
      </c>
      <c r="M465" s="25"/>
      <c r="N465" s="5"/>
      <c r="Z465" s="29">
        <f t="shared" si="439"/>
        <v>0</v>
      </c>
      <c r="AB465" s="29">
        <f t="shared" si="440"/>
        <v>0</v>
      </c>
      <c r="AC465" s="29">
        <f t="shared" si="441"/>
        <v>0</v>
      </c>
      <c r="AD465" s="29">
        <f t="shared" si="442"/>
        <v>0</v>
      </c>
      <c r="AE465" s="29">
        <f t="shared" si="443"/>
        <v>0</v>
      </c>
      <c r="AF465" s="29">
        <f t="shared" si="444"/>
        <v>0</v>
      </c>
      <c r="AG465" s="29">
        <f t="shared" si="445"/>
        <v>0</v>
      </c>
      <c r="AH465" s="29">
        <f t="shared" si="446"/>
        <v>0</v>
      </c>
      <c r="AI465" s="28" t="s">
        <v>2882</v>
      </c>
      <c r="AJ465" s="15">
        <f t="shared" si="447"/>
        <v>0</v>
      </c>
      <c r="AK465" s="15">
        <f t="shared" si="448"/>
        <v>0</v>
      </c>
      <c r="AL465" s="15">
        <f t="shared" si="449"/>
        <v>0</v>
      </c>
      <c r="AN465" s="29">
        <v>15</v>
      </c>
      <c r="AO465" s="29">
        <f t="shared" si="450"/>
        <v>0</v>
      </c>
      <c r="AP465" s="29">
        <f t="shared" si="451"/>
        <v>0</v>
      </c>
      <c r="AQ465" s="30" t="s">
        <v>13</v>
      </c>
      <c r="AV465" s="29">
        <f t="shared" si="452"/>
        <v>0</v>
      </c>
      <c r="AW465" s="29">
        <f t="shared" si="453"/>
        <v>0</v>
      </c>
      <c r="AX465" s="29">
        <f t="shared" si="454"/>
        <v>0</v>
      </c>
      <c r="AY465" s="32" t="s">
        <v>2917</v>
      </c>
      <c r="AZ465" s="32" t="s">
        <v>2944</v>
      </c>
      <c r="BA465" s="28" t="s">
        <v>2957</v>
      </c>
      <c r="BC465" s="29">
        <f t="shared" si="455"/>
        <v>0</v>
      </c>
      <c r="BD465" s="29">
        <f t="shared" si="456"/>
        <v>0</v>
      </c>
      <c r="BE465" s="29">
        <v>0</v>
      </c>
      <c r="BF465" s="29">
        <f>465</f>
        <v>465</v>
      </c>
      <c r="BH465" s="15">
        <f t="shared" si="457"/>
        <v>0</v>
      </c>
      <c r="BI465" s="15">
        <f t="shared" si="458"/>
        <v>0</v>
      </c>
      <c r="BJ465" s="15">
        <f t="shared" si="459"/>
        <v>0</v>
      </c>
      <c r="BK465" s="15" t="s">
        <v>2969</v>
      </c>
      <c r="BL465" s="29">
        <v>730</v>
      </c>
    </row>
    <row r="466" spans="1:64" ht="12.75">
      <c r="A466" s="4" t="s">
        <v>422</v>
      </c>
      <c r="B466" s="94" t="s">
        <v>1418</v>
      </c>
      <c r="C466" s="152" t="s">
        <v>2356</v>
      </c>
      <c r="D466" s="153"/>
      <c r="E466" s="153"/>
      <c r="F466" s="153"/>
      <c r="G466" s="94" t="s">
        <v>2851</v>
      </c>
      <c r="H466" s="73">
        <v>2400</v>
      </c>
      <c r="I466" s="105">
        <v>0</v>
      </c>
      <c r="J466" s="15">
        <f t="shared" si="436"/>
        <v>0</v>
      </c>
      <c r="K466" s="15">
        <f t="shared" si="437"/>
        <v>0</v>
      </c>
      <c r="L466" s="15">
        <f t="shared" si="438"/>
        <v>0</v>
      </c>
      <c r="M466" s="25"/>
      <c r="N466" s="5"/>
      <c r="Z466" s="29">
        <f t="shared" si="439"/>
        <v>0</v>
      </c>
      <c r="AB466" s="29">
        <f t="shared" si="440"/>
        <v>0</v>
      </c>
      <c r="AC466" s="29">
        <f t="shared" si="441"/>
        <v>0</v>
      </c>
      <c r="AD466" s="29">
        <f t="shared" si="442"/>
        <v>0</v>
      </c>
      <c r="AE466" s="29">
        <f t="shared" si="443"/>
        <v>0</v>
      </c>
      <c r="AF466" s="29">
        <f t="shared" si="444"/>
        <v>0</v>
      </c>
      <c r="AG466" s="29">
        <f t="shared" si="445"/>
        <v>0</v>
      </c>
      <c r="AH466" s="29">
        <f t="shared" si="446"/>
        <v>0</v>
      </c>
      <c r="AI466" s="28" t="s">
        <v>2882</v>
      </c>
      <c r="AJ466" s="15">
        <f t="shared" si="447"/>
        <v>0</v>
      </c>
      <c r="AK466" s="15">
        <f t="shared" si="448"/>
        <v>0</v>
      </c>
      <c r="AL466" s="15">
        <f t="shared" si="449"/>
        <v>0</v>
      </c>
      <c r="AN466" s="29">
        <v>15</v>
      </c>
      <c r="AO466" s="29">
        <f t="shared" si="450"/>
        <v>0</v>
      </c>
      <c r="AP466" s="29">
        <f t="shared" si="451"/>
        <v>0</v>
      </c>
      <c r="AQ466" s="30" t="s">
        <v>13</v>
      </c>
      <c r="AV466" s="29">
        <f t="shared" si="452"/>
        <v>0</v>
      </c>
      <c r="AW466" s="29">
        <f t="shared" si="453"/>
        <v>0</v>
      </c>
      <c r="AX466" s="29">
        <f t="shared" si="454"/>
        <v>0</v>
      </c>
      <c r="AY466" s="32" t="s">
        <v>2917</v>
      </c>
      <c r="AZ466" s="32" t="s">
        <v>2944</v>
      </c>
      <c r="BA466" s="28" t="s">
        <v>2957</v>
      </c>
      <c r="BC466" s="29">
        <f t="shared" si="455"/>
        <v>0</v>
      </c>
      <c r="BD466" s="29">
        <f t="shared" si="456"/>
        <v>0</v>
      </c>
      <c r="BE466" s="29">
        <v>0</v>
      </c>
      <c r="BF466" s="29">
        <f>466</f>
        <v>466</v>
      </c>
      <c r="BH466" s="15">
        <f t="shared" si="457"/>
        <v>0</v>
      </c>
      <c r="BI466" s="15">
        <f t="shared" si="458"/>
        <v>0</v>
      </c>
      <c r="BJ466" s="15">
        <f t="shared" si="459"/>
        <v>0</v>
      </c>
      <c r="BK466" s="15" t="s">
        <v>2969</v>
      </c>
      <c r="BL466" s="29">
        <v>730</v>
      </c>
    </row>
    <row r="467" spans="1:64" ht="12.75">
      <c r="A467" s="4" t="s">
        <v>423</v>
      </c>
      <c r="B467" s="94" t="s">
        <v>1419</v>
      </c>
      <c r="C467" s="152" t="s">
        <v>2357</v>
      </c>
      <c r="D467" s="153"/>
      <c r="E467" s="153"/>
      <c r="F467" s="153"/>
      <c r="G467" s="94" t="s">
        <v>2851</v>
      </c>
      <c r="H467" s="73">
        <v>400</v>
      </c>
      <c r="I467" s="105">
        <v>0</v>
      </c>
      <c r="J467" s="15">
        <f t="shared" si="436"/>
        <v>0</v>
      </c>
      <c r="K467" s="15">
        <f t="shared" si="437"/>
        <v>0</v>
      </c>
      <c r="L467" s="15">
        <f t="shared" si="438"/>
        <v>0</v>
      </c>
      <c r="M467" s="25"/>
      <c r="N467" s="5"/>
      <c r="Z467" s="29">
        <f t="shared" si="439"/>
        <v>0</v>
      </c>
      <c r="AB467" s="29">
        <f t="shared" si="440"/>
        <v>0</v>
      </c>
      <c r="AC467" s="29">
        <f t="shared" si="441"/>
        <v>0</v>
      </c>
      <c r="AD467" s="29">
        <f t="shared" si="442"/>
        <v>0</v>
      </c>
      <c r="AE467" s="29">
        <f t="shared" si="443"/>
        <v>0</v>
      </c>
      <c r="AF467" s="29">
        <f t="shared" si="444"/>
        <v>0</v>
      </c>
      <c r="AG467" s="29">
        <f t="shared" si="445"/>
        <v>0</v>
      </c>
      <c r="AH467" s="29">
        <f t="shared" si="446"/>
        <v>0</v>
      </c>
      <c r="AI467" s="28" t="s">
        <v>2882</v>
      </c>
      <c r="AJ467" s="15">
        <f t="shared" si="447"/>
        <v>0</v>
      </c>
      <c r="AK467" s="15">
        <f t="shared" si="448"/>
        <v>0</v>
      </c>
      <c r="AL467" s="15">
        <f t="shared" si="449"/>
        <v>0</v>
      </c>
      <c r="AN467" s="29">
        <v>15</v>
      </c>
      <c r="AO467" s="29">
        <f t="shared" si="450"/>
        <v>0</v>
      </c>
      <c r="AP467" s="29">
        <f t="shared" si="451"/>
        <v>0</v>
      </c>
      <c r="AQ467" s="30" t="s">
        <v>13</v>
      </c>
      <c r="AV467" s="29">
        <f t="shared" si="452"/>
        <v>0</v>
      </c>
      <c r="AW467" s="29">
        <f t="shared" si="453"/>
        <v>0</v>
      </c>
      <c r="AX467" s="29">
        <f t="shared" si="454"/>
        <v>0</v>
      </c>
      <c r="AY467" s="32" t="s">
        <v>2917</v>
      </c>
      <c r="AZ467" s="32" t="s">
        <v>2944</v>
      </c>
      <c r="BA467" s="28" t="s">
        <v>2957</v>
      </c>
      <c r="BC467" s="29">
        <f t="shared" si="455"/>
        <v>0</v>
      </c>
      <c r="BD467" s="29">
        <f t="shared" si="456"/>
        <v>0</v>
      </c>
      <c r="BE467" s="29">
        <v>0</v>
      </c>
      <c r="BF467" s="29">
        <f>467</f>
        <v>467</v>
      </c>
      <c r="BH467" s="15">
        <f t="shared" si="457"/>
        <v>0</v>
      </c>
      <c r="BI467" s="15">
        <f t="shared" si="458"/>
        <v>0</v>
      </c>
      <c r="BJ467" s="15">
        <f t="shared" si="459"/>
        <v>0</v>
      </c>
      <c r="BK467" s="15" t="s">
        <v>2969</v>
      </c>
      <c r="BL467" s="29">
        <v>730</v>
      </c>
    </row>
    <row r="468" spans="1:64" ht="12.75">
      <c r="A468" s="4" t="s">
        <v>424</v>
      </c>
      <c r="B468" s="94" t="s">
        <v>1420</v>
      </c>
      <c r="C468" s="152" t="s">
        <v>2358</v>
      </c>
      <c r="D468" s="153"/>
      <c r="E468" s="153"/>
      <c r="F468" s="153"/>
      <c r="G468" s="94" t="s">
        <v>2850</v>
      </c>
      <c r="H468" s="73">
        <v>1</v>
      </c>
      <c r="I468" s="105">
        <v>0</v>
      </c>
      <c r="J468" s="15">
        <f t="shared" si="436"/>
        <v>0</v>
      </c>
      <c r="K468" s="15">
        <f t="shared" si="437"/>
        <v>0</v>
      </c>
      <c r="L468" s="15">
        <f t="shared" si="438"/>
        <v>0</v>
      </c>
      <c r="M468" s="25"/>
      <c r="N468" s="5"/>
      <c r="Z468" s="29">
        <f t="shared" si="439"/>
        <v>0</v>
      </c>
      <c r="AB468" s="29">
        <f t="shared" si="440"/>
        <v>0</v>
      </c>
      <c r="AC468" s="29">
        <f t="shared" si="441"/>
        <v>0</v>
      </c>
      <c r="AD468" s="29">
        <f t="shared" si="442"/>
        <v>0</v>
      </c>
      <c r="AE468" s="29">
        <f t="shared" si="443"/>
        <v>0</v>
      </c>
      <c r="AF468" s="29">
        <f t="shared" si="444"/>
        <v>0</v>
      </c>
      <c r="AG468" s="29">
        <f t="shared" si="445"/>
        <v>0</v>
      </c>
      <c r="AH468" s="29">
        <f t="shared" si="446"/>
        <v>0</v>
      </c>
      <c r="AI468" s="28" t="s">
        <v>2882</v>
      </c>
      <c r="AJ468" s="15">
        <f t="shared" si="447"/>
        <v>0</v>
      </c>
      <c r="AK468" s="15">
        <f t="shared" si="448"/>
        <v>0</v>
      </c>
      <c r="AL468" s="15">
        <f t="shared" si="449"/>
        <v>0</v>
      </c>
      <c r="AN468" s="29">
        <v>15</v>
      </c>
      <c r="AO468" s="29">
        <f t="shared" si="450"/>
        <v>0</v>
      </c>
      <c r="AP468" s="29">
        <f t="shared" si="451"/>
        <v>0</v>
      </c>
      <c r="AQ468" s="30" t="s">
        <v>13</v>
      </c>
      <c r="AV468" s="29">
        <f t="shared" si="452"/>
        <v>0</v>
      </c>
      <c r="AW468" s="29">
        <f t="shared" si="453"/>
        <v>0</v>
      </c>
      <c r="AX468" s="29">
        <f t="shared" si="454"/>
        <v>0</v>
      </c>
      <c r="AY468" s="32" t="s">
        <v>2917</v>
      </c>
      <c r="AZ468" s="32" t="s">
        <v>2944</v>
      </c>
      <c r="BA468" s="28" t="s">
        <v>2957</v>
      </c>
      <c r="BC468" s="29">
        <f t="shared" si="455"/>
        <v>0</v>
      </c>
      <c r="BD468" s="29">
        <f t="shared" si="456"/>
        <v>0</v>
      </c>
      <c r="BE468" s="29">
        <v>0</v>
      </c>
      <c r="BF468" s="29">
        <f>468</f>
        <v>468</v>
      </c>
      <c r="BH468" s="15">
        <f t="shared" si="457"/>
        <v>0</v>
      </c>
      <c r="BI468" s="15">
        <f t="shared" si="458"/>
        <v>0</v>
      </c>
      <c r="BJ468" s="15">
        <f t="shared" si="459"/>
        <v>0</v>
      </c>
      <c r="BK468" s="15" t="s">
        <v>2969</v>
      </c>
      <c r="BL468" s="29">
        <v>730</v>
      </c>
    </row>
    <row r="469" spans="1:64" ht="12.75">
      <c r="A469" s="4" t="s">
        <v>425</v>
      </c>
      <c r="B469" s="94" t="s">
        <v>1421</v>
      </c>
      <c r="C469" s="152" t="s">
        <v>2359</v>
      </c>
      <c r="D469" s="153"/>
      <c r="E469" s="153"/>
      <c r="F469" s="153"/>
      <c r="G469" s="94" t="s">
        <v>2850</v>
      </c>
      <c r="H469" s="73">
        <v>2</v>
      </c>
      <c r="I469" s="105">
        <v>0</v>
      </c>
      <c r="J469" s="15">
        <f t="shared" si="436"/>
        <v>0</v>
      </c>
      <c r="K469" s="15">
        <f t="shared" si="437"/>
        <v>0</v>
      </c>
      <c r="L469" s="15">
        <f t="shared" si="438"/>
        <v>0</v>
      </c>
      <c r="M469" s="25"/>
      <c r="N469" s="5"/>
      <c r="Z469" s="29">
        <f t="shared" si="439"/>
        <v>0</v>
      </c>
      <c r="AB469" s="29">
        <f t="shared" si="440"/>
        <v>0</v>
      </c>
      <c r="AC469" s="29">
        <f t="shared" si="441"/>
        <v>0</v>
      </c>
      <c r="AD469" s="29">
        <f t="shared" si="442"/>
        <v>0</v>
      </c>
      <c r="AE469" s="29">
        <f t="shared" si="443"/>
        <v>0</v>
      </c>
      <c r="AF469" s="29">
        <f t="shared" si="444"/>
        <v>0</v>
      </c>
      <c r="AG469" s="29">
        <f t="shared" si="445"/>
        <v>0</v>
      </c>
      <c r="AH469" s="29">
        <f t="shared" si="446"/>
        <v>0</v>
      </c>
      <c r="AI469" s="28" t="s">
        <v>2882</v>
      </c>
      <c r="AJ469" s="15">
        <f t="shared" si="447"/>
        <v>0</v>
      </c>
      <c r="AK469" s="15">
        <f t="shared" si="448"/>
        <v>0</v>
      </c>
      <c r="AL469" s="15">
        <f t="shared" si="449"/>
        <v>0</v>
      </c>
      <c r="AN469" s="29">
        <v>15</v>
      </c>
      <c r="AO469" s="29">
        <f t="shared" si="450"/>
        <v>0</v>
      </c>
      <c r="AP469" s="29">
        <f t="shared" si="451"/>
        <v>0</v>
      </c>
      <c r="AQ469" s="30" t="s">
        <v>13</v>
      </c>
      <c r="AV469" s="29">
        <f t="shared" si="452"/>
        <v>0</v>
      </c>
      <c r="AW469" s="29">
        <f t="shared" si="453"/>
        <v>0</v>
      </c>
      <c r="AX469" s="29">
        <f t="shared" si="454"/>
        <v>0</v>
      </c>
      <c r="AY469" s="32" t="s">
        <v>2917</v>
      </c>
      <c r="AZ469" s="32" t="s">
        <v>2944</v>
      </c>
      <c r="BA469" s="28" t="s">
        <v>2957</v>
      </c>
      <c r="BC469" s="29">
        <f t="shared" si="455"/>
        <v>0</v>
      </c>
      <c r="BD469" s="29">
        <f t="shared" si="456"/>
        <v>0</v>
      </c>
      <c r="BE469" s="29">
        <v>0</v>
      </c>
      <c r="BF469" s="29">
        <f>469</f>
        <v>469</v>
      </c>
      <c r="BH469" s="15">
        <f t="shared" si="457"/>
        <v>0</v>
      </c>
      <c r="BI469" s="15">
        <f t="shared" si="458"/>
        <v>0</v>
      </c>
      <c r="BJ469" s="15">
        <f t="shared" si="459"/>
        <v>0</v>
      </c>
      <c r="BK469" s="15" t="s">
        <v>2969</v>
      </c>
      <c r="BL469" s="29">
        <v>730</v>
      </c>
    </row>
    <row r="470" spans="1:64" ht="12.75">
      <c r="A470" s="4" t="s">
        <v>426</v>
      </c>
      <c r="B470" s="94" t="s">
        <v>1422</v>
      </c>
      <c r="C470" s="152" t="s">
        <v>2360</v>
      </c>
      <c r="D470" s="153"/>
      <c r="E470" s="153"/>
      <c r="F470" s="153"/>
      <c r="G470" s="94" t="s">
        <v>2850</v>
      </c>
      <c r="H470" s="73">
        <v>1</v>
      </c>
      <c r="I470" s="105">
        <v>0</v>
      </c>
      <c r="J470" s="15">
        <f t="shared" si="436"/>
        <v>0</v>
      </c>
      <c r="K470" s="15">
        <f t="shared" si="437"/>
        <v>0</v>
      </c>
      <c r="L470" s="15">
        <f t="shared" si="438"/>
        <v>0</v>
      </c>
      <c r="M470" s="25"/>
      <c r="N470" s="5"/>
      <c r="Z470" s="29">
        <f t="shared" si="439"/>
        <v>0</v>
      </c>
      <c r="AB470" s="29">
        <f t="shared" si="440"/>
        <v>0</v>
      </c>
      <c r="AC470" s="29">
        <f t="shared" si="441"/>
        <v>0</v>
      </c>
      <c r="AD470" s="29">
        <f t="shared" si="442"/>
        <v>0</v>
      </c>
      <c r="AE470" s="29">
        <f t="shared" si="443"/>
        <v>0</v>
      </c>
      <c r="AF470" s="29">
        <f t="shared" si="444"/>
        <v>0</v>
      </c>
      <c r="AG470" s="29">
        <f t="shared" si="445"/>
        <v>0</v>
      </c>
      <c r="AH470" s="29">
        <f t="shared" si="446"/>
        <v>0</v>
      </c>
      <c r="AI470" s="28" t="s">
        <v>2882</v>
      </c>
      <c r="AJ470" s="15">
        <f t="shared" si="447"/>
        <v>0</v>
      </c>
      <c r="AK470" s="15">
        <f t="shared" si="448"/>
        <v>0</v>
      </c>
      <c r="AL470" s="15">
        <f t="shared" si="449"/>
        <v>0</v>
      </c>
      <c r="AN470" s="29">
        <v>15</v>
      </c>
      <c r="AO470" s="29">
        <f t="shared" si="450"/>
        <v>0</v>
      </c>
      <c r="AP470" s="29">
        <f t="shared" si="451"/>
        <v>0</v>
      </c>
      <c r="AQ470" s="30" t="s">
        <v>13</v>
      </c>
      <c r="AV470" s="29">
        <f t="shared" si="452"/>
        <v>0</v>
      </c>
      <c r="AW470" s="29">
        <f t="shared" si="453"/>
        <v>0</v>
      </c>
      <c r="AX470" s="29">
        <f t="shared" si="454"/>
        <v>0</v>
      </c>
      <c r="AY470" s="32" t="s">
        <v>2917</v>
      </c>
      <c r="AZ470" s="32" t="s">
        <v>2944</v>
      </c>
      <c r="BA470" s="28" t="s">
        <v>2957</v>
      </c>
      <c r="BC470" s="29">
        <f t="shared" si="455"/>
        <v>0</v>
      </c>
      <c r="BD470" s="29">
        <f t="shared" si="456"/>
        <v>0</v>
      </c>
      <c r="BE470" s="29">
        <v>0</v>
      </c>
      <c r="BF470" s="29">
        <f>470</f>
        <v>470</v>
      </c>
      <c r="BH470" s="15">
        <f t="shared" si="457"/>
        <v>0</v>
      </c>
      <c r="BI470" s="15">
        <f t="shared" si="458"/>
        <v>0</v>
      </c>
      <c r="BJ470" s="15">
        <f t="shared" si="459"/>
        <v>0</v>
      </c>
      <c r="BK470" s="15" t="s">
        <v>2969</v>
      </c>
      <c r="BL470" s="29">
        <v>730</v>
      </c>
    </row>
    <row r="471" spans="1:64" ht="12.75">
      <c r="A471" s="4" t="s">
        <v>427</v>
      </c>
      <c r="B471" s="94" t="s">
        <v>1423</v>
      </c>
      <c r="C471" s="152" t="s">
        <v>2361</v>
      </c>
      <c r="D471" s="153"/>
      <c r="E471" s="153"/>
      <c r="F471" s="153"/>
      <c r="G471" s="94" t="s">
        <v>2850</v>
      </c>
      <c r="H471" s="73">
        <v>3</v>
      </c>
      <c r="I471" s="105">
        <v>0</v>
      </c>
      <c r="J471" s="15">
        <f t="shared" si="436"/>
        <v>0</v>
      </c>
      <c r="K471" s="15">
        <f t="shared" si="437"/>
        <v>0</v>
      </c>
      <c r="L471" s="15">
        <f t="shared" si="438"/>
        <v>0</v>
      </c>
      <c r="M471" s="25"/>
      <c r="N471" s="5"/>
      <c r="Z471" s="29">
        <f t="shared" si="439"/>
        <v>0</v>
      </c>
      <c r="AB471" s="29">
        <f t="shared" si="440"/>
        <v>0</v>
      </c>
      <c r="AC471" s="29">
        <f t="shared" si="441"/>
        <v>0</v>
      </c>
      <c r="AD471" s="29">
        <f t="shared" si="442"/>
        <v>0</v>
      </c>
      <c r="AE471" s="29">
        <f t="shared" si="443"/>
        <v>0</v>
      </c>
      <c r="AF471" s="29">
        <f t="shared" si="444"/>
        <v>0</v>
      </c>
      <c r="AG471" s="29">
        <f t="shared" si="445"/>
        <v>0</v>
      </c>
      <c r="AH471" s="29">
        <f t="shared" si="446"/>
        <v>0</v>
      </c>
      <c r="AI471" s="28" t="s">
        <v>2882</v>
      </c>
      <c r="AJ471" s="15">
        <f t="shared" si="447"/>
        <v>0</v>
      </c>
      <c r="AK471" s="15">
        <f t="shared" si="448"/>
        <v>0</v>
      </c>
      <c r="AL471" s="15">
        <f t="shared" si="449"/>
        <v>0</v>
      </c>
      <c r="AN471" s="29">
        <v>15</v>
      </c>
      <c r="AO471" s="29">
        <f t="shared" si="450"/>
        <v>0</v>
      </c>
      <c r="AP471" s="29">
        <f t="shared" si="451"/>
        <v>0</v>
      </c>
      <c r="AQ471" s="30" t="s">
        <v>13</v>
      </c>
      <c r="AV471" s="29">
        <f t="shared" si="452"/>
        <v>0</v>
      </c>
      <c r="AW471" s="29">
        <f t="shared" si="453"/>
        <v>0</v>
      </c>
      <c r="AX471" s="29">
        <f t="shared" si="454"/>
        <v>0</v>
      </c>
      <c r="AY471" s="32" t="s">
        <v>2917</v>
      </c>
      <c r="AZ471" s="32" t="s">
        <v>2944</v>
      </c>
      <c r="BA471" s="28" t="s">
        <v>2957</v>
      </c>
      <c r="BC471" s="29">
        <f t="shared" si="455"/>
        <v>0</v>
      </c>
      <c r="BD471" s="29">
        <f t="shared" si="456"/>
        <v>0</v>
      </c>
      <c r="BE471" s="29">
        <v>0</v>
      </c>
      <c r="BF471" s="29">
        <f>471</f>
        <v>471</v>
      </c>
      <c r="BH471" s="15">
        <f t="shared" si="457"/>
        <v>0</v>
      </c>
      <c r="BI471" s="15">
        <f t="shared" si="458"/>
        <v>0</v>
      </c>
      <c r="BJ471" s="15">
        <f t="shared" si="459"/>
        <v>0</v>
      </c>
      <c r="BK471" s="15" t="s">
        <v>2969</v>
      </c>
      <c r="BL471" s="29">
        <v>730</v>
      </c>
    </row>
    <row r="472" spans="1:64" ht="12.75">
      <c r="A472" s="4" t="s">
        <v>428</v>
      </c>
      <c r="B472" s="94" t="s">
        <v>1424</v>
      </c>
      <c r="C472" s="152" t="s">
        <v>2362</v>
      </c>
      <c r="D472" s="153"/>
      <c r="E472" s="153"/>
      <c r="F472" s="153"/>
      <c r="G472" s="94" t="s">
        <v>2850</v>
      </c>
      <c r="H472" s="73">
        <v>1</v>
      </c>
      <c r="I472" s="105">
        <v>0</v>
      </c>
      <c r="J472" s="15">
        <f t="shared" si="436"/>
        <v>0</v>
      </c>
      <c r="K472" s="15">
        <f t="shared" si="437"/>
        <v>0</v>
      </c>
      <c r="L472" s="15">
        <f t="shared" si="438"/>
        <v>0</v>
      </c>
      <c r="M472" s="25"/>
      <c r="N472" s="5"/>
      <c r="Z472" s="29">
        <f t="shared" si="439"/>
        <v>0</v>
      </c>
      <c r="AB472" s="29">
        <f t="shared" si="440"/>
        <v>0</v>
      </c>
      <c r="AC472" s="29">
        <f t="shared" si="441"/>
        <v>0</v>
      </c>
      <c r="AD472" s="29">
        <f t="shared" si="442"/>
        <v>0</v>
      </c>
      <c r="AE472" s="29">
        <f t="shared" si="443"/>
        <v>0</v>
      </c>
      <c r="AF472" s="29">
        <f t="shared" si="444"/>
        <v>0</v>
      </c>
      <c r="AG472" s="29">
        <f t="shared" si="445"/>
        <v>0</v>
      </c>
      <c r="AH472" s="29">
        <f t="shared" si="446"/>
        <v>0</v>
      </c>
      <c r="AI472" s="28" t="s">
        <v>2882</v>
      </c>
      <c r="AJ472" s="15">
        <f t="shared" si="447"/>
        <v>0</v>
      </c>
      <c r="AK472" s="15">
        <f t="shared" si="448"/>
        <v>0</v>
      </c>
      <c r="AL472" s="15">
        <f t="shared" si="449"/>
        <v>0</v>
      </c>
      <c r="AN472" s="29">
        <v>15</v>
      </c>
      <c r="AO472" s="29">
        <f t="shared" si="450"/>
        <v>0</v>
      </c>
      <c r="AP472" s="29">
        <f t="shared" si="451"/>
        <v>0</v>
      </c>
      <c r="AQ472" s="30" t="s">
        <v>13</v>
      </c>
      <c r="AV472" s="29">
        <f t="shared" si="452"/>
        <v>0</v>
      </c>
      <c r="AW472" s="29">
        <f t="shared" si="453"/>
        <v>0</v>
      </c>
      <c r="AX472" s="29">
        <f t="shared" si="454"/>
        <v>0</v>
      </c>
      <c r="AY472" s="32" t="s">
        <v>2917</v>
      </c>
      <c r="AZ472" s="32" t="s">
        <v>2944</v>
      </c>
      <c r="BA472" s="28" t="s">
        <v>2957</v>
      </c>
      <c r="BC472" s="29">
        <f t="shared" si="455"/>
        <v>0</v>
      </c>
      <c r="BD472" s="29">
        <f t="shared" si="456"/>
        <v>0</v>
      </c>
      <c r="BE472" s="29">
        <v>0</v>
      </c>
      <c r="BF472" s="29">
        <f>472</f>
        <v>472</v>
      </c>
      <c r="BH472" s="15">
        <f t="shared" si="457"/>
        <v>0</v>
      </c>
      <c r="BI472" s="15">
        <f t="shared" si="458"/>
        <v>0</v>
      </c>
      <c r="BJ472" s="15">
        <f t="shared" si="459"/>
        <v>0</v>
      </c>
      <c r="BK472" s="15" t="s">
        <v>2969</v>
      </c>
      <c r="BL472" s="29">
        <v>730</v>
      </c>
    </row>
    <row r="473" spans="1:64" ht="12.75">
      <c r="A473" s="4" t="s">
        <v>429</v>
      </c>
      <c r="B473" s="94" t="s">
        <v>1425</v>
      </c>
      <c r="C473" s="152" t="s">
        <v>2363</v>
      </c>
      <c r="D473" s="153"/>
      <c r="E473" s="153"/>
      <c r="F473" s="153"/>
      <c r="G473" s="94" t="s">
        <v>2850</v>
      </c>
      <c r="H473" s="73">
        <v>6</v>
      </c>
      <c r="I473" s="105">
        <v>0</v>
      </c>
      <c r="J473" s="15">
        <f t="shared" si="436"/>
        <v>0</v>
      </c>
      <c r="K473" s="15">
        <f t="shared" si="437"/>
        <v>0</v>
      </c>
      <c r="L473" s="15">
        <f t="shared" si="438"/>
        <v>0</v>
      </c>
      <c r="M473" s="25"/>
      <c r="N473" s="5"/>
      <c r="Z473" s="29">
        <f t="shared" si="439"/>
        <v>0</v>
      </c>
      <c r="AB473" s="29">
        <f t="shared" si="440"/>
        <v>0</v>
      </c>
      <c r="AC473" s="29">
        <f t="shared" si="441"/>
        <v>0</v>
      </c>
      <c r="AD473" s="29">
        <f t="shared" si="442"/>
        <v>0</v>
      </c>
      <c r="AE473" s="29">
        <f t="shared" si="443"/>
        <v>0</v>
      </c>
      <c r="AF473" s="29">
        <f t="shared" si="444"/>
        <v>0</v>
      </c>
      <c r="AG473" s="29">
        <f t="shared" si="445"/>
        <v>0</v>
      </c>
      <c r="AH473" s="29">
        <f t="shared" si="446"/>
        <v>0</v>
      </c>
      <c r="AI473" s="28" t="s">
        <v>2882</v>
      </c>
      <c r="AJ473" s="15">
        <f t="shared" si="447"/>
        <v>0</v>
      </c>
      <c r="AK473" s="15">
        <f t="shared" si="448"/>
        <v>0</v>
      </c>
      <c r="AL473" s="15">
        <f t="shared" si="449"/>
        <v>0</v>
      </c>
      <c r="AN473" s="29">
        <v>15</v>
      </c>
      <c r="AO473" s="29">
        <f t="shared" si="450"/>
        <v>0</v>
      </c>
      <c r="AP473" s="29">
        <f t="shared" si="451"/>
        <v>0</v>
      </c>
      <c r="AQ473" s="30" t="s">
        <v>13</v>
      </c>
      <c r="AV473" s="29">
        <f t="shared" si="452"/>
        <v>0</v>
      </c>
      <c r="AW473" s="29">
        <f t="shared" si="453"/>
        <v>0</v>
      </c>
      <c r="AX473" s="29">
        <f t="shared" si="454"/>
        <v>0</v>
      </c>
      <c r="AY473" s="32" t="s">
        <v>2917</v>
      </c>
      <c r="AZ473" s="32" t="s">
        <v>2944</v>
      </c>
      <c r="BA473" s="28" t="s">
        <v>2957</v>
      </c>
      <c r="BC473" s="29">
        <f t="shared" si="455"/>
        <v>0</v>
      </c>
      <c r="BD473" s="29">
        <f t="shared" si="456"/>
        <v>0</v>
      </c>
      <c r="BE473" s="29">
        <v>0</v>
      </c>
      <c r="BF473" s="29">
        <f>473</f>
        <v>473</v>
      </c>
      <c r="BH473" s="15">
        <f t="shared" si="457"/>
        <v>0</v>
      </c>
      <c r="BI473" s="15">
        <f t="shared" si="458"/>
        <v>0</v>
      </c>
      <c r="BJ473" s="15">
        <f t="shared" si="459"/>
        <v>0</v>
      </c>
      <c r="BK473" s="15" t="s">
        <v>2969</v>
      </c>
      <c r="BL473" s="29">
        <v>730</v>
      </c>
    </row>
    <row r="474" spans="1:64" ht="12.75">
      <c r="A474" s="4" t="s">
        <v>430</v>
      </c>
      <c r="B474" s="94" t="s">
        <v>1426</v>
      </c>
      <c r="C474" s="152" t="s">
        <v>2364</v>
      </c>
      <c r="D474" s="153"/>
      <c r="E474" s="153"/>
      <c r="F474" s="153"/>
      <c r="G474" s="94" t="s">
        <v>2850</v>
      </c>
      <c r="H474" s="73">
        <v>58</v>
      </c>
      <c r="I474" s="105">
        <v>0</v>
      </c>
      <c r="J474" s="15">
        <f t="shared" si="436"/>
        <v>0</v>
      </c>
      <c r="K474" s="15">
        <f t="shared" si="437"/>
        <v>0</v>
      </c>
      <c r="L474" s="15">
        <f t="shared" si="438"/>
        <v>0</v>
      </c>
      <c r="M474" s="25"/>
      <c r="N474" s="5"/>
      <c r="Z474" s="29">
        <f t="shared" si="439"/>
        <v>0</v>
      </c>
      <c r="AB474" s="29">
        <f t="shared" si="440"/>
        <v>0</v>
      </c>
      <c r="AC474" s="29">
        <f t="shared" si="441"/>
        <v>0</v>
      </c>
      <c r="AD474" s="29">
        <f t="shared" si="442"/>
        <v>0</v>
      </c>
      <c r="AE474" s="29">
        <f t="shared" si="443"/>
        <v>0</v>
      </c>
      <c r="AF474" s="29">
        <f t="shared" si="444"/>
        <v>0</v>
      </c>
      <c r="AG474" s="29">
        <f t="shared" si="445"/>
        <v>0</v>
      </c>
      <c r="AH474" s="29">
        <f t="shared" si="446"/>
        <v>0</v>
      </c>
      <c r="AI474" s="28" t="s">
        <v>2882</v>
      </c>
      <c r="AJ474" s="15">
        <f t="shared" si="447"/>
        <v>0</v>
      </c>
      <c r="AK474" s="15">
        <f t="shared" si="448"/>
        <v>0</v>
      </c>
      <c r="AL474" s="15">
        <f t="shared" si="449"/>
        <v>0</v>
      </c>
      <c r="AN474" s="29">
        <v>15</v>
      </c>
      <c r="AO474" s="29">
        <f t="shared" si="450"/>
        <v>0</v>
      </c>
      <c r="AP474" s="29">
        <f t="shared" si="451"/>
        <v>0</v>
      </c>
      <c r="AQ474" s="30" t="s">
        <v>13</v>
      </c>
      <c r="AV474" s="29">
        <f t="shared" si="452"/>
        <v>0</v>
      </c>
      <c r="AW474" s="29">
        <f t="shared" si="453"/>
        <v>0</v>
      </c>
      <c r="AX474" s="29">
        <f t="shared" si="454"/>
        <v>0</v>
      </c>
      <c r="AY474" s="32" t="s">
        <v>2917</v>
      </c>
      <c r="AZ474" s="32" t="s">
        <v>2944</v>
      </c>
      <c r="BA474" s="28" t="s">
        <v>2957</v>
      </c>
      <c r="BC474" s="29">
        <f t="shared" si="455"/>
        <v>0</v>
      </c>
      <c r="BD474" s="29">
        <f t="shared" si="456"/>
        <v>0</v>
      </c>
      <c r="BE474" s="29">
        <v>0</v>
      </c>
      <c r="BF474" s="29">
        <f>474</f>
        <v>474</v>
      </c>
      <c r="BH474" s="15">
        <f t="shared" si="457"/>
        <v>0</v>
      </c>
      <c r="BI474" s="15">
        <f t="shared" si="458"/>
        <v>0</v>
      </c>
      <c r="BJ474" s="15">
        <f t="shared" si="459"/>
        <v>0</v>
      </c>
      <c r="BK474" s="15" t="s">
        <v>2969</v>
      </c>
      <c r="BL474" s="29">
        <v>730</v>
      </c>
    </row>
    <row r="475" spans="1:64" ht="12.75">
      <c r="A475" s="4" t="s">
        <v>431</v>
      </c>
      <c r="B475" s="94" t="s">
        <v>1427</v>
      </c>
      <c r="C475" s="152" t="s">
        <v>2365</v>
      </c>
      <c r="D475" s="153"/>
      <c r="E475" s="153"/>
      <c r="F475" s="153"/>
      <c r="G475" s="94" t="s">
        <v>2851</v>
      </c>
      <c r="H475" s="73">
        <v>30</v>
      </c>
      <c r="I475" s="105">
        <v>0</v>
      </c>
      <c r="J475" s="15">
        <f t="shared" si="436"/>
        <v>0</v>
      </c>
      <c r="K475" s="15">
        <f t="shared" si="437"/>
        <v>0</v>
      </c>
      <c r="L475" s="15">
        <f t="shared" si="438"/>
        <v>0</v>
      </c>
      <c r="M475" s="25"/>
      <c r="N475" s="5"/>
      <c r="Z475" s="29">
        <f t="shared" si="439"/>
        <v>0</v>
      </c>
      <c r="AB475" s="29">
        <f t="shared" si="440"/>
        <v>0</v>
      </c>
      <c r="AC475" s="29">
        <f t="shared" si="441"/>
        <v>0</v>
      </c>
      <c r="AD475" s="29">
        <f t="shared" si="442"/>
        <v>0</v>
      </c>
      <c r="AE475" s="29">
        <f t="shared" si="443"/>
        <v>0</v>
      </c>
      <c r="AF475" s="29">
        <f t="shared" si="444"/>
        <v>0</v>
      </c>
      <c r="AG475" s="29">
        <f t="shared" si="445"/>
        <v>0</v>
      </c>
      <c r="AH475" s="29">
        <f t="shared" si="446"/>
        <v>0</v>
      </c>
      <c r="AI475" s="28" t="s">
        <v>2882</v>
      </c>
      <c r="AJ475" s="15">
        <f t="shared" si="447"/>
        <v>0</v>
      </c>
      <c r="AK475" s="15">
        <f t="shared" si="448"/>
        <v>0</v>
      </c>
      <c r="AL475" s="15">
        <f t="shared" si="449"/>
        <v>0</v>
      </c>
      <c r="AN475" s="29">
        <v>15</v>
      </c>
      <c r="AO475" s="29">
        <f t="shared" si="450"/>
        <v>0</v>
      </c>
      <c r="AP475" s="29">
        <f t="shared" si="451"/>
        <v>0</v>
      </c>
      <c r="AQ475" s="30" t="s">
        <v>13</v>
      </c>
      <c r="AV475" s="29">
        <f t="shared" si="452"/>
        <v>0</v>
      </c>
      <c r="AW475" s="29">
        <f t="shared" si="453"/>
        <v>0</v>
      </c>
      <c r="AX475" s="29">
        <f t="shared" si="454"/>
        <v>0</v>
      </c>
      <c r="AY475" s="32" t="s">
        <v>2917</v>
      </c>
      <c r="AZ475" s="32" t="s">
        <v>2944</v>
      </c>
      <c r="BA475" s="28" t="s">
        <v>2957</v>
      </c>
      <c r="BC475" s="29">
        <f t="shared" si="455"/>
        <v>0</v>
      </c>
      <c r="BD475" s="29">
        <f t="shared" si="456"/>
        <v>0</v>
      </c>
      <c r="BE475" s="29">
        <v>0</v>
      </c>
      <c r="BF475" s="29">
        <f>475</f>
        <v>475</v>
      </c>
      <c r="BH475" s="15">
        <f t="shared" si="457"/>
        <v>0</v>
      </c>
      <c r="BI475" s="15">
        <f t="shared" si="458"/>
        <v>0</v>
      </c>
      <c r="BJ475" s="15">
        <f t="shared" si="459"/>
        <v>0</v>
      </c>
      <c r="BK475" s="15" t="s">
        <v>2969</v>
      </c>
      <c r="BL475" s="29">
        <v>730</v>
      </c>
    </row>
    <row r="476" spans="1:64" ht="12.75">
      <c r="A476" s="4" t="s">
        <v>432</v>
      </c>
      <c r="B476" s="94" t="s">
        <v>1428</v>
      </c>
      <c r="C476" s="152" t="s">
        <v>2366</v>
      </c>
      <c r="D476" s="153"/>
      <c r="E476" s="153"/>
      <c r="F476" s="153"/>
      <c r="G476" s="94" t="s">
        <v>2851</v>
      </c>
      <c r="H476" s="73">
        <v>30</v>
      </c>
      <c r="I476" s="105">
        <v>0</v>
      </c>
      <c r="J476" s="15">
        <f t="shared" si="436"/>
        <v>0</v>
      </c>
      <c r="K476" s="15">
        <f t="shared" si="437"/>
        <v>0</v>
      </c>
      <c r="L476" s="15">
        <f t="shared" si="438"/>
        <v>0</v>
      </c>
      <c r="M476" s="25"/>
      <c r="N476" s="5"/>
      <c r="Z476" s="29">
        <f t="shared" si="439"/>
        <v>0</v>
      </c>
      <c r="AB476" s="29">
        <f t="shared" si="440"/>
        <v>0</v>
      </c>
      <c r="AC476" s="29">
        <f t="shared" si="441"/>
        <v>0</v>
      </c>
      <c r="AD476" s="29">
        <f t="shared" si="442"/>
        <v>0</v>
      </c>
      <c r="AE476" s="29">
        <f t="shared" si="443"/>
        <v>0</v>
      </c>
      <c r="AF476" s="29">
        <f t="shared" si="444"/>
        <v>0</v>
      </c>
      <c r="AG476" s="29">
        <f t="shared" si="445"/>
        <v>0</v>
      </c>
      <c r="AH476" s="29">
        <f t="shared" si="446"/>
        <v>0</v>
      </c>
      <c r="AI476" s="28" t="s">
        <v>2882</v>
      </c>
      <c r="AJ476" s="15">
        <f t="shared" si="447"/>
        <v>0</v>
      </c>
      <c r="AK476" s="15">
        <f t="shared" si="448"/>
        <v>0</v>
      </c>
      <c r="AL476" s="15">
        <f t="shared" si="449"/>
        <v>0</v>
      </c>
      <c r="AN476" s="29">
        <v>15</v>
      </c>
      <c r="AO476" s="29">
        <f t="shared" si="450"/>
        <v>0</v>
      </c>
      <c r="AP476" s="29">
        <f t="shared" si="451"/>
        <v>0</v>
      </c>
      <c r="AQ476" s="30" t="s">
        <v>13</v>
      </c>
      <c r="AV476" s="29">
        <f t="shared" si="452"/>
        <v>0</v>
      </c>
      <c r="AW476" s="29">
        <f t="shared" si="453"/>
        <v>0</v>
      </c>
      <c r="AX476" s="29">
        <f t="shared" si="454"/>
        <v>0</v>
      </c>
      <c r="AY476" s="32" t="s">
        <v>2917</v>
      </c>
      <c r="AZ476" s="32" t="s">
        <v>2944</v>
      </c>
      <c r="BA476" s="28" t="s">
        <v>2957</v>
      </c>
      <c r="BC476" s="29">
        <f t="shared" si="455"/>
        <v>0</v>
      </c>
      <c r="BD476" s="29">
        <f t="shared" si="456"/>
        <v>0</v>
      </c>
      <c r="BE476" s="29">
        <v>0</v>
      </c>
      <c r="BF476" s="29">
        <f>476</f>
        <v>476</v>
      </c>
      <c r="BH476" s="15">
        <f t="shared" si="457"/>
        <v>0</v>
      </c>
      <c r="BI476" s="15">
        <f t="shared" si="458"/>
        <v>0</v>
      </c>
      <c r="BJ476" s="15">
        <f t="shared" si="459"/>
        <v>0</v>
      </c>
      <c r="BK476" s="15" t="s">
        <v>2969</v>
      </c>
      <c r="BL476" s="29">
        <v>730</v>
      </c>
    </row>
    <row r="477" spans="1:64" ht="12.75">
      <c r="A477" s="4" t="s">
        <v>433</v>
      </c>
      <c r="B477" s="94" t="s">
        <v>1429</v>
      </c>
      <c r="C477" s="152" t="s">
        <v>2367</v>
      </c>
      <c r="D477" s="153"/>
      <c r="E477" s="153"/>
      <c r="F477" s="153"/>
      <c r="G477" s="94" t="s">
        <v>2850</v>
      </c>
      <c r="H477" s="73">
        <v>58</v>
      </c>
      <c r="I477" s="105">
        <v>0</v>
      </c>
      <c r="J477" s="15">
        <f t="shared" si="436"/>
        <v>0</v>
      </c>
      <c r="K477" s="15">
        <f t="shared" si="437"/>
        <v>0</v>
      </c>
      <c r="L477" s="15">
        <f t="shared" si="438"/>
        <v>0</v>
      </c>
      <c r="M477" s="25"/>
      <c r="N477" s="5"/>
      <c r="Z477" s="29">
        <f t="shared" si="439"/>
        <v>0</v>
      </c>
      <c r="AB477" s="29">
        <f t="shared" si="440"/>
        <v>0</v>
      </c>
      <c r="AC477" s="29">
        <f t="shared" si="441"/>
        <v>0</v>
      </c>
      <c r="AD477" s="29">
        <f t="shared" si="442"/>
        <v>0</v>
      </c>
      <c r="AE477" s="29">
        <f t="shared" si="443"/>
        <v>0</v>
      </c>
      <c r="AF477" s="29">
        <f t="shared" si="444"/>
        <v>0</v>
      </c>
      <c r="AG477" s="29">
        <f t="shared" si="445"/>
        <v>0</v>
      </c>
      <c r="AH477" s="29">
        <f t="shared" si="446"/>
        <v>0</v>
      </c>
      <c r="AI477" s="28" t="s">
        <v>2882</v>
      </c>
      <c r="AJ477" s="15">
        <f t="shared" si="447"/>
        <v>0</v>
      </c>
      <c r="AK477" s="15">
        <f t="shared" si="448"/>
        <v>0</v>
      </c>
      <c r="AL477" s="15">
        <f t="shared" si="449"/>
        <v>0</v>
      </c>
      <c r="AN477" s="29">
        <v>15</v>
      </c>
      <c r="AO477" s="29">
        <f t="shared" si="450"/>
        <v>0</v>
      </c>
      <c r="AP477" s="29">
        <f t="shared" si="451"/>
        <v>0</v>
      </c>
      <c r="AQ477" s="30" t="s">
        <v>13</v>
      </c>
      <c r="AV477" s="29">
        <f t="shared" si="452"/>
        <v>0</v>
      </c>
      <c r="AW477" s="29">
        <f t="shared" si="453"/>
        <v>0</v>
      </c>
      <c r="AX477" s="29">
        <f t="shared" si="454"/>
        <v>0</v>
      </c>
      <c r="AY477" s="32" t="s">
        <v>2917</v>
      </c>
      <c r="AZ477" s="32" t="s">
        <v>2944</v>
      </c>
      <c r="BA477" s="28" t="s">
        <v>2957</v>
      </c>
      <c r="BC477" s="29">
        <f t="shared" si="455"/>
        <v>0</v>
      </c>
      <c r="BD477" s="29">
        <f t="shared" si="456"/>
        <v>0</v>
      </c>
      <c r="BE477" s="29">
        <v>0</v>
      </c>
      <c r="BF477" s="29">
        <f>477</f>
        <v>477</v>
      </c>
      <c r="BH477" s="15">
        <f t="shared" si="457"/>
        <v>0</v>
      </c>
      <c r="BI477" s="15">
        <f t="shared" si="458"/>
        <v>0</v>
      </c>
      <c r="BJ477" s="15">
        <f t="shared" si="459"/>
        <v>0</v>
      </c>
      <c r="BK477" s="15" t="s">
        <v>2969</v>
      </c>
      <c r="BL477" s="29">
        <v>730</v>
      </c>
    </row>
    <row r="478" spans="1:64" ht="12.75">
      <c r="A478" s="4" t="s">
        <v>434</v>
      </c>
      <c r="B478" s="94" t="s">
        <v>1430</v>
      </c>
      <c r="C478" s="152" t="s">
        <v>2368</v>
      </c>
      <c r="D478" s="153"/>
      <c r="E478" s="153"/>
      <c r="F478" s="153"/>
      <c r="G478" s="94" t="s">
        <v>2849</v>
      </c>
      <c r="H478" s="73">
        <v>380.8</v>
      </c>
      <c r="I478" s="105">
        <v>0</v>
      </c>
      <c r="J478" s="15">
        <f t="shared" si="436"/>
        <v>0</v>
      </c>
      <c r="K478" s="15">
        <f t="shared" si="437"/>
        <v>0</v>
      </c>
      <c r="L478" s="15">
        <f t="shared" si="438"/>
        <v>0</v>
      </c>
      <c r="M478" s="25"/>
      <c r="N478" s="5"/>
      <c r="Z478" s="29">
        <f t="shared" si="439"/>
        <v>0</v>
      </c>
      <c r="AB478" s="29">
        <f t="shared" si="440"/>
        <v>0</v>
      </c>
      <c r="AC478" s="29">
        <f t="shared" si="441"/>
        <v>0</v>
      </c>
      <c r="AD478" s="29">
        <f t="shared" si="442"/>
        <v>0</v>
      </c>
      <c r="AE478" s="29">
        <f t="shared" si="443"/>
        <v>0</v>
      </c>
      <c r="AF478" s="29">
        <f t="shared" si="444"/>
        <v>0</v>
      </c>
      <c r="AG478" s="29">
        <f t="shared" si="445"/>
        <v>0</v>
      </c>
      <c r="AH478" s="29">
        <f t="shared" si="446"/>
        <v>0</v>
      </c>
      <c r="AI478" s="28" t="s">
        <v>2882</v>
      </c>
      <c r="AJ478" s="15">
        <f t="shared" si="447"/>
        <v>0</v>
      </c>
      <c r="AK478" s="15">
        <f t="shared" si="448"/>
        <v>0</v>
      </c>
      <c r="AL478" s="15">
        <f t="shared" si="449"/>
        <v>0</v>
      </c>
      <c r="AN478" s="29">
        <v>15</v>
      </c>
      <c r="AO478" s="29">
        <f t="shared" si="450"/>
        <v>0</v>
      </c>
      <c r="AP478" s="29">
        <f t="shared" si="451"/>
        <v>0</v>
      </c>
      <c r="AQ478" s="30" t="s">
        <v>13</v>
      </c>
      <c r="AV478" s="29">
        <f t="shared" si="452"/>
        <v>0</v>
      </c>
      <c r="AW478" s="29">
        <f t="shared" si="453"/>
        <v>0</v>
      </c>
      <c r="AX478" s="29">
        <f t="shared" si="454"/>
        <v>0</v>
      </c>
      <c r="AY478" s="32" t="s">
        <v>2917</v>
      </c>
      <c r="AZ478" s="32" t="s">
        <v>2944</v>
      </c>
      <c r="BA478" s="28" t="s">
        <v>2957</v>
      </c>
      <c r="BC478" s="29">
        <f t="shared" si="455"/>
        <v>0</v>
      </c>
      <c r="BD478" s="29">
        <f t="shared" si="456"/>
        <v>0</v>
      </c>
      <c r="BE478" s="29">
        <v>0</v>
      </c>
      <c r="BF478" s="29">
        <f>478</f>
        <v>478</v>
      </c>
      <c r="BH478" s="15">
        <f t="shared" si="457"/>
        <v>0</v>
      </c>
      <c r="BI478" s="15">
        <f t="shared" si="458"/>
        <v>0</v>
      </c>
      <c r="BJ478" s="15">
        <f t="shared" si="459"/>
        <v>0</v>
      </c>
      <c r="BK478" s="15" t="s">
        <v>2969</v>
      </c>
      <c r="BL478" s="29">
        <v>730</v>
      </c>
    </row>
    <row r="479" spans="1:64" ht="12.75">
      <c r="A479" s="4" t="s">
        <v>435</v>
      </c>
      <c r="B479" s="94" t="s">
        <v>1431</v>
      </c>
      <c r="C479" s="152" t="s">
        <v>2369</v>
      </c>
      <c r="D479" s="153"/>
      <c r="E479" s="153"/>
      <c r="F479" s="153"/>
      <c r="G479" s="94" t="s">
        <v>2850</v>
      </c>
      <c r="H479" s="73">
        <v>1</v>
      </c>
      <c r="I479" s="105">
        <v>0</v>
      </c>
      <c r="J479" s="15">
        <f t="shared" si="436"/>
        <v>0</v>
      </c>
      <c r="K479" s="15">
        <f t="shared" si="437"/>
        <v>0</v>
      </c>
      <c r="L479" s="15">
        <f t="shared" si="438"/>
        <v>0</v>
      </c>
      <c r="M479" s="25"/>
      <c r="N479" s="5"/>
      <c r="Z479" s="29">
        <f t="shared" si="439"/>
        <v>0</v>
      </c>
      <c r="AB479" s="29">
        <f t="shared" si="440"/>
        <v>0</v>
      </c>
      <c r="AC479" s="29">
        <f t="shared" si="441"/>
        <v>0</v>
      </c>
      <c r="AD479" s="29">
        <f t="shared" si="442"/>
        <v>0</v>
      </c>
      <c r="AE479" s="29">
        <f t="shared" si="443"/>
        <v>0</v>
      </c>
      <c r="AF479" s="29">
        <f t="shared" si="444"/>
        <v>0</v>
      </c>
      <c r="AG479" s="29">
        <f t="shared" si="445"/>
        <v>0</v>
      </c>
      <c r="AH479" s="29">
        <f t="shared" si="446"/>
        <v>0</v>
      </c>
      <c r="AI479" s="28" t="s">
        <v>2882</v>
      </c>
      <c r="AJ479" s="15">
        <f t="shared" si="447"/>
        <v>0</v>
      </c>
      <c r="AK479" s="15">
        <f t="shared" si="448"/>
        <v>0</v>
      </c>
      <c r="AL479" s="15">
        <f t="shared" si="449"/>
        <v>0</v>
      </c>
      <c r="AN479" s="29">
        <v>15</v>
      </c>
      <c r="AO479" s="29">
        <f t="shared" si="450"/>
        <v>0</v>
      </c>
      <c r="AP479" s="29">
        <f t="shared" si="451"/>
        <v>0</v>
      </c>
      <c r="AQ479" s="30" t="s">
        <v>13</v>
      </c>
      <c r="AV479" s="29">
        <f t="shared" si="452"/>
        <v>0</v>
      </c>
      <c r="AW479" s="29">
        <f t="shared" si="453"/>
        <v>0</v>
      </c>
      <c r="AX479" s="29">
        <f t="shared" si="454"/>
        <v>0</v>
      </c>
      <c r="AY479" s="32" t="s">
        <v>2917</v>
      </c>
      <c r="AZ479" s="32" t="s">
        <v>2944</v>
      </c>
      <c r="BA479" s="28" t="s">
        <v>2957</v>
      </c>
      <c r="BC479" s="29">
        <f t="shared" si="455"/>
        <v>0</v>
      </c>
      <c r="BD479" s="29">
        <f t="shared" si="456"/>
        <v>0</v>
      </c>
      <c r="BE479" s="29">
        <v>0</v>
      </c>
      <c r="BF479" s="29">
        <f>479</f>
        <v>479</v>
      </c>
      <c r="BH479" s="15">
        <f t="shared" si="457"/>
        <v>0</v>
      </c>
      <c r="BI479" s="15">
        <f t="shared" si="458"/>
        <v>0</v>
      </c>
      <c r="BJ479" s="15">
        <f t="shared" si="459"/>
        <v>0</v>
      </c>
      <c r="BK479" s="15" t="s">
        <v>2969</v>
      </c>
      <c r="BL479" s="29">
        <v>730</v>
      </c>
    </row>
    <row r="480" spans="1:64" ht="12.75">
      <c r="A480" s="4" t="s">
        <v>436</v>
      </c>
      <c r="B480" s="94" t="s">
        <v>1432</v>
      </c>
      <c r="C480" s="152" t="s">
        <v>2370</v>
      </c>
      <c r="D480" s="153"/>
      <c r="E480" s="153"/>
      <c r="F480" s="153"/>
      <c r="G480" s="94" t="s">
        <v>2850</v>
      </c>
      <c r="H480" s="73">
        <v>1</v>
      </c>
      <c r="I480" s="105">
        <v>0</v>
      </c>
      <c r="J480" s="15">
        <f t="shared" si="436"/>
        <v>0</v>
      </c>
      <c r="K480" s="15">
        <f t="shared" si="437"/>
        <v>0</v>
      </c>
      <c r="L480" s="15">
        <f t="shared" si="438"/>
        <v>0</v>
      </c>
      <c r="M480" s="25"/>
      <c r="N480" s="5"/>
      <c r="Z480" s="29">
        <f t="shared" si="439"/>
        <v>0</v>
      </c>
      <c r="AB480" s="29">
        <f t="shared" si="440"/>
        <v>0</v>
      </c>
      <c r="AC480" s="29">
        <f t="shared" si="441"/>
        <v>0</v>
      </c>
      <c r="AD480" s="29">
        <f t="shared" si="442"/>
        <v>0</v>
      </c>
      <c r="AE480" s="29">
        <f t="shared" si="443"/>
        <v>0</v>
      </c>
      <c r="AF480" s="29">
        <f t="shared" si="444"/>
        <v>0</v>
      </c>
      <c r="AG480" s="29">
        <f t="shared" si="445"/>
        <v>0</v>
      </c>
      <c r="AH480" s="29">
        <f t="shared" si="446"/>
        <v>0</v>
      </c>
      <c r="AI480" s="28" t="s">
        <v>2882</v>
      </c>
      <c r="AJ480" s="15">
        <f t="shared" si="447"/>
        <v>0</v>
      </c>
      <c r="AK480" s="15">
        <f t="shared" si="448"/>
        <v>0</v>
      </c>
      <c r="AL480" s="15">
        <f t="shared" si="449"/>
        <v>0</v>
      </c>
      <c r="AN480" s="29">
        <v>15</v>
      </c>
      <c r="AO480" s="29">
        <f t="shared" si="450"/>
        <v>0</v>
      </c>
      <c r="AP480" s="29">
        <f t="shared" si="451"/>
        <v>0</v>
      </c>
      <c r="AQ480" s="30" t="s">
        <v>13</v>
      </c>
      <c r="AV480" s="29">
        <f t="shared" si="452"/>
        <v>0</v>
      </c>
      <c r="AW480" s="29">
        <f t="shared" si="453"/>
        <v>0</v>
      </c>
      <c r="AX480" s="29">
        <f t="shared" si="454"/>
        <v>0</v>
      </c>
      <c r="AY480" s="32" t="s">
        <v>2917</v>
      </c>
      <c r="AZ480" s="32" t="s">
        <v>2944</v>
      </c>
      <c r="BA480" s="28" t="s">
        <v>2957</v>
      </c>
      <c r="BC480" s="29">
        <f t="shared" si="455"/>
        <v>0</v>
      </c>
      <c r="BD480" s="29">
        <f t="shared" si="456"/>
        <v>0</v>
      </c>
      <c r="BE480" s="29">
        <v>0</v>
      </c>
      <c r="BF480" s="29">
        <f>480</f>
        <v>480</v>
      </c>
      <c r="BH480" s="15">
        <f t="shared" si="457"/>
        <v>0</v>
      </c>
      <c r="BI480" s="15">
        <f t="shared" si="458"/>
        <v>0</v>
      </c>
      <c r="BJ480" s="15">
        <f t="shared" si="459"/>
        <v>0</v>
      </c>
      <c r="BK480" s="15" t="s">
        <v>2969</v>
      </c>
      <c r="BL480" s="29">
        <v>730</v>
      </c>
    </row>
    <row r="481" spans="1:64" ht="12.75">
      <c r="A481" s="4" t="s">
        <v>437</v>
      </c>
      <c r="B481" s="94" t="s">
        <v>1433</v>
      </c>
      <c r="C481" s="152" t="s">
        <v>2371</v>
      </c>
      <c r="D481" s="153"/>
      <c r="E481" s="153"/>
      <c r="F481" s="153"/>
      <c r="G481" s="94" t="s">
        <v>2850</v>
      </c>
      <c r="H481" s="73">
        <v>1</v>
      </c>
      <c r="I481" s="105">
        <v>0</v>
      </c>
      <c r="J481" s="15">
        <f t="shared" si="436"/>
        <v>0</v>
      </c>
      <c r="K481" s="15">
        <f t="shared" si="437"/>
        <v>0</v>
      </c>
      <c r="L481" s="15">
        <f t="shared" si="438"/>
        <v>0</v>
      </c>
      <c r="M481" s="25"/>
      <c r="N481" s="5"/>
      <c r="Z481" s="29">
        <f t="shared" si="439"/>
        <v>0</v>
      </c>
      <c r="AB481" s="29">
        <f t="shared" si="440"/>
        <v>0</v>
      </c>
      <c r="AC481" s="29">
        <f t="shared" si="441"/>
        <v>0</v>
      </c>
      <c r="AD481" s="29">
        <f t="shared" si="442"/>
        <v>0</v>
      </c>
      <c r="AE481" s="29">
        <f t="shared" si="443"/>
        <v>0</v>
      </c>
      <c r="AF481" s="29">
        <f t="shared" si="444"/>
        <v>0</v>
      </c>
      <c r="AG481" s="29">
        <f t="shared" si="445"/>
        <v>0</v>
      </c>
      <c r="AH481" s="29">
        <f t="shared" si="446"/>
        <v>0</v>
      </c>
      <c r="AI481" s="28" t="s">
        <v>2882</v>
      </c>
      <c r="AJ481" s="15">
        <f t="shared" si="447"/>
        <v>0</v>
      </c>
      <c r="AK481" s="15">
        <f t="shared" si="448"/>
        <v>0</v>
      </c>
      <c r="AL481" s="15">
        <f t="shared" si="449"/>
        <v>0</v>
      </c>
      <c r="AN481" s="29">
        <v>15</v>
      </c>
      <c r="AO481" s="29">
        <f t="shared" si="450"/>
        <v>0</v>
      </c>
      <c r="AP481" s="29">
        <f t="shared" si="451"/>
        <v>0</v>
      </c>
      <c r="AQ481" s="30" t="s">
        <v>13</v>
      </c>
      <c r="AV481" s="29">
        <f t="shared" si="452"/>
        <v>0</v>
      </c>
      <c r="AW481" s="29">
        <f t="shared" si="453"/>
        <v>0</v>
      </c>
      <c r="AX481" s="29">
        <f t="shared" si="454"/>
        <v>0</v>
      </c>
      <c r="AY481" s="32" t="s">
        <v>2917</v>
      </c>
      <c r="AZ481" s="32" t="s">
        <v>2944</v>
      </c>
      <c r="BA481" s="28" t="s">
        <v>2957</v>
      </c>
      <c r="BC481" s="29">
        <f t="shared" si="455"/>
        <v>0</v>
      </c>
      <c r="BD481" s="29">
        <f t="shared" si="456"/>
        <v>0</v>
      </c>
      <c r="BE481" s="29">
        <v>0</v>
      </c>
      <c r="BF481" s="29">
        <f>481</f>
        <v>481</v>
      </c>
      <c r="BH481" s="15">
        <f t="shared" si="457"/>
        <v>0</v>
      </c>
      <c r="BI481" s="15">
        <f t="shared" si="458"/>
        <v>0</v>
      </c>
      <c r="BJ481" s="15">
        <f t="shared" si="459"/>
        <v>0</v>
      </c>
      <c r="BK481" s="15" t="s">
        <v>2969</v>
      </c>
      <c r="BL481" s="29">
        <v>730</v>
      </c>
    </row>
    <row r="482" spans="1:64" ht="12.75">
      <c r="A482" s="4" t="s">
        <v>438</v>
      </c>
      <c r="B482" s="94" t="s">
        <v>1434</v>
      </c>
      <c r="C482" s="152" t="s">
        <v>2372</v>
      </c>
      <c r="D482" s="153"/>
      <c r="E482" s="153"/>
      <c r="F482" s="153"/>
      <c r="G482" s="94" t="s">
        <v>2850</v>
      </c>
      <c r="H482" s="73">
        <v>1</v>
      </c>
      <c r="I482" s="105">
        <v>0</v>
      </c>
      <c r="J482" s="15">
        <f t="shared" si="436"/>
        <v>0</v>
      </c>
      <c r="K482" s="15">
        <f t="shared" si="437"/>
        <v>0</v>
      </c>
      <c r="L482" s="15">
        <f t="shared" si="438"/>
        <v>0</v>
      </c>
      <c r="M482" s="25"/>
      <c r="N482" s="5"/>
      <c r="Z482" s="29">
        <f t="shared" si="439"/>
        <v>0</v>
      </c>
      <c r="AB482" s="29">
        <f t="shared" si="440"/>
        <v>0</v>
      </c>
      <c r="AC482" s="29">
        <f t="shared" si="441"/>
        <v>0</v>
      </c>
      <c r="AD482" s="29">
        <f t="shared" si="442"/>
        <v>0</v>
      </c>
      <c r="AE482" s="29">
        <f t="shared" si="443"/>
        <v>0</v>
      </c>
      <c r="AF482" s="29">
        <f t="shared" si="444"/>
        <v>0</v>
      </c>
      <c r="AG482" s="29">
        <f t="shared" si="445"/>
        <v>0</v>
      </c>
      <c r="AH482" s="29">
        <f t="shared" si="446"/>
        <v>0</v>
      </c>
      <c r="AI482" s="28" t="s">
        <v>2882</v>
      </c>
      <c r="AJ482" s="15">
        <f t="shared" si="447"/>
        <v>0</v>
      </c>
      <c r="AK482" s="15">
        <f t="shared" si="448"/>
        <v>0</v>
      </c>
      <c r="AL482" s="15">
        <f t="shared" si="449"/>
        <v>0</v>
      </c>
      <c r="AN482" s="29">
        <v>15</v>
      </c>
      <c r="AO482" s="29">
        <f t="shared" si="450"/>
        <v>0</v>
      </c>
      <c r="AP482" s="29">
        <f t="shared" si="451"/>
        <v>0</v>
      </c>
      <c r="AQ482" s="30" t="s">
        <v>13</v>
      </c>
      <c r="AV482" s="29">
        <f t="shared" si="452"/>
        <v>0</v>
      </c>
      <c r="AW482" s="29">
        <f t="shared" si="453"/>
        <v>0</v>
      </c>
      <c r="AX482" s="29">
        <f t="shared" si="454"/>
        <v>0</v>
      </c>
      <c r="AY482" s="32" t="s">
        <v>2917</v>
      </c>
      <c r="AZ482" s="32" t="s">
        <v>2944</v>
      </c>
      <c r="BA482" s="28" t="s">
        <v>2957</v>
      </c>
      <c r="BC482" s="29">
        <f t="shared" si="455"/>
        <v>0</v>
      </c>
      <c r="BD482" s="29">
        <f t="shared" si="456"/>
        <v>0</v>
      </c>
      <c r="BE482" s="29">
        <v>0</v>
      </c>
      <c r="BF482" s="29">
        <f>482</f>
        <v>482</v>
      </c>
      <c r="BH482" s="15">
        <f t="shared" si="457"/>
        <v>0</v>
      </c>
      <c r="BI482" s="15">
        <f t="shared" si="458"/>
        <v>0</v>
      </c>
      <c r="BJ482" s="15">
        <f t="shared" si="459"/>
        <v>0</v>
      </c>
      <c r="BK482" s="15" t="s">
        <v>2969</v>
      </c>
      <c r="BL482" s="29">
        <v>730</v>
      </c>
    </row>
    <row r="483" spans="1:64" ht="12.75">
      <c r="A483" s="4" t="s">
        <v>439</v>
      </c>
      <c r="B483" s="94" t="s">
        <v>1435</v>
      </c>
      <c r="C483" s="152" t="s">
        <v>2373</v>
      </c>
      <c r="D483" s="153"/>
      <c r="E483" s="153"/>
      <c r="F483" s="153"/>
      <c r="G483" s="94" t="s">
        <v>2850</v>
      </c>
      <c r="H483" s="73">
        <v>1</v>
      </c>
      <c r="I483" s="105">
        <v>0</v>
      </c>
      <c r="J483" s="15">
        <f t="shared" si="436"/>
        <v>0</v>
      </c>
      <c r="K483" s="15">
        <f t="shared" si="437"/>
        <v>0</v>
      </c>
      <c r="L483" s="15">
        <f t="shared" si="438"/>
        <v>0</v>
      </c>
      <c r="M483" s="25"/>
      <c r="N483" s="5"/>
      <c r="Z483" s="29">
        <f t="shared" si="439"/>
        <v>0</v>
      </c>
      <c r="AB483" s="29">
        <f t="shared" si="440"/>
        <v>0</v>
      </c>
      <c r="AC483" s="29">
        <f t="shared" si="441"/>
        <v>0</v>
      </c>
      <c r="AD483" s="29">
        <f t="shared" si="442"/>
        <v>0</v>
      </c>
      <c r="AE483" s="29">
        <f t="shared" si="443"/>
        <v>0</v>
      </c>
      <c r="AF483" s="29">
        <f t="shared" si="444"/>
        <v>0</v>
      </c>
      <c r="AG483" s="29">
        <f t="shared" si="445"/>
        <v>0</v>
      </c>
      <c r="AH483" s="29">
        <f t="shared" si="446"/>
        <v>0</v>
      </c>
      <c r="AI483" s="28" t="s">
        <v>2882</v>
      </c>
      <c r="AJ483" s="15">
        <f t="shared" si="447"/>
        <v>0</v>
      </c>
      <c r="AK483" s="15">
        <f t="shared" si="448"/>
        <v>0</v>
      </c>
      <c r="AL483" s="15">
        <f t="shared" si="449"/>
        <v>0</v>
      </c>
      <c r="AN483" s="29">
        <v>15</v>
      </c>
      <c r="AO483" s="29">
        <f t="shared" si="450"/>
        <v>0</v>
      </c>
      <c r="AP483" s="29">
        <f t="shared" si="451"/>
        <v>0</v>
      </c>
      <c r="AQ483" s="30" t="s">
        <v>13</v>
      </c>
      <c r="AV483" s="29">
        <f t="shared" si="452"/>
        <v>0</v>
      </c>
      <c r="AW483" s="29">
        <f t="shared" si="453"/>
        <v>0</v>
      </c>
      <c r="AX483" s="29">
        <f t="shared" si="454"/>
        <v>0</v>
      </c>
      <c r="AY483" s="32" t="s">
        <v>2917</v>
      </c>
      <c r="AZ483" s="32" t="s">
        <v>2944</v>
      </c>
      <c r="BA483" s="28" t="s">
        <v>2957</v>
      </c>
      <c r="BC483" s="29">
        <f t="shared" si="455"/>
        <v>0</v>
      </c>
      <c r="BD483" s="29">
        <f t="shared" si="456"/>
        <v>0</v>
      </c>
      <c r="BE483" s="29">
        <v>0</v>
      </c>
      <c r="BF483" s="29">
        <f>483</f>
        <v>483</v>
      </c>
      <c r="BH483" s="15">
        <f t="shared" si="457"/>
        <v>0</v>
      </c>
      <c r="BI483" s="15">
        <f t="shared" si="458"/>
        <v>0</v>
      </c>
      <c r="BJ483" s="15">
        <f t="shared" si="459"/>
        <v>0</v>
      </c>
      <c r="BK483" s="15" t="s">
        <v>2969</v>
      </c>
      <c r="BL483" s="29">
        <v>730</v>
      </c>
    </row>
    <row r="484" spans="1:64" ht="12.75">
      <c r="A484" s="4" t="s">
        <v>440</v>
      </c>
      <c r="B484" s="94" t="s">
        <v>1436</v>
      </c>
      <c r="C484" s="152" t="s">
        <v>2374</v>
      </c>
      <c r="D484" s="153"/>
      <c r="E484" s="153"/>
      <c r="F484" s="153"/>
      <c r="G484" s="94" t="s">
        <v>2850</v>
      </c>
      <c r="H484" s="73">
        <v>1</v>
      </c>
      <c r="I484" s="105">
        <v>0</v>
      </c>
      <c r="J484" s="15">
        <f t="shared" si="436"/>
        <v>0</v>
      </c>
      <c r="K484" s="15">
        <f t="shared" si="437"/>
        <v>0</v>
      </c>
      <c r="L484" s="15">
        <f t="shared" si="438"/>
        <v>0</v>
      </c>
      <c r="M484" s="25"/>
      <c r="N484" s="5"/>
      <c r="Z484" s="29">
        <f t="shared" si="439"/>
        <v>0</v>
      </c>
      <c r="AB484" s="29">
        <f t="shared" si="440"/>
        <v>0</v>
      </c>
      <c r="AC484" s="29">
        <f t="shared" si="441"/>
        <v>0</v>
      </c>
      <c r="AD484" s="29">
        <f t="shared" si="442"/>
        <v>0</v>
      </c>
      <c r="AE484" s="29">
        <f t="shared" si="443"/>
        <v>0</v>
      </c>
      <c r="AF484" s="29">
        <f t="shared" si="444"/>
        <v>0</v>
      </c>
      <c r="AG484" s="29">
        <f t="shared" si="445"/>
        <v>0</v>
      </c>
      <c r="AH484" s="29">
        <f t="shared" si="446"/>
        <v>0</v>
      </c>
      <c r="AI484" s="28" t="s">
        <v>2882</v>
      </c>
      <c r="AJ484" s="15">
        <f t="shared" si="447"/>
        <v>0</v>
      </c>
      <c r="AK484" s="15">
        <f t="shared" si="448"/>
        <v>0</v>
      </c>
      <c r="AL484" s="15">
        <f t="shared" si="449"/>
        <v>0</v>
      </c>
      <c r="AN484" s="29">
        <v>15</v>
      </c>
      <c r="AO484" s="29">
        <f t="shared" si="450"/>
        <v>0</v>
      </c>
      <c r="AP484" s="29">
        <f t="shared" si="451"/>
        <v>0</v>
      </c>
      <c r="AQ484" s="30" t="s">
        <v>13</v>
      </c>
      <c r="AV484" s="29">
        <f t="shared" si="452"/>
        <v>0</v>
      </c>
      <c r="AW484" s="29">
        <f t="shared" si="453"/>
        <v>0</v>
      </c>
      <c r="AX484" s="29">
        <f t="shared" si="454"/>
        <v>0</v>
      </c>
      <c r="AY484" s="32" t="s">
        <v>2917</v>
      </c>
      <c r="AZ484" s="32" t="s">
        <v>2944</v>
      </c>
      <c r="BA484" s="28" t="s">
        <v>2957</v>
      </c>
      <c r="BC484" s="29">
        <f t="shared" si="455"/>
        <v>0</v>
      </c>
      <c r="BD484" s="29">
        <f t="shared" si="456"/>
        <v>0</v>
      </c>
      <c r="BE484" s="29">
        <v>0</v>
      </c>
      <c r="BF484" s="29">
        <f>484</f>
        <v>484</v>
      </c>
      <c r="BH484" s="15">
        <f t="shared" si="457"/>
        <v>0</v>
      </c>
      <c r="BI484" s="15">
        <f t="shared" si="458"/>
        <v>0</v>
      </c>
      <c r="BJ484" s="15">
        <f t="shared" si="459"/>
        <v>0</v>
      </c>
      <c r="BK484" s="15" t="s">
        <v>2969</v>
      </c>
      <c r="BL484" s="29">
        <v>730</v>
      </c>
    </row>
    <row r="485" spans="1:64" ht="12.75">
      <c r="A485" s="4" t="s">
        <v>441</v>
      </c>
      <c r="B485" s="94" t="s">
        <v>1437</v>
      </c>
      <c r="C485" s="152" t="s">
        <v>2375</v>
      </c>
      <c r="D485" s="153"/>
      <c r="E485" s="153"/>
      <c r="F485" s="153"/>
      <c r="G485" s="94" t="s">
        <v>2850</v>
      </c>
      <c r="H485" s="73">
        <v>6</v>
      </c>
      <c r="I485" s="105">
        <v>0</v>
      </c>
      <c r="J485" s="15">
        <f t="shared" si="436"/>
        <v>0</v>
      </c>
      <c r="K485" s="15">
        <f t="shared" si="437"/>
        <v>0</v>
      </c>
      <c r="L485" s="15">
        <f t="shared" si="438"/>
        <v>0</v>
      </c>
      <c r="M485" s="25"/>
      <c r="N485" s="5"/>
      <c r="Z485" s="29">
        <f t="shared" si="439"/>
        <v>0</v>
      </c>
      <c r="AB485" s="29">
        <f t="shared" si="440"/>
        <v>0</v>
      </c>
      <c r="AC485" s="29">
        <f t="shared" si="441"/>
        <v>0</v>
      </c>
      <c r="AD485" s="29">
        <f t="shared" si="442"/>
        <v>0</v>
      </c>
      <c r="AE485" s="29">
        <f t="shared" si="443"/>
        <v>0</v>
      </c>
      <c r="AF485" s="29">
        <f t="shared" si="444"/>
        <v>0</v>
      </c>
      <c r="AG485" s="29">
        <f t="shared" si="445"/>
        <v>0</v>
      </c>
      <c r="AH485" s="29">
        <f t="shared" si="446"/>
        <v>0</v>
      </c>
      <c r="AI485" s="28" t="s">
        <v>2882</v>
      </c>
      <c r="AJ485" s="15">
        <f t="shared" si="447"/>
        <v>0</v>
      </c>
      <c r="AK485" s="15">
        <f t="shared" si="448"/>
        <v>0</v>
      </c>
      <c r="AL485" s="15">
        <f t="shared" si="449"/>
        <v>0</v>
      </c>
      <c r="AN485" s="29">
        <v>15</v>
      </c>
      <c r="AO485" s="29">
        <f t="shared" si="450"/>
        <v>0</v>
      </c>
      <c r="AP485" s="29">
        <f t="shared" si="451"/>
        <v>0</v>
      </c>
      <c r="AQ485" s="30" t="s">
        <v>13</v>
      </c>
      <c r="AV485" s="29">
        <f t="shared" si="452"/>
        <v>0</v>
      </c>
      <c r="AW485" s="29">
        <f t="shared" si="453"/>
        <v>0</v>
      </c>
      <c r="AX485" s="29">
        <f t="shared" si="454"/>
        <v>0</v>
      </c>
      <c r="AY485" s="32" t="s">
        <v>2917</v>
      </c>
      <c r="AZ485" s="32" t="s">
        <v>2944</v>
      </c>
      <c r="BA485" s="28" t="s">
        <v>2957</v>
      </c>
      <c r="BC485" s="29">
        <f t="shared" si="455"/>
        <v>0</v>
      </c>
      <c r="BD485" s="29">
        <f t="shared" si="456"/>
        <v>0</v>
      </c>
      <c r="BE485" s="29">
        <v>0</v>
      </c>
      <c r="BF485" s="29">
        <f>485</f>
        <v>485</v>
      </c>
      <c r="BH485" s="15">
        <f t="shared" si="457"/>
        <v>0</v>
      </c>
      <c r="BI485" s="15">
        <f t="shared" si="458"/>
        <v>0</v>
      </c>
      <c r="BJ485" s="15">
        <f t="shared" si="459"/>
        <v>0</v>
      </c>
      <c r="BK485" s="15" t="s">
        <v>2969</v>
      </c>
      <c r="BL485" s="29">
        <v>730</v>
      </c>
    </row>
    <row r="486" spans="1:64" ht="12.75">
      <c r="A486" s="4" t="s">
        <v>442</v>
      </c>
      <c r="B486" s="94" t="s">
        <v>1438</v>
      </c>
      <c r="C486" s="152" t="s">
        <v>2376</v>
      </c>
      <c r="D486" s="153"/>
      <c r="E486" s="153"/>
      <c r="F486" s="153"/>
      <c r="G486" s="94" t="s">
        <v>2850</v>
      </c>
      <c r="H486" s="73">
        <v>1</v>
      </c>
      <c r="I486" s="105">
        <v>0</v>
      </c>
      <c r="J486" s="15">
        <f t="shared" si="436"/>
        <v>0</v>
      </c>
      <c r="K486" s="15">
        <f t="shared" si="437"/>
        <v>0</v>
      </c>
      <c r="L486" s="15">
        <f t="shared" si="438"/>
        <v>0</v>
      </c>
      <c r="M486" s="25"/>
      <c r="N486" s="5"/>
      <c r="Z486" s="29">
        <f t="shared" si="439"/>
        <v>0</v>
      </c>
      <c r="AB486" s="29">
        <f t="shared" si="440"/>
        <v>0</v>
      </c>
      <c r="AC486" s="29">
        <f t="shared" si="441"/>
        <v>0</v>
      </c>
      <c r="AD486" s="29">
        <f t="shared" si="442"/>
        <v>0</v>
      </c>
      <c r="AE486" s="29">
        <f t="shared" si="443"/>
        <v>0</v>
      </c>
      <c r="AF486" s="29">
        <f t="shared" si="444"/>
        <v>0</v>
      </c>
      <c r="AG486" s="29">
        <f t="shared" si="445"/>
        <v>0</v>
      </c>
      <c r="AH486" s="29">
        <f t="shared" si="446"/>
        <v>0</v>
      </c>
      <c r="AI486" s="28" t="s">
        <v>2882</v>
      </c>
      <c r="AJ486" s="15">
        <f t="shared" si="447"/>
        <v>0</v>
      </c>
      <c r="AK486" s="15">
        <f t="shared" si="448"/>
        <v>0</v>
      </c>
      <c r="AL486" s="15">
        <f t="shared" si="449"/>
        <v>0</v>
      </c>
      <c r="AN486" s="29">
        <v>15</v>
      </c>
      <c r="AO486" s="29">
        <f t="shared" si="450"/>
        <v>0</v>
      </c>
      <c r="AP486" s="29">
        <f t="shared" si="451"/>
        <v>0</v>
      </c>
      <c r="AQ486" s="30" t="s">
        <v>13</v>
      </c>
      <c r="AV486" s="29">
        <f t="shared" si="452"/>
        <v>0</v>
      </c>
      <c r="AW486" s="29">
        <f t="shared" si="453"/>
        <v>0</v>
      </c>
      <c r="AX486" s="29">
        <f t="shared" si="454"/>
        <v>0</v>
      </c>
      <c r="AY486" s="32" t="s">
        <v>2917</v>
      </c>
      <c r="AZ486" s="32" t="s">
        <v>2944</v>
      </c>
      <c r="BA486" s="28" t="s">
        <v>2957</v>
      </c>
      <c r="BC486" s="29">
        <f t="shared" si="455"/>
        <v>0</v>
      </c>
      <c r="BD486" s="29">
        <f t="shared" si="456"/>
        <v>0</v>
      </c>
      <c r="BE486" s="29">
        <v>0</v>
      </c>
      <c r="BF486" s="29">
        <f>486</f>
        <v>486</v>
      </c>
      <c r="BH486" s="15">
        <f t="shared" si="457"/>
        <v>0</v>
      </c>
      <c r="BI486" s="15">
        <f t="shared" si="458"/>
        <v>0</v>
      </c>
      <c r="BJ486" s="15">
        <f t="shared" si="459"/>
        <v>0</v>
      </c>
      <c r="BK486" s="15" t="s">
        <v>2969</v>
      </c>
      <c r="BL486" s="29">
        <v>730</v>
      </c>
    </row>
    <row r="487" spans="1:64" ht="12.75">
      <c r="A487" s="4" t="s">
        <v>443</v>
      </c>
      <c r="B487" s="94" t="s">
        <v>1439</v>
      </c>
      <c r="C487" s="152" t="s">
        <v>2377</v>
      </c>
      <c r="D487" s="153"/>
      <c r="E487" s="153"/>
      <c r="F487" s="153"/>
      <c r="G487" s="94" t="s">
        <v>2850</v>
      </c>
      <c r="H487" s="73">
        <v>1</v>
      </c>
      <c r="I487" s="105">
        <v>0</v>
      </c>
      <c r="J487" s="15">
        <f aca="true" t="shared" si="460" ref="J487:J519">H487*AO487</f>
        <v>0</v>
      </c>
      <c r="K487" s="15">
        <f aca="true" t="shared" si="461" ref="K487:K519">H487*AP487</f>
        <v>0</v>
      </c>
      <c r="L487" s="15">
        <f aca="true" t="shared" si="462" ref="L487:L519">H487*I487</f>
        <v>0</v>
      </c>
      <c r="M487" s="25"/>
      <c r="N487" s="5"/>
      <c r="Z487" s="29">
        <f aca="true" t="shared" si="463" ref="Z487:Z519">IF(AQ487="5",BJ487,0)</f>
        <v>0</v>
      </c>
      <c r="AB487" s="29">
        <f aca="true" t="shared" si="464" ref="AB487:AB519">IF(AQ487="1",BH487,0)</f>
        <v>0</v>
      </c>
      <c r="AC487" s="29">
        <f aca="true" t="shared" si="465" ref="AC487:AC519">IF(AQ487="1",BI487,0)</f>
        <v>0</v>
      </c>
      <c r="AD487" s="29">
        <f aca="true" t="shared" si="466" ref="AD487:AD519">IF(AQ487="7",BH487,0)</f>
        <v>0</v>
      </c>
      <c r="AE487" s="29">
        <f aca="true" t="shared" si="467" ref="AE487:AE519">IF(AQ487="7",BI487,0)</f>
        <v>0</v>
      </c>
      <c r="AF487" s="29">
        <f aca="true" t="shared" si="468" ref="AF487:AF519">IF(AQ487="2",BH487,0)</f>
        <v>0</v>
      </c>
      <c r="AG487" s="29">
        <f aca="true" t="shared" si="469" ref="AG487:AG519">IF(AQ487="2",BI487,0)</f>
        <v>0</v>
      </c>
      <c r="AH487" s="29">
        <f aca="true" t="shared" si="470" ref="AH487:AH519">IF(AQ487="0",BJ487,0)</f>
        <v>0</v>
      </c>
      <c r="AI487" s="28" t="s">
        <v>2882</v>
      </c>
      <c r="AJ487" s="15">
        <f aca="true" t="shared" si="471" ref="AJ487:AJ519">IF(AN487=0,L487,0)</f>
        <v>0</v>
      </c>
      <c r="AK487" s="15">
        <f aca="true" t="shared" si="472" ref="AK487:AK519">IF(AN487=15,L487,0)</f>
        <v>0</v>
      </c>
      <c r="AL487" s="15">
        <f aca="true" t="shared" si="473" ref="AL487:AL519">IF(AN487=21,L487,0)</f>
        <v>0</v>
      </c>
      <c r="AN487" s="29">
        <v>15</v>
      </c>
      <c r="AO487" s="29">
        <f aca="true" t="shared" si="474" ref="AO487:AO519">I487*0</f>
        <v>0</v>
      </c>
      <c r="AP487" s="29">
        <f aca="true" t="shared" si="475" ref="AP487:AP519">I487*(1-0)</f>
        <v>0</v>
      </c>
      <c r="AQ487" s="30" t="s">
        <v>13</v>
      </c>
      <c r="AV487" s="29">
        <f aca="true" t="shared" si="476" ref="AV487:AV518">AW487+AX487</f>
        <v>0</v>
      </c>
      <c r="AW487" s="29">
        <f aca="true" t="shared" si="477" ref="AW487:AW519">H487*AO487</f>
        <v>0</v>
      </c>
      <c r="AX487" s="29">
        <f aca="true" t="shared" si="478" ref="AX487:AX519">H487*AP487</f>
        <v>0</v>
      </c>
      <c r="AY487" s="32" t="s">
        <v>2917</v>
      </c>
      <c r="AZ487" s="32" t="s">
        <v>2944</v>
      </c>
      <c r="BA487" s="28" t="s">
        <v>2957</v>
      </c>
      <c r="BC487" s="29">
        <f aca="true" t="shared" si="479" ref="BC487:BC519">AW487+AX487</f>
        <v>0</v>
      </c>
      <c r="BD487" s="29">
        <f aca="true" t="shared" si="480" ref="BD487:BD518">I487/(100-BE487)*100</f>
        <v>0</v>
      </c>
      <c r="BE487" s="29">
        <v>0</v>
      </c>
      <c r="BF487" s="29">
        <f>487</f>
        <v>487</v>
      </c>
      <c r="BH487" s="15">
        <f aca="true" t="shared" si="481" ref="BH487:BH519">H487*AO487</f>
        <v>0</v>
      </c>
      <c r="BI487" s="15">
        <f aca="true" t="shared" si="482" ref="BI487:BI519">H487*AP487</f>
        <v>0</v>
      </c>
      <c r="BJ487" s="15">
        <f aca="true" t="shared" si="483" ref="BJ487:BJ519">H487*I487</f>
        <v>0</v>
      </c>
      <c r="BK487" s="15" t="s">
        <v>2969</v>
      </c>
      <c r="BL487" s="29">
        <v>730</v>
      </c>
    </row>
    <row r="488" spans="1:64" ht="12.75">
      <c r="A488" s="4" t="s">
        <v>444</v>
      </c>
      <c r="B488" s="94" t="s">
        <v>1440</v>
      </c>
      <c r="C488" s="152" t="s">
        <v>2378</v>
      </c>
      <c r="D488" s="153"/>
      <c r="E488" s="153"/>
      <c r="F488" s="153"/>
      <c r="G488" s="94" t="s">
        <v>2850</v>
      </c>
      <c r="H488" s="73">
        <v>1</v>
      </c>
      <c r="I488" s="105">
        <v>0</v>
      </c>
      <c r="J488" s="15">
        <f t="shared" si="460"/>
        <v>0</v>
      </c>
      <c r="K488" s="15">
        <f t="shared" si="461"/>
        <v>0</v>
      </c>
      <c r="L488" s="15">
        <f t="shared" si="462"/>
        <v>0</v>
      </c>
      <c r="M488" s="25"/>
      <c r="N488" s="5"/>
      <c r="Z488" s="29">
        <f t="shared" si="463"/>
        <v>0</v>
      </c>
      <c r="AB488" s="29">
        <f t="shared" si="464"/>
        <v>0</v>
      </c>
      <c r="AC488" s="29">
        <f t="shared" si="465"/>
        <v>0</v>
      </c>
      <c r="AD488" s="29">
        <f t="shared" si="466"/>
        <v>0</v>
      </c>
      <c r="AE488" s="29">
        <f t="shared" si="467"/>
        <v>0</v>
      </c>
      <c r="AF488" s="29">
        <f t="shared" si="468"/>
        <v>0</v>
      </c>
      <c r="AG488" s="29">
        <f t="shared" si="469"/>
        <v>0</v>
      </c>
      <c r="AH488" s="29">
        <f t="shared" si="470"/>
        <v>0</v>
      </c>
      <c r="AI488" s="28" t="s">
        <v>2882</v>
      </c>
      <c r="AJ488" s="15">
        <f t="shared" si="471"/>
        <v>0</v>
      </c>
      <c r="AK488" s="15">
        <f t="shared" si="472"/>
        <v>0</v>
      </c>
      <c r="AL488" s="15">
        <f t="shared" si="473"/>
        <v>0</v>
      </c>
      <c r="AN488" s="29">
        <v>15</v>
      </c>
      <c r="AO488" s="29">
        <f t="shared" si="474"/>
        <v>0</v>
      </c>
      <c r="AP488" s="29">
        <f t="shared" si="475"/>
        <v>0</v>
      </c>
      <c r="AQ488" s="30" t="s">
        <v>13</v>
      </c>
      <c r="AV488" s="29">
        <f t="shared" si="476"/>
        <v>0</v>
      </c>
      <c r="AW488" s="29">
        <f t="shared" si="477"/>
        <v>0</v>
      </c>
      <c r="AX488" s="29">
        <f t="shared" si="478"/>
        <v>0</v>
      </c>
      <c r="AY488" s="32" t="s">
        <v>2917</v>
      </c>
      <c r="AZ488" s="32" t="s">
        <v>2944</v>
      </c>
      <c r="BA488" s="28" t="s">
        <v>2957</v>
      </c>
      <c r="BC488" s="29">
        <f t="shared" si="479"/>
        <v>0</v>
      </c>
      <c r="BD488" s="29">
        <f t="shared" si="480"/>
        <v>0</v>
      </c>
      <c r="BE488" s="29">
        <v>0</v>
      </c>
      <c r="BF488" s="29">
        <f>488</f>
        <v>488</v>
      </c>
      <c r="BH488" s="15">
        <f t="shared" si="481"/>
        <v>0</v>
      </c>
      <c r="BI488" s="15">
        <f t="shared" si="482"/>
        <v>0</v>
      </c>
      <c r="BJ488" s="15">
        <f t="shared" si="483"/>
        <v>0</v>
      </c>
      <c r="BK488" s="15" t="s">
        <v>2969</v>
      </c>
      <c r="BL488" s="29">
        <v>730</v>
      </c>
    </row>
    <row r="489" spans="1:64" ht="12.75">
      <c r="A489" s="4" t="s">
        <v>445</v>
      </c>
      <c r="B489" s="94" t="s">
        <v>1441</v>
      </c>
      <c r="C489" s="152" t="s">
        <v>2379</v>
      </c>
      <c r="D489" s="153"/>
      <c r="E489" s="153"/>
      <c r="F489" s="153"/>
      <c r="G489" s="94" t="s">
        <v>2850</v>
      </c>
      <c r="H489" s="73">
        <v>1</v>
      </c>
      <c r="I489" s="105">
        <v>0</v>
      </c>
      <c r="J489" s="15">
        <f t="shared" si="460"/>
        <v>0</v>
      </c>
      <c r="K489" s="15">
        <f t="shared" si="461"/>
        <v>0</v>
      </c>
      <c r="L489" s="15">
        <f t="shared" si="462"/>
        <v>0</v>
      </c>
      <c r="M489" s="25"/>
      <c r="N489" s="5"/>
      <c r="Z489" s="29">
        <f t="shared" si="463"/>
        <v>0</v>
      </c>
      <c r="AB489" s="29">
        <f t="shared" si="464"/>
        <v>0</v>
      </c>
      <c r="AC489" s="29">
        <f t="shared" si="465"/>
        <v>0</v>
      </c>
      <c r="AD489" s="29">
        <f t="shared" si="466"/>
        <v>0</v>
      </c>
      <c r="AE489" s="29">
        <f t="shared" si="467"/>
        <v>0</v>
      </c>
      <c r="AF489" s="29">
        <f t="shared" si="468"/>
        <v>0</v>
      </c>
      <c r="AG489" s="29">
        <f t="shared" si="469"/>
        <v>0</v>
      </c>
      <c r="AH489" s="29">
        <f t="shared" si="470"/>
        <v>0</v>
      </c>
      <c r="AI489" s="28" t="s">
        <v>2882</v>
      </c>
      <c r="AJ489" s="15">
        <f t="shared" si="471"/>
        <v>0</v>
      </c>
      <c r="AK489" s="15">
        <f t="shared" si="472"/>
        <v>0</v>
      </c>
      <c r="AL489" s="15">
        <f t="shared" si="473"/>
        <v>0</v>
      </c>
      <c r="AN489" s="29">
        <v>15</v>
      </c>
      <c r="AO489" s="29">
        <f t="shared" si="474"/>
        <v>0</v>
      </c>
      <c r="AP489" s="29">
        <f t="shared" si="475"/>
        <v>0</v>
      </c>
      <c r="AQ489" s="30" t="s">
        <v>13</v>
      </c>
      <c r="AV489" s="29">
        <f t="shared" si="476"/>
        <v>0</v>
      </c>
      <c r="AW489" s="29">
        <f t="shared" si="477"/>
        <v>0</v>
      </c>
      <c r="AX489" s="29">
        <f t="shared" si="478"/>
        <v>0</v>
      </c>
      <c r="AY489" s="32" t="s">
        <v>2917</v>
      </c>
      <c r="AZ489" s="32" t="s">
        <v>2944</v>
      </c>
      <c r="BA489" s="28" t="s">
        <v>2957</v>
      </c>
      <c r="BC489" s="29">
        <f t="shared" si="479"/>
        <v>0</v>
      </c>
      <c r="BD489" s="29">
        <f t="shared" si="480"/>
        <v>0</v>
      </c>
      <c r="BE489" s="29">
        <v>0</v>
      </c>
      <c r="BF489" s="29">
        <f>489</f>
        <v>489</v>
      </c>
      <c r="BH489" s="15">
        <f t="shared" si="481"/>
        <v>0</v>
      </c>
      <c r="BI489" s="15">
        <f t="shared" si="482"/>
        <v>0</v>
      </c>
      <c r="BJ489" s="15">
        <f t="shared" si="483"/>
        <v>0</v>
      </c>
      <c r="BK489" s="15" t="s">
        <v>2969</v>
      </c>
      <c r="BL489" s="29">
        <v>730</v>
      </c>
    </row>
    <row r="490" spans="1:64" ht="12.75">
      <c r="A490" s="4" t="s">
        <v>446</v>
      </c>
      <c r="B490" s="94" t="s">
        <v>1442</v>
      </c>
      <c r="C490" s="152" t="s">
        <v>2380</v>
      </c>
      <c r="D490" s="153"/>
      <c r="E490" s="153"/>
      <c r="F490" s="153"/>
      <c r="G490" s="94" t="s">
        <v>2850</v>
      </c>
      <c r="H490" s="73">
        <v>1</v>
      </c>
      <c r="I490" s="105">
        <v>0</v>
      </c>
      <c r="J490" s="15">
        <f t="shared" si="460"/>
        <v>0</v>
      </c>
      <c r="K490" s="15">
        <f t="shared" si="461"/>
        <v>0</v>
      </c>
      <c r="L490" s="15">
        <f t="shared" si="462"/>
        <v>0</v>
      </c>
      <c r="M490" s="25"/>
      <c r="N490" s="5"/>
      <c r="Z490" s="29">
        <f t="shared" si="463"/>
        <v>0</v>
      </c>
      <c r="AB490" s="29">
        <f t="shared" si="464"/>
        <v>0</v>
      </c>
      <c r="AC490" s="29">
        <f t="shared" si="465"/>
        <v>0</v>
      </c>
      <c r="AD490" s="29">
        <f t="shared" si="466"/>
        <v>0</v>
      </c>
      <c r="AE490" s="29">
        <f t="shared" si="467"/>
        <v>0</v>
      </c>
      <c r="AF490" s="29">
        <f t="shared" si="468"/>
        <v>0</v>
      </c>
      <c r="AG490" s="29">
        <f t="shared" si="469"/>
        <v>0</v>
      </c>
      <c r="AH490" s="29">
        <f t="shared" si="470"/>
        <v>0</v>
      </c>
      <c r="AI490" s="28" t="s">
        <v>2882</v>
      </c>
      <c r="AJ490" s="15">
        <f t="shared" si="471"/>
        <v>0</v>
      </c>
      <c r="AK490" s="15">
        <f t="shared" si="472"/>
        <v>0</v>
      </c>
      <c r="AL490" s="15">
        <f t="shared" si="473"/>
        <v>0</v>
      </c>
      <c r="AN490" s="29">
        <v>15</v>
      </c>
      <c r="AO490" s="29">
        <f t="shared" si="474"/>
        <v>0</v>
      </c>
      <c r="AP490" s="29">
        <f t="shared" si="475"/>
        <v>0</v>
      </c>
      <c r="AQ490" s="30" t="s">
        <v>13</v>
      </c>
      <c r="AV490" s="29">
        <f t="shared" si="476"/>
        <v>0</v>
      </c>
      <c r="AW490" s="29">
        <f t="shared" si="477"/>
        <v>0</v>
      </c>
      <c r="AX490" s="29">
        <f t="shared" si="478"/>
        <v>0</v>
      </c>
      <c r="AY490" s="32" t="s">
        <v>2917</v>
      </c>
      <c r="AZ490" s="32" t="s">
        <v>2944</v>
      </c>
      <c r="BA490" s="28" t="s">
        <v>2957</v>
      </c>
      <c r="BC490" s="29">
        <f t="shared" si="479"/>
        <v>0</v>
      </c>
      <c r="BD490" s="29">
        <f t="shared" si="480"/>
        <v>0</v>
      </c>
      <c r="BE490" s="29">
        <v>0</v>
      </c>
      <c r="BF490" s="29">
        <f>490</f>
        <v>490</v>
      </c>
      <c r="BH490" s="15">
        <f t="shared" si="481"/>
        <v>0</v>
      </c>
      <c r="BI490" s="15">
        <f t="shared" si="482"/>
        <v>0</v>
      </c>
      <c r="BJ490" s="15">
        <f t="shared" si="483"/>
        <v>0</v>
      </c>
      <c r="BK490" s="15" t="s">
        <v>2969</v>
      </c>
      <c r="BL490" s="29">
        <v>730</v>
      </c>
    </row>
    <row r="491" spans="1:64" ht="12.75">
      <c r="A491" s="4" t="s">
        <v>447</v>
      </c>
      <c r="B491" s="94" t="s">
        <v>1443</v>
      </c>
      <c r="C491" s="152" t="s">
        <v>2381</v>
      </c>
      <c r="D491" s="153"/>
      <c r="E491" s="153"/>
      <c r="F491" s="153"/>
      <c r="G491" s="94" t="s">
        <v>2850</v>
      </c>
      <c r="H491" s="73">
        <v>1</v>
      </c>
      <c r="I491" s="105">
        <v>0</v>
      </c>
      <c r="J491" s="15">
        <f t="shared" si="460"/>
        <v>0</v>
      </c>
      <c r="K491" s="15">
        <f t="shared" si="461"/>
        <v>0</v>
      </c>
      <c r="L491" s="15">
        <f t="shared" si="462"/>
        <v>0</v>
      </c>
      <c r="M491" s="25"/>
      <c r="N491" s="5"/>
      <c r="Z491" s="29">
        <f t="shared" si="463"/>
        <v>0</v>
      </c>
      <c r="AB491" s="29">
        <f t="shared" si="464"/>
        <v>0</v>
      </c>
      <c r="AC491" s="29">
        <f t="shared" si="465"/>
        <v>0</v>
      </c>
      <c r="AD491" s="29">
        <f t="shared" si="466"/>
        <v>0</v>
      </c>
      <c r="AE491" s="29">
        <f t="shared" si="467"/>
        <v>0</v>
      </c>
      <c r="AF491" s="29">
        <f t="shared" si="468"/>
        <v>0</v>
      </c>
      <c r="AG491" s="29">
        <f t="shared" si="469"/>
        <v>0</v>
      </c>
      <c r="AH491" s="29">
        <f t="shared" si="470"/>
        <v>0</v>
      </c>
      <c r="AI491" s="28" t="s">
        <v>2882</v>
      </c>
      <c r="AJ491" s="15">
        <f t="shared" si="471"/>
        <v>0</v>
      </c>
      <c r="AK491" s="15">
        <f t="shared" si="472"/>
        <v>0</v>
      </c>
      <c r="AL491" s="15">
        <f t="shared" si="473"/>
        <v>0</v>
      </c>
      <c r="AN491" s="29">
        <v>15</v>
      </c>
      <c r="AO491" s="29">
        <f t="shared" si="474"/>
        <v>0</v>
      </c>
      <c r="AP491" s="29">
        <f t="shared" si="475"/>
        <v>0</v>
      </c>
      <c r="AQ491" s="30" t="s">
        <v>13</v>
      </c>
      <c r="AV491" s="29">
        <f t="shared" si="476"/>
        <v>0</v>
      </c>
      <c r="AW491" s="29">
        <f t="shared" si="477"/>
        <v>0</v>
      </c>
      <c r="AX491" s="29">
        <f t="shared" si="478"/>
        <v>0</v>
      </c>
      <c r="AY491" s="32" t="s">
        <v>2917</v>
      </c>
      <c r="AZ491" s="32" t="s">
        <v>2944</v>
      </c>
      <c r="BA491" s="28" t="s">
        <v>2957</v>
      </c>
      <c r="BC491" s="29">
        <f t="shared" si="479"/>
        <v>0</v>
      </c>
      <c r="BD491" s="29">
        <f t="shared" si="480"/>
        <v>0</v>
      </c>
      <c r="BE491" s="29">
        <v>0</v>
      </c>
      <c r="BF491" s="29">
        <f>491</f>
        <v>491</v>
      </c>
      <c r="BH491" s="15">
        <f t="shared" si="481"/>
        <v>0</v>
      </c>
      <c r="BI491" s="15">
        <f t="shared" si="482"/>
        <v>0</v>
      </c>
      <c r="BJ491" s="15">
        <f t="shared" si="483"/>
        <v>0</v>
      </c>
      <c r="BK491" s="15" t="s">
        <v>2969</v>
      </c>
      <c r="BL491" s="29">
        <v>730</v>
      </c>
    </row>
    <row r="492" spans="1:64" ht="12.75">
      <c r="A492" s="4" t="s">
        <v>448</v>
      </c>
      <c r="B492" s="94" t="s">
        <v>1444</v>
      </c>
      <c r="C492" s="152" t="s">
        <v>2382</v>
      </c>
      <c r="D492" s="153"/>
      <c r="E492" s="153"/>
      <c r="F492" s="153"/>
      <c r="G492" s="94" t="s">
        <v>2850</v>
      </c>
      <c r="H492" s="73">
        <v>4</v>
      </c>
      <c r="I492" s="105">
        <v>0</v>
      </c>
      <c r="J492" s="15">
        <f t="shared" si="460"/>
        <v>0</v>
      </c>
      <c r="K492" s="15">
        <f t="shared" si="461"/>
        <v>0</v>
      </c>
      <c r="L492" s="15">
        <f t="shared" si="462"/>
        <v>0</v>
      </c>
      <c r="M492" s="25"/>
      <c r="N492" s="5"/>
      <c r="Z492" s="29">
        <f t="shared" si="463"/>
        <v>0</v>
      </c>
      <c r="AB492" s="29">
        <f t="shared" si="464"/>
        <v>0</v>
      </c>
      <c r="AC492" s="29">
        <f t="shared" si="465"/>
        <v>0</v>
      </c>
      <c r="AD492" s="29">
        <f t="shared" si="466"/>
        <v>0</v>
      </c>
      <c r="AE492" s="29">
        <f t="shared" si="467"/>
        <v>0</v>
      </c>
      <c r="AF492" s="29">
        <f t="shared" si="468"/>
        <v>0</v>
      </c>
      <c r="AG492" s="29">
        <f t="shared" si="469"/>
        <v>0</v>
      </c>
      <c r="AH492" s="29">
        <f t="shared" si="470"/>
        <v>0</v>
      </c>
      <c r="AI492" s="28" t="s">
        <v>2882</v>
      </c>
      <c r="AJ492" s="15">
        <f t="shared" si="471"/>
        <v>0</v>
      </c>
      <c r="AK492" s="15">
        <f t="shared" si="472"/>
        <v>0</v>
      </c>
      <c r="AL492" s="15">
        <f t="shared" si="473"/>
        <v>0</v>
      </c>
      <c r="AN492" s="29">
        <v>15</v>
      </c>
      <c r="AO492" s="29">
        <f t="shared" si="474"/>
        <v>0</v>
      </c>
      <c r="AP492" s="29">
        <f t="shared" si="475"/>
        <v>0</v>
      </c>
      <c r="AQ492" s="30" t="s">
        <v>13</v>
      </c>
      <c r="AV492" s="29">
        <f t="shared" si="476"/>
        <v>0</v>
      </c>
      <c r="AW492" s="29">
        <f t="shared" si="477"/>
        <v>0</v>
      </c>
      <c r="AX492" s="29">
        <f t="shared" si="478"/>
        <v>0</v>
      </c>
      <c r="AY492" s="32" t="s">
        <v>2917</v>
      </c>
      <c r="AZ492" s="32" t="s">
        <v>2944</v>
      </c>
      <c r="BA492" s="28" t="s">
        <v>2957</v>
      </c>
      <c r="BC492" s="29">
        <f t="shared" si="479"/>
        <v>0</v>
      </c>
      <c r="BD492" s="29">
        <f t="shared" si="480"/>
        <v>0</v>
      </c>
      <c r="BE492" s="29">
        <v>0</v>
      </c>
      <c r="BF492" s="29">
        <f>492</f>
        <v>492</v>
      </c>
      <c r="BH492" s="15">
        <f t="shared" si="481"/>
        <v>0</v>
      </c>
      <c r="BI492" s="15">
        <f t="shared" si="482"/>
        <v>0</v>
      </c>
      <c r="BJ492" s="15">
        <f t="shared" si="483"/>
        <v>0</v>
      </c>
      <c r="BK492" s="15" t="s">
        <v>2969</v>
      </c>
      <c r="BL492" s="29">
        <v>730</v>
      </c>
    </row>
    <row r="493" spans="1:64" ht="12.75">
      <c r="A493" s="4" t="s">
        <v>449</v>
      </c>
      <c r="B493" s="94" t="s">
        <v>1445</v>
      </c>
      <c r="C493" s="152" t="s">
        <v>2383</v>
      </c>
      <c r="D493" s="153"/>
      <c r="E493" s="153"/>
      <c r="F493" s="153"/>
      <c r="G493" s="94" t="s">
        <v>2850</v>
      </c>
      <c r="H493" s="73">
        <v>1</v>
      </c>
      <c r="I493" s="105">
        <v>0</v>
      </c>
      <c r="J493" s="15">
        <f t="shared" si="460"/>
        <v>0</v>
      </c>
      <c r="K493" s="15">
        <f t="shared" si="461"/>
        <v>0</v>
      </c>
      <c r="L493" s="15">
        <f t="shared" si="462"/>
        <v>0</v>
      </c>
      <c r="M493" s="25"/>
      <c r="N493" s="5"/>
      <c r="Z493" s="29">
        <f t="shared" si="463"/>
        <v>0</v>
      </c>
      <c r="AB493" s="29">
        <f t="shared" si="464"/>
        <v>0</v>
      </c>
      <c r="AC493" s="29">
        <f t="shared" si="465"/>
        <v>0</v>
      </c>
      <c r="AD493" s="29">
        <f t="shared" si="466"/>
        <v>0</v>
      </c>
      <c r="AE493" s="29">
        <f t="shared" si="467"/>
        <v>0</v>
      </c>
      <c r="AF493" s="29">
        <f t="shared" si="468"/>
        <v>0</v>
      </c>
      <c r="AG493" s="29">
        <f t="shared" si="469"/>
        <v>0</v>
      </c>
      <c r="AH493" s="29">
        <f t="shared" si="470"/>
        <v>0</v>
      </c>
      <c r="AI493" s="28" t="s">
        <v>2882</v>
      </c>
      <c r="AJ493" s="15">
        <f t="shared" si="471"/>
        <v>0</v>
      </c>
      <c r="AK493" s="15">
        <f t="shared" si="472"/>
        <v>0</v>
      </c>
      <c r="AL493" s="15">
        <f t="shared" si="473"/>
        <v>0</v>
      </c>
      <c r="AN493" s="29">
        <v>15</v>
      </c>
      <c r="AO493" s="29">
        <f t="shared" si="474"/>
        <v>0</v>
      </c>
      <c r="AP493" s="29">
        <f t="shared" si="475"/>
        <v>0</v>
      </c>
      <c r="AQ493" s="30" t="s">
        <v>13</v>
      </c>
      <c r="AV493" s="29">
        <f t="shared" si="476"/>
        <v>0</v>
      </c>
      <c r="AW493" s="29">
        <f t="shared" si="477"/>
        <v>0</v>
      </c>
      <c r="AX493" s="29">
        <f t="shared" si="478"/>
        <v>0</v>
      </c>
      <c r="AY493" s="32" t="s">
        <v>2917</v>
      </c>
      <c r="AZ493" s="32" t="s">
        <v>2944</v>
      </c>
      <c r="BA493" s="28" t="s">
        <v>2957</v>
      </c>
      <c r="BC493" s="29">
        <f t="shared" si="479"/>
        <v>0</v>
      </c>
      <c r="BD493" s="29">
        <f t="shared" si="480"/>
        <v>0</v>
      </c>
      <c r="BE493" s="29">
        <v>0</v>
      </c>
      <c r="BF493" s="29">
        <f>493</f>
        <v>493</v>
      </c>
      <c r="BH493" s="15">
        <f t="shared" si="481"/>
        <v>0</v>
      </c>
      <c r="BI493" s="15">
        <f t="shared" si="482"/>
        <v>0</v>
      </c>
      <c r="BJ493" s="15">
        <f t="shared" si="483"/>
        <v>0</v>
      </c>
      <c r="BK493" s="15" t="s">
        <v>2969</v>
      </c>
      <c r="BL493" s="29">
        <v>730</v>
      </c>
    </row>
    <row r="494" spans="1:64" ht="12.75">
      <c r="A494" s="4" t="s">
        <v>450</v>
      </c>
      <c r="B494" s="94" t="s">
        <v>1446</v>
      </c>
      <c r="C494" s="152" t="s">
        <v>2384</v>
      </c>
      <c r="D494" s="153"/>
      <c r="E494" s="153"/>
      <c r="F494" s="153"/>
      <c r="G494" s="94" t="s">
        <v>2850</v>
      </c>
      <c r="H494" s="73">
        <v>1</v>
      </c>
      <c r="I494" s="105">
        <v>0</v>
      </c>
      <c r="J494" s="15">
        <f t="shared" si="460"/>
        <v>0</v>
      </c>
      <c r="K494" s="15">
        <f t="shared" si="461"/>
        <v>0</v>
      </c>
      <c r="L494" s="15">
        <f t="shared" si="462"/>
        <v>0</v>
      </c>
      <c r="M494" s="25"/>
      <c r="N494" s="5"/>
      <c r="Z494" s="29">
        <f t="shared" si="463"/>
        <v>0</v>
      </c>
      <c r="AB494" s="29">
        <f t="shared" si="464"/>
        <v>0</v>
      </c>
      <c r="AC494" s="29">
        <f t="shared" si="465"/>
        <v>0</v>
      </c>
      <c r="AD494" s="29">
        <f t="shared" si="466"/>
        <v>0</v>
      </c>
      <c r="AE494" s="29">
        <f t="shared" si="467"/>
        <v>0</v>
      </c>
      <c r="AF494" s="29">
        <f t="shared" si="468"/>
        <v>0</v>
      </c>
      <c r="AG494" s="29">
        <f t="shared" si="469"/>
        <v>0</v>
      </c>
      <c r="AH494" s="29">
        <f t="shared" si="470"/>
        <v>0</v>
      </c>
      <c r="AI494" s="28" t="s">
        <v>2882</v>
      </c>
      <c r="AJ494" s="15">
        <f t="shared" si="471"/>
        <v>0</v>
      </c>
      <c r="AK494" s="15">
        <f t="shared" si="472"/>
        <v>0</v>
      </c>
      <c r="AL494" s="15">
        <f t="shared" si="473"/>
        <v>0</v>
      </c>
      <c r="AN494" s="29">
        <v>15</v>
      </c>
      <c r="AO494" s="29">
        <f t="shared" si="474"/>
        <v>0</v>
      </c>
      <c r="AP494" s="29">
        <f t="shared" si="475"/>
        <v>0</v>
      </c>
      <c r="AQ494" s="30" t="s">
        <v>13</v>
      </c>
      <c r="AV494" s="29">
        <f t="shared" si="476"/>
        <v>0</v>
      </c>
      <c r="AW494" s="29">
        <f t="shared" si="477"/>
        <v>0</v>
      </c>
      <c r="AX494" s="29">
        <f t="shared" si="478"/>
        <v>0</v>
      </c>
      <c r="AY494" s="32" t="s">
        <v>2917</v>
      </c>
      <c r="AZ494" s="32" t="s">
        <v>2944</v>
      </c>
      <c r="BA494" s="28" t="s">
        <v>2957</v>
      </c>
      <c r="BC494" s="29">
        <f t="shared" si="479"/>
        <v>0</v>
      </c>
      <c r="BD494" s="29">
        <f t="shared" si="480"/>
        <v>0</v>
      </c>
      <c r="BE494" s="29">
        <v>0</v>
      </c>
      <c r="BF494" s="29">
        <f>494</f>
        <v>494</v>
      </c>
      <c r="BH494" s="15">
        <f t="shared" si="481"/>
        <v>0</v>
      </c>
      <c r="BI494" s="15">
        <f t="shared" si="482"/>
        <v>0</v>
      </c>
      <c r="BJ494" s="15">
        <f t="shared" si="483"/>
        <v>0</v>
      </c>
      <c r="BK494" s="15" t="s">
        <v>2969</v>
      </c>
      <c r="BL494" s="29">
        <v>730</v>
      </c>
    </row>
    <row r="495" spans="1:64" ht="12.75">
      <c r="A495" s="4" t="s">
        <v>451</v>
      </c>
      <c r="B495" s="94" t="s">
        <v>1447</v>
      </c>
      <c r="C495" s="152" t="s">
        <v>2385</v>
      </c>
      <c r="D495" s="153"/>
      <c r="E495" s="153"/>
      <c r="F495" s="153"/>
      <c r="G495" s="94" t="s">
        <v>2851</v>
      </c>
      <c r="H495" s="73">
        <v>25</v>
      </c>
      <c r="I495" s="105">
        <v>0</v>
      </c>
      <c r="J495" s="15">
        <f t="shared" si="460"/>
        <v>0</v>
      </c>
      <c r="K495" s="15">
        <f t="shared" si="461"/>
        <v>0</v>
      </c>
      <c r="L495" s="15">
        <f t="shared" si="462"/>
        <v>0</v>
      </c>
      <c r="M495" s="25"/>
      <c r="N495" s="5"/>
      <c r="Z495" s="29">
        <f t="shared" si="463"/>
        <v>0</v>
      </c>
      <c r="AB495" s="29">
        <f t="shared" si="464"/>
        <v>0</v>
      </c>
      <c r="AC495" s="29">
        <f t="shared" si="465"/>
        <v>0</v>
      </c>
      <c r="AD495" s="29">
        <f t="shared" si="466"/>
        <v>0</v>
      </c>
      <c r="AE495" s="29">
        <f t="shared" si="467"/>
        <v>0</v>
      </c>
      <c r="AF495" s="29">
        <f t="shared" si="468"/>
        <v>0</v>
      </c>
      <c r="AG495" s="29">
        <f t="shared" si="469"/>
        <v>0</v>
      </c>
      <c r="AH495" s="29">
        <f t="shared" si="470"/>
        <v>0</v>
      </c>
      <c r="AI495" s="28" t="s">
        <v>2882</v>
      </c>
      <c r="AJ495" s="15">
        <f t="shared" si="471"/>
        <v>0</v>
      </c>
      <c r="AK495" s="15">
        <f t="shared" si="472"/>
        <v>0</v>
      </c>
      <c r="AL495" s="15">
        <f t="shared" si="473"/>
        <v>0</v>
      </c>
      <c r="AN495" s="29">
        <v>15</v>
      </c>
      <c r="AO495" s="29">
        <f t="shared" si="474"/>
        <v>0</v>
      </c>
      <c r="AP495" s="29">
        <f t="shared" si="475"/>
        <v>0</v>
      </c>
      <c r="AQ495" s="30" t="s">
        <v>13</v>
      </c>
      <c r="AV495" s="29">
        <f t="shared" si="476"/>
        <v>0</v>
      </c>
      <c r="AW495" s="29">
        <f t="shared" si="477"/>
        <v>0</v>
      </c>
      <c r="AX495" s="29">
        <f t="shared" si="478"/>
        <v>0</v>
      </c>
      <c r="AY495" s="32" t="s">
        <v>2917</v>
      </c>
      <c r="AZ495" s="32" t="s">
        <v>2944</v>
      </c>
      <c r="BA495" s="28" t="s">
        <v>2957</v>
      </c>
      <c r="BC495" s="29">
        <f t="shared" si="479"/>
        <v>0</v>
      </c>
      <c r="BD495" s="29">
        <f t="shared" si="480"/>
        <v>0</v>
      </c>
      <c r="BE495" s="29">
        <v>0</v>
      </c>
      <c r="BF495" s="29">
        <f>495</f>
        <v>495</v>
      </c>
      <c r="BH495" s="15">
        <f t="shared" si="481"/>
        <v>0</v>
      </c>
      <c r="BI495" s="15">
        <f t="shared" si="482"/>
        <v>0</v>
      </c>
      <c r="BJ495" s="15">
        <f t="shared" si="483"/>
        <v>0</v>
      </c>
      <c r="BK495" s="15" t="s">
        <v>2969</v>
      </c>
      <c r="BL495" s="29">
        <v>730</v>
      </c>
    </row>
    <row r="496" spans="1:64" ht="12.75">
      <c r="A496" s="4" t="s">
        <v>452</v>
      </c>
      <c r="B496" s="94" t="s">
        <v>1448</v>
      </c>
      <c r="C496" s="152" t="s">
        <v>2386</v>
      </c>
      <c r="D496" s="153"/>
      <c r="E496" s="153"/>
      <c r="F496" s="153"/>
      <c r="G496" s="94" t="s">
        <v>2850</v>
      </c>
      <c r="H496" s="73">
        <v>1</v>
      </c>
      <c r="I496" s="105">
        <v>0</v>
      </c>
      <c r="J496" s="15">
        <f t="shared" si="460"/>
        <v>0</v>
      </c>
      <c r="K496" s="15">
        <f t="shared" si="461"/>
        <v>0</v>
      </c>
      <c r="L496" s="15">
        <f t="shared" si="462"/>
        <v>0</v>
      </c>
      <c r="M496" s="25"/>
      <c r="N496" s="5"/>
      <c r="Z496" s="29">
        <f t="shared" si="463"/>
        <v>0</v>
      </c>
      <c r="AB496" s="29">
        <f t="shared" si="464"/>
        <v>0</v>
      </c>
      <c r="AC496" s="29">
        <f t="shared" si="465"/>
        <v>0</v>
      </c>
      <c r="AD496" s="29">
        <f t="shared" si="466"/>
        <v>0</v>
      </c>
      <c r="AE496" s="29">
        <f t="shared" si="467"/>
        <v>0</v>
      </c>
      <c r="AF496" s="29">
        <f t="shared" si="468"/>
        <v>0</v>
      </c>
      <c r="AG496" s="29">
        <f t="shared" si="469"/>
        <v>0</v>
      </c>
      <c r="AH496" s="29">
        <f t="shared" si="470"/>
        <v>0</v>
      </c>
      <c r="AI496" s="28" t="s">
        <v>2882</v>
      </c>
      <c r="AJ496" s="15">
        <f t="shared" si="471"/>
        <v>0</v>
      </c>
      <c r="AK496" s="15">
        <f t="shared" si="472"/>
        <v>0</v>
      </c>
      <c r="AL496" s="15">
        <f t="shared" si="473"/>
        <v>0</v>
      </c>
      <c r="AN496" s="29">
        <v>15</v>
      </c>
      <c r="AO496" s="29">
        <f t="shared" si="474"/>
        <v>0</v>
      </c>
      <c r="AP496" s="29">
        <f t="shared" si="475"/>
        <v>0</v>
      </c>
      <c r="AQ496" s="30" t="s">
        <v>13</v>
      </c>
      <c r="AV496" s="29">
        <f t="shared" si="476"/>
        <v>0</v>
      </c>
      <c r="AW496" s="29">
        <f t="shared" si="477"/>
        <v>0</v>
      </c>
      <c r="AX496" s="29">
        <f t="shared" si="478"/>
        <v>0</v>
      </c>
      <c r="AY496" s="32" t="s">
        <v>2917</v>
      </c>
      <c r="AZ496" s="32" t="s">
        <v>2944</v>
      </c>
      <c r="BA496" s="28" t="s">
        <v>2957</v>
      </c>
      <c r="BC496" s="29">
        <f t="shared" si="479"/>
        <v>0</v>
      </c>
      <c r="BD496" s="29">
        <f t="shared" si="480"/>
        <v>0</v>
      </c>
      <c r="BE496" s="29">
        <v>0</v>
      </c>
      <c r="BF496" s="29">
        <f>496</f>
        <v>496</v>
      </c>
      <c r="BH496" s="15">
        <f t="shared" si="481"/>
        <v>0</v>
      </c>
      <c r="BI496" s="15">
        <f t="shared" si="482"/>
        <v>0</v>
      </c>
      <c r="BJ496" s="15">
        <f t="shared" si="483"/>
        <v>0</v>
      </c>
      <c r="BK496" s="15" t="s">
        <v>2969</v>
      </c>
      <c r="BL496" s="29">
        <v>730</v>
      </c>
    </row>
    <row r="497" spans="1:64" ht="12.75">
      <c r="A497" s="4" t="s">
        <v>453</v>
      </c>
      <c r="B497" s="94" t="s">
        <v>1449</v>
      </c>
      <c r="C497" s="152" t="s">
        <v>2387</v>
      </c>
      <c r="D497" s="153"/>
      <c r="E497" s="153"/>
      <c r="F497" s="153"/>
      <c r="G497" s="94" t="s">
        <v>2850</v>
      </c>
      <c r="H497" s="73">
        <v>1</v>
      </c>
      <c r="I497" s="105">
        <v>0</v>
      </c>
      <c r="J497" s="15">
        <f t="shared" si="460"/>
        <v>0</v>
      </c>
      <c r="K497" s="15">
        <f t="shared" si="461"/>
        <v>0</v>
      </c>
      <c r="L497" s="15">
        <f t="shared" si="462"/>
        <v>0</v>
      </c>
      <c r="M497" s="25"/>
      <c r="N497" s="5"/>
      <c r="Z497" s="29">
        <f t="shared" si="463"/>
        <v>0</v>
      </c>
      <c r="AB497" s="29">
        <f t="shared" si="464"/>
        <v>0</v>
      </c>
      <c r="AC497" s="29">
        <f t="shared" si="465"/>
        <v>0</v>
      </c>
      <c r="AD497" s="29">
        <f t="shared" si="466"/>
        <v>0</v>
      </c>
      <c r="AE497" s="29">
        <f t="shared" si="467"/>
        <v>0</v>
      </c>
      <c r="AF497" s="29">
        <f t="shared" si="468"/>
        <v>0</v>
      </c>
      <c r="AG497" s="29">
        <f t="shared" si="469"/>
        <v>0</v>
      </c>
      <c r="AH497" s="29">
        <f t="shared" si="470"/>
        <v>0</v>
      </c>
      <c r="AI497" s="28" t="s">
        <v>2882</v>
      </c>
      <c r="AJ497" s="15">
        <f t="shared" si="471"/>
        <v>0</v>
      </c>
      <c r="AK497" s="15">
        <f t="shared" si="472"/>
        <v>0</v>
      </c>
      <c r="AL497" s="15">
        <f t="shared" si="473"/>
        <v>0</v>
      </c>
      <c r="AN497" s="29">
        <v>15</v>
      </c>
      <c r="AO497" s="29">
        <f t="shared" si="474"/>
        <v>0</v>
      </c>
      <c r="AP497" s="29">
        <f t="shared" si="475"/>
        <v>0</v>
      </c>
      <c r="AQ497" s="30" t="s">
        <v>13</v>
      </c>
      <c r="AV497" s="29">
        <f t="shared" si="476"/>
        <v>0</v>
      </c>
      <c r="AW497" s="29">
        <f t="shared" si="477"/>
        <v>0</v>
      </c>
      <c r="AX497" s="29">
        <f t="shared" si="478"/>
        <v>0</v>
      </c>
      <c r="AY497" s="32" t="s">
        <v>2917</v>
      </c>
      <c r="AZ497" s="32" t="s">
        <v>2944</v>
      </c>
      <c r="BA497" s="28" t="s">
        <v>2957</v>
      </c>
      <c r="BC497" s="29">
        <f t="shared" si="479"/>
        <v>0</v>
      </c>
      <c r="BD497" s="29">
        <f t="shared" si="480"/>
        <v>0</v>
      </c>
      <c r="BE497" s="29">
        <v>0</v>
      </c>
      <c r="BF497" s="29">
        <f>497</f>
        <v>497</v>
      </c>
      <c r="BH497" s="15">
        <f t="shared" si="481"/>
        <v>0</v>
      </c>
      <c r="BI497" s="15">
        <f t="shared" si="482"/>
        <v>0</v>
      </c>
      <c r="BJ497" s="15">
        <f t="shared" si="483"/>
        <v>0</v>
      </c>
      <c r="BK497" s="15" t="s">
        <v>2969</v>
      </c>
      <c r="BL497" s="29">
        <v>730</v>
      </c>
    </row>
    <row r="498" spans="1:64" ht="12.75">
      <c r="A498" s="4" t="s">
        <v>454</v>
      </c>
      <c r="B498" s="94" t="s">
        <v>1450</v>
      </c>
      <c r="C498" s="152" t="s">
        <v>2388</v>
      </c>
      <c r="D498" s="153"/>
      <c r="E498" s="153"/>
      <c r="F498" s="153"/>
      <c r="G498" s="94" t="s">
        <v>2850</v>
      </c>
      <c r="H498" s="73">
        <v>1</v>
      </c>
      <c r="I498" s="105">
        <v>0</v>
      </c>
      <c r="J498" s="15">
        <f t="shared" si="460"/>
        <v>0</v>
      </c>
      <c r="K498" s="15">
        <f t="shared" si="461"/>
        <v>0</v>
      </c>
      <c r="L498" s="15">
        <f t="shared" si="462"/>
        <v>0</v>
      </c>
      <c r="M498" s="25"/>
      <c r="N498" s="5"/>
      <c r="Z498" s="29">
        <f t="shared" si="463"/>
        <v>0</v>
      </c>
      <c r="AB498" s="29">
        <f t="shared" si="464"/>
        <v>0</v>
      </c>
      <c r="AC498" s="29">
        <f t="shared" si="465"/>
        <v>0</v>
      </c>
      <c r="AD498" s="29">
        <f t="shared" si="466"/>
        <v>0</v>
      </c>
      <c r="AE498" s="29">
        <f t="shared" si="467"/>
        <v>0</v>
      </c>
      <c r="AF498" s="29">
        <f t="shared" si="468"/>
        <v>0</v>
      </c>
      <c r="AG498" s="29">
        <f t="shared" si="469"/>
        <v>0</v>
      </c>
      <c r="AH498" s="29">
        <f t="shared" si="470"/>
        <v>0</v>
      </c>
      <c r="AI498" s="28" t="s">
        <v>2882</v>
      </c>
      <c r="AJ498" s="15">
        <f t="shared" si="471"/>
        <v>0</v>
      </c>
      <c r="AK498" s="15">
        <f t="shared" si="472"/>
        <v>0</v>
      </c>
      <c r="AL498" s="15">
        <f t="shared" si="473"/>
        <v>0</v>
      </c>
      <c r="AN498" s="29">
        <v>15</v>
      </c>
      <c r="AO498" s="29">
        <f t="shared" si="474"/>
        <v>0</v>
      </c>
      <c r="AP498" s="29">
        <f t="shared" si="475"/>
        <v>0</v>
      </c>
      <c r="AQ498" s="30" t="s">
        <v>13</v>
      </c>
      <c r="AV498" s="29">
        <f t="shared" si="476"/>
        <v>0</v>
      </c>
      <c r="AW498" s="29">
        <f t="shared" si="477"/>
        <v>0</v>
      </c>
      <c r="AX498" s="29">
        <f t="shared" si="478"/>
        <v>0</v>
      </c>
      <c r="AY498" s="32" t="s">
        <v>2917</v>
      </c>
      <c r="AZ498" s="32" t="s">
        <v>2944</v>
      </c>
      <c r="BA498" s="28" t="s">
        <v>2957</v>
      </c>
      <c r="BC498" s="29">
        <f t="shared" si="479"/>
        <v>0</v>
      </c>
      <c r="BD498" s="29">
        <f t="shared" si="480"/>
        <v>0</v>
      </c>
      <c r="BE498" s="29">
        <v>0</v>
      </c>
      <c r="BF498" s="29">
        <f>498</f>
        <v>498</v>
      </c>
      <c r="BH498" s="15">
        <f t="shared" si="481"/>
        <v>0</v>
      </c>
      <c r="BI498" s="15">
        <f t="shared" si="482"/>
        <v>0</v>
      </c>
      <c r="BJ498" s="15">
        <f t="shared" si="483"/>
        <v>0</v>
      </c>
      <c r="BK498" s="15" t="s">
        <v>2969</v>
      </c>
      <c r="BL498" s="29">
        <v>730</v>
      </c>
    </row>
    <row r="499" spans="1:64" ht="12.75">
      <c r="A499" s="4" t="s">
        <v>455</v>
      </c>
      <c r="B499" s="94" t="s">
        <v>1451</v>
      </c>
      <c r="C499" s="152" t="s">
        <v>2389</v>
      </c>
      <c r="D499" s="153"/>
      <c r="E499" s="153"/>
      <c r="F499" s="153"/>
      <c r="G499" s="94" t="s">
        <v>2850</v>
      </c>
      <c r="H499" s="73">
        <v>1</v>
      </c>
      <c r="I499" s="105">
        <v>0</v>
      </c>
      <c r="J499" s="15">
        <f t="shared" si="460"/>
        <v>0</v>
      </c>
      <c r="K499" s="15">
        <f t="shared" si="461"/>
        <v>0</v>
      </c>
      <c r="L499" s="15">
        <f t="shared" si="462"/>
        <v>0</v>
      </c>
      <c r="M499" s="25"/>
      <c r="N499" s="5"/>
      <c r="Z499" s="29">
        <f t="shared" si="463"/>
        <v>0</v>
      </c>
      <c r="AB499" s="29">
        <f t="shared" si="464"/>
        <v>0</v>
      </c>
      <c r="AC499" s="29">
        <f t="shared" si="465"/>
        <v>0</v>
      </c>
      <c r="AD499" s="29">
        <f t="shared" si="466"/>
        <v>0</v>
      </c>
      <c r="AE499" s="29">
        <f t="shared" si="467"/>
        <v>0</v>
      </c>
      <c r="AF499" s="29">
        <f t="shared" si="468"/>
        <v>0</v>
      </c>
      <c r="AG499" s="29">
        <f t="shared" si="469"/>
        <v>0</v>
      </c>
      <c r="AH499" s="29">
        <f t="shared" si="470"/>
        <v>0</v>
      </c>
      <c r="AI499" s="28" t="s">
        <v>2882</v>
      </c>
      <c r="AJ499" s="15">
        <f t="shared" si="471"/>
        <v>0</v>
      </c>
      <c r="AK499" s="15">
        <f t="shared" si="472"/>
        <v>0</v>
      </c>
      <c r="AL499" s="15">
        <f t="shared" si="473"/>
        <v>0</v>
      </c>
      <c r="AN499" s="29">
        <v>15</v>
      </c>
      <c r="AO499" s="29">
        <f t="shared" si="474"/>
        <v>0</v>
      </c>
      <c r="AP499" s="29">
        <f t="shared" si="475"/>
        <v>0</v>
      </c>
      <c r="AQ499" s="30" t="s">
        <v>13</v>
      </c>
      <c r="AV499" s="29">
        <f t="shared" si="476"/>
        <v>0</v>
      </c>
      <c r="AW499" s="29">
        <f t="shared" si="477"/>
        <v>0</v>
      </c>
      <c r="AX499" s="29">
        <f t="shared" si="478"/>
        <v>0</v>
      </c>
      <c r="AY499" s="32" t="s">
        <v>2917</v>
      </c>
      <c r="AZ499" s="32" t="s">
        <v>2944</v>
      </c>
      <c r="BA499" s="28" t="s">
        <v>2957</v>
      </c>
      <c r="BC499" s="29">
        <f t="shared" si="479"/>
        <v>0</v>
      </c>
      <c r="BD499" s="29">
        <f t="shared" si="480"/>
        <v>0</v>
      </c>
      <c r="BE499" s="29">
        <v>0</v>
      </c>
      <c r="BF499" s="29">
        <f>499</f>
        <v>499</v>
      </c>
      <c r="BH499" s="15">
        <f t="shared" si="481"/>
        <v>0</v>
      </c>
      <c r="BI499" s="15">
        <f t="shared" si="482"/>
        <v>0</v>
      </c>
      <c r="BJ499" s="15">
        <f t="shared" si="483"/>
        <v>0</v>
      </c>
      <c r="BK499" s="15" t="s">
        <v>2969</v>
      </c>
      <c r="BL499" s="29">
        <v>730</v>
      </c>
    </row>
    <row r="500" spans="1:64" ht="12.75">
      <c r="A500" s="4" t="s">
        <v>456</v>
      </c>
      <c r="B500" s="94" t="s">
        <v>1452</v>
      </c>
      <c r="C500" s="152" t="s">
        <v>2390</v>
      </c>
      <c r="D500" s="153"/>
      <c r="E500" s="153"/>
      <c r="F500" s="153"/>
      <c r="G500" s="94" t="s">
        <v>2850</v>
      </c>
      <c r="H500" s="73">
        <v>1</v>
      </c>
      <c r="I500" s="105">
        <v>0</v>
      </c>
      <c r="J500" s="15">
        <f t="shared" si="460"/>
        <v>0</v>
      </c>
      <c r="K500" s="15">
        <f t="shared" si="461"/>
        <v>0</v>
      </c>
      <c r="L500" s="15">
        <f t="shared" si="462"/>
        <v>0</v>
      </c>
      <c r="M500" s="25"/>
      <c r="N500" s="5"/>
      <c r="Z500" s="29">
        <f t="shared" si="463"/>
        <v>0</v>
      </c>
      <c r="AB500" s="29">
        <f t="shared" si="464"/>
        <v>0</v>
      </c>
      <c r="AC500" s="29">
        <f t="shared" si="465"/>
        <v>0</v>
      </c>
      <c r="AD500" s="29">
        <f t="shared" si="466"/>
        <v>0</v>
      </c>
      <c r="AE500" s="29">
        <f t="shared" si="467"/>
        <v>0</v>
      </c>
      <c r="AF500" s="29">
        <f t="shared" si="468"/>
        <v>0</v>
      </c>
      <c r="AG500" s="29">
        <f t="shared" si="469"/>
        <v>0</v>
      </c>
      <c r="AH500" s="29">
        <f t="shared" si="470"/>
        <v>0</v>
      </c>
      <c r="AI500" s="28" t="s">
        <v>2882</v>
      </c>
      <c r="AJ500" s="15">
        <f t="shared" si="471"/>
        <v>0</v>
      </c>
      <c r="AK500" s="15">
        <f t="shared" si="472"/>
        <v>0</v>
      </c>
      <c r="AL500" s="15">
        <f t="shared" si="473"/>
        <v>0</v>
      </c>
      <c r="AN500" s="29">
        <v>15</v>
      </c>
      <c r="AO500" s="29">
        <f t="shared" si="474"/>
        <v>0</v>
      </c>
      <c r="AP500" s="29">
        <f t="shared" si="475"/>
        <v>0</v>
      </c>
      <c r="AQ500" s="30" t="s">
        <v>13</v>
      </c>
      <c r="AV500" s="29">
        <f t="shared" si="476"/>
        <v>0</v>
      </c>
      <c r="AW500" s="29">
        <f t="shared" si="477"/>
        <v>0</v>
      </c>
      <c r="AX500" s="29">
        <f t="shared" si="478"/>
        <v>0</v>
      </c>
      <c r="AY500" s="32" t="s">
        <v>2917</v>
      </c>
      <c r="AZ500" s="32" t="s">
        <v>2944</v>
      </c>
      <c r="BA500" s="28" t="s">
        <v>2957</v>
      </c>
      <c r="BC500" s="29">
        <f t="shared" si="479"/>
        <v>0</v>
      </c>
      <c r="BD500" s="29">
        <f t="shared" si="480"/>
        <v>0</v>
      </c>
      <c r="BE500" s="29">
        <v>0</v>
      </c>
      <c r="BF500" s="29">
        <f>500</f>
        <v>500</v>
      </c>
      <c r="BH500" s="15">
        <f t="shared" si="481"/>
        <v>0</v>
      </c>
      <c r="BI500" s="15">
        <f t="shared" si="482"/>
        <v>0</v>
      </c>
      <c r="BJ500" s="15">
        <f t="shared" si="483"/>
        <v>0</v>
      </c>
      <c r="BK500" s="15" t="s">
        <v>2969</v>
      </c>
      <c r="BL500" s="29">
        <v>730</v>
      </c>
    </row>
    <row r="501" spans="1:64" ht="12.75">
      <c r="A501" s="4" t="s">
        <v>457</v>
      </c>
      <c r="B501" s="94" t="s">
        <v>1453</v>
      </c>
      <c r="C501" s="152" t="s">
        <v>2391</v>
      </c>
      <c r="D501" s="153"/>
      <c r="E501" s="153"/>
      <c r="F501" s="153"/>
      <c r="G501" s="94" t="s">
        <v>2850</v>
      </c>
      <c r="H501" s="73">
        <v>1</v>
      </c>
      <c r="I501" s="105">
        <v>0</v>
      </c>
      <c r="J501" s="15">
        <f t="shared" si="460"/>
        <v>0</v>
      </c>
      <c r="K501" s="15">
        <f t="shared" si="461"/>
        <v>0</v>
      </c>
      <c r="L501" s="15">
        <f t="shared" si="462"/>
        <v>0</v>
      </c>
      <c r="M501" s="25"/>
      <c r="N501" s="5"/>
      <c r="Z501" s="29">
        <f t="shared" si="463"/>
        <v>0</v>
      </c>
      <c r="AB501" s="29">
        <f t="shared" si="464"/>
        <v>0</v>
      </c>
      <c r="AC501" s="29">
        <f t="shared" si="465"/>
        <v>0</v>
      </c>
      <c r="AD501" s="29">
        <f t="shared" si="466"/>
        <v>0</v>
      </c>
      <c r="AE501" s="29">
        <f t="shared" si="467"/>
        <v>0</v>
      </c>
      <c r="AF501" s="29">
        <f t="shared" si="468"/>
        <v>0</v>
      </c>
      <c r="AG501" s="29">
        <f t="shared" si="469"/>
        <v>0</v>
      </c>
      <c r="AH501" s="29">
        <f t="shared" si="470"/>
        <v>0</v>
      </c>
      <c r="AI501" s="28" t="s">
        <v>2882</v>
      </c>
      <c r="AJ501" s="15">
        <f t="shared" si="471"/>
        <v>0</v>
      </c>
      <c r="AK501" s="15">
        <f t="shared" si="472"/>
        <v>0</v>
      </c>
      <c r="AL501" s="15">
        <f t="shared" si="473"/>
        <v>0</v>
      </c>
      <c r="AN501" s="29">
        <v>15</v>
      </c>
      <c r="AO501" s="29">
        <f t="shared" si="474"/>
        <v>0</v>
      </c>
      <c r="AP501" s="29">
        <f t="shared" si="475"/>
        <v>0</v>
      </c>
      <c r="AQ501" s="30" t="s">
        <v>13</v>
      </c>
      <c r="AV501" s="29">
        <f t="shared" si="476"/>
        <v>0</v>
      </c>
      <c r="AW501" s="29">
        <f t="shared" si="477"/>
        <v>0</v>
      </c>
      <c r="AX501" s="29">
        <f t="shared" si="478"/>
        <v>0</v>
      </c>
      <c r="AY501" s="32" t="s">
        <v>2917</v>
      </c>
      <c r="AZ501" s="32" t="s">
        <v>2944</v>
      </c>
      <c r="BA501" s="28" t="s">
        <v>2957</v>
      </c>
      <c r="BC501" s="29">
        <f t="shared" si="479"/>
        <v>0</v>
      </c>
      <c r="BD501" s="29">
        <f t="shared" si="480"/>
        <v>0</v>
      </c>
      <c r="BE501" s="29">
        <v>0</v>
      </c>
      <c r="BF501" s="29">
        <f>501</f>
        <v>501</v>
      </c>
      <c r="BH501" s="15">
        <f t="shared" si="481"/>
        <v>0</v>
      </c>
      <c r="BI501" s="15">
        <f t="shared" si="482"/>
        <v>0</v>
      </c>
      <c r="BJ501" s="15">
        <f t="shared" si="483"/>
        <v>0</v>
      </c>
      <c r="BK501" s="15" t="s">
        <v>2969</v>
      </c>
      <c r="BL501" s="29">
        <v>730</v>
      </c>
    </row>
    <row r="502" spans="1:64" ht="12.75">
      <c r="A502" s="4" t="s">
        <v>458</v>
      </c>
      <c r="B502" s="94" t="s">
        <v>1454</v>
      </c>
      <c r="C502" s="152" t="s">
        <v>2392</v>
      </c>
      <c r="D502" s="153"/>
      <c r="E502" s="153"/>
      <c r="F502" s="153"/>
      <c r="G502" s="94" t="s">
        <v>2850</v>
      </c>
      <c r="H502" s="73">
        <v>1</v>
      </c>
      <c r="I502" s="105">
        <v>0</v>
      </c>
      <c r="J502" s="15">
        <f t="shared" si="460"/>
        <v>0</v>
      </c>
      <c r="K502" s="15">
        <f t="shared" si="461"/>
        <v>0</v>
      </c>
      <c r="L502" s="15">
        <f t="shared" si="462"/>
        <v>0</v>
      </c>
      <c r="M502" s="25"/>
      <c r="N502" s="5"/>
      <c r="Z502" s="29">
        <f t="shared" si="463"/>
        <v>0</v>
      </c>
      <c r="AB502" s="29">
        <f t="shared" si="464"/>
        <v>0</v>
      </c>
      <c r="AC502" s="29">
        <f t="shared" si="465"/>
        <v>0</v>
      </c>
      <c r="AD502" s="29">
        <f t="shared" si="466"/>
        <v>0</v>
      </c>
      <c r="AE502" s="29">
        <f t="shared" si="467"/>
        <v>0</v>
      </c>
      <c r="AF502" s="29">
        <f t="shared" si="468"/>
        <v>0</v>
      </c>
      <c r="AG502" s="29">
        <f t="shared" si="469"/>
        <v>0</v>
      </c>
      <c r="AH502" s="29">
        <f t="shared" si="470"/>
        <v>0</v>
      </c>
      <c r="AI502" s="28" t="s">
        <v>2882</v>
      </c>
      <c r="AJ502" s="15">
        <f t="shared" si="471"/>
        <v>0</v>
      </c>
      <c r="AK502" s="15">
        <f t="shared" si="472"/>
        <v>0</v>
      </c>
      <c r="AL502" s="15">
        <f t="shared" si="473"/>
        <v>0</v>
      </c>
      <c r="AN502" s="29">
        <v>15</v>
      </c>
      <c r="AO502" s="29">
        <f t="shared" si="474"/>
        <v>0</v>
      </c>
      <c r="AP502" s="29">
        <f t="shared" si="475"/>
        <v>0</v>
      </c>
      <c r="AQ502" s="30" t="s">
        <v>13</v>
      </c>
      <c r="AV502" s="29">
        <f t="shared" si="476"/>
        <v>0</v>
      </c>
      <c r="AW502" s="29">
        <f t="shared" si="477"/>
        <v>0</v>
      </c>
      <c r="AX502" s="29">
        <f t="shared" si="478"/>
        <v>0</v>
      </c>
      <c r="AY502" s="32" t="s">
        <v>2917</v>
      </c>
      <c r="AZ502" s="32" t="s">
        <v>2944</v>
      </c>
      <c r="BA502" s="28" t="s">
        <v>2957</v>
      </c>
      <c r="BC502" s="29">
        <f t="shared" si="479"/>
        <v>0</v>
      </c>
      <c r="BD502" s="29">
        <f t="shared" si="480"/>
        <v>0</v>
      </c>
      <c r="BE502" s="29">
        <v>0</v>
      </c>
      <c r="BF502" s="29">
        <f>502</f>
        <v>502</v>
      </c>
      <c r="BH502" s="15">
        <f t="shared" si="481"/>
        <v>0</v>
      </c>
      <c r="BI502" s="15">
        <f t="shared" si="482"/>
        <v>0</v>
      </c>
      <c r="BJ502" s="15">
        <f t="shared" si="483"/>
        <v>0</v>
      </c>
      <c r="BK502" s="15" t="s">
        <v>2969</v>
      </c>
      <c r="BL502" s="29">
        <v>730</v>
      </c>
    </row>
    <row r="503" spans="1:64" ht="12.75">
      <c r="A503" s="4" t="s">
        <v>459</v>
      </c>
      <c r="B503" s="94" t="s">
        <v>1455</v>
      </c>
      <c r="C503" s="152" t="s">
        <v>2393</v>
      </c>
      <c r="D503" s="153"/>
      <c r="E503" s="153"/>
      <c r="F503" s="153"/>
      <c r="G503" s="94" t="s">
        <v>2850</v>
      </c>
      <c r="H503" s="73">
        <v>1</v>
      </c>
      <c r="I503" s="105">
        <v>0</v>
      </c>
      <c r="J503" s="15">
        <f t="shared" si="460"/>
        <v>0</v>
      </c>
      <c r="K503" s="15">
        <f t="shared" si="461"/>
        <v>0</v>
      </c>
      <c r="L503" s="15">
        <f t="shared" si="462"/>
        <v>0</v>
      </c>
      <c r="M503" s="25"/>
      <c r="N503" s="5"/>
      <c r="Z503" s="29">
        <f t="shared" si="463"/>
        <v>0</v>
      </c>
      <c r="AB503" s="29">
        <f t="shared" si="464"/>
        <v>0</v>
      </c>
      <c r="AC503" s="29">
        <f t="shared" si="465"/>
        <v>0</v>
      </c>
      <c r="AD503" s="29">
        <f t="shared" si="466"/>
        <v>0</v>
      </c>
      <c r="AE503" s="29">
        <f t="shared" si="467"/>
        <v>0</v>
      </c>
      <c r="AF503" s="29">
        <f t="shared" si="468"/>
        <v>0</v>
      </c>
      <c r="AG503" s="29">
        <f t="shared" si="469"/>
        <v>0</v>
      </c>
      <c r="AH503" s="29">
        <f t="shared" si="470"/>
        <v>0</v>
      </c>
      <c r="AI503" s="28" t="s">
        <v>2882</v>
      </c>
      <c r="AJ503" s="15">
        <f t="shared" si="471"/>
        <v>0</v>
      </c>
      <c r="AK503" s="15">
        <f t="shared" si="472"/>
        <v>0</v>
      </c>
      <c r="AL503" s="15">
        <f t="shared" si="473"/>
        <v>0</v>
      </c>
      <c r="AN503" s="29">
        <v>15</v>
      </c>
      <c r="AO503" s="29">
        <f t="shared" si="474"/>
        <v>0</v>
      </c>
      <c r="AP503" s="29">
        <f t="shared" si="475"/>
        <v>0</v>
      </c>
      <c r="AQ503" s="30" t="s">
        <v>13</v>
      </c>
      <c r="AV503" s="29">
        <f t="shared" si="476"/>
        <v>0</v>
      </c>
      <c r="AW503" s="29">
        <f t="shared" si="477"/>
        <v>0</v>
      </c>
      <c r="AX503" s="29">
        <f t="shared" si="478"/>
        <v>0</v>
      </c>
      <c r="AY503" s="32" t="s">
        <v>2917</v>
      </c>
      <c r="AZ503" s="32" t="s">
        <v>2944</v>
      </c>
      <c r="BA503" s="28" t="s">
        <v>2957</v>
      </c>
      <c r="BC503" s="29">
        <f t="shared" si="479"/>
        <v>0</v>
      </c>
      <c r="BD503" s="29">
        <f t="shared" si="480"/>
        <v>0</v>
      </c>
      <c r="BE503" s="29">
        <v>0</v>
      </c>
      <c r="BF503" s="29">
        <f>503</f>
        <v>503</v>
      </c>
      <c r="BH503" s="15">
        <f t="shared" si="481"/>
        <v>0</v>
      </c>
      <c r="BI503" s="15">
        <f t="shared" si="482"/>
        <v>0</v>
      </c>
      <c r="BJ503" s="15">
        <f t="shared" si="483"/>
        <v>0</v>
      </c>
      <c r="BK503" s="15" t="s">
        <v>2969</v>
      </c>
      <c r="BL503" s="29">
        <v>730</v>
      </c>
    </row>
    <row r="504" spans="1:64" ht="12.75">
      <c r="A504" s="4" t="s">
        <v>460</v>
      </c>
      <c r="B504" s="94" t="s">
        <v>1456</v>
      </c>
      <c r="C504" s="152" t="s">
        <v>2394</v>
      </c>
      <c r="D504" s="153"/>
      <c r="E504" s="153"/>
      <c r="F504" s="153"/>
      <c r="G504" s="94" t="s">
        <v>2852</v>
      </c>
      <c r="H504" s="73">
        <v>50</v>
      </c>
      <c r="I504" s="105">
        <v>0</v>
      </c>
      <c r="J504" s="15">
        <f t="shared" si="460"/>
        <v>0</v>
      </c>
      <c r="K504" s="15">
        <f t="shared" si="461"/>
        <v>0</v>
      </c>
      <c r="L504" s="15">
        <f t="shared" si="462"/>
        <v>0</v>
      </c>
      <c r="M504" s="25"/>
      <c r="N504" s="5"/>
      <c r="Z504" s="29">
        <f t="shared" si="463"/>
        <v>0</v>
      </c>
      <c r="AB504" s="29">
        <f t="shared" si="464"/>
        <v>0</v>
      </c>
      <c r="AC504" s="29">
        <f t="shared" si="465"/>
        <v>0</v>
      </c>
      <c r="AD504" s="29">
        <f t="shared" si="466"/>
        <v>0</v>
      </c>
      <c r="AE504" s="29">
        <f t="shared" si="467"/>
        <v>0</v>
      </c>
      <c r="AF504" s="29">
        <f t="shared" si="468"/>
        <v>0</v>
      </c>
      <c r="AG504" s="29">
        <f t="shared" si="469"/>
        <v>0</v>
      </c>
      <c r="AH504" s="29">
        <f t="shared" si="470"/>
        <v>0</v>
      </c>
      <c r="AI504" s="28" t="s">
        <v>2882</v>
      </c>
      <c r="AJ504" s="15">
        <f t="shared" si="471"/>
        <v>0</v>
      </c>
      <c r="AK504" s="15">
        <f t="shared" si="472"/>
        <v>0</v>
      </c>
      <c r="AL504" s="15">
        <f t="shared" si="473"/>
        <v>0</v>
      </c>
      <c r="AN504" s="29">
        <v>15</v>
      </c>
      <c r="AO504" s="29">
        <f t="shared" si="474"/>
        <v>0</v>
      </c>
      <c r="AP504" s="29">
        <f t="shared" si="475"/>
        <v>0</v>
      </c>
      <c r="AQ504" s="30" t="s">
        <v>13</v>
      </c>
      <c r="AV504" s="29">
        <f t="shared" si="476"/>
        <v>0</v>
      </c>
      <c r="AW504" s="29">
        <f t="shared" si="477"/>
        <v>0</v>
      </c>
      <c r="AX504" s="29">
        <f t="shared" si="478"/>
        <v>0</v>
      </c>
      <c r="AY504" s="32" t="s">
        <v>2917</v>
      </c>
      <c r="AZ504" s="32" t="s">
        <v>2944</v>
      </c>
      <c r="BA504" s="28" t="s">
        <v>2957</v>
      </c>
      <c r="BC504" s="29">
        <f t="shared" si="479"/>
        <v>0</v>
      </c>
      <c r="BD504" s="29">
        <f t="shared" si="480"/>
        <v>0</v>
      </c>
      <c r="BE504" s="29">
        <v>0</v>
      </c>
      <c r="BF504" s="29">
        <f>504</f>
        <v>504</v>
      </c>
      <c r="BH504" s="15">
        <f t="shared" si="481"/>
        <v>0</v>
      </c>
      <c r="BI504" s="15">
        <f t="shared" si="482"/>
        <v>0</v>
      </c>
      <c r="BJ504" s="15">
        <f t="shared" si="483"/>
        <v>0</v>
      </c>
      <c r="BK504" s="15" t="s">
        <v>2969</v>
      </c>
      <c r="BL504" s="29">
        <v>730</v>
      </c>
    </row>
    <row r="505" spans="1:64" ht="12.75">
      <c r="A505" s="4" t="s">
        <v>461</v>
      </c>
      <c r="B505" s="94" t="s">
        <v>1457</v>
      </c>
      <c r="C505" s="152" t="s">
        <v>2395</v>
      </c>
      <c r="D505" s="153"/>
      <c r="E505" s="153"/>
      <c r="F505" s="153"/>
      <c r="G505" s="94" t="s">
        <v>2852</v>
      </c>
      <c r="H505" s="73">
        <v>60</v>
      </c>
      <c r="I505" s="105">
        <v>0</v>
      </c>
      <c r="J505" s="15">
        <f t="shared" si="460"/>
        <v>0</v>
      </c>
      <c r="K505" s="15">
        <f t="shared" si="461"/>
        <v>0</v>
      </c>
      <c r="L505" s="15">
        <f t="shared" si="462"/>
        <v>0</v>
      </c>
      <c r="M505" s="25"/>
      <c r="N505" s="5"/>
      <c r="Z505" s="29">
        <f t="shared" si="463"/>
        <v>0</v>
      </c>
      <c r="AB505" s="29">
        <f t="shared" si="464"/>
        <v>0</v>
      </c>
      <c r="AC505" s="29">
        <f t="shared" si="465"/>
        <v>0</v>
      </c>
      <c r="AD505" s="29">
        <f t="shared" si="466"/>
        <v>0</v>
      </c>
      <c r="AE505" s="29">
        <f t="shared" si="467"/>
        <v>0</v>
      </c>
      <c r="AF505" s="29">
        <f t="shared" si="468"/>
        <v>0</v>
      </c>
      <c r="AG505" s="29">
        <f t="shared" si="469"/>
        <v>0</v>
      </c>
      <c r="AH505" s="29">
        <f t="shared" si="470"/>
        <v>0</v>
      </c>
      <c r="AI505" s="28" t="s">
        <v>2882</v>
      </c>
      <c r="AJ505" s="15">
        <f t="shared" si="471"/>
        <v>0</v>
      </c>
      <c r="AK505" s="15">
        <f t="shared" si="472"/>
        <v>0</v>
      </c>
      <c r="AL505" s="15">
        <f t="shared" si="473"/>
        <v>0</v>
      </c>
      <c r="AN505" s="29">
        <v>15</v>
      </c>
      <c r="AO505" s="29">
        <f t="shared" si="474"/>
        <v>0</v>
      </c>
      <c r="AP505" s="29">
        <f t="shared" si="475"/>
        <v>0</v>
      </c>
      <c r="AQ505" s="30" t="s">
        <v>13</v>
      </c>
      <c r="AV505" s="29">
        <f t="shared" si="476"/>
        <v>0</v>
      </c>
      <c r="AW505" s="29">
        <f t="shared" si="477"/>
        <v>0</v>
      </c>
      <c r="AX505" s="29">
        <f t="shared" si="478"/>
        <v>0</v>
      </c>
      <c r="AY505" s="32" t="s">
        <v>2917</v>
      </c>
      <c r="AZ505" s="32" t="s">
        <v>2944</v>
      </c>
      <c r="BA505" s="28" t="s">
        <v>2957</v>
      </c>
      <c r="BC505" s="29">
        <f t="shared" si="479"/>
        <v>0</v>
      </c>
      <c r="BD505" s="29">
        <f t="shared" si="480"/>
        <v>0</v>
      </c>
      <c r="BE505" s="29">
        <v>0</v>
      </c>
      <c r="BF505" s="29">
        <f>505</f>
        <v>505</v>
      </c>
      <c r="BH505" s="15">
        <f t="shared" si="481"/>
        <v>0</v>
      </c>
      <c r="BI505" s="15">
        <f t="shared" si="482"/>
        <v>0</v>
      </c>
      <c r="BJ505" s="15">
        <f t="shared" si="483"/>
        <v>0</v>
      </c>
      <c r="BK505" s="15" t="s">
        <v>2969</v>
      </c>
      <c r="BL505" s="29">
        <v>730</v>
      </c>
    </row>
    <row r="506" spans="1:64" ht="12.75">
      <c r="A506" s="4" t="s">
        <v>462</v>
      </c>
      <c r="B506" s="94" t="s">
        <v>1458</v>
      </c>
      <c r="C506" s="152" t="s">
        <v>2396</v>
      </c>
      <c r="D506" s="153"/>
      <c r="E506" s="153"/>
      <c r="F506" s="153"/>
      <c r="G506" s="94" t="s">
        <v>2850</v>
      </c>
      <c r="H506" s="73">
        <v>1</v>
      </c>
      <c r="I506" s="105">
        <v>0</v>
      </c>
      <c r="J506" s="15">
        <f t="shared" si="460"/>
        <v>0</v>
      </c>
      <c r="K506" s="15">
        <f t="shared" si="461"/>
        <v>0</v>
      </c>
      <c r="L506" s="15">
        <f t="shared" si="462"/>
        <v>0</v>
      </c>
      <c r="M506" s="25"/>
      <c r="N506" s="5"/>
      <c r="Z506" s="29">
        <f t="shared" si="463"/>
        <v>0</v>
      </c>
      <c r="AB506" s="29">
        <f t="shared" si="464"/>
        <v>0</v>
      </c>
      <c r="AC506" s="29">
        <f t="shared" si="465"/>
        <v>0</v>
      </c>
      <c r="AD506" s="29">
        <f t="shared" si="466"/>
        <v>0</v>
      </c>
      <c r="AE506" s="29">
        <f t="shared" si="467"/>
        <v>0</v>
      </c>
      <c r="AF506" s="29">
        <f t="shared" si="468"/>
        <v>0</v>
      </c>
      <c r="AG506" s="29">
        <f t="shared" si="469"/>
        <v>0</v>
      </c>
      <c r="AH506" s="29">
        <f t="shared" si="470"/>
        <v>0</v>
      </c>
      <c r="AI506" s="28" t="s">
        <v>2882</v>
      </c>
      <c r="AJ506" s="15">
        <f t="shared" si="471"/>
        <v>0</v>
      </c>
      <c r="AK506" s="15">
        <f t="shared" si="472"/>
        <v>0</v>
      </c>
      <c r="AL506" s="15">
        <f t="shared" si="473"/>
        <v>0</v>
      </c>
      <c r="AN506" s="29">
        <v>15</v>
      </c>
      <c r="AO506" s="29">
        <f t="shared" si="474"/>
        <v>0</v>
      </c>
      <c r="AP506" s="29">
        <f t="shared" si="475"/>
        <v>0</v>
      </c>
      <c r="AQ506" s="30" t="s">
        <v>13</v>
      </c>
      <c r="AV506" s="29">
        <f t="shared" si="476"/>
        <v>0</v>
      </c>
      <c r="AW506" s="29">
        <f t="shared" si="477"/>
        <v>0</v>
      </c>
      <c r="AX506" s="29">
        <f t="shared" si="478"/>
        <v>0</v>
      </c>
      <c r="AY506" s="32" t="s">
        <v>2917</v>
      </c>
      <c r="AZ506" s="32" t="s">
        <v>2944</v>
      </c>
      <c r="BA506" s="28" t="s">
        <v>2957</v>
      </c>
      <c r="BC506" s="29">
        <f t="shared" si="479"/>
        <v>0</v>
      </c>
      <c r="BD506" s="29">
        <f t="shared" si="480"/>
        <v>0</v>
      </c>
      <c r="BE506" s="29">
        <v>0</v>
      </c>
      <c r="BF506" s="29">
        <f>506</f>
        <v>506</v>
      </c>
      <c r="BH506" s="15">
        <f t="shared" si="481"/>
        <v>0</v>
      </c>
      <c r="BI506" s="15">
        <f t="shared" si="482"/>
        <v>0</v>
      </c>
      <c r="BJ506" s="15">
        <f t="shared" si="483"/>
        <v>0</v>
      </c>
      <c r="BK506" s="15" t="s">
        <v>2969</v>
      </c>
      <c r="BL506" s="29">
        <v>730</v>
      </c>
    </row>
    <row r="507" spans="1:64" ht="12.75">
      <c r="A507" s="4" t="s">
        <v>463</v>
      </c>
      <c r="B507" s="94" t="s">
        <v>1459</v>
      </c>
      <c r="C507" s="152" t="s">
        <v>2397</v>
      </c>
      <c r="D507" s="153"/>
      <c r="E507" s="153"/>
      <c r="F507" s="153"/>
      <c r="G507" s="94" t="s">
        <v>2850</v>
      </c>
      <c r="H507" s="73">
        <v>4</v>
      </c>
      <c r="I507" s="105">
        <v>0</v>
      </c>
      <c r="J507" s="15">
        <f t="shared" si="460"/>
        <v>0</v>
      </c>
      <c r="K507" s="15">
        <f t="shared" si="461"/>
        <v>0</v>
      </c>
      <c r="L507" s="15">
        <f t="shared" si="462"/>
        <v>0</v>
      </c>
      <c r="M507" s="25"/>
      <c r="N507" s="5"/>
      <c r="Z507" s="29">
        <f t="shared" si="463"/>
        <v>0</v>
      </c>
      <c r="AB507" s="29">
        <f t="shared" si="464"/>
        <v>0</v>
      </c>
      <c r="AC507" s="29">
        <f t="shared" si="465"/>
        <v>0</v>
      </c>
      <c r="AD507" s="29">
        <f t="shared" si="466"/>
        <v>0</v>
      </c>
      <c r="AE507" s="29">
        <f t="shared" si="467"/>
        <v>0</v>
      </c>
      <c r="AF507" s="29">
        <f t="shared" si="468"/>
        <v>0</v>
      </c>
      <c r="AG507" s="29">
        <f t="shared" si="469"/>
        <v>0</v>
      </c>
      <c r="AH507" s="29">
        <f t="shared" si="470"/>
        <v>0</v>
      </c>
      <c r="AI507" s="28" t="s">
        <v>2882</v>
      </c>
      <c r="AJ507" s="15">
        <f t="shared" si="471"/>
        <v>0</v>
      </c>
      <c r="AK507" s="15">
        <f t="shared" si="472"/>
        <v>0</v>
      </c>
      <c r="AL507" s="15">
        <f t="shared" si="473"/>
        <v>0</v>
      </c>
      <c r="AN507" s="29">
        <v>15</v>
      </c>
      <c r="AO507" s="29">
        <f t="shared" si="474"/>
        <v>0</v>
      </c>
      <c r="AP507" s="29">
        <f t="shared" si="475"/>
        <v>0</v>
      </c>
      <c r="AQ507" s="30" t="s">
        <v>13</v>
      </c>
      <c r="AV507" s="29">
        <f t="shared" si="476"/>
        <v>0</v>
      </c>
      <c r="AW507" s="29">
        <f t="shared" si="477"/>
        <v>0</v>
      </c>
      <c r="AX507" s="29">
        <f t="shared" si="478"/>
        <v>0</v>
      </c>
      <c r="AY507" s="32" t="s">
        <v>2917</v>
      </c>
      <c r="AZ507" s="32" t="s">
        <v>2944</v>
      </c>
      <c r="BA507" s="28" t="s">
        <v>2957</v>
      </c>
      <c r="BC507" s="29">
        <f t="shared" si="479"/>
        <v>0</v>
      </c>
      <c r="BD507" s="29">
        <f t="shared" si="480"/>
        <v>0</v>
      </c>
      <c r="BE507" s="29">
        <v>0</v>
      </c>
      <c r="BF507" s="29">
        <f>507</f>
        <v>507</v>
      </c>
      <c r="BH507" s="15">
        <f t="shared" si="481"/>
        <v>0</v>
      </c>
      <c r="BI507" s="15">
        <f t="shared" si="482"/>
        <v>0</v>
      </c>
      <c r="BJ507" s="15">
        <f t="shared" si="483"/>
        <v>0</v>
      </c>
      <c r="BK507" s="15" t="s">
        <v>2969</v>
      </c>
      <c r="BL507" s="29">
        <v>730</v>
      </c>
    </row>
    <row r="508" spans="1:64" ht="12.75">
      <c r="A508" s="4" t="s">
        <v>464</v>
      </c>
      <c r="B508" s="94" t="s">
        <v>1460</v>
      </c>
      <c r="C508" s="152" t="s">
        <v>2398</v>
      </c>
      <c r="D508" s="153"/>
      <c r="E508" s="153"/>
      <c r="F508" s="153"/>
      <c r="G508" s="94" t="s">
        <v>2850</v>
      </c>
      <c r="H508" s="73">
        <v>1</v>
      </c>
      <c r="I508" s="105">
        <v>0</v>
      </c>
      <c r="J508" s="15">
        <f t="shared" si="460"/>
        <v>0</v>
      </c>
      <c r="K508" s="15">
        <f t="shared" si="461"/>
        <v>0</v>
      </c>
      <c r="L508" s="15">
        <f t="shared" si="462"/>
        <v>0</v>
      </c>
      <c r="M508" s="25"/>
      <c r="N508" s="5"/>
      <c r="Z508" s="29">
        <f t="shared" si="463"/>
        <v>0</v>
      </c>
      <c r="AB508" s="29">
        <f t="shared" si="464"/>
        <v>0</v>
      </c>
      <c r="AC508" s="29">
        <f t="shared" si="465"/>
        <v>0</v>
      </c>
      <c r="AD508" s="29">
        <f t="shared" si="466"/>
        <v>0</v>
      </c>
      <c r="AE508" s="29">
        <f t="shared" si="467"/>
        <v>0</v>
      </c>
      <c r="AF508" s="29">
        <f t="shared" si="468"/>
        <v>0</v>
      </c>
      <c r="AG508" s="29">
        <f t="shared" si="469"/>
        <v>0</v>
      </c>
      <c r="AH508" s="29">
        <f t="shared" si="470"/>
        <v>0</v>
      </c>
      <c r="AI508" s="28" t="s">
        <v>2882</v>
      </c>
      <c r="AJ508" s="15">
        <f t="shared" si="471"/>
        <v>0</v>
      </c>
      <c r="AK508" s="15">
        <f t="shared" si="472"/>
        <v>0</v>
      </c>
      <c r="AL508" s="15">
        <f t="shared" si="473"/>
        <v>0</v>
      </c>
      <c r="AN508" s="29">
        <v>15</v>
      </c>
      <c r="AO508" s="29">
        <f t="shared" si="474"/>
        <v>0</v>
      </c>
      <c r="AP508" s="29">
        <f t="shared" si="475"/>
        <v>0</v>
      </c>
      <c r="AQ508" s="30" t="s">
        <v>13</v>
      </c>
      <c r="AV508" s="29">
        <f t="shared" si="476"/>
        <v>0</v>
      </c>
      <c r="AW508" s="29">
        <f t="shared" si="477"/>
        <v>0</v>
      </c>
      <c r="AX508" s="29">
        <f t="shared" si="478"/>
        <v>0</v>
      </c>
      <c r="AY508" s="32" t="s">
        <v>2917</v>
      </c>
      <c r="AZ508" s="32" t="s">
        <v>2944</v>
      </c>
      <c r="BA508" s="28" t="s">
        <v>2957</v>
      </c>
      <c r="BC508" s="29">
        <f t="shared" si="479"/>
        <v>0</v>
      </c>
      <c r="BD508" s="29">
        <f t="shared" si="480"/>
        <v>0</v>
      </c>
      <c r="BE508" s="29">
        <v>0</v>
      </c>
      <c r="BF508" s="29">
        <f>508</f>
        <v>508</v>
      </c>
      <c r="BH508" s="15">
        <f t="shared" si="481"/>
        <v>0</v>
      </c>
      <c r="BI508" s="15">
        <f t="shared" si="482"/>
        <v>0</v>
      </c>
      <c r="BJ508" s="15">
        <f t="shared" si="483"/>
        <v>0</v>
      </c>
      <c r="BK508" s="15" t="s">
        <v>2969</v>
      </c>
      <c r="BL508" s="29">
        <v>730</v>
      </c>
    </row>
    <row r="509" spans="1:64" ht="12.75">
      <c r="A509" s="4" t="s">
        <v>465</v>
      </c>
      <c r="B509" s="94" t="s">
        <v>1461</v>
      </c>
      <c r="C509" s="152" t="s">
        <v>2189</v>
      </c>
      <c r="D509" s="153"/>
      <c r="E509" s="153"/>
      <c r="F509" s="153"/>
      <c r="G509" s="94" t="s">
        <v>2852</v>
      </c>
      <c r="H509" s="73">
        <v>50</v>
      </c>
      <c r="I509" s="105">
        <v>0</v>
      </c>
      <c r="J509" s="15">
        <f t="shared" si="460"/>
        <v>0</v>
      </c>
      <c r="K509" s="15">
        <f t="shared" si="461"/>
        <v>0</v>
      </c>
      <c r="L509" s="15">
        <f t="shared" si="462"/>
        <v>0</v>
      </c>
      <c r="M509" s="25"/>
      <c r="N509" s="5"/>
      <c r="Z509" s="29">
        <f t="shared" si="463"/>
        <v>0</v>
      </c>
      <c r="AB509" s="29">
        <f t="shared" si="464"/>
        <v>0</v>
      </c>
      <c r="AC509" s="29">
        <f t="shared" si="465"/>
        <v>0</v>
      </c>
      <c r="AD509" s="29">
        <f t="shared" si="466"/>
        <v>0</v>
      </c>
      <c r="AE509" s="29">
        <f t="shared" si="467"/>
        <v>0</v>
      </c>
      <c r="AF509" s="29">
        <f t="shared" si="468"/>
        <v>0</v>
      </c>
      <c r="AG509" s="29">
        <f t="shared" si="469"/>
        <v>0</v>
      </c>
      <c r="AH509" s="29">
        <f t="shared" si="470"/>
        <v>0</v>
      </c>
      <c r="AI509" s="28" t="s">
        <v>2882</v>
      </c>
      <c r="AJ509" s="15">
        <f t="shared" si="471"/>
        <v>0</v>
      </c>
      <c r="AK509" s="15">
        <f t="shared" si="472"/>
        <v>0</v>
      </c>
      <c r="AL509" s="15">
        <f t="shared" si="473"/>
        <v>0</v>
      </c>
      <c r="AN509" s="29">
        <v>15</v>
      </c>
      <c r="AO509" s="29">
        <f t="shared" si="474"/>
        <v>0</v>
      </c>
      <c r="AP509" s="29">
        <f t="shared" si="475"/>
        <v>0</v>
      </c>
      <c r="AQ509" s="30" t="s">
        <v>13</v>
      </c>
      <c r="AV509" s="29">
        <f t="shared" si="476"/>
        <v>0</v>
      </c>
      <c r="AW509" s="29">
        <f t="shared" si="477"/>
        <v>0</v>
      </c>
      <c r="AX509" s="29">
        <f t="shared" si="478"/>
        <v>0</v>
      </c>
      <c r="AY509" s="32" t="s">
        <v>2917</v>
      </c>
      <c r="AZ509" s="32" t="s">
        <v>2944</v>
      </c>
      <c r="BA509" s="28" t="s">
        <v>2957</v>
      </c>
      <c r="BC509" s="29">
        <f t="shared" si="479"/>
        <v>0</v>
      </c>
      <c r="BD509" s="29">
        <f t="shared" si="480"/>
        <v>0</v>
      </c>
      <c r="BE509" s="29">
        <v>0</v>
      </c>
      <c r="BF509" s="29">
        <f>509</f>
        <v>509</v>
      </c>
      <c r="BH509" s="15">
        <f t="shared" si="481"/>
        <v>0</v>
      </c>
      <c r="BI509" s="15">
        <f t="shared" si="482"/>
        <v>0</v>
      </c>
      <c r="BJ509" s="15">
        <f t="shared" si="483"/>
        <v>0</v>
      </c>
      <c r="BK509" s="15" t="s">
        <v>2969</v>
      </c>
      <c r="BL509" s="29">
        <v>730</v>
      </c>
    </row>
    <row r="510" spans="1:64" ht="12.75">
      <c r="A510" s="4" t="s">
        <v>466</v>
      </c>
      <c r="B510" s="94" t="s">
        <v>1462</v>
      </c>
      <c r="C510" s="152" t="s">
        <v>2399</v>
      </c>
      <c r="D510" s="153"/>
      <c r="E510" s="153"/>
      <c r="F510" s="153"/>
      <c r="G510" s="94" t="s">
        <v>2850</v>
      </c>
      <c r="H510" s="73">
        <v>1</v>
      </c>
      <c r="I510" s="105">
        <v>0</v>
      </c>
      <c r="J510" s="15">
        <f t="shared" si="460"/>
        <v>0</v>
      </c>
      <c r="K510" s="15">
        <f t="shared" si="461"/>
        <v>0</v>
      </c>
      <c r="L510" s="15">
        <f t="shared" si="462"/>
        <v>0</v>
      </c>
      <c r="M510" s="25"/>
      <c r="N510" s="5"/>
      <c r="Z510" s="29">
        <f t="shared" si="463"/>
        <v>0</v>
      </c>
      <c r="AB510" s="29">
        <f t="shared" si="464"/>
        <v>0</v>
      </c>
      <c r="AC510" s="29">
        <f t="shared" si="465"/>
        <v>0</v>
      </c>
      <c r="AD510" s="29">
        <f t="shared" si="466"/>
        <v>0</v>
      </c>
      <c r="AE510" s="29">
        <f t="shared" si="467"/>
        <v>0</v>
      </c>
      <c r="AF510" s="29">
        <f t="shared" si="468"/>
        <v>0</v>
      </c>
      <c r="AG510" s="29">
        <f t="shared" si="469"/>
        <v>0</v>
      </c>
      <c r="AH510" s="29">
        <f t="shared" si="470"/>
        <v>0</v>
      </c>
      <c r="AI510" s="28" t="s">
        <v>2882</v>
      </c>
      <c r="AJ510" s="15">
        <f t="shared" si="471"/>
        <v>0</v>
      </c>
      <c r="AK510" s="15">
        <f t="shared" si="472"/>
        <v>0</v>
      </c>
      <c r="AL510" s="15">
        <f t="shared" si="473"/>
        <v>0</v>
      </c>
      <c r="AN510" s="29">
        <v>15</v>
      </c>
      <c r="AO510" s="29">
        <f t="shared" si="474"/>
        <v>0</v>
      </c>
      <c r="AP510" s="29">
        <f t="shared" si="475"/>
        <v>0</v>
      </c>
      <c r="AQ510" s="30" t="s">
        <v>13</v>
      </c>
      <c r="AV510" s="29">
        <f t="shared" si="476"/>
        <v>0</v>
      </c>
      <c r="AW510" s="29">
        <f t="shared" si="477"/>
        <v>0</v>
      </c>
      <c r="AX510" s="29">
        <f t="shared" si="478"/>
        <v>0</v>
      </c>
      <c r="AY510" s="32" t="s">
        <v>2917</v>
      </c>
      <c r="AZ510" s="32" t="s">
        <v>2944</v>
      </c>
      <c r="BA510" s="28" t="s">
        <v>2957</v>
      </c>
      <c r="BC510" s="29">
        <f t="shared" si="479"/>
        <v>0</v>
      </c>
      <c r="BD510" s="29">
        <f t="shared" si="480"/>
        <v>0</v>
      </c>
      <c r="BE510" s="29">
        <v>0</v>
      </c>
      <c r="BF510" s="29">
        <f>510</f>
        <v>510</v>
      </c>
      <c r="BH510" s="15">
        <f t="shared" si="481"/>
        <v>0</v>
      </c>
      <c r="BI510" s="15">
        <f t="shared" si="482"/>
        <v>0</v>
      </c>
      <c r="BJ510" s="15">
        <f t="shared" si="483"/>
        <v>0</v>
      </c>
      <c r="BK510" s="15" t="s">
        <v>2969</v>
      </c>
      <c r="BL510" s="29">
        <v>730</v>
      </c>
    </row>
    <row r="511" spans="1:64" ht="12.75">
      <c r="A511" s="4" t="s">
        <v>467</v>
      </c>
      <c r="B511" s="94" t="s">
        <v>1463</v>
      </c>
      <c r="C511" s="152" t="s">
        <v>2400</v>
      </c>
      <c r="D511" s="153"/>
      <c r="E511" s="153"/>
      <c r="F511" s="153"/>
      <c r="G511" s="94" t="s">
        <v>2850</v>
      </c>
      <c r="H511" s="73">
        <v>1</v>
      </c>
      <c r="I511" s="105">
        <v>0</v>
      </c>
      <c r="J511" s="15">
        <f t="shared" si="460"/>
        <v>0</v>
      </c>
      <c r="K511" s="15">
        <f t="shared" si="461"/>
        <v>0</v>
      </c>
      <c r="L511" s="15">
        <f t="shared" si="462"/>
        <v>0</v>
      </c>
      <c r="M511" s="25"/>
      <c r="N511" s="5"/>
      <c r="Z511" s="29">
        <f t="shared" si="463"/>
        <v>0</v>
      </c>
      <c r="AB511" s="29">
        <f t="shared" si="464"/>
        <v>0</v>
      </c>
      <c r="AC511" s="29">
        <f t="shared" si="465"/>
        <v>0</v>
      </c>
      <c r="AD511" s="29">
        <f t="shared" si="466"/>
        <v>0</v>
      </c>
      <c r="AE511" s="29">
        <f t="shared" si="467"/>
        <v>0</v>
      </c>
      <c r="AF511" s="29">
        <f t="shared" si="468"/>
        <v>0</v>
      </c>
      <c r="AG511" s="29">
        <f t="shared" si="469"/>
        <v>0</v>
      </c>
      <c r="AH511" s="29">
        <f t="shared" si="470"/>
        <v>0</v>
      </c>
      <c r="AI511" s="28" t="s">
        <v>2882</v>
      </c>
      <c r="AJ511" s="15">
        <f t="shared" si="471"/>
        <v>0</v>
      </c>
      <c r="AK511" s="15">
        <f t="shared" si="472"/>
        <v>0</v>
      </c>
      <c r="AL511" s="15">
        <f t="shared" si="473"/>
        <v>0</v>
      </c>
      <c r="AN511" s="29">
        <v>15</v>
      </c>
      <c r="AO511" s="29">
        <f t="shared" si="474"/>
        <v>0</v>
      </c>
      <c r="AP511" s="29">
        <f t="shared" si="475"/>
        <v>0</v>
      </c>
      <c r="AQ511" s="30" t="s">
        <v>13</v>
      </c>
      <c r="AV511" s="29">
        <f t="shared" si="476"/>
        <v>0</v>
      </c>
      <c r="AW511" s="29">
        <f t="shared" si="477"/>
        <v>0</v>
      </c>
      <c r="AX511" s="29">
        <f t="shared" si="478"/>
        <v>0</v>
      </c>
      <c r="AY511" s="32" t="s">
        <v>2917</v>
      </c>
      <c r="AZ511" s="32" t="s">
        <v>2944</v>
      </c>
      <c r="BA511" s="28" t="s">
        <v>2957</v>
      </c>
      <c r="BC511" s="29">
        <f t="shared" si="479"/>
        <v>0</v>
      </c>
      <c r="BD511" s="29">
        <f t="shared" si="480"/>
        <v>0</v>
      </c>
      <c r="BE511" s="29">
        <v>0</v>
      </c>
      <c r="BF511" s="29">
        <f>511</f>
        <v>511</v>
      </c>
      <c r="BH511" s="15">
        <f t="shared" si="481"/>
        <v>0</v>
      </c>
      <c r="BI511" s="15">
        <f t="shared" si="482"/>
        <v>0</v>
      </c>
      <c r="BJ511" s="15">
        <f t="shared" si="483"/>
        <v>0</v>
      </c>
      <c r="BK511" s="15" t="s">
        <v>2969</v>
      </c>
      <c r="BL511" s="29">
        <v>730</v>
      </c>
    </row>
    <row r="512" spans="1:64" ht="12.75">
      <c r="A512" s="4" t="s">
        <v>468</v>
      </c>
      <c r="B512" s="94" t="s">
        <v>1464</v>
      </c>
      <c r="C512" s="152" t="s">
        <v>2401</v>
      </c>
      <c r="D512" s="153"/>
      <c r="E512" s="153"/>
      <c r="F512" s="153"/>
      <c r="G512" s="94" t="s">
        <v>2850</v>
      </c>
      <c r="H512" s="73">
        <v>1</v>
      </c>
      <c r="I512" s="105">
        <v>0</v>
      </c>
      <c r="J512" s="15">
        <f t="shared" si="460"/>
        <v>0</v>
      </c>
      <c r="K512" s="15">
        <f t="shared" si="461"/>
        <v>0</v>
      </c>
      <c r="L512" s="15">
        <f t="shared" si="462"/>
        <v>0</v>
      </c>
      <c r="M512" s="25"/>
      <c r="N512" s="5"/>
      <c r="Z512" s="29">
        <f t="shared" si="463"/>
        <v>0</v>
      </c>
      <c r="AB512" s="29">
        <f t="shared" si="464"/>
        <v>0</v>
      </c>
      <c r="AC512" s="29">
        <f t="shared" si="465"/>
        <v>0</v>
      </c>
      <c r="AD512" s="29">
        <f t="shared" si="466"/>
        <v>0</v>
      </c>
      <c r="AE512" s="29">
        <f t="shared" si="467"/>
        <v>0</v>
      </c>
      <c r="AF512" s="29">
        <f t="shared" si="468"/>
        <v>0</v>
      </c>
      <c r="AG512" s="29">
        <f t="shared" si="469"/>
        <v>0</v>
      </c>
      <c r="AH512" s="29">
        <f t="shared" si="470"/>
        <v>0</v>
      </c>
      <c r="AI512" s="28" t="s">
        <v>2882</v>
      </c>
      <c r="AJ512" s="15">
        <f t="shared" si="471"/>
        <v>0</v>
      </c>
      <c r="AK512" s="15">
        <f t="shared" si="472"/>
        <v>0</v>
      </c>
      <c r="AL512" s="15">
        <f t="shared" si="473"/>
        <v>0</v>
      </c>
      <c r="AN512" s="29">
        <v>15</v>
      </c>
      <c r="AO512" s="29">
        <f t="shared" si="474"/>
        <v>0</v>
      </c>
      <c r="AP512" s="29">
        <f t="shared" si="475"/>
        <v>0</v>
      </c>
      <c r="AQ512" s="30" t="s">
        <v>13</v>
      </c>
      <c r="AV512" s="29">
        <f t="shared" si="476"/>
        <v>0</v>
      </c>
      <c r="AW512" s="29">
        <f t="shared" si="477"/>
        <v>0</v>
      </c>
      <c r="AX512" s="29">
        <f t="shared" si="478"/>
        <v>0</v>
      </c>
      <c r="AY512" s="32" t="s">
        <v>2917</v>
      </c>
      <c r="AZ512" s="32" t="s">
        <v>2944</v>
      </c>
      <c r="BA512" s="28" t="s">
        <v>2957</v>
      </c>
      <c r="BC512" s="29">
        <f t="shared" si="479"/>
        <v>0</v>
      </c>
      <c r="BD512" s="29">
        <f t="shared" si="480"/>
        <v>0</v>
      </c>
      <c r="BE512" s="29">
        <v>0</v>
      </c>
      <c r="BF512" s="29">
        <f>512</f>
        <v>512</v>
      </c>
      <c r="BH512" s="15">
        <f t="shared" si="481"/>
        <v>0</v>
      </c>
      <c r="BI512" s="15">
        <f t="shared" si="482"/>
        <v>0</v>
      </c>
      <c r="BJ512" s="15">
        <f t="shared" si="483"/>
        <v>0</v>
      </c>
      <c r="BK512" s="15" t="s">
        <v>2969</v>
      </c>
      <c r="BL512" s="29">
        <v>730</v>
      </c>
    </row>
    <row r="513" spans="1:64" ht="12.75">
      <c r="A513" s="4" t="s">
        <v>469</v>
      </c>
      <c r="B513" s="94" t="s">
        <v>1465</v>
      </c>
      <c r="C513" s="152" t="s">
        <v>2402</v>
      </c>
      <c r="D513" s="153"/>
      <c r="E513" s="153"/>
      <c r="F513" s="153"/>
      <c r="G513" s="94" t="s">
        <v>2850</v>
      </c>
      <c r="H513" s="73">
        <v>1</v>
      </c>
      <c r="I513" s="105">
        <v>0</v>
      </c>
      <c r="J513" s="15">
        <f t="shared" si="460"/>
        <v>0</v>
      </c>
      <c r="K513" s="15">
        <f t="shared" si="461"/>
        <v>0</v>
      </c>
      <c r="L513" s="15">
        <f t="shared" si="462"/>
        <v>0</v>
      </c>
      <c r="M513" s="25"/>
      <c r="N513" s="5"/>
      <c r="Z513" s="29">
        <f t="shared" si="463"/>
        <v>0</v>
      </c>
      <c r="AB513" s="29">
        <f t="shared" si="464"/>
        <v>0</v>
      </c>
      <c r="AC513" s="29">
        <f t="shared" si="465"/>
        <v>0</v>
      </c>
      <c r="AD513" s="29">
        <f t="shared" si="466"/>
        <v>0</v>
      </c>
      <c r="AE513" s="29">
        <f t="shared" si="467"/>
        <v>0</v>
      </c>
      <c r="AF513" s="29">
        <f t="shared" si="468"/>
        <v>0</v>
      </c>
      <c r="AG513" s="29">
        <f t="shared" si="469"/>
        <v>0</v>
      </c>
      <c r="AH513" s="29">
        <f t="shared" si="470"/>
        <v>0</v>
      </c>
      <c r="AI513" s="28" t="s">
        <v>2882</v>
      </c>
      <c r="AJ513" s="15">
        <f t="shared" si="471"/>
        <v>0</v>
      </c>
      <c r="AK513" s="15">
        <f t="shared" si="472"/>
        <v>0</v>
      </c>
      <c r="AL513" s="15">
        <f t="shared" si="473"/>
        <v>0</v>
      </c>
      <c r="AN513" s="29">
        <v>15</v>
      </c>
      <c r="AO513" s="29">
        <f t="shared" si="474"/>
        <v>0</v>
      </c>
      <c r="AP513" s="29">
        <f t="shared" si="475"/>
        <v>0</v>
      </c>
      <c r="AQ513" s="30" t="s">
        <v>13</v>
      </c>
      <c r="AV513" s="29">
        <f t="shared" si="476"/>
        <v>0</v>
      </c>
      <c r="AW513" s="29">
        <f t="shared" si="477"/>
        <v>0</v>
      </c>
      <c r="AX513" s="29">
        <f t="shared" si="478"/>
        <v>0</v>
      </c>
      <c r="AY513" s="32" t="s">
        <v>2917</v>
      </c>
      <c r="AZ513" s="32" t="s">
        <v>2944</v>
      </c>
      <c r="BA513" s="28" t="s">
        <v>2957</v>
      </c>
      <c r="BC513" s="29">
        <f t="shared" si="479"/>
        <v>0</v>
      </c>
      <c r="BD513" s="29">
        <f t="shared" si="480"/>
        <v>0</v>
      </c>
      <c r="BE513" s="29">
        <v>0</v>
      </c>
      <c r="BF513" s="29">
        <f>513</f>
        <v>513</v>
      </c>
      <c r="BH513" s="15">
        <f t="shared" si="481"/>
        <v>0</v>
      </c>
      <c r="BI513" s="15">
        <f t="shared" si="482"/>
        <v>0</v>
      </c>
      <c r="BJ513" s="15">
        <f t="shared" si="483"/>
        <v>0</v>
      </c>
      <c r="BK513" s="15" t="s">
        <v>2969</v>
      </c>
      <c r="BL513" s="29">
        <v>730</v>
      </c>
    </row>
    <row r="514" spans="1:64" ht="12.75">
      <c r="A514" s="4" t="s">
        <v>470</v>
      </c>
      <c r="B514" s="94" t="s">
        <v>1466</v>
      </c>
      <c r="C514" s="152" t="s">
        <v>2269</v>
      </c>
      <c r="D514" s="153"/>
      <c r="E514" s="153"/>
      <c r="F514" s="153"/>
      <c r="G514" s="94" t="s">
        <v>2850</v>
      </c>
      <c r="H514" s="73">
        <v>1</v>
      </c>
      <c r="I514" s="105">
        <v>0</v>
      </c>
      <c r="J514" s="15">
        <f t="shared" si="460"/>
        <v>0</v>
      </c>
      <c r="K514" s="15">
        <f t="shared" si="461"/>
        <v>0</v>
      </c>
      <c r="L514" s="15">
        <f t="shared" si="462"/>
        <v>0</v>
      </c>
      <c r="M514" s="25"/>
      <c r="N514" s="5"/>
      <c r="Z514" s="29">
        <f t="shared" si="463"/>
        <v>0</v>
      </c>
      <c r="AB514" s="29">
        <f t="shared" si="464"/>
        <v>0</v>
      </c>
      <c r="AC514" s="29">
        <f t="shared" si="465"/>
        <v>0</v>
      </c>
      <c r="AD514" s="29">
        <f t="shared" si="466"/>
        <v>0</v>
      </c>
      <c r="AE514" s="29">
        <f t="shared" si="467"/>
        <v>0</v>
      </c>
      <c r="AF514" s="29">
        <f t="shared" si="468"/>
        <v>0</v>
      </c>
      <c r="AG514" s="29">
        <f t="shared" si="469"/>
        <v>0</v>
      </c>
      <c r="AH514" s="29">
        <f t="shared" si="470"/>
        <v>0</v>
      </c>
      <c r="AI514" s="28" t="s">
        <v>2882</v>
      </c>
      <c r="AJ514" s="15">
        <f t="shared" si="471"/>
        <v>0</v>
      </c>
      <c r="AK514" s="15">
        <f t="shared" si="472"/>
        <v>0</v>
      </c>
      <c r="AL514" s="15">
        <f t="shared" si="473"/>
        <v>0</v>
      </c>
      <c r="AN514" s="29">
        <v>15</v>
      </c>
      <c r="AO514" s="29">
        <f t="shared" si="474"/>
        <v>0</v>
      </c>
      <c r="AP514" s="29">
        <f t="shared" si="475"/>
        <v>0</v>
      </c>
      <c r="AQ514" s="30" t="s">
        <v>13</v>
      </c>
      <c r="AV514" s="29">
        <f t="shared" si="476"/>
        <v>0</v>
      </c>
      <c r="AW514" s="29">
        <f t="shared" si="477"/>
        <v>0</v>
      </c>
      <c r="AX514" s="29">
        <f t="shared" si="478"/>
        <v>0</v>
      </c>
      <c r="AY514" s="32" t="s">
        <v>2917</v>
      </c>
      <c r="AZ514" s="32" t="s">
        <v>2944</v>
      </c>
      <c r="BA514" s="28" t="s">
        <v>2957</v>
      </c>
      <c r="BC514" s="29">
        <f t="shared" si="479"/>
        <v>0</v>
      </c>
      <c r="BD514" s="29">
        <f t="shared" si="480"/>
        <v>0</v>
      </c>
      <c r="BE514" s="29">
        <v>0</v>
      </c>
      <c r="BF514" s="29">
        <f>514</f>
        <v>514</v>
      </c>
      <c r="BH514" s="15">
        <f t="shared" si="481"/>
        <v>0</v>
      </c>
      <c r="BI514" s="15">
        <f t="shared" si="482"/>
        <v>0</v>
      </c>
      <c r="BJ514" s="15">
        <f t="shared" si="483"/>
        <v>0</v>
      </c>
      <c r="BK514" s="15" t="s">
        <v>2969</v>
      </c>
      <c r="BL514" s="29">
        <v>730</v>
      </c>
    </row>
    <row r="515" spans="1:64" ht="12.75">
      <c r="A515" s="4" t="s">
        <v>471</v>
      </c>
      <c r="B515" s="94" t="s">
        <v>1467</v>
      </c>
      <c r="C515" s="152" t="s">
        <v>2403</v>
      </c>
      <c r="D515" s="153"/>
      <c r="E515" s="153"/>
      <c r="F515" s="153"/>
      <c r="G515" s="94" t="s">
        <v>2850</v>
      </c>
      <c r="H515" s="73">
        <v>1</v>
      </c>
      <c r="I515" s="105">
        <v>0</v>
      </c>
      <c r="J515" s="15">
        <f t="shared" si="460"/>
        <v>0</v>
      </c>
      <c r="K515" s="15">
        <f t="shared" si="461"/>
        <v>0</v>
      </c>
      <c r="L515" s="15">
        <f t="shared" si="462"/>
        <v>0</v>
      </c>
      <c r="M515" s="25"/>
      <c r="N515" s="5"/>
      <c r="Z515" s="29">
        <f t="shared" si="463"/>
        <v>0</v>
      </c>
      <c r="AB515" s="29">
        <f t="shared" si="464"/>
        <v>0</v>
      </c>
      <c r="AC515" s="29">
        <f t="shared" si="465"/>
        <v>0</v>
      </c>
      <c r="AD515" s="29">
        <f t="shared" si="466"/>
        <v>0</v>
      </c>
      <c r="AE515" s="29">
        <f t="shared" si="467"/>
        <v>0</v>
      </c>
      <c r="AF515" s="29">
        <f t="shared" si="468"/>
        <v>0</v>
      </c>
      <c r="AG515" s="29">
        <f t="shared" si="469"/>
        <v>0</v>
      </c>
      <c r="AH515" s="29">
        <f t="shared" si="470"/>
        <v>0</v>
      </c>
      <c r="AI515" s="28" t="s">
        <v>2882</v>
      </c>
      <c r="AJ515" s="15">
        <f t="shared" si="471"/>
        <v>0</v>
      </c>
      <c r="AK515" s="15">
        <f t="shared" si="472"/>
        <v>0</v>
      </c>
      <c r="AL515" s="15">
        <f t="shared" si="473"/>
        <v>0</v>
      </c>
      <c r="AN515" s="29">
        <v>15</v>
      </c>
      <c r="AO515" s="29">
        <f t="shared" si="474"/>
        <v>0</v>
      </c>
      <c r="AP515" s="29">
        <f t="shared" si="475"/>
        <v>0</v>
      </c>
      <c r="AQ515" s="30" t="s">
        <v>13</v>
      </c>
      <c r="AV515" s="29">
        <f t="shared" si="476"/>
        <v>0</v>
      </c>
      <c r="AW515" s="29">
        <f t="shared" si="477"/>
        <v>0</v>
      </c>
      <c r="AX515" s="29">
        <f t="shared" si="478"/>
        <v>0</v>
      </c>
      <c r="AY515" s="32" t="s">
        <v>2917</v>
      </c>
      <c r="AZ515" s="32" t="s">
        <v>2944</v>
      </c>
      <c r="BA515" s="28" t="s">
        <v>2957</v>
      </c>
      <c r="BC515" s="29">
        <f t="shared" si="479"/>
        <v>0</v>
      </c>
      <c r="BD515" s="29">
        <f t="shared" si="480"/>
        <v>0</v>
      </c>
      <c r="BE515" s="29">
        <v>0</v>
      </c>
      <c r="BF515" s="29">
        <f>515</f>
        <v>515</v>
      </c>
      <c r="BH515" s="15">
        <f t="shared" si="481"/>
        <v>0</v>
      </c>
      <c r="BI515" s="15">
        <f t="shared" si="482"/>
        <v>0</v>
      </c>
      <c r="BJ515" s="15">
        <f t="shared" si="483"/>
        <v>0</v>
      </c>
      <c r="BK515" s="15" t="s">
        <v>2969</v>
      </c>
      <c r="BL515" s="29">
        <v>730</v>
      </c>
    </row>
    <row r="516" spans="1:64" ht="12.75">
      <c r="A516" s="4" t="s">
        <v>472</v>
      </c>
      <c r="B516" s="94" t="s">
        <v>1468</v>
      </c>
      <c r="C516" s="152" t="s">
        <v>2193</v>
      </c>
      <c r="D516" s="153"/>
      <c r="E516" s="153"/>
      <c r="F516" s="153"/>
      <c r="G516" s="94" t="s">
        <v>2852</v>
      </c>
      <c r="H516" s="73">
        <v>30</v>
      </c>
      <c r="I516" s="105">
        <v>0</v>
      </c>
      <c r="J516" s="15">
        <f t="shared" si="460"/>
        <v>0</v>
      </c>
      <c r="K516" s="15">
        <f t="shared" si="461"/>
        <v>0</v>
      </c>
      <c r="L516" s="15">
        <f t="shared" si="462"/>
        <v>0</v>
      </c>
      <c r="M516" s="25"/>
      <c r="N516" s="5"/>
      <c r="Z516" s="29">
        <f t="shared" si="463"/>
        <v>0</v>
      </c>
      <c r="AB516" s="29">
        <f t="shared" si="464"/>
        <v>0</v>
      </c>
      <c r="AC516" s="29">
        <f t="shared" si="465"/>
        <v>0</v>
      </c>
      <c r="AD516" s="29">
        <f t="shared" si="466"/>
        <v>0</v>
      </c>
      <c r="AE516" s="29">
        <f t="shared" si="467"/>
        <v>0</v>
      </c>
      <c r="AF516" s="29">
        <f t="shared" si="468"/>
        <v>0</v>
      </c>
      <c r="AG516" s="29">
        <f t="shared" si="469"/>
        <v>0</v>
      </c>
      <c r="AH516" s="29">
        <f t="shared" si="470"/>
        <v>0</v>
      </c>
      <c r="AI516" s="28" t="s">
        <v>2882</v>
      </c>
      <c r="AJ516" s="15">
        <f t="shared" si="471"/>
        <v>0</v>
      </c>
      <c r="AK516" s="15">
        <f t="shared" si="472"/>
        <v>0</v>
      </c>
      <c r="AL516" s="15">
        <f t="shared" si="473"/>
        <v>0</v>
      </c>
      <c r="AN516" s="29">
        <v>15</v>
      </c>
      <c r="AO516" s="29">
        <f t="shared" si="474"/>
        <v>0</v>
      </c>
      <c r="AP516" s="29">
        <f t="shared" si="475"/>
        <v>0</v>
      </c>
      <c r="AQ516" s="30" t="s">
        <v>13</v>
      </c>
      <c r="AV516" s="29">
        <f t="shared" si="476"/>
        <v>0</v>
      </c>
      <c r="AW516" s="29">
        <f t="shared" si="477"/>
        <v>0</v>
      </c>
      <c r="AX516" s="29">
        <f t="shared" si="478"/>
        <v>0</v>
      </c>
      <c r="AY516" s="32" t="s">
        <v>2917</v>
      </c>
      <c r="AZ516" s="32" t="s">
        <v>2944</v>
      </c>
      <c r="BA516" s="28" t="s">
        <v>2957</v>
      </c>
      <c r="BC516" s="29">
        <f t="shared" si="479"/>
        <v>0</v>
      </c>
      <c r="BD516" s="29">
        <f t="shared" si="480"/>
        <v>0</v>
      </c>
      <c r="BE516" s="29">
        <v>0</v>
      </c>
      <c r="BF516" s="29">
        <f>516</f>
        <v>516</v>
      </c>
      <c r="BH516" s="15">
        <f t="shared" si="481"/>
        <v>0</v>
      </c>
      <c r="BI516" s="15">
        <f t="shared" si="482"/>
        <v>0</v>
      </c>
      <c r="BJ516" s="15">
        <f t="shared" si="483"/>
        <v>0</v>
      </c>
      <c r="BK516" s="15" t="s">
        <v>2969</v>
      </c>
      <c r="BL516" s="29">
        <v>730</v>
      </c>
    </row>
    <row r="517" spans="1:64" ht="12.75">
      <c r="A517" s="4" t="s">
        <v>473</v>
      </c>
      <c r="B517" s="94" t="s">
        <v>1469</v>
      </c>
      <c r="C517" s="152" t="s">
        <v>2194</v>
      </c>
      <c r="D517" s="153"/>
      <c r="E517" s="153"/>
      <c r="F517" s="153"/>
      <c r="G517" s="94" t="s">
        <v>2850</v>
      </c>
      <c r="H517" s="73">
        <v>1</v>
      </c>
      <c r="I517" s="105">
        <v>0</v>
      </c>
      <c r="J517" s="15">
        <f t="shared" si="460"/>
        <v>0</v>
      </c>
      <c r="K517" s="15">
        <f t="shared" si="461"/>
        <v>0</v>
      </c>
      <c r="L517" s="15">
        <f t="shared" si="462"/>
        <v>0</v>
      </c>
      <c r="M517" s="25"/>
      <c r="N517" s="5"/>
      <c r="Z517" s="29">
        <f t="shared" si="463"/>
        <v>0</v>
      </c>
      <c r="AB517" s="29">
        <f t="shared" si="464"/>
        <v>0</v>
      </c>
      <c r="AC517" s="29">
        <f t="shared" si="465"/>
        <v>0</v>
      </c>
      <c r="AD517" s="29">
        <f t="shared" si="466"/>
        <v>0</v>
      </c>
      <c r="AE517" s="29">
        <f t="shared" si="467"/>
        <v>0</v>
      </c>
      <c r="AF517" s="29">
        <f t="shared" si="468"/>
        <v>0</v>
      </c>
      <c r="AG517" s="29">
        <f t="shared" si="469"/>
        <v>0</v>
      </c>
      <c r="AH517" s="29">
        <f t="shared" si="470"/>
        <v>0</v>
      </c>
      <c r="AI517" s="28" t="s">
        <v>2882</v>
      </c>
      <c r="AJ517" s="15">
        <f t="shared" si="471"/>
        <v>0</v>
      </c>
      <c r="AK517" s="15">
        <f t="shared" si="472"/>
        <v>0</v>
      </c>
      <c r="AL517" s="15">
        <f t="shared" si="473"/>
        <v>0</v>
      </c>
      <c r="AN517" s="29">
        <v>15</v>
      </c>
      <c r="AO517" s="29">
        <f t="shared" si="474"/>
        <v>0</v>
      </c>
      <c r="AP517" s="29">
        <f t="shared" si="475"/>
        <v>0</v>
      </c>
      <c r="AQ517" s="30" t="s">
        <v>13</v>
      </c>
      <c r="AV517" s="29">
        <f t="shared" si="476"/>
        <v>0</v>
      </c>
      <c r="AW517" s="29">
        <f t="shared" si="477"/>
        <v>0</v>
      </c>
      <c r="AX517" s="29">
        <f t="shared" si="478"/>
        <v>0</v>
      </c>
      <c r="AY517" s="32" t="s">
        <v>2917</v>
      </c>
      <c r="AZ517" s="32" t="s">
        <v>2944</v>
      </c>
      <c r="BA517" s="28" t="s">
        <v>2957</v>
      </c>
      <c r="BC517" s="29">
        <f t="shared" si="479"/>
        <v>0</v>
      </c>
      <c r="BD517" s="29">
        <f t="shared" si="480"/>
        <v>0</v>
      </c>
      <c r="BE517" s="29">
        <v>0</v>
      </c>
      <c r="BF517" s="29">
        <f>517</f>
        <v>517</v>
      </c>
      <c r="BH517" s="15">
        <f t="shared" si="481"/>
        <v>0</v>
      </c>
      <c r="BI517" s="15">
        <f t="shared" si="482"/>
        <v>0</v>
      </c>
      <c r="BJ517" s="15">
        <f t="shared" si="483"/>
        <v>0</v>
      </c>
      <c r="BK517" s="15" t="s">
        <v>2969</v>
      </c>
      <c r="BL517" s="29">
        <v>730</v>
      </c>
    </row>
    <row r="518" spans="1:64" ht="12.75">
      <c r="A518" s="4" t="s">
        <v>474</v>
      </c>
      <c r="B518" s="94" t="s">
        <v>1470</v>
      </c>
      <c r="C518" s="152" t="s">
        <v>2195</v>
      </c>
      <c r="D518" s="153"/>
      <c r="E518" s="153"/>
      <c r="F518" s="153"/>
      <c r="G518" s="94" t="s">
        <v>2850</v>
      </c>
      <c r="H518" s="73">
        <v>1</v>
      </c>
      <c r="I518" s="105">
        <v>0</v>
      </c>
      <c r="J518" s="15">
        <f t="shared" si="460"/>
        <v>0</v>
      </c>
      <c r="K518" s="15">
        <f t="shared" si="461"/>
        <v>0</v>
      </c>
      <c r="L518" s="15">
        <f t="shared" si="462"/>
        <v>0</v>
      </c>
      <c r="M518" s="25"/>
      <c r="N518" s="5"/>
      <c r="Z518" s="29">
        <f t="shared" si="463"/>
        <v>0</v>
      </c>
      <c r="AB518" s="29">
        <f t="shared" si="464"/>
        <v>0</v>
      </c>
      <c r="AC518" s="29">
        <f t="shared" si="465"/>
        <v>0</v>
      </c>
      <c r="AD518" s="29">
        <f t="shared" si="466"/>
        <v>0</v>
      </c>
      <c r="AE518" s="29">
        <f t="shared" si="467"/>
        <v>0</v>
      </c>
      <c r="AF518" s="29">
        <f t="shared" si="468"/>
        <v>0</v>
      </c>
      <c r="AG518" s="29">
        <f t="shared" si="469"/>
        <v>0</v>
      </c>
      <c r="AH518" s="29">
        <f t="shared" si="470"/>
        <v>0</v>
      </c>
      <c r="AI518" s="28" t="s">
        <v>2882</v>
      </c>
      <c r="AJ518" s="15">
        <f t="shared" si="471"/>
        <v>0</v>
      </c>
      <c r="AK518" s="15">
        <f t="shared" si="472"/>
        <v>0</v>
      </c>
      <c r="AL518" s="15">
        <f t="shared" si="473"/>
        <v>0</v>
      </c>
      <c r="AN518" s="29">
        <v>15</v>
      </c>
      <c r="AO518" s="29">
        <f t="shared" si="474"/>
        <v>0</v>
      </c>
      <c r="AP518" s="29">
        <f t="shared" si="475"/>
        <v>0</v>
      </c>
      <c r="AQ518" s="30" t="s">
        <v>13</v>
      </c>
      <c r="AV518" s="29">
        <f t="shared" si="476"/>
        <v>0</v>
      </c>
      <c r="AW518" s="29">
        <f t="shared" si="477"/>
        <v>0</v>
      </c>
      <c r="AX518" s="29">
        <f t="shared" si="478"/>
        <v>0</v>
      </c>
      <c r="AY518" s="32" t="s">
        <v>2917</v>
      </c>
      <c r="AZ518" s="32" t="s">
        <v>2944</v>
      </c>
      <c r="BA518" s="28" t="s">
        <v>2957</v>
      </c>
      <c r="BC518" s="29">
        <f t="shared" si="479"/>
        <v>0</v>
      </c>
      <c r="BD518" s="29">
        <f t="shared" si="480"/>
        <v>0</v>
      </c>
      <c r="BE518" s="29">
        <v>0</v>
      </c>
      <c r="BF518" s="29">
        <f>518</f>
        <v>518</v>
      </c>
      <c r="BH518" s="15">
        <f t="shared" si="481"/>
        <v>0</v>
      </c>
      <c r="BI518" s="15">
        <f t="shared" si="482"/>
        <v>0</v>
      </c>
      <c r="BJ518" s="15">
        <f t="shared" si="483"/>
        <v>0</v>
      </c>
      <c r="BK518" s="15" t="s">
        <v>2969</v>
      </c>
      <c r="BL518" s="29">
        <v>730</v>
      </c>
    </row>
    <row r="519" spans="1:64" ht="12.75">
      <c r="A519" s="4" t="s">
        <v>475</v>
      </c>
      <c r="B519" s="94" t="s">
        <v>1471</v>
      </c>
      <c r="C519" s="152" t="s">
        <v>2196</v>
      </c>
      <c r="D519" s="153"/>
      <c r="E519" s="153"/>
      <c r="F519" s="153"/>
      <c r="G519" s="94" t="s">
        <v>2850</v>
      </c>
      <c r="H519" s="73">
        <v>1</v>
      </c>
      <c r="I519" s="105">
        <v>0</v>
      </c>
      <c r="J519" s="15">
        <f t="shared" si="460"/>
        <v>0</v>
      </c>
      <c r="K519" s="15">
        <f t="shared" si="461"/>
        <v>0</v>
      </c>
      <c r="L519" s="15">
        <f t="shared" si="462"/>
        <v>0</v>
      </c>
      <c r="M519" s="25"/>
      <c r="N519" s="5"/>
      <c r="Z519" s="29">
        <f t="shared" si="463"/>
        <v>0</v>
      </c>
      <c r="AB519" s="29">
        <f t="shared" si="464"/>
        <v>0</v>
      </c>
      <c r="AC519" s="29">
        <f t="shared" si="465"/>
        <v>0</v>
      </c>
      <c r="AD519" s="29">
        <f t="shared" si="466"/>
        <v>0</v>
      </c>
      <c r="AE519" s="29">
        <f t="shared" si="467"/>
        <v>0</v>
      </c>
      <c r="AF519" s="29">
        <f t="shared" si="468"/>
        <v>0</v>
      </c>
      <c r="AG519" s="29">
        <f t="shared" si="469"/>
        <v>0</v>
      </c>
      <c r="AH519" s="29">
        <f t="shared" si="470"/>
        <v>0</v>
      </c>
      <c r="AI519" s="28" t="s">
        <v>2882</v>
      </c>
      <c r="AJ519" s="15">
        <f t="shared" si="471"/>
        <v>0</v>
      </c>
      <c r="AK519" s="15">
        <f t="shared" si="472"/>
        <v>0</v>
      </c>
      <c r="AL519" s="15">
        <f t="shared" si="473"/>
        <v>0</v>
      </c>
      <c r="AN519" s="29">
        <v>15</v>
      </c>
      <c r="AO519" s="29">
        <f t="shared" si="474"/>
        <v>0</v>
      </c>
      <c r="AP519" s="29">
        <f t="shared" si="475"/>
        <v>0</v>
      </c>
      <c r="AQ519" s="30" t="s">
        <v>13</v>
      </c>
      <c r="AV519" s="29">
        <f aca="true" t="shared" si="484" ref="AV519">AW519+AX519</f>
        <v>0</v>
      </c>
      <c r="AW519" s="29">
        <f t="shared" si="477"/>
        <v>0</v>
      </c>
      <c r="AX519" s="29">
        <f t="shared" si="478"/>
        <v>0</v>
      </c>
      <c r="AY519" s="32" t="s">
        <v>2917</v>
      </c>
      <c r="AZ519" s="32" t="s">
        <v>2944</v>
      </c>
      <c r="BA519" s="28" t="s">
        <v>2957</v>
      </c>
      <c r="BC519" s="29">
        <f t="shared" si="479"/>
        <v>0</v>
      </c>
      <c r="BD519" s="29">
        <f aca="true" t="shared" si="485" ref="BD519">I519/(100-BE519)*100</f>
        <v>0</v>
      </c>
      <c r="BE519" s="29">
        <v>0</v>
      </c>
      <c r="BF519" s="29">
        <f>519</f>
        <v>519</v>
      </c>
      <c r="BH519" s="15">
        <f t="shared" si="481"/>
        <v>0</v>
      </c>
      <c r="BI519" s="15">
        <f t="shared" si="482"/>
        <v>0</v>
      </c>
      <c r="BJ519" s="15">
        <f t="shared" si="483"/>
        <v>0</v>
      </c>
      <c r="BK519" s="15" t="s">
        <v>2969</v>
      </c>
      <c r="BL519" s="29">
        <v>730</v>
      </c>
    </row>
    <row r="520" spans="1:47" ht="12.75">
      <c r="A520" s="3"/>
      <c r="B520" s="97" t="s">
        <v>768</v>
      </c>
      <c r="C520" s="161" t="s">
        <v>2404</v>
      </c>
      <c r="D520" s="162"/>
      <c r="E520" s="162"/>
      <c r="F520" s="162"/>
      <c r="G520" s="13" t="s">
        <v>6</v>
      </c>
      <c r="H520" s="13" t="s">
        <v>6</v>
      </c>
      <c r="I520" s="13" t="s">
        <v>6</v>
      </c>
      <c r="J520" s="34">
        <f>SUM(J521:J527)</f>
        <v>0</v>
      </c>
      <c r="K520" s="34">
        <f>SUM(K521:K527)</f>
        <v>0</v>
      </c>
      <c r="L520" s="34">
        <f>SUM(L521:L527)</f>
        <v>0</v>
      </c>
      <c r="M520" s="24"/>
      <c r="N520" s="5"/>
      <c r="AI520" s="28" t="s">
        <v>2882</v>
      </c>
      <c r="AS520" s="34">
        <f>SUM(AJ521:AJ527)</f>
        <v>0</v>
      </c>
      <c r="AT520" s="34">
        <f>SUM(AK521:AK527)</f>
        <v>0</v>
      </c>
      <c r="AU520" s="34">
        <f>SUM(AL521:AL527)</f>
        <v>0</v>
      </c>
    </row>
    <row r="521" spans="1:64" ht="12.75">
      <c r="A521" s="4" t="s">
        <v>476</v>
      </c>
      <c r="B521" s="94" t="s">
        <v>1472</v>
      </c>
      <c r="C521" s="152" t="s">
        <v>2405</v>
      </c>
      <c r="D521" s="153"/>
      <c r="E521" s="153"/>
      <c r="F521" s="153"/>
      <c r="G521" s="94" t="s">
        <v>2851</v>
      </c>
      <c r="H521" s="73">
        <v>1134</v>
      </c>
      <c r="I521" s="105">
        <v>0</v>
      </c>
      <c r="J521" s="15">
        <f aca="true" t="shared" si="486" ref="J521:J527">H521*AO521</f>
        <v>0</v>
      </c>
      <c r="K521" s="15">
        <f aca="true" t="shared" si="487" ref="K521:K527">H521*AP521</f>
        <v>0</v>
      </c>
      <c r="L521" s="15">
        <f aca="true" t="shared" si="488" ref="L521:L527">H521*I521</f>
        <v>0</v>
      </c>
      <c r="M521" s="25" t="s">
        <v>2872</v>
      </c>
      <c r="N521" s="5"/>
      <c r="Z521" s="29">
        <f aca="true" t="shared" si="489" ref="Z521:Z527">IF(AQ521="5",BJ521,0)</f>
        <v>0</v>
      </c>
      <c r="AB521" s="29">
        <f aca="true" t="shared" si="490" ref="AB521:AB527">IF(AQ521="1",BH521,0)</f>
        <v>0</v>
      </c>
      <c r="AC521" s="29">
        <f aca="true" t="shared" si="491" ref="AC521:AC527">IF(AQ521="1",BI521,0)</f>
        <v>0</v>
      </c>
      <c r="AD521" s="29">
        <f aca="true" t="shared" si="492" ref="AD521:AD527">IF(AQ521="7",BH521,0)</f>
        <v>0</v>
      </c>
      <c r="AE521" s="29">
        <f aca="true" t="shared" si="493" ref="AE521:AE527">IF(AQ521="7",BI521,0)</f>
        <v>0</v>
      </c>
      <c r="AF521" s="29">
        <f aca="true" t="shared" si="494" ref="AF521:AF527">IF(AQ521="2",BH521,0)</f>
        <v>0</v>
      </c>
      <c r="AG521" s="29">
        <f aca="true" t="shared" si="495" ref="AG521:AG527">IF(AQ521="2",BI521,0)</f>
        <v>0</v>
      </c>
      <c r="AH521" s="29">
        <f aca="true" t="shared" si="496" ref="AH521:AH527">IF(AQ521="0",BJ521,0)</f>
        <v>0</v>
      </c>
      <c r="AI521" s="28" t="s">
        <v>2882</v>
      </c>
      <c r="AJ521" s="15">
        <f aca="true" t="shared" si="497" ref="AJ521:AJ527">IF(AN521=0,L521,0)</f>
        <v>0</v>
      </c>
      <c r="AK521" s="15">
        <f aca="true" t="shared" si="498" ref="AK521:AK527">IF(AN521=15,L521,0)</f>
        <v>0</v>
      </c>
      <c r="AL521" s="15">
        <f aca="true" t="shared" si="499" ref="AL521:AL527">IF(AN521=21,L521,0)</f>
        <v>0</v>
      </c>
      <c r="AN521" s="29">
        <v>15</v>
      </c>
      <c r="AO521" s="29">
        <f>I521*0</f>
        <v>0</v>
      </c>
      <c r="AP521" s="29">
        <f>I521*(1-0)</f>
        <v>0</v>
      </c>
      <c r="AQ521" s="30" t="s">
        <v>13</v>
      </c>
      <c r="AV521" s="29">
        <f aca="true" t="shared" si="500" ref="AV521:AV527">AW521+AX521</f>
        <v>0</v>
      </c>
      <c r="AW521" s="29">
        <f aca="true" t="shared" si="501" ref="AW521:AW527">H521*AO521</f>
        <v>0</v>
      </c>
      <c r="AX521" s="29">
        <f aca="true" t="shared" si="502" ref="AX521:AX527">H521*AP521</f>
        <v>0</v>
      </c>
      <c r="AY521" s="32" t="s">
        <v>2918</v>
      </c>
      <c r="AZ521" s="32" t="s">
        <v>2945</v>
      </c>
      <c r="BA521" s="28" t="s">
        <v>2957</v>
      </c>
      <c r="BC521" s="29">
        <f aca="true" t="shared" si="503" ref="BC521:BC527">AW521+AX521</f>
        <v>0</v>
      </c>
      <c r="BD521" s="29">
        <f aca="true" t="shared" si="504" ref="BD521:BD527">I521/(100-BE521)*100</f>
        <v>0</v>
      </c>
      <c r="BE521" s="29">
        <v>0</v>
      </c>
      <c r="BF521" s="29">
        <f>521</f>
        <v>521</v>
      </c>
      <c r="BH521" s="15">
        <f aca="true" t="shared" si="505" ref="BH521:BH527">H521*AO521</f>
        <v>0</v>
      </c>
      <c r="BI521" s="15">
        <f aca="true" t="shared" si="506" ref="BI521:BI527">H521*AP521</f>
        <v>0</v>
      </c>
      <c r="BJ521" s="15">
        <f aca="true" t="shared" si="507" ref="BJ521:BJ527">H521*I521</f>
        <v>0</v>
      </c>
      <c r="BK521" s="15" t="s">
        <v>2969</v>
      </c>
      <c r="BL521" s="29">
        <v>762</v>
      </c>
    </row>
    <row r="522" spans="1:64" ht="12.75">
      <c r="A522" s="4" t="s">
        <v>477</v>
      </c>
      <c r="B522" s="94" t="s">
        <v>1473</v>
      </c>
      <c r="C522" s="152" t="s">
        <v>2406</v>
      </c>
      <c r="D522" s="153"/>
      <c r="E522" s="153"/>
      <c r="F522" s="153"/>
      <c r="G522" s="94" t="s">
        <v>2849</v>
      </c>
      <c r="H522" s="73">
        <v>102.06</v>
      </c>
      <c r="I522" s="105">
        <v>0</v>
      </c>
      <c r="J522" s="15">
        <f t="shared" si="486"/>
        <v>0</v>
      </c>
      <c r="K522" s="15">
        <f t="shared" si="487"/>
        <v>0</v>
      </c>
      <c r="L522" s="15">
        <f t="shared" si="488"/>
        <v>0</v>
      </c>
      <c r="M522" s="25" t="s">
        <v>2872</v>
      </c>
      <c r="N522" s="5"/>
      <c r="Z522" s="29">
        <f t="shared" si="489"/>
        <v>0</v>
      </c>
      <c r="AB522" s="29">
        <f t="shared" si="490"/>
        <v>0</v>
      </c>
      <c r="AC522" s="29">
        <f t="shared" si="491"/>
        <v>0</v>
      </c>
      <c r="AD522" s="29">
        <f t="shared" si="492"/>
        <v>0</v>
      </c>
      <c r="AE522" s="29">
        <f t="shared" si="493"/>
        <v>0</v>
      </c>
      <c r="AF522" s="29">
        <f t="shared" si="494"/>
        <v>0</v>
      </c>
      <c r="AG522" s="29">
        <f t="shared" si="495"/>
        <v>0</v>
      </c>
      <c r="AH522" s="29">
        <f t="shared" si="496"/>
        <v>0</v>
      </c>
      <c r="AI522" s="28" t="s">
        <v>2882</v>
      </c>
      <c r="AJ522" s="15">
        <f t="shared" si="497"/>
        <v>0</v>
      </c>
      <c r="AK522" s="15">
        <f t="shared" si="498"/>
        <v>0</v>
      </c>
      <c r="AL522" s="15">
        <f t="shared" si="499"/>
        <v>0</v>
      </c>
      <c r="AN522" s="29">
        <v>15</v>
      </c>
      <c r="AO522" s="29">
        <f>I522*0</f>
        <v>0</v>
      </c>
      <c r="AP522" s="29">
        <f>I522*(1-0)</f>
        <v>0</v>
      </c>
      <c r="AQ522" s="30" t="s">
        <v>13</v>
      </c>
      <c r="AV522" s="29">
        <f t="shared" si="500"/>
        <v>0</v>
      </c>
      <c r="AW522" s="29">
        <f t="shared" si="501"/>
        <v>0</v>
      </c>
      <c r="AX522" s="29">
        <f t="shared" si="502"/>
        <v>0</v>
      </c>
      <c r="AY522" s="32" t="s">
        <v>2918</v>
      </c>
      <c r="AZ522" s="32" t="s">
        <v>2945</v>
      </c>
      <c r="BA522" s="28" t="s">
        <v>2957</v>
      </c>
      <c r="BC522" s="29">
        <f t="shared" si="503"/>
        <v>0</v>
      </c>
      <c r="BD522" s="29">
        <f t="shared" si="504"/>
        <v>0</v>
      </c>
      <c r="BE522" s="29">
        <v>0</v>
      </c>
      <c r="BF522" s="29">
        <f>522</f>
        <v>522</v>
      </c>
      <c r="BH522" s="15">
        <f t="shared" si="505"/>
        <v>0</v>
      </c>
      <c r="BI522" s="15">
        <f t="shared" si="506"/>
        <v>0</v>
      </c>
      <c r="BJ522" s="15">
        <f t="shared" si="507"/>
        <v>0</v>
      </c>
      <c r="BK522" s="15" t="s">
        <v>2969</v>
      </c>
      <c r="BL522" s="29">
        <v>762</v>
      </c>
    </row>
    <row r="523" spans="1:64" ht="12.75">
      <c r="A523" s="4" t="s">
        <v>478</v>
      </c>
      <c r="B523" s="94" t="s">
        <v>1474</v>
      </c>
      <c r="C523" s="152" t="s">
        <v>2407</v>
      </c>
      <c r="D523" s="153"/>
      <c r="E523" s="153"/>
      <c r="F523" s="153"/>
      <c r="G523" s="94" t="s">
        <v>2851</v>
      </c>
      <c r="H523" s="73">
        <v>315</v>
      </c>
      <c r="I523" s="105">
        <v>0</v>
      </c>
      <c r="J523" s="15">
        <f t="shared" si="486"/>
        <v>0</v>
      </c>
      <c r="K523" s="15">
        <f t="shared" si="487"/>
        <v>0</v>
      </c>
      <c r="L523" s="15">
        <f t="shared" si="488"/>
        <v>0</v>
      </c>
      <c r="M523" s="25" t="s">
        <v>2872</v>
      </c>
      <c r="N523" s="5"/>
      <c r="Z523" s="29">
        <f t="shared" si="489"/>
        <v>0</v>
      </c>
      <c r="AB523" s="29">
        <f t="shared" si="490"/>
        <v>0</v>
      </c>
      <c r="AC523" s="29">
        <f t="shared" si="491"/>
        <v>0</v>
      </c>
      <c r="AD523" s="29">
        <f t="shared" si="492"/>
        <v>0</v>
      </c>
      <c r="AE523" s="29">
        <f t="shared" si="493"/>
        <v>0</v>
      </c>
      <c r="AF523" s="29">
        <f t="shared" si="494"/>
        <v>0</v>
      </c>
      <c r="AG523" s="29">
        <f t="shared" si="495"/>
        <v>0</v>
      </c>
      <c r="AH523" s="29">
        <f t="shared" si="496"/>
        <v>0</v>
      </c>
      <c r="AI523" s="28" t="s">
        <v>2882</v>
      </c>
      <c r="AJ523" s="15">
        <f t="shared" si="497"/>
        <v>0</v>
      </c>
      <c r="AK523" s="15">
        <f t="shared" si="498"/>
        <v>0</v>
      </c>
      <c r="AL523" s="15">
        <f t="shared" si="499"/>
        <v>0</v>
      </c>
      <c r="AN523" s="29">
        <v>15</v>
      </c>
      <c r="AO523" s="29">
        <f>I523*0.476662143826323</f>
        <v>0</v>
      </c>
      <c r="AP523" s="29">
        <f>I523*(1-0.476662143826323)</f>
        <v>0</v>
      </c>
      <c r="AQ523" s="30" t="s">
        <v>13</v>
      </c>
      <c r="AV523" s="29">
        <f t="shared" si="500"/>
        <v>0</v>
      </c>
      <c r="AW523" s="29">
        <f t="shared" si="501"/>
        <v>0</v>
      </c>
      <c r="AX523" s="29">
        <f t="shared" si="502"/>
        <v>0</v>
      </c>
      <c r="AY523" s="32" t="s">
        <v>2918</v>
      </c>
      <c r="AZ523" s="32" t="s">
        <v>2945</v>
      </c>
      <c r="BA523" s="28" t="s">
        <v>2957</v>
      </c>
      <c r="BC523" s="29">
        <f t="shared" si="503"/>
        <v>0</v>
      </c>
      <c r="BD523" s="29">
        <f t="shared" si="504"/>
        <v>0</v>
      </c>
      <c r="BE523" s="29">
        <v>0</v>
      </c>
      <c r="BF523" s="29">
        <f>523</f>
        <v>523</v>
      </c>
      <c r="BH523" s="15">
        <f t="shared" si="505"/>
        <v>0</v>
      </c>
      <c r="BI523" s="15">
        <f t="shared" si="506"/>
        <v>0</v>
      </c>
      <c r="BJ523" s="15">
        <f t="shared" si="507"/>
        <v>0</v>
      </c>
      <c r="BK523" s="15" t="s">
        <v>2969</v>
      </c>
      <c r="BL523" s="29">
        <v>762</v>
      </c>
    </row>
    <row r="524" spans="1:64" ht="12.75">
      <c r="A524" s="4" t="s">
        <v>479</v>
      </c>
      <c r="B524" s="94" t="s">
        <v>1474</v>
      </c>
      <c r="C524" s="152" t="s">
        <v>2408</v>
      </c>
      <c r="D524" s="153"/>
      <c r="E524" s="153"/>
      <c r="F524" s="153"/>
      <c r="G524" s="94" t="s">
        <v>2851</v>
      </c>
      <c r="H524" s="73">
        <v>252</v>
      </c>
      <c r="I524" s="105">
        <v>0</v>
      </c>
      <c r="J524" s="15">
        <f t="shared" si="486"/>
        <v>0</v>
      </c>
      <c r="K524" s="15">
        <f t="shared" si="487"/>
        <v>0</v>
      </c>
      <c r="L524" s="15">
        <f t="shared" si="488"/>
        <v>0</v>
      </c>
      <c r="M524" s="25" t="s">
        <v>2872</v>
      </c>
      <c r="N524" s="5"/>
      <c r="Z524" s="29">
        <f t="shared" si="489"/>
        <v>0</v>
      </c>
      <c r="AB524" s="29">
        <f t="shared" si="490"/>
        <v>0</v>
      </c>
      <c r="AC524" s="29">
        <f t="shared" si="491"/>
        <v>0</v>
      </c>
      <c r="AD524" s="29">
        <f t="shared" si="492"/>
        <v>0</v>
      </c>
      <c r="AE524" s="29">
        <f t="shared" si="493"/>
        <v>0</v>
      </c>
      <c r="AF524" s="29">
        <f t="shared" si="494"/>
        <v>0</v>
      </c>
      <c r="AG524" s="29">
        <f t="shared" si="495"/>
        <v>0</v>
      </c>
      <c r="AH524" s="29">
        <f t="shared" si="496"/>
        <v>0</v>
      </c>
      <c r="AI524" s="28" t="s">
        <v>2882</v>
      </c>
      <c r="AJ524" s="15">
        <f t="shared" si="497"/>
        <v>0</v>
      </c>
      <c r="AK524" s="15">
        <f t="shared" si="498"/>
        <v>0</v>
      </c>
      <c r="AL524" s="15">
        <f t="shared" si="499"/>
        <v>0</v>
      </c>
      <c r="AN524" s="29">
        <v>15</v>
      </c>
      <c r="AO524" s="29">
        <f>I524*0.476662193661436</f>
        <v>0</v>
      </c>
      <c r="AP524" s="29">
        <f>I524*(1-0.476662193661436)</f>
        <v>0</v>
      </c>
      <c r="AQ524" s="30" t="s">
        <v>13</v>
      </c>
      <c r="AV524" s="29">
        <f t="shared" si="500"/>
        <v>0</v>
      </c>
      <c r="AW524" s="29">
        <f t="shared" si="501"/>
        <v>0</v>
      </c>
      <c r="AX524" s="29">
        <f t="shared" si="502"/>
        <v>0</v>
      </c>
      <c r="AY524" s="32" t="s">
        <v>2918</v>
      </c>
      <c r="AZ524" s="32" t="s">
        <v>2945</v>
      </c>
      <c r="BA524" s="28" t="s">
        <v>2957</v>
      </c>
      <c r="BC524" s="29">
        <f t="shared" si="503"/>
        <v>0</v>
      </c>
      <c r="BD524" s="29">
        <f t="shared" si="504"/>
        <v>0</v>
      </c>
      <c r="BE524" s="29">
        <v>0</v>
      </c>
      <c r="BF524" s="29">
        <f>524</f>
        <v>524</v>
      </c>
      <c r="BH524" s="15">
        <f t="shared" si="505"/>
        <v>0</v>
      </c>
      <c r="BI524" s="15">
        <f t="shared" si="506"/>
        <v>0</v>
      </c>
      <c r="BJ524" s="15">
        <f t="shared" si="507"/>
        <v>0</v>
      </c>
      <c r="BK524" s="15" t="s">
        <v>2969</v>
      </c>
      <c r="BL524" s="29">
        <v>762</v>
      </c>
    </row>
    <row r="525" spans="1:64" ht="12.75">
      <c r="A525" s="4" t="s">
        <v>480</v>
      </c>
      <c r="B525" s="94" t="s">
        <v>1475</v>
      </c>
      <c r="C525" s="152" t="s">
        <v>2409</v>
      </c>
      <c r="D525" s="153"/>
      <c r="E525" s="153"/>
      <c r="F525" s="153"/>
      <c r="G525" s="94" t="s">
        <v>2849</v>
      </c>
      <c r="H525" s="73">
        <v>48</v>
      </c>
      <c r="I525" s="105">
        <v>0</v>
      </c>
      <c r="J525" s="15">
        <f t="shared" si="486"/>
        <v>0</v>
      </c>
      <c r="K525" s="15">
        <f t="shared" si="487"/>
        <v>0</v>
      </c>
      <c r="L525" s="15">
        <f t="shared" si="488"/>
        <v>0</v>
      </c>
      <c r="M525" s="25" t="s">
        <v>2872</v>
      </c>
      <c r="N525" s="5"/>
      <c r="Z525" s="29">
        <f t="shared" si="489"/>
        <v>0</v>
      </c>
      <c r="AB525" s="29">
        <f t="shared" si="490"/>
        <v>0</v>
      </c>
      <c r="AC525" s="29">
        <f t="shared" si="491"/>
        <v>0</v>
      </c>
      <c r="AD525" s="29">
        <f t="shared" si="492"/>
        <v>0</v>
      </c>
      <c r="AE525" s="29">
        <f t="shared" si="493"/>
        <v>0</v>
      </c>
      <c r="AF525" s="29">
        <f t="shared" si="494"/>
        <v>0</v>
      </c>
      <c r="AG525" s="29">
        <f t="shared" si="495"/>
        <v>0</v>
      </c>
      <c r="AH525" s="29">
        <f t="shared" si="496"/>
        <v>0</v>
      </c>
      <c r="AI525" s="28" t="s">
        <v>2882</v>
      </c>
      <c r="AJ525" s="15">
        <f t="shared" si="497"/>
        <v>0</v>
      </c>
      <c r="AK525" s="15">
        <f t="shared" si="498"/>
        <v>0</v>
      </c>
      <c r="AL525" s="15">
        <f t="shared" si="499"/>
        <v>0</v>
      </c>
      <c r="AN525" s="29">
        <v>15</v>
      </c>
      <c r="AO525" s="29">
        <f>I525*0.836361161524501</f>
        <v>0</v>
      </c>
      <c r="AP525" s="29">
        <f>I525*(1-0.836361161524501)</f>
        <v>0</v>
      </c>
      <c r="AQ525" s="30" t="s">
        <v>13</v>
      </c>
      <c r="AV525" s="29">
        <f t="shared" si="500"/>
        <v>0</v>
      </c>
      <c r="AW525" s="29">
        <f t="shared" si="501"/>
        <v>0</v>
      </c>
      <c r="AX525" s="29">
        <f t="shared" si="502"/>
        <v>0</v>
      </c>
      <c r="AY525" s="32" t="s">
        <v>2918</v>
      </c>
      <c r="AZ525" s="32" t="s">
        <v>2945</v>
      </c>
      <c r="BA525" s="28" t="s">
        <v>2957</v>
      </c>
      <c r="BC525" s="29">
        <f t="shared" si="503"/>
        <v>0</v>
      </c>
      <c r="BD525" s="29">
        <f t="shared" si="504"/>
        <v>0</v>
      </c>
      <c r="BE525" s="29">
        <v>0</v>
      </c>
      <c r="BF525" s="29">
        <f>525</f>
        <v>525</v>
      </c>
      <c r="BH525" s="15">
        <f t="shared" si="505"/>
        <v>0</v>
      </c>
      <c r="BI525" s="15">
        <f t="shared" si="506"/>
        <v>0</v>
      </c>
      <c r="BJ525" s="15">
        <f t="shared" si="507"/>
        <v>0</v>
      </c>
      <c r="BK525" s="15" t="s">
        <v>2969</v>
      </c>
      <c r="BL525" s="29">
        <v>762</v>
      </c>
    </row>
    <row r="526" spans="1:64" ht="12.75">
      <c r="A526" s="4" t="s">
        <v>481</v>
      </c>
      <c r="B526" s="94" t="s">
        <v>1476</v>
      </c>
      <c r="C526" s="152" t="s">
        <v>2410</v>
      </c>
      <c r="D526" s="153"/>
      <c r="E526" s="153"/>
      <c r="F526" s="153"/>
      <c r="G526" s="94" t="s">
        <v>2849</v>
      </c>
      <c r="H526" s="73">
        <v>48</v>
      </c>
      <c r="I526" s="105">
        <v>0</v>
      </c>
      <c r="J526" s="15">
        <f t="shared" si="486"/>
        <v>0</v>
      </c>
      <c r="K526" s="15">
        <f t="shared" si="487"/>
        <v>0</v>
      </c>
      <c r="L526" s="15">
        <f t="shared" si="488"/>
        <v>0</v>
      </c>
      <c r="M526" s="25" t="s">
        <v>2872</v>
      </c>
      <c r="N526" s="5"/>
      <c r="Z526" s="29">
        <f t="shared" si="489"/>
        <v>0</v>
      </c>
      <c r="AB526" s="29">
        <f t="shared" si="490"/>
        <v>0</v>
      </c>
      <c r="AC526" s="29">
        <f t="shared" si="491"/>
        <v>0</v>
      </c>
      <c r="AD526" s="29">
        <f t="shared" si="492"/>
        <v>0</v>
      </c>
      <c r="AE526" s="29">
        <f t="shared" si="493"/>
        <v>0</v>
      </c>
      <c r="AF526" s="29">
        <f t="shared" si="494"/>
        <v>0</v>
      </c>
      <c r="AG526" s="29">
        <f t="shared" si="495"/>
        <v>0</v>
      </c>
      <c r="AH526" s="29">
        <f t="shared" si="496"/>
        <v>0</v>
      </c>
      <c r="AI526" s="28" t="s">
        <v>2882</v>
      </c>
      <c r="AJ526" s="15">
        <f t="shared" si="497"/>
        <v>0</v>
      </c>
      <c r="AK526" s="15">
        <f t="shared" si="498"/>
        <v>0</v>
      </c>
      <c r="AL526" s="15">
        <f t="shared" si="499"/>
        <v>0</v>
      </c>
      <c r="AN526" s="29">
        <v>15</v>
      </c>
      <c r="AO526" s="29">
        <f>I526*0.999997276428853</f>
        <v>0</v>
      </c>
      <c r="AP526" s="29">
        <f>I526*(1-0.999997276428853)</f>
        <v>0</v>
      </c>
      <c r="AQ526" s="30" t="s">
        <v>13</v>
      </c>
      <c r="AV526" s="29">
        <f t="shared" si="500"/>
        <v>0</v>
      </c>
      <c r="AW526" s="29">
        <f t="shared" si="501"/>
        <v>0</v>
      </c>
      <c r="AX526" s="29">
        <f t="shared" si="502"/>
        <v>0</v>
      </c>
      <c r="AY526" s="32" t="s">
        <v>2918</v>
      </c>
      <c r="AZ526" s="32" t="s">
        <v>2945</v>
      </c>
      <c r="BA526" s="28" t="s">
        <v>2957</v>
      </c>
      <c r="BC526" s="29">
        <f t="shared" si="503"/>
        <v>0</v>
      </c>
      <c r="BD526" s="29">
        <f t="shared" si="504"/>
        <v>0</v>
      </c>
      <c r="BE526" s="29">
        <v>0</v>
      </c>
      <c r="BF526" s="29">
        <f>526</f>
        <v>526</v>
      </c>
      <c r="BH526" s="15">
        <f t="shared" si="505"/>
        <v>0</v>
      </c>
      <c r="BI526" s="15">
        <f t="shared" si="506"/>
        <v>0</v>
      </c>
      <c r="BJ526" s="15">
        <f t="shared" si="507"/>
        <v>0</v>
      </c>
      <c r="BK526" s="15" t="s">
        <v>2969</v>
      </c>
      <c r="BL526" s="29">
        <v>762</v>
      </c>
    </row>
    <row r="527" spans="1:64" ht="12.75">
      <c r="A527" s="4" t="s">
        <v>482</v>
      </c>
      <c r="B527" s="94" t="s">
        <v>1477</v>
      </c>
      <c r="C527" s="152" t="s">
        <v>2411</v>
      </c>
      <c r="D527" s="153"/>
      <c r="E527" s="153"/>
      <c r="F527" s="153"/>
      <c r="G527" s="94" t="s">
        <v>2848</v>
      </c>
      <c r="H527" s="73">
        <v>1.389</v>
      </c>
      <c r="I527" s="105">
        <v>0</v>
      </c>
      <c r="J527" s="15">
        <f t="shared" si="486"/>
        <v>0</v>
      </c>
      <c r="K527" s="15">
        <f t="shared" si="487"/>
        <v>0</v>
      </c>
      <c r="L527" s="15">
        <f t="shared" si="488"/>
        <v>0</v>
      </c>
      <c r="M527" s="25" t="s">
        <v>2872</v>
      </c>
      <c r="N527" s="5"/>
      <c r="Z527" s="29">
        <f t="shared" si="489"/>
        <v>0</v>
      </c>
      <c r="AB527" s="29">
        <f t="shared" si="490"/>
        <v>0</v>
      </c>
      <c r="AC527" s="29">
        <f t="shared" si="491"/>
        <v>0</v>
      </c>
      <c r="AD527" s="29">
        <f t="shared" si="492"/>
        <v>0</v>
      </c>
      <c r="AE527" s="29">
        <f t="shared" si="493"/>
        <v>0</v>
      </c>
      <c r="AF527" s="29">
        <f t="shared" si="494"/>
        <v>0</v>
      </c>
      <c r="AG527" s="29">
        <f t="shared" si="495"/>
        <v>0</v>
      </c>
      <c r="AH527" s="29">
        <f t="shared" si="496"/>
        <v>0</v>
      </c>
      <c r="AI527" s="28" t="s">
        <v>2882</v>
      </c>
      <c r="AJ527" s="15">
        <f t="shared" si="497"/>
        <v>0</v>
      </c>
      <c r="AK527" s="15">
        <f t="shared" si="498"/>
        <v>0</v>
      </c>
      <c r="AL527" s="15">
        <f t="shared" si="499"/>
        <v>0</v>
      </c>
      <c r="AN527" s="29">
        <v>15</v>
      </c>
      <c r="AO527" s="29">
        <f>I527*0</f>
        <v>0</v>
      </c>
      <c r="AP527" s="29">
        <f>I527*(1-0)</f>
        <v>0</v>
      </c>
      <c r="AQ527" s="30" t="s">
        <v>11</v>
      </c>
      <c r="AV527" s="29">
        <f t="shared" si="500"/>
        <v>0</v>
      </c>
      <c r="AW527" s="29">
        <f t="shared" si="501"/>
        <v>0</v>
      </c>
      <c r="AX527" s="29">
        <f t="shared" si="502"/>
        <v>0</v>
      </c>
      <c r="AY527" s="32" t="s">
        <v>2918</v>
      </c>
      <c r="AZ527" s="32" t="s">
        <v>2945</v>
      </c>
      <c r="BA527" s="28" t="s">
        <v>2957</v>
      </c>
      <c r="BC527" s="29">
        <f t="shared" si="503"/>
        <v>0</v>
      </c>
      <c r="BD527" s="29">
        <f t="shared" si="504"/>
        <v>0</v>
      </c>
      <c r="BE527" s="29">
        <v>0</v>
      </c>
      <c r="BF527" s="29">
        <f>527</f>
        <v>527</v>
      </c>
      <c r="BH527" s="15">
        <f t="shared" si="505"/>
        <v>0</v>
      </c>
      <c r="BI527" s="15">
        <f t="shared" si="506"/>
        <v>0</v>
      </c>
      <c r="BJ527" s="15">
        <f t="shared" si="507"/>
        <v>0</v>
      </c>
      <c r="BK527" s="15" t="s">
        <v>2969</v>
      </c>
      <c r="BL527" s="29">
        <v>762</v>
      </c>
    </row>
    <row r="528" spans="1:47" ht="12.75">
      <c r="A528" s="3"/>
      <c r="B528" s="97" t="s">
        <v>770</v>
      </c>
      <c r="C528" s="161" t="s">
        <v>2412</v>
      </c>
      <c r="D528" s="162"/>
      <c r="E528" s="162"/>
      <c r="F528" s="162"/>
      <c r="G528" s="13" t="s">
        <v>6</v>
      </c>
      <c r="H528" s="13" t="s">
        <v>6</v>
      </c>
      <c r="I528" s="13" t="s">
        <v>6</v>
      </c>
      <c r="J528" s="34">
        <f>SUM(J529:J534)</f>
        <v>0</v>
      </c>
      <c r="K528" s="34">
        <f>SUM(K529:K534)</f>
        <v>0</v>
      </c>
      <c r="L528" s="34">
        <f>SUM(L529:L534)</f>
        <v>0</v>
      </c>
      <c r="M528" s="24"/>
      <c r="N528" s="5"/>
      <c r="AI528" s="28" t="s">
        <v>2882</v>
      </c>
      <c r="AS528" s="34">
        <f>SUM(AJ529:AJ534)</f>
        <v>0</v>
      </c>
      <c r="AT528" s="34">
        <f>SUM(AK529:AK534)</f>
        <v>0</v>
      </c>
      <c r="AU528" s="34">
        <f>SUM(AL529:AL534)</f>
        <v>0</v>
      </c>
    </row>
    <row r="529" spans="1:64" ht="12.75">
      <c r="A529" s="4" t="s">
        <v>483</v>
      </c>
      <c r="B529" s="94" t="s">
        <v>1478</v>
      </c>
      <c r="C529" s="152" t="s">
        <v>2413</v>
      </c>
      <c r="D529" s="153"/>
      <c r="E529" s="153"/>
      <c r="F529" s="153"/>
      <c r="G529" s="94" t="s">
        <v>2851</v>
      </c>
      <c r="H529" s="73">
        <v>40</v>
      </c>
      <c r="I529" s="105">
        <v>0</v>
      </c>
      <c r="J529" s="15">
        <f aca="true" t="shared" si="508" ref="J529:J534">H529*AO529</f>
        <v>0</v>
      </c>
      <c r="K529" s="15">
        <f aca="true" t="shared" si="509" ref="K529:K534">H529*AP529</f>
        <v>0</v>
      </c>
      <c r="L529" s="15">
        <f aca="true" t="shared" si="510" ref="L529:L534">H529*I529</f>
        <v>0</v>
      </c>
      <c r="M529" s="25" t="s">
        <v>2872</v>
      </c>
      <c r="N529" s="5"/>
      <c r="Z529" s="29">
        <f aca="true" t="shared" si="511" ref="Z529:Z534">IF(AQ529="5",BJ529,0)</f>
        <v>0</v>
      </c>
      <c r="AB529" s="29">
        <f aca="true" t="shared" si="512" ref="AB529:AB534">IF(AQ529="1",BH529,0)</f>
        <v>0</v>
      </c>
      <c r="AC529" s="29">
        <f aca="true" t="shared" si="513" ref="AC529:AC534">IF(AQ529="1",BI529,0)</f>
        <v>0</v>
      </c>
      <c r="AD529" s="29">
        <f aca="true" t="shared" si="514" ref="AD529:AD534">IF(AQ529="7",BH529,0)</f>
        <v>0</v>
      </c>
      <c r="AE529" s="29">
        <f aca="true" t="shared" si="515" ref="AE529:AE534">IF(AQ529="7",BI529,0)</f>
        <v>0</v>
      </c>
      <c r="AF529" s="29">
        <f aca="true" t="shared" si="516" ref="AF529:AF534">IF(AQ529="2",BH529,0)</f>
        <v>0</v>
      </c>
      <c r="AG529" s="29">
        <f aca="true" t="shared" si="517" ref="AG529:AG534">IF(AQ529="2",BI529,0)</f>
        <v>0</v>
      </c>
      <c r="AH529" s="29">
        <f aca="true" t="shared" si="518" ref="AH529:AH534">IF(AQ529="0",BJ529,0)</f>
        <v>0</v>
      </c>
      <c r="AI529" s="28" t="s">
        <v>2882</v>
      </c>
      <c r="AJ529" s="15">
        <f aca="true" t="shared" si="519" ref="AJ529:AJ534">IF(AN529=0,L529,0)</f>
        <v>0</v>
      </c>
      <c r="AK529" s="15">
        <f aca="true" t="shared" si="520" ref="AK529:AK534">IF(AN529=15,L529,0)</f>
        <v>0</v>
      </c>
      <c r="AL529" s="15">
        <f aca="true" t="shared" si="521" ref="AL529:AL534">IF(AN529=21,L529,0)</f>
        <v>0</v>
      </c>
      <c r="AN529" s="29">
        <v>15</v>
      </c>
      <c r="AO529" s="29">
        <f>I529*0.19628987228557</f>
        <v>0</v>
      </c>
      <c r="AP529" s="29">
        <f>I529*(1-0.19628987228557)</f>
        <v>0</v>
      </c>
      <c r="AQ529" s="30" t="s">
        <v>13</v>
      </c>
      <c r="AV529" s="29">
        <f aca="true" t="shared" si="522" ref="AV529:AV534">AW529+AX529</f>
        <v>0</v>
      </c>
      <c r="AW529" s="29">
        <f aca="true" t="shared" si="523" ref="AW529:AW534">H529*AO529</f>
        <v>0</v>
      </c>
      <c r="AX529" s="29">
        <f aca="true" t="shared" si="524" ref="AX529:AX534">H529*AP529</f>
        <v>0</v>
      </c>
      <c r="AY529" s="32" t="s">
        <v>2919</v>
      </c>
      <c r="AZ529" s="32" t="s">
        <v>2945</v>
      </c>
      <c r="BA529" s="28" t="s">
        <v>2957</v>
      </c>
      <c r="BC529" s="29">
        <f aca="true" t="shared" si="525" ref="BC529:BC534">AW529+AX529</f>
        <v>0</v>
      </c>
      <c r="BD529" s="29">
        <f aca="true" t="shared" si="526" ref="BD529:BD534">I529/(100-BE529)*100</f>
        <v>0</v>
      </c>
      <c r="BE529" s="29">
        <v>0</v>
      </c>
      <c r="BF529" s="29">
        <f>529</f>
        <v>529</v>
      </c>
      <c r="BH529" s="15">
        <f aca="true" t="shared" si="527" ref="BH529:BH534">H529*AO529</f>
        <v>0</v>
      </c>
      <c r="BI529" s="15">
        <f aca="true" t="shared" si="528" ref="BI529:BI534">H529*AP529</f>
        <v>0</v>
      </c>
      <c r="BJ529" s="15">
        <f aca="true" t="shared" si="529" ref="BJ529:BJ534">H529*I529</f>
        <v>0</v>
      </c>
      <c r="BK529" s="15" t="s">
        <v>2969</v>
      </c>
      <c r="BL529" s="29">
        <v>764</v>
      </c>
    </row>
    <row r="530" spans="1:64" ht="12.75">
      <c r="A530" s="4" t="s">
        <v>484</v>
      </c>
      <c r="B530" s="94" t="s">
        <v>1479</v>
      </c>
      <c r="C530" s="152" t="s">
        <v>2414</v>
      </c>
      <c r="D530" s="153"/>
      <c r="E530" s="153"/>
      <c r="F530" s="153"/>
      <c r="G530" s="94" t="s">
        <v>2851</v>
      </c>
      <c r="H530" s="73">
        <v>7.8</v>
      </c>
      <c r="I530" s="105">
        <v>0</v>
      </c>
      <c r="J530" s="15">
        <f t="shared" si="508"/>
        <v>0</v>
      </c>
      <c r="K530" s="15">
        <f t="shared" si="509"/>
        <v>0</v>
      </c>
      <c r="L530" s="15">
        <f t="shared" si="510"/>
        <v>0</v>
      </c>
      <c r="M530" s="25" t="s">
        <v>2872</v>
      </c>
      <c r="N530" s="5"/>
      <c r="Z530" s="29">
        <f t="shared" si="511"/>
        <v>0</v>
      </c>
      <c r="AB530" s="29">
        <f t="shared" si="512"/>
        <v>0</v>
      </c>
      <c r="AC530" s="29">
        <f t="shared" si="513"/>
        <v>0</v>
      </c>
      <c r="AD530" s="29">
        <f t="shared" si="514"/>
        <v>0</v>
      </c>
      <c r="AE530" s="29">
        <f t="shared" si="515"/>
        <v>0</v>
      </c>
      <c r="AF530" s="29">
        <f t="shared" si="516"/>
        <v>0</v>
      </c>
      <c r="AG530" s="29">
        <f t="shared" si="517"/>
        <v>0</v>
      </c>
      <c r="AH530" s="29">
        <f t="shared" si="518"/>
        <v>0</v>
      </c>
      <c r="AI530" s="28" t="s">
        <v>2882</v>
      </c>
      <c r="AJ530" s="15">
        <f t="shared" si="519"/>
        <v>0</v>
      </c>
      <c r="AK530" s="15">
        <f t="shared" si="520"/>
        <v>0</v>
      </c>
      <c r="AL530" s="15">
        <f t="shared" si="521"/>
        <v>0</v>
      </c>
      <c r="AN530" s="29">
        <v>15</v>
      </c>
      <c r="AO530" s="29">
        <f>I530*0.40630303030303</f>
        <v>0</v>
      </c>
      <c r="AP530" s="29">
        <f>I530*(1-0.40630303030303)</f>
        <v>0</v>
      </c>
      <c r="AQ530" s="30" t="s">
        <v>13</v>
      </c>
      <c r="AV530" s="29">
        <f t="shared" si="522"/>
        <v>0</v>
      </c>
      <c r="AW530" s="29">
        <f t="shared" si="523"/>
        <v>0</v>
      </c>
      <c r="AX530" s="29">
        <f t="shared" si="524"/>
        <v>0</v>
      </c>
      <c r="AY530" s="32" t="s">
        <v>2919</v>
      </c>
      <c r="AZ530" s="32" t="s">
        <v>2945</v>
      </c>
      <c r="BA530" s="28" t="s">
        <v>2957</v>
      </c>
      <c r="BC530" s="29">
        <f t="shared" si="525"/>
        <v>0</v>
      </c>
      <c r="BD530" s="29">
        <f t="shared" si="526"/>
        <v>0</v>
      </c>
      <c r="BE530" s="29">
        <v>0</v>
      </c>
      <c r="BF530" s="29">
        <f>530</f>
        <v>530</v>
      </c>
      <c r="BH530" s="15">
        <f t="shared" si="527"/>
        <v>0</v>
      </c>
      <c r="BI530" s="15">
        <f t="shared" si="528"/>
        <v>0</v>
      </c>
      <c r="BJ530" s="15">
        <f t="shared" si="529"/>
        <v>0</v>
      </c>
      <c r="BK530" s="15" t="s">
        <v>2969</v>
      </c>
      <c r="BL530" s="29">
        <v>764</v>
      </c>
    </row>
    <row r="531" spans="1:64" ht="12.75">
      <c r="A531" s="4" t="s">
        <v>485</v>
      </c>
      <c r="B531" s="94" t="s">
        <v>1480</v>
      </c>
      <c r="C531" s="152" t="s">
        <v>2415</v>
      </c>
      <c r="D531" s="153"/>
      <c r="E531" s="153"/>
      <c r="F531" s="153"/>
      <c r="G531" s="94" t="s">
        <v>2851</v>
      </c>
      <c r="H531" s="73">
        <v>6.4</v>
      </c>
      <c r="I531" s="105">
        <v>0</v>
      </c>
      <c r="J531" s="15">
        <f t="shared" si="508"/>
        <v>0</v>
      </c>
      <c r="K531" s="15">
        <f t="shared" si="509"/>
        <v>0</v>
      </c>
      <c r="L531" s="15">
        <f t="shared" si="510"/>
        <v>0</v>
      </c>
      <c r="M531" s="25" t="s">
        <v>2872</v>
      </c>
      <c r="N531" s="5"/>
      <c r="Z531" s="29">
        <f t="shared" si="511"/>
        <v>0</v>
      </c>
      <c r="AB531" s="29">
        <f t="shared" si="512"/>
        <v>0</v>
      </c>
      <c r="AC531" s="29">
        <f t="shared" si="513"/>
        <v>0</v>
      </c>
      <c r="AD531" s="29">
        <f t="shared" si="514"/>
        <v>0</v>
      </c>
      <c r="AE531" s="29">
        <f t="shared" si="515"/>
        <v>0</v>
      </c>
      <c r="AF531" s="29">
        <f t="shared" si="516"/>
        <v>0</v>
      </c>
      <c r="AG531" s="29">
        <f t="shared" si="517"/>
        <v>0</v>
      </c>
      <c r="AH531" s="29">
        <f t="shared" si="518"/>
        <v>0</v>
      </c>
      <c r="AI531" s="28" t="s">
        <v>2882</v>
      </c>
      <c r="AJ531" s="15">
        <f t="shared" si="519"/>
        <v>0</v>
      </c>
      <c r="AK531" s="15">
        <f t="shared" si="520"/>
        <v>0</v>
      </c>
      <c r="AL531" s="15">
        <f t="shared" si="521"/>
        <v>0</v>
      </c>
      <c r="AN531" s="29">
        <v>15</v>
      </c>
      <c r="AO531" s="29">
        <f>I531*0.661570856801875</f>
        <v>0</v>
      </c>
      <c r="AP531" s="29">
        <f>I531*(1-0.661570856801875)</f>
        <v>0</v>
      </c>
      <c r="AQ531" s="30" t="s">
        <v>13</v>
      </c>
      <c r="AV531" s="29">
        <f t="shared" si="522"/>
        <v>0</v>
      </c>
      <c r="AW531" s="29">
        <f t="shared" si="523"/>
        <v>0</v>
      </c>
      <c r="AX531" s="29">
        <f t="shared" si="524"/>
        <v>0</v>
      </c>
      <c r="AY531" s="32" t="s">
        <v>2919</v>
      </c>
      <c r="AZ531" s="32" t="s">
        <v>2945</v>
      </c>
      <c r="BA531" s="28" t="s">
        <v>2957</v>
      </c>
      <c r="BC531" s="29">
        <f t="shared" si="525"/>
        <v>0</v>
      </c>
      <c r="BD531" s="29">
        <f t="shared" si="526"/>
        <v>0</v>
      </c>
      <c r="BE531" s="29">
        <v>0</v>
      </c>
      <c r="BF531" s="29">
        <f>531</f>
        <v>531</v>
      </c>
      <c r="BH531" s="15">
        <f t="shared" si="527"/>
        <v>0</v>
      </c>
      <c r="BI531" s="15">
        <f t="shared" si="528"/>
        <v>0</v>
      </c>
      <c r="BJ531" s="15">
        <f t="shared" si="529"/>
        <v>0</v>
      </c>
      <c r="BK531" s="15" t="s">
        <v>2969</v>
      </c>
      <c r="BL531" s="29">
        <v>764</v>
      </c>
    </row>
    <row r="532" spans="1:64" ht="12.75">
      <c r="A532" s="4" t="s">
        <v>486</v>
      </c>
      <c r="B532" s="94" t="s">
        <v>1481</v>
      </c>
      <c r="C532" s="152" t="s">
        <v>2416</v>
      </c>
      <c r="D532" s="153"/>
      <c r="E532" s="153"/>
      <c r="F532" s="153"/>
      <c r="G532" s="94" t="s">
        <v>2851</v>
      </c>
      <c r="H532" s="73">
        <v>29.2</v>
      </c>
      <c r="I532" s="105">
        <v>0</v>
      </c>
      <c r="J532" s="15">
        <f t="shared" si="508"/>
        <v>0</v>
      </c>
      <c r="K532" s="15">
        <f t="shared" si="509"/>
        <v>0</v>
      </c>
      <c r="L532" s="15">
        <f t="shared" si="510"/>
        <v>0</v>
      </c>
      <c r="M532" s="25" t="s">
        <v>2872</v>
      </c>
      <c r="N532" s="5"/>
      <c r="Z532" s="29">
        <f t="shared" si="511"/>
        <v>0</v>
      </c>
      <c r="AB532" s="29">
        <f t="shared" si="512"/>
        <v>0</v>
      </c>
      <c r="AC532" s="29">
        <f t="shared" si="513"/>
        <v>0</v>
      </c>
      <c r="AD532" s="29">
        <f t="shared" si="514"/>
        <v>0</v>
      </c>
      <c r="AE532" s="29">
        <f t="shared" si="515"/>
        <v>0</v>
      </c>
      <c r="AF532" s="29">
        <f t="shared" si="516"/>
        <v>0</v>
      </c>
      <c r="AG532" s="29">
        <f t="shared" si="517"/>
        <v>0</v>
      </c>
      <c r="AH532" s="29">
        <f t="shared" si="518"/>
        <v>0</v>
      </c>
      <c r="AI532" s="28" t="s">
        <v>2882</v>
      </c>
      <c r="AJ532" s="15">
        <f t="shared" si="519"/>
        <v>0</v>
      </c>
      <c r="AK532" s="15">
        <f t="shared" si="520"/>
        <v>0</v>
      </c>
      <c r="AL532" s="15">
        <f t="shared" si="521"/>
        <v>0</v>
      </c>
      <c r="AN532" s="29">
        <v>15</v>
      </c>
      <c r="AO532" s="29">
        <f>I532*0.678982328378734</f>
        <v>0</v>
      </c>
      <c r="AP532" s="29">
        <f>I532*(1-0.678982328378734)</f>
        <v>0</v>
      </c>
      <c r="AQ532" s="30" t="s">
        <v>13</v>
      </c>
      <c r="AV532" s="29">
        <f t="shared" si="522"/>
        <v>0</v>
      </c>
      <c r="AW532" s="29">
        <f t="shared" si="523"/>
        <v>0</v>
      </c>
      <c r="AX532" s="29">
        <f t="shared" si="524"/>
        <v>0</v>
      </c>
      <c r="AY532" s="32" t="s">
        <v>2919</v>
      </c>
      <c r="AZ532" s="32" t="s">
        <v>2945</v>
      </c>
      <c r="BA532" s="28" t="s">
        <v>2957</v>
      </c>
      <c r="BC532" s="29">
        <f t="shared" si="525"/>
        <v>0</v>
      </c>
      <c r="BD532" s="29">
        <f t="shared" si="526"/>
        <v>0</v>
      </c>
      <c r="BE532" s="29">
        <v>0</v>
      </c>
      <c r="BF532" s="29">
        <f>532</f>
        <v>532</v>
      </c>
      <c r="BH532" s="15">
        <f t="shared" si="527"/>
        <v>0</v>
      </c>
      <c r="BI532" s="15">
        <f t="shared" si="528"/>
        <v>0</v>
      </c>
      <c r="BJ532" s="15">
        <f t="shared" si="529"/>
        <v>0</v>
      </c>
      <c r="BK532" s="15" t="s">
        <v>2969</v>
      </c>
      <c r="BL532" s="29">
        <v>764</v>
      </c>
    </row>
    <row r="533" spans="1:64" ht="12.75">
      <c r="A533" s="4" t="s">
        <v>487</v>
      </c>
      <c r="B533" s="94" t="s">
        <v>1482</v>
      </c>
      <c r="C533" s="152" t="s">
        <v>2417</v>
      </c>
      <c r="D533" s="153"/>
      <c r="E533" s="153"/>
      <c r="F533" s="153"/>
      <c r="G533" s="94" t="s">
        <v>2851</v>
      </c>
      <c r="H533" s="73">
        <v>78</v>
      </c>
      <c r="I533" s="105">
        <v>0</v>
      </c>
      <c r="J533" s="15">
        <f t="shared" si="508"/>
        <v>0</v>
      </c>
      <c r="K533" s="15">
        <f t="shared" si="509"/>
        <v>0</v>
      </c>
      <c r="L533" s="15">
        <f t="shared" si="510"/>
        <v>0</v>
      </c>
      <c r="M533" s="25" t="s">
        <v>2872</v>
      </c>
      <c r="N533" s="5"/>
      <c r="Z533" s="29">
        <f t="shared" si="511"/>
        <v>0</v>
      </c>
      <c r="AB533" s="29">
        <f t="shared" si="512"/>
        <v>0</v>
      </c>
      <c r="AC533" s="29">
        <f t="shared" si="513"/>
        <v>0</v>
      </c>
      <c r="AD533" s="29">
        <f t="shared" si="514"/>
        <v>0</v>
      </c>
      <c r="AE533" s="29">
        <f t="shared" si="515"/>
        <v>0</v>
      </c>
      <c r="AF533" s="29">
        <f t="shared" si="516"/>
        <v>0</v>
      </c>
      <c r="AG533" s="29">
        <f t="shared" si="517"/>
        <v>0</v>
      </c>
      <c r="AH533" s="29">
        <f t="shared" si="518"/>
        <v>0</v>
      </c>
      <c r="AI533" s="28" t="s">
        <v>2882</v>
      </c>
      <c r="AJ533" s="15">
        <f t="shared" si="519"/>
        <v>0</v>
      </c>
      <c r="AK533" s="15">
        <f t="shared" si="520"/>
        <v>0</v>
      </c>
      <c r="AL533" s="15">
        <f t="shared" si="521"/>
        <v>0</v>
      </c>
      <c r="AN533" s="29">
        <v>15</v>
      </c>
      <c r="AO533" s="29">
        <f>I533*0.267590136433748</f>
        <v>0</v>
      </c>
      <c r="AP533" s="29">
        <f>I533*(1-0.267590136433748)</f>
        <v>0</v>
      </c>
      <c r="AQ533" s="30" t="s">
        <v>13</v>
      </c>
      <c r="AV533" s="29">
        <f t="shared" si="522"/>
        <v>0</v>
      </c>
      <c r="AW533" s="29">
        <f t="shared" si="523"/>
        <v>0</v>
      </c>
      <c r="AX533" s="29">
        <f t="shared" si="524"/>
        <v>0</v>
      </c>
      <c r="AY533" s="32" t="s">
        <v>2919</v>
      </c>
      <c r="AZ533" s="32" t="s">
        <v>2945</v>
      </c>
      <c r="BA533" s="28" t="s">
        <v>2957</v>
      </c>
      <c r="BC533" s="29">
        <f t="shared" si="525"/>
        <v>0</v>
      </c>
      <c r="BD533" s="29">
        <f t="shared" si="526"/>
        <v>0</v>
      </c>
      <c r="BE533" s="29">
        <v>0</v>
      </c>
      <c r="BF533" s="29">
        <f>533</f>
        <v>533</v>
      </c>
      <c r="BH533" s="15">
        <f t="shared" si="527"/>
        <v>0</v>
      </c>
      <c r="BI533" s="15">
        <f t="shared" si="528"/>
        <v>0</v>
      </c>
      <c r="BJ533" s="15">
        <f t="shared" si="529"/>
        <v>0</v>
      </c>
      <c r="BK533" s="15" t="s">
        <v>2969</v>
      </c>
      <c r="BL533" s="29">
        <v>764</v>
      </c>
    </row>
    <row r="534" spans="1:64" ht="12.75">
      <c r="A534" s="4" t="s">
        <v>488</v>
      </c>
      <c r="B534" s="94" t="s">
        <v>1483</v>
      </c>
      <c r="C534" s="152" t="s">
        <v>2418</v>
      </c>
      <c r="D534" s="153"/>
      <c r="E534" s="153"/>
      <c r="F534" s="153"/>
      <c r="G534" s="94" t="s">
        <v>2848</v>
      </c>
      <c r="H534" s="73">
        <v>0.375</v>
      </c>
      <c r="I534" s="105">
        <v>0</v>
      </c>
      <c r="J534" s="15">
        <f t="shared" si="508"/>
        <v>0</v>
      </c>
      <c r="K534" s="15">
        <f t="shared" si="509"/>
        <v>0</v>
      </c>
      <c r="L534" s="15">
        <f t="shared" si="510"/>
        <v>0</v>
      </c>
      <c r="M534" s="25" t="s">
        <v>2872</v>
      </c>
      <c r="N534" s="5"/>
      <c r="Z534" s="29">
        <f t="shared" si="511"/>
        <v>0</v>
      </c>
      <c r="AB534" s="29">
        <f t="shared" si="512"/>
        <v>0</v>
      </c>
      <c r="AC534" s="29">
        <f t="shared" si="513"/>
        <v>0</v>
      </c>
      <c r="AD534" s="29">
        <f t="shared" si="514"/>
        <v>0</v>
      </c>
      <c r="AE534" s="29">
        <f t="shared" si="515"/>
        <v>0</v>
      </c>
      <c r="AF534" s="29">
        <f t="shared" si="516"/>
        <v>0</v>
      </c>
      <c r="AG534" s="29">
        <f t="shared" si="517"/>
        <v>0</v>
      </c>
      <c r="AH534" s="29">
        <f t="shared" si="518"/>
        <v>0</v>
      </c>
      <c r="AI534" s="28" t="s">
        <v>2882</v>
      </c>
      <c r="AJ534" s="15">
        <f t="shared" si="519"/>
        <v>0</v>
      </c>
      <c r="AK534" s="15">
        <f t="shared" si="520"/>
        <v>0</v>
      </c>
      <c r="AL534" s="15">
        <f t="shared" si="521"/>
        <v>0</v>
      </c>
      <c r="AN534" s="29">
        <v>15</v>
      </c>
      <c r="AO534" s="29">
        <f>I534*0</f>
        <v>0</v>
      </c>
      <c r="AP534" s="29">
        <f>I534*(1-0)</f>
        <v>0</v>
      </c>
      <c r="AQ534" s="30" t="s">
        <v>11</v>
      </c>
      <c r="AV534" s="29">
        <f t="shared" si="522"/>
        <v>0</v>
      </c>
      <c r="AW534" s="29">
        <f t="shared" si="523"/>
        <v>0</v>
      </c>
      <c r="AX534" s="29">
        <f t="shared" si="524"/>
        <v>0</v>
      </c>
      <c r="AY534" s="32" t="s">
        <v>2919</v>
      </c>
      <c r="AZ534" s="32" t="s">
        <v>2945</v>
      </c>
      <c r="BA534" s="28" t="s">
        <v>2957</v>
      </c>
      <c r="BC534" s="29">
        <f t="shared" si="525"/>
        <v>0</v>
      </c>
      <c r="BD534" s="29">
        <f t="shared" si="526"/>
        <v>0</v>
      </c>
      <c r="BE534" s="29">
        <v>0</v>
      </c>
      <c r="BF534" s="29">
        <f>534</f>
        <v>534</v>
      </c>
      <c r="BH534" s="15">
        <f t="shared" si="527"/>
        <v>0</v>
      </c>
      <c r="BI534" s="15">
        <f t="shared" si="528"/>
        <v>0</v>
      </c>
      <c r="BJ534" s="15">
        <f t="shared" si="529"/>
        <v>0</v>
      </c>
      <c r="BK534" s="15" t="s">
        <v>2969</v>
      </c>
      <c r="BL534" s="29">
        <v>764</v>
      </c>
    </row>
    <row r="535" spans="1:47" ht="12.75">
      <c r="A535" s="3"/>
      <c r="B535" s="97" t="s">
        <v>772</v>
      </c>
      <c r="C535" s="161" t="s">
        <v>2419</v>
      </c>
      <c r="D535" s="162"/>
      <c r="E535" s="162"/>
      <c r="F535" s="162"/>
      <c r="G535" s="13" t="s">
        <v>6</v>
      </c>
      <c r="H535" s="13" t="s">
        <v>6</v>
      </c>
      <c r="I535" s="13" t="s">
        <v>6</v>
      </c>
      <c r="J535" s="34">
        <f>SUM(J536:J563)</f>
        <v>0</v>
      </c>
      <c r="K535" s="34">
        <f>SUM(K536:K563)</f>
        <v>0</v>
      </c>
      <c r="L535" s="34">
        <f>SUM(L536:L563)</f>
        <v>0</v>
      </c>
      <c r="M535" s="24"/>
      <c r="N535" s="5"/>
      <c r="AI535" s="28" t="s">
        <v>2882</v>
      </c>
      <c r="AS535" s="34">
        <f>SUM(AJ536:AJ563)</f>
        <v>0</v>
      </c>
      <c r="AT535" s="34">
        <f>SUM(AK536:AK563)</f>
        <v>0</v>
      </c>
      <c r="AU535" s="34">
        <f>SUM(AL536:AL563)</f>
        <v>0</v>
      </c>
    </row>
    <row r="536" spans="1:64" ht="12.75">
      <c r="A536" s="4" t="s">
        <v>489</v>
      </c>
      <c r="B536" s="94" t="s">
        <v>1484</v>
      </c>
      <c r="C536" s="152" t="s">
        <v>2420</v>
      </c>
      <c r="D536" s="153"/>
      <c r="E536" s="153"/>
      <c r="F536" s="153"/>
      <c r="G536" s="94" t="s">
        <v>2850</v>
      </c>
      <c r="H536" s="73">
        <v>1</v>
      </c>
      <c r="I536" s="105">
        <v>0</v>
      </c>
      <c r="J536" s="15">
        <f aca="true" t="shared" si="530" ref="J536:J563">H536*AO536</f>
        <v>0</v>
      </c>
      <c r="K536" s="15">
        <f aca="true" t="shared" si="531" ref="K536:K563">H536*AP536</f>
        <v>0</v>
      </c>
      <c r="L536" s="15">
        <f aca="true" t="shared" si="532" ref="L536:L563">H536*I536</f>
        <v>0</v>
      </c>
      <c r="M536" s="25" t="s">
        <v>2872</v>
      </c>
      <c r="N536" s="5"/>
      <c r="Z536" s="29">
        <f aca="true" t="shared" si="533" ref="Z536:Z563">IF(AQ536="5",BJ536,0)</f>
        <v>0</v>
      </c>
      <c r="AB536" s="29">
        <f aca="true" t="shared" si="534" ref="AB536:AB563">IF(AQ536="1",BH536,0)</f>
        <v>0</v>
      </c>
      <c r="AC536" s="29">
        <f aca="true" t="shared" si="535" ref="AC536:AC563">IF(AQ536="1",BI536,0)</f>
        <v>0</v>
      </c>
      <c r="AD536" s="29">
        <f aca="true" t="shared" si="536" ref="AD536:AD563">IF(AQ536="7",BH536,0)</f>
        <v>0</v>
      </c>
      <c r="AE536" s="29">
        <f aca="true" t="shared" si="537" ref="AE536:AE563">IF(AQ536="7",BI536,0)</f>
        <v>0</v>
      </c>
      <c r="AF536" s="29">
        <f aca="true" t="shared" si="538" ref="AF536:AF563">IF(AQ536="2",BH536,0)</f>
        <v>0</v>
      </c>
      <c r="AG536" s="29">
        <f aca="true" t="shared" si="539" ref="AG536:AG563">IF(AQ536="2",BI536,0)</f>
        <v>0</v>
      </c>
      <c r="AH536" s="29">
        <f aca="true" t="shared" si="540" ref="AH536:AH563">IF(AQ536="0",BJ536,0)</f>
        <v>0</v>
      </c>
      <c r="AI536" s="28" t="s">
        <v>2882</v>
      </c>
      <c r="AJ536" s="15">
        <f aca="true" t="shared" si="541" ref="AJ536:AJ563">IF(AN536=0,L536,0)</f>
        <v>0</v>
      </c>
      <c r="AK536" s="15">
        <f aca="true" t="shared" si="542" ref="AK536:AK563">IF(AN536=15,L536,0)</f>
        <v>0</v>
      </c>
      <c r="AL536" s="15">
        <f aca="true" t="shared" si="543" ref="AL536:AL563">IF(AN536=21,L536,0)</f>
        <v>0</v>
      </c>
      <c r="AN536" s="29">
        <v>15</v>
      </c>
      <c r="AO536" s="29">
        <f>I536*0.0329263803680982</f>
        <v>0</v>
      </c>
      <c r="AP536" s="29">
        <f>I536*(1-0.0329263803680982)</f>
        <v>0</v>
      </c>
      <c r="AQ536" s="30" t="s">
        <v>13</v>
      </c>
      <c r="AV536" s="29">
        <f aca="true" t="shared" si="544" ref="AV536:AV563">AW536+AX536</f>
        <v>0</v>
      </c>
      <c r="AW536" s="29">
        <f aca="true" t="shared" si="545" ref="AW536:AW563">H536*AO536</f>
        <v>0</v>
      </c>
      <c r="AX536" s="29">
        <f aca="true" t="shared" si="546" ref="AX536:AX563">H536*AP536</f>
        <v>0</v>
      </c>
      <c r="AY536" s="32" t="s">
        <v>2920</v>
      </c>
      <c r="AZ536" s="32" t="s">
        <v>2945</v>
      </c>
      <c r="BA536" s="28" t="s">
        <v>2957</v>
      </c>
      <c r="BC536" s="29">
        <f aca="true" t="shared" si="547" ref="BC536:BC563">AW536+AX536</f>
        <v>0</v>
      </c>
      <c r="BD536" s="29">
        <f aca="true" t="shared" si="548" ref="BD536:BD563">I536/(100-BE536)*100</f>
        <v>0</v>
      </c>
      <c r="BE536" s="29">
        <v>0</v>
      </c>
      <c r="BF536" s="29">
        <f>536</f>
        <v>536</v>
      </c>
      <c r="BH536" s="15">
        <f aca="true" t="shared" si="549" ref="BH536:BH563">H536*AO536</f>
        <v>0</v>
      </c>
      <c r="BI536" s="15">
        <f aca="true" t="shared" si="550" ref="BI536:BI563">H536*AP536</f>
        <v>0</v>
      </c>
      <c r="BJ536" s="15">
        <f aca="true" t="shared" si="551" ref="BJ536:BJ563">H536*I536</f>
        <v>0</v>
      </c>
      <c r="BK536" s="15" t="s">
        <v>2969</v>
      </c>
      <c r="BL536" s="29">
        <v>766</v>
      </c>
    </row>
    <row r="537" spans="1:64" ht="12.75">
      <c r="A537" s="4" t="s">
        <v>490</v>
      </c>
      <c r="B537" s="94" t="s">
        <v>1485</v>
      </c>
      <c r="C537" s="152" t="s">
        <v>2421</v>
      </c>
      <c r="D537" s="153"/>
      <c r="E537" s="153"/>
      <c r="F537" s="153"/>
      <c r="G537" s="94" t="s">
        <v>2850</v>
      </c>
      <c r="H537" s="73">
        <v>1</v>
      </c>
      <c r="I537" s="105">
        <v>0</v>
      </c>
      <c r="J537" s="15">
        <f t="shared" si="530"/>
        <v>0</v>
      </c>
      <c r="K537" s="15">
        <f t="shared" si="531"/>
        <v>0</v>
      </c>
      <c r="L537" s="15">
        <f t="shared" si="532"/>
        <v>0</v>
      </c>
      <c r="M537" s="25" t="s">
        <v>2872</v>
      </c>
      <c r="N537" s="5"/>
      <c r="Z537" s="29">
        <f t="shared" si="533"/>
        <v>0</v>
      </c>
      <c r="AB537" s="29">
        <f t="shared" si="534"/>
        <v>0</v>
      </c>
      <c r="AC537" s="29">
        <f t="shared" si="535"/>
        <v>0</v>
      </c>
      <c r="AD537" s="29">
        <f t="shared" si="536"/>
        <v>0</v>
      </c>
      <c r="AE537" s="29">
        <f t="shared" si="537"/>
        <v>0</v>
      </c>
      <c r="AF537" s="29">
        <f t="shared" si="538"/>
        <v>0</v>
      </c>
      <c r="AG537" s="29">
        <f t="shared" si="539"/>
        <v>0</v>
      </c>
      <c r="AH537" s="29">
        <f t="shared" si="540"/>
        <v>0</v>
      </c>
      <c r="AI537" s="28" t="s">
        <v>2882</v>
      </c>
      <c r="AJ537" s="15">
        <f t="shared" si="541"/>
        <v>0</v>
      </c>
      <c r="AK537" s="15">
        <f t="shared" si="542"/>
        <v>0</v>
      </c>
      <c r="AL537" s="15">
        <f t="shared" si="543"/>
        <v>0</v>
      </c>
      <c r="AN537" s="29">
        <v>15</v>
      </c>
      <c r="AO537" s="29">
        <f>I537*0.0329264705882353</f>
        <v>0</v>
      </c>
      <c r="AP537" s="29">
        <f>I537*(1-0.0329264705882353)</f>
        <v>0</v>
      </c>
      <c r="AQ537" s="30" t="s">
        <v>13</v>
      </c>
      <c r="AV537" s="29">
        <f t="shared" si="544"/>
        <v>0</v>
      </c>
      <c r="AW537" s="29">
        <f t="shared" si="545"/>
        <v>0</v>
      </c>
      <c r="AX537" s="29">
        <f t="shared" si="546"/>
        <v>0</v>
      </c>
      <c r="AY537" s="32" t="s">
        <v>2920</v>
      </c>
      <c r="AZ537" s="32" t="s">
        <v>2945</v>
      </c>
      <c r="BA537" s="28" t="s">
        <v>2957</v>
      </c>
      <c r="BC537" s="29">
        <f t="shared" si="547"/>
        <v>0</v>
      </c>
      <c r="BD537" s="29">
        <f t="shared" si="548"/>
        <v>0</v>
      </c>
      <c r="BE537" s="29">
        <v>0</v>
      </c>
      <c r="BF537" s="29">
        <f>537</f>
        <v>537</v>
      </c>
      <c r="BH537" s="15">
        <f t="shared" si="549"/>
        <v>0</v>
      </c>
      <c r="BI537" s="15">
        <f t="shared" si="550"/>
        <v>0</v>
      </c>
      <c r="BJ537" s="15">
        <f t="shared" si="551"/>
        <v>0</v>
      </c>
      <c r="BK537" s="15" t="s">
        <v>2969</v>
      </c>
      <c r="BL537" s="29">
        <v>766</v>
      </c>
    </row>
    <row r="538" spans="1:64" ht="12.75">
      <c r="A538" s="4" t="s">
        <v>491</v>
      </c>
      <c r="B538" s="94" t="s">
        <v>1486</v>
      </c>
      <c r="C538" s="152" t="s">
        <v>2422</v>
      </c>
      <c r="D538" s="153"/>
      <c r="E538" s="153"/>
      <c r="F538" s="153"/>
      <c r="G538" s="94" t="s">
        <v>2851</v>
      </c>
      <c r="H538" s="73">
        <v>90.7</v>
      </c>
      <c r="I538" s="105">
        <v>0</v>
      </c>
      <c r="J538" s="15">
        <f t="shared" si="530"/>
        <v>0</v>
      </c>
      <c r="K538" s="15">
        <f t="shared" si="531"/>
        <v>0</v>
      </c>
      <c r="L538" s="15">
        <f t="shared" si="532"/>
        <v>0</v>
      </c>
      <c r="M538" s="25" t="s">
        <v>2872</v>
      </c>
      <c r="N538" s="5"/>
      <c r="Z538" s="29">
        <f t="shared" si="533"/>
        <v>0</v>
      </c>
      <c r="AB538" s="29">
        <f t="shared" si="534"/>
        <v>0</v>
      </c>
      <c r="AC538" s="29">
        <f t="shared" si="535"/>
        <v>0</v>
      </c>
      <c r="AD538" s="29">
        <f t="shared" si="536"/>
        <v>0</v>
      </c>
      <c r="AE538" s="29">
        <f t="shared" si="537"/>
        <v>0</v>
      </c>
      <c r="AF538" s="29">
        <f t="shared" si="538"/>
        <v>0</v>
      </c>
      <c r="AG538" s="29">
        <f t="shared" si="539"/>
        <v>0</v>
      </c>
      <c r="AH538" s="29">
        <f t="shared" si="540"/>
        <v>0</v>
      </c>
      <c r="AI538" s="28" t="s">
        <v>2882</v>
      </c>
      <c r="AJ538" s="15">
        <f t="shared" si="541"/>
        <v>0</v>
      </c>
      <c r="AK538" s="15">
        <f t="shared" si="542"/>
        <v>0</v>
      </c>
      <c r="AL538" s="15">
        <f t="shared" si="543"/>
        <v>0</v>
      </c>
      <c r="AN538" s="29">
        <v>15</v>
      </c>
      <c r="AO538" s="29">
        <f>I538*0.00957528966964375</f>
        <v>0</v>
      </c>
      <c r="AP538" s="29">
        <f>I538*(1-0.00957528966964375)</f>
        <v>0</v>
      </c>
      <c r="AQ538" s="30" t="s">
        <v>13</v>
      </c>
      <c r="AV538" s="29">
        <f t="shared" si="544"/>
        <v>0</v>
      </c>
      <c r="AW538" s="29">
        <f t="shared" si="545"/>
        <v>0</v>
      </c>
      <c r="AX538" s="29">
        <f t="shared" si="546"/>
        <v>0</v>
      </c>
      <c r="AY538" s="32" t="s">
        <v>2920</v>
      </c>
      <c r="AZ538" s="32" t="s">
        <v>2945</v>
      </c>
      <c r="BA538" s="28" t="s">
        <v>2957</v>
      </c>
      <c r="BC538" s="29">
        <f t="shared" si="547"/>
        <v>0</v>
      </c>
      <c r="BD538" s="29">
        <f t="shared" si="548"/>
        <v>0</v>
      </c>
      <c r="BE538" s="29">
        <v>0</v>
      </c>
      <c r="BF538" s="29">
        <f>538</f>
        <v>538</v>
      </c>
      <c r="BH538" s="15">
        <f t="shared" si="549"/>
        <v>0</v>
      </c>
      <c r="BI538" s="15">
        <f t="shared" si="550"/>
        <v>0</v>
      </c>
      <c r="BJ538" s="15">
        <f t="shared" si="551"/>
        <v>0</v>
      </c>
      <c r="BK538" s="15" t="s">
        <v>2969</v>
      </c>
      <c r="BL538" s="29">
        <v>766</v>
      </c>
    </row>
    <row r="539" spans="1:64" ht="12.75">
      <c r="A539" s="4" t="s">
        <v>492</v>
      </c>
      <c r="B539" s="94" t="s">
        <v>1487</v>
      </c>
      <c r="C539" s="152" t="s">
        <v>2423</v>
      </c>
      <c r="D539" s="153"/>
      <c r="E539" s="153"/>
      <c r="F539" s="153"/>
      <c r="G539" s="94" t="s">
        <v>2851</v>
      </c>
      <c r="H539" s="73">
        <v>195.305</v>
      </c>
      <c r="I539" s="105">
        <v>0</v>
      </c>
      <c r="J539" s="15">
        <f t="shared" si="530"/>
        <v>0</v>
      </c>
      <c r="K539" s="15">
        <f t="shared" si="531"/>
        <v>0</v>
      </c>
      <c r="L539" s="15">
        <f t="shared" si="532"/>
        <v>0</v>
      </c>
      <c r="M539" s="25" t="s">
        <v>2872</v>
      </c>
      <c r="N539" s="5"/>
      <c r="Z539" s="29">
        <f t="shared" si="533"/>
        <v>0</v>
      </c>
      <c r="AB539" s="29">
        <f t="shared" si="534"/>
        <v>0</v>
      </c>
      <c r="AC539" s="29">
        <f t="shared" si="535"/>
        <v>0</v>
      </c>
      <c r="AD539" s="29">
        <f t="shared" si="536"/>
        <v>0</v>
      </c>
      <c r="AE539" s="29">
        <f t="shared" si="537"/>
        <v>0</v>
      </c>
      <c r="AF539" s="29">
        <f t="shared" si="538"/>
        <v>0</v>
      </c>
      <c r="AG539" s="29">
        <f t="shared" si="539"/>
        <v>0</v>
      </c>
      <c r="AH539" s="29">
        <f t="shared" si="540"/>
        <v>0</v>
      </c>
      <c r="AI539" s="28" t="s">
        <v>2882</v>
      </c>
      <c r="AJ539" s="15">
        <f t="shared" si="541"/>
        <v>0</v>
      </c>
      <c r="AK539" s="15">
        <f t="shared" si="542"/>
        <v>0</v>
      </c>
      <c r="AL539" s="15">
        <f t="shared" si="543"/>
        <v>0</v>
      </c>
      <c r="AN539" s="29">
        <v>15</v>
      </c>
      <c r="AO539" s="29">
        <f>I539*0.478289504165281</f>
        <v>0</v>
      </c>
      <c r="AP539" s="29">
        <f>I539*(1-0.478289504165281)</f>
        <v>0</v>
      </c>
      <c r="AQ539" s="30" t="s">
        <v>13</v>
      </c>
      <c r="AV539" s="29">
        <f t="shared" si="544"/>
        <v>0</v>
      </c>
      <c r="AW539" s="29">
        <f t="shared" si="545"/>
        <v>0</v>
      </c>
      <c r="AX539" s="29">
        <f t="shared" si="546"/>
        <v>0</v>
      </c>
      <c r="AY539" s="32" t="s">
        <v>2920</v>
      </c>
      <c r="AZ539" s="32" t="s">
        <v>2945</v>
      </c>
      <c r="BA539" s="28" t="s">
        <v>2957</v>
      </c>
      <c r="BC539" s="29">
        <f t="shared" si="547"/>
        <v>0</v>
      </c>
      <c r="BD539" s="29">
        <f t="shared" si="548"/>
        <v>0</v>
      </c>
      <c r="BE539" s="29">
        <v>0</v>
      </c>
      <c r="BF539" s="29">
        <f>539</f>
        <v>539</v>
      </c>
      <c r="BH539" s="15">
        <f t="shared" si="549"/>
        <v>0</v>
      </c>
      <c r="BI539" s="15">
        <f t="shared" si="550"/>
        <v>0</v>
      </c>
      <c r="BJ539" s="15">
        <f t="shared" si="551"/>
        <v>0</v>
      </c>
      <c r="BK539" s="15" t="s">
        <v>2969</v>
      </c>
      <c r="BL539" s="29">
        <v>766</v>
      </c>
    </row>
    <row r="540" spans="1:64" ht="12.75">
      <c r="A540" s="4" t="s">
        <v>493</v>
      </c>
      <c r="B540" s="94" t="s">
        <v>1488</v>
      </c>
      <c r="C540" s="152" t="s">
        <v>2424</v>
      </c>
      <c r="D540" s="153"/>
      <c r="E540" s="153"/>
      <c r="F540" s="153"/>
      <c r="G540" s="94" t="s">
        <v>2851</v>
      </c>
      <c r="H540" s="73">
        <v>33.2</v>
      </c>
      <c r="I540" s="105">
        <v>0</v>
      </c>
      <c r="J540" s="15">
        <f t="shared" si="530"/>
        <v>0</v>
      </c>
      <c r="K540" s="15">
        <f t="shared" si="531"/>
        <v>0</v>
      </c>
      <c r="L540" s="15">
        <f t="shared" si="532"/>
        <v>0</v>
      </c>
      <c r="M540" s="25" t="s">
        <v>2872</v>
      </c>
      <c r="N540" s="5"/>
      <c r="Z540" s="29">
        <f t="shared" si="533"/>
        <v>0</v>
      </c>
      <c r="AB540" s="29">
        <f t="shared" si="534"/>
        <v>0</v>
      </c>
      <c r="AC540" s="29">
        <f t="shared" si="535"/>
        <v>0</v>
      </c>
      <c r="AD540" s="29">
        <f t="shared" si="536"/>
        <v>0</v>
      </c>
      <c r="AE540" s="29">
        <f t="shared" si="537"/>
        <v>0</v>
      </c>
      <c r="AF540" s="29">
        <f t="shared" si="538"/>
        <v>0</v>
      </c>
      <c r="AG540" s="29">
        <f t="shared" si="539"/>
        <v>0</v>
      </c>
      <c r="AH540" s="29">
        <f t="shared" si="540"/>
        <v>0</v>
      </c>
      <c r="AI540" s="28" t="s">
        <v>2882</v>
      </c>
      <c r="AJ540" s="15">
        <f t="shared" si="541"/>
        <v>0</v>
      </c>
      <c r="AK540" s="15">
        <f t="shared" si="542"/>
        <v>0</v>
      </c>
      <c r="AL540" s="15">
        <f t="shared" si="543"/>
        <v>0</v>
      </c>
      <c r="AN540" s="29">
        <v>15</v>
      </c>
      <c r="AO540" s="29">
        <f>I540*0.423403388103638</f>
        <v>0</v>
      </c>
      <c r="AP540" s="29">
        <f>I540*(1-0.423403388103638)</f>
        <v>0</v>
      </c>
      <c r="AQ540" s="30" t="s">
        <v>13</v>
      </c>
      <c r="AV540" s="29">
        <f t="shared" si="544"/>
        <v>0</v>
      </c>
      <c r="AW540" s="29">
        <f t="shared" si="545"/>
        <v>0</v>
      </c>
      <c r="AX540" s="29">
        <f t="shared" si="546"/>
        <v>0</v>
      </c>
      <c r="AY540" s="32" t="s">
        <v>2920</v>
      </c>
      <c r="AZ540" s="32" t="s">
        <v>2945</v>
      </c>
      <c r="BA540" s="28" t="s">
        <v>2957</v>
      </c>
      <c r="BC540" s="29">
        <f t="shared" si="547"/>
        <v>0</v>
      </c>
      <c r="BD540" s="29">
        <f t="shared" si="548"/>
        <v>0</v>
      </c>
      <c r="BE540" s="29">
        <v>0</v>
      </c>
      <c r="BF540" s="29">
        <f>540</f>
        <v>540</v>
      </c>
      <c r="BH540" s="15">
        <f t="shared" si="549"/>
        <v>0</v>
      </c>
      <c r="BI540" s="15">
        <f t="shared" si="550"/>
        <v>0</v>
      </c>
      <c r="BJ540" s="15">
        <f t="shared" si="551"/>
        <v>0</v>
      </c>
      <c r="BK540" s="15" t="s">
        <v>2969</v>
      </c>
      <c r="BL540" s="29">
        <v>766</v>
      </c>
    </row>
    <row r="541" spans="1:64" ht="12.75">
      <c r="A541" s="4" t="s">
        <v>494</v>
      </c>
      <c r="B541" s="94" t="s">
        <v>1489</v>
      </c>
      <c r="C541" s="152" t="s">
        <v>2425</v>
      </c>
      <c r="D541" s="153"/>
      <c r="E541" s="153"/>
      <c r="F541" s="153"/>
      <c r="G541" s="94" t="s">
        <v>2850</v>
      </c>
      <c r="H541" s="73">
        <v>8</v>
      </c>
      <c r="I541" s="105">
        <v>0</v>
      </c>
      <c r="J541" s="15">
        <f t="shared" si="530"/>
        <v>0</v>
      </c>
      <c r="K541" s="15">
        <f t="shared" si="531"/>
        <v>0</v>
      </c>
      <c r="L541" s="15">
        <f t="shared" si="532"/>
        <v>0</v>
      </c>
      <c r="M541" s="25" t="s">
        <v>2872</v>
      </c>
      <c r="N541" s="5"/>
      <c r="Z541" s="29">
        <f t="shared" si="533"/>
        <v>0</v>
      </c>
      <c r="AB541" s="29">
        <f t="shared" si="534"/>
        <v>0</v>
      </c>
      <c r="AC541" s="29">
        <f t="shared" si="535"/>
        <v>0</v>
      </c>
      <c r="AD541" s="29">
        <f t="shared" si="536"/>
        <v>0</v>
      </c>
      <c r="AE541" s="29">
        <f t="shared" si="537"/>
        <v>0</v>
      </c>
      <c r="AF541" s="29">
        <f t="shared" si="538"/>
        <v>0</v>
      </c>
      <c r="AG541" s="29">
        <f t="shared" si="539"/>
        <v>0</v>
      </c>
      <c r="AH541" s="29">
        <f t="shared" si="540"/>
        <v>0</v>
      </c>
      <c r="AI541" s="28" t="s">
        <v>2882</v>
      </c>
      <c r="AJ541" s="15">
        <f t="shared" si="541"/>
        <v>0</v>
      </c>
      <c r="AK541" s="15">
        <f t="shared" si="542"/>
        <v>0</v>
      </c>
      <c r="AL541" s="15">
        <f t="shared" si="543"/>
        <v>0</v>
      </c>
      <c r="AN541" s="29">
        <v>15</v>
      </c>
      <c r="AO541" s="29">
        <f>I541*0.0642442094096089</f>
        <v>0</v>
      </c>
      <c r="AP541" s="29">
        <f>I541*(1-0.0642442094096089)</f>
        <v>0</v>
      </c>
      <c r="AQ541" s="30" t="s">
        <v>13</v>
      </c>
      <c r="AV541" s="29">
        <f t="shared" si="544"/>
        <v>0</v>
      </c>
      <c r="AW541" s="29">
        <f t="shared" si="545"/>
        <v>0</v>
      </c>
      <c r="AX541" s="29">
        <f t="shared" si="546"/>
        <v>0</v>
      </c>
      <c r="AY541" s="32" t="s">
        <v>2920</v>
      </c>
      <c r="AZ541" s="32" t="s">
        <v>2945</v>
      </c>
      <c r="BA541" s="28" t="s">
        <v>2957</v>
      </c>
      <c r="BC541" s="29">
        <f t="shared" si="547"/>
        <v>0</v>
      </c>
      <c r="BD541" s="29">
        <f t="shared" si="548"/>
        <v>0</v>
      </c>
      <c r="BE541" s="29">
        <v>0</v>
      </c>
      <c r="BF541" s="29">
        <f>541</f>
        <v>541</v>
      </c>
      <c r="BH541" s="15">
        <f t="shared" si="549"/>
        <v>0</v>
      </c>
      <c r="BI541" s="15">
        <f t="shared" si="550"/>
        <v>0</v>
      </c>
      <c r="BJ541" s="15">
        <f t="shared" si="551"/>
        <v>0</v>
      </c>
      <c r="BK541" s="15" t="s">
        <v>2969</v>
      </c>
      <c r="BL541" s="29">
        <v>766</v>
      </c>
    </row>
    <row r="542" spans="1:64" ht="12.75">
      <c r="A542" s="6" t="s">
        <v>495</v>
      </c>
      <c r="B542" s="98" t="s">
        <v>1490</v>
      </c>
      <c r="C542" s="163" t="s">
        <v>2426</v>
      </c>
      <c r="D542" s="164"/>
      <c r="E542" s="164"/>
      <c r="F542" s="164"/>
      <c r="G542" s="98" t="s">
        <v>2850</v>
      </c>
      <c r="H542" s="76">
        <v>8</v>
      </c>
      <c r="I542" s="106">
        <v>0</v>
      </c>
      <c r="J542" s="16">
        <f t="shared" si="530"/>
        <v>0</v>
      </c>
      <c r="K542" s="16">
        <f t="shared" si="531"/>
        <v>0</v>
      </c>
      <c r="L542" s="16">
        <f t="shared" si="532"/>
        <v>0</v>
      </c>
      <c r="M542" s="26" t="s">
        <v>2872</v>
      </c>
      <c r="N542" s="5"/>
      <c r="Z542" s="29">
        <f t="shared" si="533"/>
        <v>0</v>
      </c>
      <c r="AB542" s="29">
        <f t="shared" si="534"/>
        <v>0</v>
      </c>
      <c r="AC542" s="29">
        <f t="shared" si="535"/>
        <v>0</v>
      </c>
      <c r="AD542" s="29">
        <f t="shared" si="536"/>
        <v>0</v>
      </c>
      <c r="AE542" s="29">
        <f t="shared" si="537"/>
        <v>0</v>
      </c>
      <c r="AF542" s="29">
        <f t="shared" si="538"/>
        <v>0</v>
      </c>
      <c r="AG542" s="29">
        <f t="shared" si="539"/>
        <v>0</v>
      </c>
      <c r="AH542" s="29">
        <f t="shared" si="540"/>
        <v>0</v>
      </c>
      <c r="AI542" s="28" t="s">
        <v>2882</v>
      </c>
      <c r="AJ542" s="16">
        <f t="shared" si="541"/>
        <v>0</v>
      </c>
      <c r="AK542" s="16">
        <f t="shared" si="542"/>
        <v>0</v>
      </c>
      <c r="AL542" s="16">
        <f t="shared" si="543"/>
        <v>0</v>
      </c>
      <c r="AN542" s="29">
        <v>15</v>
      </c>
      <c r="AO542" s="29">
        <f>I542*1</f>
        <v>0</v>
      </c>
      <c r="AP542" s="29">
        <f>I542*(1-1)</f>
        <v>0</v>
      </c>
      <c r="AQ542" s="31" t="s">
        <v>13</v>
      </c>
      <c r="AV542" s="29">
        <f t="shared" si="544"/>
        <v>0</v>
      </c>
      <c r="AW542" s="29">
        <f t="shared" si="545"/>
        <v>0</v>
      </c>
      <c r="AX542" s="29">
        <f t="shared" si="546"/>
        <v>0</v>
      </c>
      <c r="AY542" s="32" t="s">
        <v>2920</v>
      </c>
      <c r="AZ542" s="32" t="s">
        <v>2945</v>
      </c>
      <c r="BA542" s="28" t="s">
        <v>2957</v>
      </c>
      <c r="BC542" s="29">
        <f t="shared" si="547"/>
        <v>0</v>
      </c>
      <c r="BD542" s="29">
        <f t="shared" si="548"/>
        <v>0</v>
      </c>
      <c r="BE542" s="29">
        <v>0</v>
      </c>
      <c r="BF542" s="29">
        <f>542</f>
        <v>542</v>
      </c>
      <c r="BH542" s="16">
        <f t="shared" si="549"/>
        <v>0</v>
      </c>
      <c r="BI542" s="16">
        <f t="shared" si="550"/>
        <v>0</v>
      </c>
      <c r="BJ542" s="16">
        <f t="shared" si="551"/>
        <v>0</v>
      </c>
      <c r="BK542" s="16" t="s">
        <v>2970</v>
      </c>
      <c r="BL542" s="29">
        <v>766</v>
      </c>
    </row>
    <row r="543" spans="1:64" ht="12.75">
      <c r="A543" s="4" t="s">
        <v>496</v>
      </c>
      <c r="B543" s="94" t="s">
        <v>1491</v>
      </c>
      <c r="C543" s="152" t="s">
        <v>2427</v>
      </c>
      <c r="D543" s="153"/>
      <c r="E543" s="153"/>
      <c r="F543" s="153"/>
      <c r="G543" s="94" t="s">
        <v>2850</v>
      </c>
      <c r="H543" s="73">
        <v>32</v>
      </c>
      <c r="I543" s="105">
        <v>0</v>
      </c>
      <c r="J543" s="15">
        <f t="shared" si="530"/>
        <v>0</v>
      </c>
      <c r="K543" s="15">
        <f t="shared" si="531"/>
        <v>0</v>
      </c>
      <c r="L543" s="15">
        <f t="shared" si="532"/>
        <v>0</v>
      </c>
      <c r="M543" s="25" t="s">
        <v>2872</v>
      </c>
      <c r="N543" s="5"/>
      <c r="Z543" s="29">
        <f t="shared" si="533"/>
        <v>0</v>
      </c>
      <c r="AB543" s="29">
        <f t="shared" si="534"/>
        <v>0</v>
      </c>
      <c r="AC543" s="29">
        <f t="shared" si="535"/>
        <v>0</v>
      </c>
      <c r="AD543" s="29">
        <f t="shared" si="536"/>
        <v>0</v>
      </c>
      <c r="AE543" s="29">
        <f t="shared" si="537"/>
        <v>0</v>
      </c>
      <c r="AF543" s="29">
        <f t="shared" si="538"/>
        <v>0</v>
      </c>
      <c r="AG543" s="29">
        <f t="shared" si="539"/>
        <v>0</v>
      </c>
      <c r="AH543" s="29">
        <f t="shared" si="540"/>
        <v>0</v>
      </c>
      <c r="AI543" s="28" t="s">
        <v>2882</v>
      </c>
      <c r="AJ543" s="15">
        <f t="shared" si="541"/>
        <v>0</v>
      </c>
      <c r="AK543" s="15">
        <f t="shared" si="542"/>
        <v>0</v>
      </c>
      <c r="AL543" s="15">
        <f t="shared" si="543"/>
        <v>0</v>
      </c>
      <c r="AN543" s="29">
        <v>15</v>
      </c>
      <c r="AO543" s="29">
        <f>I543*0.0704718309859155</f>
        <v>0</v>
      </c>
      <c r="AP543" s="29">
        <f>I543*(1-0.0704718309859155)</f>
        <v>0</v>
      </c>
      <c r="AQ543" s="30" t="s">
        <v>13</v>
      </c>
      <c r="AV543" s="29">
        <f t="shared" si="544"/>
        <v>0</v>
      </c>
      <c r="AW543" s="29">
        <f t="shared" si="545"/>
        <v>0</v>
      </c>
      <c r="AX543" s="29">
        <f t="shared" si="546"/>
        <v>0</v>
      </c>
      <c r="AY543" s="32" t="s">
        <v>2920</v>
      </c>
      <c r="AZ543" s="32" t="s">
        <v>2945</v>
      </c>
      <c r="BA543" s="28" t="s">
        <v>2957</v>
      </c>
      <c r="BC543" s="29">
        <f t="shared" si="547"/>
        <v>0</v>
      </c>
      <c r="BD543" s="29">
        <f t="shared" si="548"/>
        <v>0</v>
      </c>
      <c r="BE543" s="29">
        <v>0</v>
      </c>
      <c r="BF543" s="29">
        <f>543</f>
        <v>543</v>
      </c>
      <c r="BH543" s="15">
        <f t="shared" si="549"/>
        <v>0</v>
      </c>
      <c r="BI543" s="15">
        <f t="shared" si="550"/>
        <v>0</v>
      </c>
      <c r="BJ543" s="15">
        <f t="shared" si="551"/>
        <v>0</v>
      </c>
      <c r="BK543" s="15" t="s">
        <v>2969</v>
      </c>
      <c r="BL543" s="29">
        <v>766</v>
      </c>
    </row>
    <row r="544" spans="1:64" ht="12.75">
      <c r="A544" s="6" t="s">
        <v>497</v>
      </c>
      <c r="B544" s="98" t="s">
        <v>1492</v>
      </c>
      <c r="C544" s="163" t="s">
        <v>2428</v>
      </c>
      <c r="D544" s="164"/>
      <c r="E544" s="164"/>
      <c r="F544" s="164"/>
      <c r="G544" s="98" t="s">
        <v>2850</v>
      </c>
      <c r="H544" s="76">
        <v>16</v>
      </c>
      <c r="I544" s="106">
        <v>0</v>
      </c>
      <c r="J544" s="16">
        <f t="shared" si="530"/>
        <v>0</v>
      </c>
      <c r="K544" s="16">
        <f t="shared" si="531"/>
        <v>0</v>
      </c>
      <c r="L544" s="16">
        <f t="shared" si="532"/>
        <v>0</v>
      </c>
      <c r="M544" s="26" t="s">
        <v>2872</v>
      </c>
      <c r="N544" s="5"/>
      <c r="Z544" s="29">
        <f t="shared" si="533"/>
        <v>0</v>
      </c>
      <c r="AB544" s="29">
        <f t="shared" si="534"/>
        <v>0</v>
      </c>
      <c r="AC544" s="29">
        <f t="shared" si="535"/>
        <v>0</v>
      </c>
      <c r="AD544" s="29">
        <f t="shared" si="536"/>
        <v>0</v>
      </c>
      <c r="AE544" s="29">
        <f t="shared" si="537"/>
        <v>0</v>
      </c>
      <c r="AF544" s="29">
        <f t="shared" si="538"/>
        <v>0</v>
      </c>
      <c r="AG544" s="29">
        <f t="shared" si="539"/>
        <v>0</v>
      </c>
      <c r="AH544" s="29">
        <f t="shared" si="540"/>
        <v>0</v>
      </c>
      <c r="AI544" s="28" t="s">
        <v>2882</v>
      </c>
      <c r="AJ544" s="16">
        <f t="shared" si="541"/>
        <v>0</v>
      </c>
      <c r="AK544" s="16">
        <f t="shared" si="542"/>
        <v>0</v>
      </c>
      <c r="AL544" s="16">
        <f t="shared" si="543"/>
        <v>0</v>
      </c>
      <c r="AN544" s="29">
        <v>15</v>
      </c>
      <c r="AO544" s="29">
        <f>I544*1</f>
        <v>0</v>
      </c>
      <c r="AP544" s="29">
        <f>I544*(1-1)</f>
        <v>0</v>
      </c>
      <c r="AQ544" s="31" t="s">
        <v>13</v>
      </c>
      <c r="AV544" s="29">
        <f t="shared" si="544"/>
        <v>0</v>
      </c>
      <c r="AW544" s="29">
        <f t="shared" si="545"/>
        <v>0</v>
      </c>
      <c r="AX544" s="29">
        <f t="shared" si="546"/>
        <v>0</v>
      </c>
      <c r="AY544" s="32" t="s">
        <v>2920</v>
      </c>
      <c r="AZ544" s="32" t="s">
        <v>2945</v>
      </c>
      <c r="BA544" s="28" t="s">
        <v>2957</v>
      </c>
      <c r="BC544" s="29">
        <f t="shared" si="547"/>
        <v>0</v>
      </c>
      <c r="BD544" s="29">
        <f t="shared" si="548"/>
        <v>0</v>
      </c>
      <c r="BE544" s="29">
        <v>0</v>
      </c>
      <c r="BF544" s="29">
        <f>544</f>
        <v>544</v>
      </c>
      <c r="BH544" s="16">
        <f t="shared" si="549"/>
        <v>0</v>
      </c>
      <c r="BI544" s="16">
        <f t="shared" si="550"/>
        <v>0</v>
      </c>
      <c r="BJ544" s="16">
        <f t="shared" si="551"/>
        <v>0</v>
      </c>
      <c r="BK544" s="16" t="s">
        <v>2970</v>
      </c>
      <c r="BL544" s="29">
        <v>766</v>
      </c>
    </row>
    <row r="545" spans="1:64" ht="12.75">
      <c r="A545" s="6" t="s">
        <v>498</v>
      </c>
      <c r="B545" s="98" t="s">
        <v>1493</v>
      </c>
      <c r="C545" s="163" t="s">
        <v>2429</v>
      </c>
      <c r="D545" s="164"/>
      <c r="E545" s="164"/>
      <c r="F545" s="164"/>
      <c r="G545" s="98" t="s">
        <v>2850</v>
      </c>
      <c r="H545" s="76">
        <v>14</v>
      </c>
      <c r="I545" s="106">
        <v>0</v>
      </c>
      <c r="J545" s="16">
        <f t="shared" si="530"/>
        <v>0</v>
      </c>
      <c r="K545" s="16">
        <f t="shared" si="531"/>
        <v>0</v>
      </c>
      <c r="L545" s="16">
        <f t="shared" si="532"/>
        <v>0</v>
      </c>
      <c r="M545" s="26" t="s">
        <v>2872</v>
      </c>
      <c r="N545" s="5"/>
      <c r="Z545" s="29">
        <f t="shared" si="533"/>
        <v>0</v>
      </c>
      <c r="AB545" s="29">
        <f t="shared" si="534"/>
        <v>0</v>
      </c>
      <c r="AC545" s="29">
        <f t="shared" si="535"/>
        <v>0</v>
      </c>
      <c r="AD545" s="29">
        <f t="shared" si="536"/>
        <v>0</v>
      </c>
      <c r="AE545" s="29">
        <f t="shared" si="537"/>
        <v>0</v>
      </c>
      <c r="AF545" s="29">
        <f t="shared" si="538"/>
        <v>0</v>
      </c>
      <c r="AG545" s="29">
        <f t="shared" si="539"/>
        <v>0</v>
      </c>
      <c r="AH545" s="29">
        <f t="shared" si="540"/>
        <v>0</v>
      </c>
      <c r="AI545" s="28" t="s">
        <v>2882</v>
      </c>
      <c r="AJ545" s="16">
        <f t="shared" si="541"/>
        <v>0</v>
      </c>
      <c r="AK545" s="16">
        <f t="shared" si="542"/>
        <v>0</v>
      </c>
      <c r="AL545" s="16">
        <f t="shared" si="543"/>
        <v>0</v>
      </c>
      <c r="AN545" s="29">
        <v>15</v>
      </c>
      <c r="AO545" s="29">
        <f>I545*1</f>
        <v>0</v>
      </c>
      <c r="AP545" s="29">
        <f>I545*(1-1)</f>
        <v>0</v>
      </c>
      <c r="AQ545" s="31" t="s">
        <v>13</v>
      </c>
      <c r="AV545" s="29">
        <f t="shared" si="544"/>
        <v>0</v>
      </c>
      <c r="AW545" s="29">
        <f t="shared" si="545"/>
        <v>0</v>
      </c>
      <c r="AX545" s="29">
        <f t="shared" si="546"/>
        <v>0</v>
      </c>
      <c r="AY545" s="32" t="s">
        <v>2920</v>
      </c>
      <c r="AZ545" s="32" t="s">
        <v>2945</v>
      </c>
      <c r="BA545" s="28" t="s">
        <v>2957</v>
      </c>
      <c r="BC545" s="29">
        <f t="shared" si="547"/>
        <v>0</v>
      </c>
      <c r="BD545" s="29">
        <f t="shared" si="548"/>
        <v>0</v>
      </c>
      <c r="BE545" s="29">
        <v>0</v>
      </c>
      <c r="BF545" s="29">
        <f>545</f>
        <v>545</v>
      </c>
      <c r="BH545" s="16">
        <f t="shared" si="549"/>
        <v>0</v>
      </c>
      <c r="BI545" s="16">
        <f t="shared" si="550"/>
        <v>0</v>
      </c>
      <c r="BJ545" s="16">
        <f t="shared" si="551"/>
        <v>0</v>
      </c>
      <c r="BK545" s="16" t="s">
        <v>2970</v>
      </c>
      <c r="BL545" s="29">
        <v>766</v>
      </c>
    </row>
    <row r="546" spans="1:64" ht="12.75">
      <c r="A546" s="6" t="s">
        <v>499</v>
      </c>
      <c r="B546" s="98" t="s">
        <v>1494</v>
      </c>
      <c r="C546" s="163" t="s">
        <v>2430</v>
      </c>
      <c r="D546" s="164"/>
      <c r="E546" s="164"/>
      <c r="F546" s="164"/>
      <c r="G546" s="98" t="s">
        <v>2850</v>
      </c>
      <c r="H546" s="76">
        <v>2</v>
      </c>
      <c r="I546" s="106">
        <v>0</v>
      </c>
      <c r="J546" s="16">
        <f t="shared" si="530"/>
        <v>0</v>
      </c>
      <c r="K546" s="16">
        <f t="shared" si="531"/>
        <v>0</v>
      </c>
      <c r="L546" s="16">
        <f t="shared" si="532"/>
        <v>0</v>
      </c>
      <c r="M546" s="26" t="s">
        <v>2872</v>
      </c>
      <c r="N546" s="5"/>
      <c r="Z546" s="29">
        <f t="shared" si="533"/>
        <v>0</v>
      </c>
      <c r="AB546" s="29">
        <f t="shared" si="534"/>
        <v>0</v>
      </c>
      <c r="AC546" s="29">
        <f t="shared" si="535"/>
        <v>0</v>
      </c>
      <c r="AD546" s="29">
        <f t="shared" si="536"/>
        <v>0</v>
      </c>
      <c r="AE546" s="29">
        <f t="shared" si="537"/>
        <v>0</v>
      </c>
      <c r="AF546" s="29">
        <f t="shared" si="538"/>
        <v>0</v>
      </c>
      <c r="AG546" s="29">
        <f t="shared" si="539"/>
        <v>0</v>
      </c>
      <c r="AH546" s="29">
        <f t="shared" si="540"/>
        <v>0</v>
      </c>
      <c r="AI546" s="28" t="s">
        <v>2882</v>
      </c>
      <c r="AJ546" s="16">
        <f t="shared" si="541"/>
        <v>0</v>
      </c>
      <c r="AK546" s="16">
        <f t="shared" si="542"/>
        <v>0</v>
      </c>
      <c r="AL546" s="16">
        <f t="shared" si="543"/>
        <v>0</v>
      </c>
      <c r="AN546" s="29">
        <v>15</v>
      </c>
      <c r="AO546" s="29">
        <f>I546*1</f>
        <v>0</v>
      </c>
      <c r="AP546" s="29">
        <f>I546*(1-1)</f>
        <v>0</v>
      </c>
      <c r="AQ546" s="31" t="s">
        <v>13</v>
      </c>
      <c r="AV546" s="29">
        <f t="shared" si="544"/>
        <v>0</v>
      </c>
      <c r="AW546" s="29">
        <f t="shared" si="545"/>
        <v>0</v>
      </c>
      <c r="AX546" s="29">
        <f t="shared" si="546"/>
        <v>0</v>
      </c>
      <c r="AY546" s="32" t="s">
        <v>2920</v>
      </c>
      <c r="AZ546" s="32" t="s">
        <v>2945</v>
      </c>
      <c r="BA546" s="28" t="s">
        <v>2957</v>
      </c>
      <c r="BC546" s="29">
        <f t="shared" si="547"/>
        <v>0</v>
      </c>
      <c r="BD546" s="29">
        <f t="shared" si="548"/>
        <v>0</v>
      </c>
      <c r="BE546" s="29">
        <v>0</v>
      </c>
      <c r="BF546" s="29">
        <f>546</f>
        <v>546</v>
      </c>
      <c r="BH546" s="16">
        <f t="shared" si="549"/>
        <v>0</v>
      </c>
      <c r="BI546" s="16">
        <f t="shared" si="550"/>
        <v>0</v>
      </c>
      <c r="BJ546" s="16">
        <f t="shared" si="551"/>
        <v>0</v>
      </c>
      <c r="BK546" s="16" t="s">
        <v>2970</v>
      </c>
      <c r="BL546" s="29">
        <v>766</v>
      </c>
    </row>
    <row r="547" spans="1:64" ht="12.75">
      <c r="A547" s="4" t="s">
        <v>500</v>
      </c>
      <c r="B547" s="94" t="s">
        <v>1495</v>
      </c>
      <c r="C547" s="152" t="s">
        <v>2431</v>
      </c>
      <c r="D547" s="153"/>
      <c r="E547" s="153"/>
      <c r="F547" s="153"/>
      <c r="G547" s="94" t="s">
        <v>2850</v>
      </c>
      <c r="H547" s="73">
        <v>1</v>
      </c>
      <c r="I547" s="105">
        <v>0</v>
      </c>
      <c r="J547" s="15">
        <f t="shared" si="530"/>
        <v>0</v>
      </c>
      <c r="K547" s="15">
        <f t="shared" si="531"/>
        <v>0</v>
      </c>
      <c r="L547" s="15">
        <f t="shared" si="532"/>
        <v>0</v>
      </c>
      <c r="M547" s="25" t="s">
        <v>2872</v>
      </c>
      <c r="N547" s="5"/>
      <c r="Z547" s="29">
        <f t="shared" si="533"/>
        <v>0</v>
      </c>
      <c r="AB547" s="29">
        <f t="shared" si="534"/>
        <v>0</v>
      </c>
      <c r="AC547" s="29">
        <f t="shared" si="535"/>
        <v>0</v>
      </c>
      <c r="AD547" s="29">
        <f t="shared" si="536"/>
        <v>0</v>
      </c>
      <c r="AE547" s="29">
        <f t="shared" si="537"/>
        <v>0</v>
      </c>
      <c r="AF547" s="29">
        <f t="shared" si="538"/>
        <v>0</v>
      </c>
      <c r="AG547" s="29">
        <f t="shared" si="539"/>
        <v>0</v>
      </c>
      <c r="AH547" s="29">
        <f t="shared" si="540"/>
        <v>0</v>
      </c>
      <c r="AI547" s="28" t="s">
        <v>2882</v>
      </c>
      <c r="AJ547" s="15">
        <f t="shared" si="541"/>
        <v>0</v>
      </c>
      <c r="AK547" s="15">
        <f t="shared" si="542"/>
        <v>0</v>
      </c>
      <c r="AL547" s="15">
        <f t="shared" si="543"/>
        <v>0</v>
      </c>
      <c r="AN547" s="29">
        <v>15</v>
      </c>
      <c r="AO547" s="29">
        <f>I547*0.0956505102040816</f>
        <v>0</v>
      </c>
      <c r="AP547" s="29">
        <f>I547*(1-0.0956505102040816)</f>
        <v>0</v>
      </c>
      <c r="AQ547" s="30" t="s">
        <v>13</v>
      </c>
      <c r="AV547" s="29">
        <f t="shared" si="544"/>
        <v>0</v>
      </c>
      <c r="AW547" s="29">
        <f t="shared" si="545"/>
        <v>0</v>
      </c>
      <c r="AX547" s="29">
        <f t="shared" si="546"/>
        <v>0</v>
      </c>
      <c r="AY547" s="32" t="s">
        <v>2920</v>
      </c>
      <c r="AZ547" s="32" t="s">
        <v>2945</v>
      </c>
      <c r="BA547" s="28" t="s">
        <v>2957</v>
      </c>
      <c r="BC547" s="29">
        <f t="shared" si="547"/>
        <v>0</v>
      </c>
      <c r="BD547" s="29">
        <f t="shared" si="548"/>
        <v>0</v>
      </c>
      <c r="BE547" s="29">
        <v>0</v>
      </c>
      <c r="BF547" s="29">
        <f>547</f>
        <v>547</v>
      </c>
      <c r="BH547" s="15">
        <f t="shared" si="549"/>
        <v>0</v>
      </c>
      <c r="BI547" s="15">
        <f t="shared" si="550"/>
        <v>0</v>
      </c>
      <c r="BJ547" s="15">
        <f t="shared" si="551"/>
        <v>0</v>
      </c>
      <c r="BK547" s="15" t="s">
        <v>2969</v>
      </c>
      <c r="BL547" s="29">
        <v>766</v>
      </c>
    </row>
    <row r="548" spans="1:64" ht="12.75">
      <c r="A548" s="6" t="s">
        <v>501</v>
      </c>
      <c r="B548" s="98" t="s">
        <v>1496</v>
      </c>
      <c r="C548" s="163" t="s">
        <v>2432</v>
      </c>
      <c r="D548" s="164"/>
      <c r="E548" s="164"/>
      <c r="F548" s="164"/>
      <c r="G548" s="98" t="s">
        <v>2850</v>
      </c>
      <c r="H548" s="76">
        <v>1</v>
      </c>
      <c r="I548" s="106">
        <v>0</v>
      </c>
      <c r="J548" s="16">
        <f t="shared" si="530"/>
        <v>0</v>
      </c>
      <c r="K548" s="16">
        <f t="shared" si="531"/>
        <v>0</v>
      </c>
      <c r="L548" s="16">
        <f t="shared" si="532"/>
        <v>0</v>
      </c>
      <c r="M548" s="26" t="s">
        <v>2872</v>
      </c>
      <c r="N548" s="5"/>
      <c r="Z548" s="29">
        <f t="shared" si="533"/>
        <v>0</v>
      </c>
      <c r="AB548" s="29">
        <f t="shared" si="534"/>
        <v>0</v>
      </c>
      <c r="AC548" s="29">
        <f t="shared" si="535"/>
        <v>0</v>
      </c>
      <c r="AD548" s="29">
        <f t="shared" si="536"/>
        <v>0</v>
      </c>
      <c r="AE548" s="29">
        <f t="shared" si="537"/>
        <v>0</v>
      </c>
      <c r="AF548" s="29">
        <f t="shared" si="538"/>
        <v>0</v>
      </c>
      <c r="AG548" s="29">
        <f t="shared" si="539"/>
        <v>0</v>
      </c>
      <c r="AH548" s="29">
        <f t="shared" si="540"/>
        <v>0</v>
      </c>
      <c r="AI548" s="28" t="s">
        <v>2882</v>
      </c>
      <c r="AJ548" s="16">
        <f t="shared" si="541"/>
        <v>0</v>
      </c>
      <c r="AK548" s="16">
        <f t="shared" si="542"/>
        <v>0</v>
      </c>
      <c r="AL548" s="16">
        <f t="shared" si="543"/>
        <v>0</v>
      </c>
      <c r="AN548" s="29">
        <v>15</v>
      </c>
      <c r="AO548" s="29">
        <f>I548*1</f>
        <v>0</v>
      </c>
      <c r="AP548" s="29">
        <f>I548*(1-1)</f>
        <v>0</v>
      </c>
      <c r="AQ548" s="31" t="s">
        <v>13</v>
      </c>
      <c r="AV548" s="29">
        <f t="shared" si="544"/>
        <v>0</v>
      </c>
      <c r="AW548" s="29">
        <f t="shared" si="545"/>
        <v>0</v>
      </c>
      <c r="AX548" s="29">
        <f t="shared" si="546"/>
        <v>0</v>
      </c>
      <c r="AY548" s="32" t="s">
        <v>2920</v>
      </c>
      <c r="AZ548" s="32" t="s">
        <v>2945</v>
      </c>
      <c r="BA548" s="28" t="s">
        <v>2957</v>
      </c>
      <c r="BC548" s="29">
        <f t="shared" si="547"/>
        <v>0</v>
      </c>
      <c r="BD548" s="29">
        <f t="shared" si="548"/>
        <v>0</v>
      </c>
      <c r="BE548" s="29">
        <v>0</v>
      </c>
      <c r="BF548" s="29">
        <f>548</f>
        <v>548</v>
      </c>
      <c r="BH548" s="16">
        <f t="shared" si="549"/>
        <v>0</v>
      </c>
      <c r="BI548" s="16">
        <f t="shared" si="550"/>
        <v>0</v>
      </c>
      <c r="BJ548" s="16">
        <f t="shared" si="551"/>
        <v>0</v>
      </c>
      <c r="BK548" s="16" t="s">
        <v>2970</v>
      </c>
      <c r="BL548" s="29">
        <v>766</v>
      </c>
    </row>
    <row r="549" spans="1:64" ht="12.75">
      <c r="A549" s="4" t="s">
        <v>502</v>
      </c>
      <c r="B549" s="94" t="s">
        <v>1497</v>
      </c>
      <c r="C549" s="152" t="s">
        <v>2433</v>
      </c>
      <c r="D549" s="153"/>
      <c r="E549" s="153"/>
      <c r="F549" s="153"/>
      <c r="G549" s="94" t="s">
        <v>2849</v>
      </c>
      <c r="H549" s="73">
        <v>2</v>
      </c>
      <c r="I549" s="105">
        <v>0</v>
      </c>
      <c r="J549" s="15">
        <f t="shared" si="530"/>
        <v>0</v>
      </c>
      <c r="K549" s="15">
        <f t="shared" si="531"/>
        <v>0</v>
      </c>
      <c r="L549" s="15">
        <f t="shared" si="532"/>
        <v>0</v>
      </c>
      <c r="M549" s="25" t="s">
        <v>2872</v>
      </c>
      <c r="N549" s="5"/>
      <c r="Z549" s="29">
        <f t="shared" si="533"/>
        <v>0</v>
      </c>
      <c r="AB549" s="29">
        <f t="shared" si="534"/>
        <v>0</v>
      </c>
      <c r="AC549" s="29">
        <f t="shared" si="535"/>
        <v>0</v>
      </c>
      <c r="AD549" s="29">
        <f t="shared" si="536"/>
        <v>0</v>
      </c>
      <c r="AE549" s="29">
        <f t="shared" si="537"/>
        <v>0</v>
      </c>
      <c r="AF549" s="29">
        <f t="shared" si="538"/>
        <v>0</v>
      </c>
      <c r="AG549" s="29">
        <f t="shared" si="539"/>
        <v>0</v>
      </c>
      <c r="AH549" s="29">
        <f t="shared" si="540"/>
        <v>0</v>
      </c>
      <c r="AI549" s="28" t="s">
        <v>2882</v>
      </c>
      <c r="AJ549" s="15">
        <f t="shared" si="541"/>
        <v>0</v>
      </c>
      <c r="AK549" s="15">
        <f t="shared" si="542"/>
        <v>0</v>
      </c>
      <c r="AL549" s="15">
        <f t="shared" si="543"/>
        <v>0</v>
      </c>
      <c r="AN549" s="29">
        <v>15</v>
      </c>
      <c r="AO549" s="29">
        <f>I549*0.028258064516129</f>
        <v>0</v>
      </c>
      <c r="AP549" s="29">
        <f>I549*(1-0.028258064516129)</f>
        <v>0</v>
      </c>
      <c r="AQ549" s="30" t="s">
        <v>13</v>
      </c>
      <c r="AV549" s="29">
        <f t="shared" si="544"/>
        <v>0</v>
      </c>
      <c r="AW549" s="29">
        <f t="shared" si="545"/>
        <v>0</v>
      </c>
      <c r="AX549" s="29">
        <f t="shared" si="546"/>
        <v>0</v>
      </c>
      <c r="AY549" s="32" t="s">
        <v>2920</v>
      </c>
      <c r="AZ549" s="32" t="s">
        <v>2945</v>
      </c>
      <c r="BA549" s="28" t="s">
        <v>2957</v>
      </c>
      <c r="BC549" s="29">
        <f t="shared" si="547"/>
        <v>0</v>
      </c>
      <c r="BD549" s="29">
        <f t="shared" si="548"/>
        <v>0</v>
      </c>
      <c r="BE549" s="29">
        <v>0</v>
      </c>
      <c r="BF549" s="29">
        <f>549</f>
        <v>549</v>
      </c>
      <c r="BH549" s="15">
        <f t="shared" si="549"/>
        <v>0</v>
      </c>
      <c r="BI549" s="15">
        <f t="shared" si="550"/>
        <v>0</v>
      </c>
      <c r="BJ549" s="15">
        <f t="shared" si="551"/>
        <v>0</v>
      </c>
      <c r="BK549" s="15" t="s">
        <v>2969</v>
      </c>
      <c r="BL549" s="29">
        <v>766</v>
      </c>
    </row>
    <row r="550" spans="1:64" ht="12.75">
      <c r="A550" s="4" t="s">
        <v>503</v>
      </c>
      <c r="B550" s="94" t="s">
        <v>1498</v>
      </c>
      <c r="C550" s="152" t="s">
        <v>2434</v>
      </c>
      <c r="D550" s="153"/>
      <c r="E550" s="153"/>
      <c r="F550" s="153"/>
      <c r="G550" s="94" t="s">
        <v>2850</v>
      </c>
      <c r="H550" s="73">
        <v>17</v>
      </c>
      <c r="I550" s="105">
        <v>0</v>
      </c>
      <c r="J550" s="15">
        <f t="shared" si="530"/>
        <v>0</v>
      </c>
      <c r="K550" s="15">
        <f t="shared" si="531"/>
        <v>0</v>
      </c>
      <c r="L550" s="15">
        <f t="shared" si="532"/>
        <v>0</v>
      </c>
      <c r="M550" s="25" t="s">
        <v>2872</v>
      </c>
      <c r="N550" s="5"/>
      <c r="Z550" s="29">
        <f t="shared" si="533"/>
        <v>0</v>
      </c>
      <c r="AB550" s="29">
        <f t="shared" si="534"/>
        <v>0</v>
      </c>
      <c r="AC550" s="29">
        <f t="shared" si="535"/>
        <v>0</v>
      </c>
      <c r="AD550" s="29">
        <f t="shared" si="536"/>
        <v>0</v>
      </c>
      <c r="AE550" s="29">
        <f t="shared" si="537"/>
        <v>0</v>
      </c>
      <c r="AF550" s="29">
        <f t="shared" si="538"/>
        <v>0</v>
      </c>
      <c r="AG550" s="29">
        <f t="shared" si="539"/>
        <v>0</v>
      </c>
      <c r="AH550" s="29">
        <f t="shared" si="540"/>
        <v>0</v>
      </c>
      <c r="AI550" s="28" t="s">
        <v>2882</v>
      </c>
      <c r="AJ550" s="15">
        <f t="shared" si="541"/>
        <v>0</v>
      </c>
      <c r="AK550" s="15">
        <f t="shared" si="542"/>
        <v>0</v>
      </c>
      <c r="AL550" s="15">
        <f t="shared" si="543"/>
        <v>0</v>
      </c>
      <c r="AN550" s="29">
        <v>15</v>
      </c>
      <c r="AO550" s="29">
        <f aca="true" t="shared" si="552" ref="AO550:AO563">I550*0</f>
        <v>0</v>
      </c>
      <c r="AP550" s="29">
        <f aca="true" t="shared" si="553" ref="AP550:AP563">I550*(1-0)</f>
        <v>0</v>
      </c>
      <c r="AQ550" s="30" t="s">
        <v>13</v>
      </c>
      <c r="AV550" s="29">
        <f t="shared" si="544"/>
        <v>0</v>
      </c>
      <c r="AW550" s="29">
        <f t="shared" si="545"/>
        <v>0</v>
      </c>
      <c r="AX550" s="29">
        <f t="shared" si="546"/>
        <v>0</v>
      </c>
      <c r="AY550" s="32" t="s">
        <v>2920</v>
      </c>
      <c r="AZ550" s="32" t="s">
        <v>2945</v>
      </c>
      <c r="BA550" s="28" t="s">
        <v>2957</v>
      </c>
      <c r="BC550" s="29">
        <f t="shared" si="547"/>
        <v>0</v>
      </c>
      <c r="BD550" s="29">
        <f t="shared" si="548"/>
        <v>0</v>
      </c>
      <c r="BE550" s="29">
        <v>0</v>
      </c>
      <c r="BF550" s="29">
        <f>550</f>
        <v>550</v>
      </c>
      <c r="BH550" s="15">
        <f t="shared" si="549"/>
        <v>0</v>
      </c>
      <c r="BI550" s="15">
        <f t="shared" si="550"/>
        <v>0</v>
      </c>
      <c r="BJ550" s="15">
        <f t="shared" si="551"/>
        <v>0</v>
      </c>
      <c r="BK550" s="15" t="s">
        <v>2969</v>
      </c>
      <c r="BL550" s="29">
        <v>766</v>
      </c>
    </row>
    <row r="551" spans="1:64" ht="12.75">
      <c r="A551" s="4" t="s">
        <v>504</v>
      </c>
      <c r="B551" s="94" t="s">
        <v>1499</v>
      </c>
      <c r="C551" s="152" t="s">
        <v>2435</v>
      </c>
      <c r="D551" s="153"/>
      <c r="E551" s="153"/>
      <c r="F551" s="153"/>
      <c r="G551" s="94" t="s">
        <v>2850</v>
      </c>
      <c r="H551" s="73">
        <v>5</v>
      </c>
      <c r="I551" s="105">
        <v>0</v>
      </c>
      <c r="J551" s="15">
        <f t="shared" si="530"/>
        <v>0</v>
      </c>
      <c r="K551" s="15">
        <f t="shared" si="531"/>
        <v>0</v>
      </c>
      <c r="L551" s="15">
        <f t="shared" si="532"/>
        <v>0</v>
      </c>
      <c r="M551" s="25" t="s">
        <v>2872</v>
      </c>
      <c r="N551" s="5"/>
      <c r="Z551" s="29">
        <f t="shared" si="533"/>
        <v>0</v>
      </c>
      <c r="AB551" s="29">
        <f t="shared" si="534"/>
        <v>0</v>
      </c>
      <c r="AC551" s="29">
        <f t="shared" si="535"/>
        <v>0</v>
      </c>
      <c r="AD551" s="29">
        <f t="shared" si="536"/>
        <v>0</v>
      </c>
      <c r="AE551" s="29">
        <f t="shared" si="537"/>
        <v>0</v>
      </c>
      <c r="AF551" s="29">
        <f t="shared" si="538"/>
        <v>0</v>
      </c>
      <c r="AG551" s="29">
        <f t="shared" si="539"/>
        <v>0</v>
      </c>
      <c r="AH551" s="29">
        <f t="shared" si="540"/>
        <v>0</v>
      </c>
      <c r="AI551" s="28" t="s">
        <v>2882</v>
      </c>
      <c r="AJ551" s="15">
        <f t="shared" si="541"/>
        <v>0</v>
      </c>
      <c r="AK551" s="15">
        <f t="shared" si="542"/>
        <v>0</v>
      </c>
      <c r="AL551" s="15">
        <f t="shared" si="543"/>
        <v>0</v>
      </c>
      <c r="AN551" s="29">
        <v>15</v>
      </c>
      <c r="AO551" s="29">
        <f t="shared" si="552"/>
        <v>0</v>
      </c>
      <c r="AP551" s="29">
        <f t="shared" si="553"/>
        <v>0</v>
      </c>
      <c r="AQ551" s="30" t="s">
        <v>13</v>
      </c>
      <c r="AV551" s="29">
        <f t="shared" si="544"/>
        <v>0</v>
      </c>
      <c r="AW551" s="29">
        <f t="shared" si="545"/>
        <v>0</v>
      </c>
      <c r="AX551" s="29">
        <f t="shared" si="546"/>
        <v>0</v>
      </c>
      <c r="AY551" s="32" t="s">
        <v>2920</v>
      </c>
      <c r="AZ551" s="32" t="s">
        <v>2945</v>
      </c>
      <c r="BA551" s="28" t="s">
        <v>2957</v>
      </c>
      <c r="BC551" s="29">
        <f t="shared" si="547"/>
        <v>0</v>
      </c>
      <c r="BD551" s="29">
        <f t="shared" si="548"/>
        <v>0</v>
      </c>
      <c r="BE551" s="29">
        <v>0</v>
      </c>
      <c r="BF551" s="29">
        <f>551</f>
        <v>551</v>
      </c>
      <c r="BH551" s="15">
        <f t="shared" si="549"/>
        <v>0</v>
      </c>
      <c r="BI551" s="15">
        <f t="shared" si="550"/>
        <v>0</v>
      </c>
      <c r="BJ551" s="15">
        <f t="shared" si="551"/>
        <v>0</v>
      </c>
      <c r="BK551" s="15" t="s">
        <v>2969</v>
      </c>
      <c r="BL551" s="29">
        <v>766</v>
      </c>
    </row>
    <row r="552" spans="1:64" ht="12.75">
      <c r="A552" s="4" t="s">
        <v>505</v>
      </c>
      <c r="B552" s="94" t="s">
        <v>1500</v>
      </c>
      <c r="C552" s="152" t="s">
        <v>2436</v>
      </c>
      <c r="D552" s="153"/>
      <c r="E552" s="153"/>
      <c r="F552" s="153"/>
      <c r="G552" s="94" t="s">
        <v>2850</v>
      </c>
      <c r="H552" s="73">
        <v>1</v>
      </c>
      <c r="I552" s="105">
        <v>0</v>
      </c>
      <c r="J552" s="15">
        <f t="shared" si="530"/>
        <v>0</v>
      </c>
      <c r="K552" s="15">
        <f t="shared" si="531"/>
        <v>0</v>
      </c>
      <c r="L552" s="15">
        <f t="shared" si="532"/>
        <v>0</v>
      </c>
      <c r="M552" s="25" t="s">
        <v>2872</v>
      </c>
      <c r="N552" s="5"/>
      <c r="Z552" s="29">
        <f t="shared" si="533"/>
        <v>0</v>
      </c>
      <c r="AB552" s="29">
        <f t="shared" si="534"/>
        <v>0</v>
      </c>
      <c r="AC552" s="29">
        <f t="shared" si="535"/>
        <v>0</v>
      </c>
      <c r="AD552" s="29">
        <f t="shared" si="536"/>
        <v>0</v>
      </c>
      <c r="AE552" s="29">
        <f t="shared" si="537"/>
        <v>0</v>
      </c>
      <c r="AF552" s="29">
        <f t="shared" si="538"/>
        <v>0</v>
      </c>
      <c r="AG552" s="29">
        <f t="shared" si="539"/>
        <v>0</v>
      </c>
      <c r="AH552" s="29">
        <f t="shared" si="540"/>
        <v>0</v>
      </c>
      <c r="AI552" s="28" t="s">
        <v>2882</v>
      </c>
      <c r="AJ552" s="15">
        <f t="shared" si="541"/>
        <v>0</v>
      </c>
      <c r="AK552" s="15">
        <f t="shared" si="542"/>
        <v>0</v>
      </c>
      <c r="AL552" s="15">
        <f t="shared" si="543"/>
        <v>0</v>
      </c>
      <c r="AN552" s="29">
        <v>15</v>
      </c>
      <c r="AO552" s="29">
        <f t="shared" si="552"/>
        <v>0</v>
      </c>
      <c r="AP552" s="29">
        <f t="shared" si="553"/>
        <v>0</v>
      </c>
      <c r="AQ552" s="30" t="s">
        <v>13</v>
      </c>
      <c r="AV552" s="29">
        <f t="shared" si="544"/>
        <v>0</v>
      </c>
      <c r="AW552" s="29">
        <f t="shared" si="545"/>
        <v>0</v>
      </c>
      <c r="AX552" s="29">
        <f t="shared" si="546"/>
        <v>0</v>
      </c>
      <c r="AY552" s="32" t="s">
        <v>2920</v>
      </c>
      <c r="AZ552" s="32" t="s">
        <v>2945</v>
      </c>
      <c r="BA552" s="28" t="s">
        <v>2957</v>
      </c>
      <c r="BC552" s="29">
        <f t="shared" si="547"/>
        <v>0</v>
      </c>
      <c r="BD552" s="29">
        <f t="shared" si="548"/>
        <v>0</v>
      </c>
      <c r="BE552" s="29">
        <v>0</v>
      </c>
      <c r="BF552" s="29">
        <f>552</f>
        <v>552</v>
      </c>
      <c r="BH552" s="15">
        <f t="shared" si="549"/>
        <v>0</v>
      </c>
      <c r="BI552" s="15">
        <f t="shared" si="550"/>
        <v>0</v>
      </c>
      <c r="BJ552" s="15">
        <f t="shared" si="551"/>
        <v>0</v>
      </c>
      <c r="BK552" s="15" t="s">
        <v>2969</v>
      </c>
      <c r="BL552" s="29">
        <v>766</v>
      </c>
    </row>
    <row r="553" spans="1:64" ht="12.75">
      <c r="A553" s="4" t="s">
        <v>506</v>
      </c>
      <c r="B553" s="94" t="s">
        <v>1501</v>
      </c>
      <c r="C553" s="152" t="s">
        <v>2437</v>
      </c>
      <c r="D553" s="153"/>
      <c r="E553" s="153"/>
      <c r="F553" s="153"/>
      <c r="G553" s="94" t="s">
        <v>2850</v>
      </c>
      <c r="H553" s="73">
        <v>1</v>
      </c>
      <c r="I553" s="105">
        <v>0</v>
      </c>
      <c r="J553" s="15">
        <f t="shared" si="530"/>
        <v>0</v>
      </c>
      <c r="K553" s="15">
        <f t="shared" si="531"/>
        <v>0</v>
      </c>
      <c r="L553" s="15">
        <f t="shared" si="532"/>
        <v>0</v>
      </c>
      <c r="M553" s="25" t="s">
        <v>2872</v>
      </c>
      <c r="N553" s="5"/>
      <c r="Z553" s="29">
        <f t="shared" si="533"/>
        <v>0</v>
      </c>
      <c r="AB553" s="29">
        <f t="shared" si="534"/>
        <v>0</v>
      </c>
      <c r="AC553" s="29">
        <f t="shared" si="535"/>
        <v>0</v>
      </c>
      <c r="AD553" s="29">
        <f t="shared" si="536"/>
        <v>0</v>
      </c>
      <c r="AE553" s="29">
        <f t="shared" si="537"/>
        <v>0</v>
      </c>
      <c r="AF553" s="29">
        <f t="shared" si="538"/>
        <v>0</v>
      </c>
      <c r="AG553" s="29">
        <f t="shared" si="539"/>
        <v>0</v>
      </c>
      <c r="AH553" s="29">
        <f t="shared" si="540"/>
        <v>0</v>
      </c>
      <c r="AI553" s="28" t="s">
        <v>2882</v>
      </c>
      <c r="AJ553" s="15">
        <f t="shared" si="541"/>
        <v>0</v>
      </c>
      <c r="AK553" s="15">
        <f t="shared" si="542"/>
        <v>0</v>
      </c>
      <c r="AL553" s="15">
        <f t="shared" si="543"/>
        <v>0</v>
      </c>
      <c r="AN553" s="29">
        <v>15</v>
      </c>
      <c r="AO553" s="29">
        <f t="shared" si="552"/>
        <v>0</v>
      </c>
      <c r="AP553" s="29">
        <f t="shared" si="553"/>
        <v>0</v>
      </c>
      <c r="AQ553" s="30" t="s">
        <v>13</v>
      </c>
      <c r="AV553" s="29">
        <f t="shared" si="544"/>
        <v>0</v>
      </c>
      <c r="AW553" s="29">
        <f t="shared" si="545"/>
        <v>0</v>
      </c>
      <c r="AX553" s="29">
        <f t="shared" si="546"/>
        <v>0</v>
      </c>
      <c r="AY553" s="32" t="s">
        <v>2920</v>
      </c>
      <c r="AZ553" s="32" t="s">
        <v>2945</v>
      </c>
      <c r="BA553" s="28" t="s">
        <v>2957</v>
      </c>
      <c r="BC553" s="29">
        <f t="shared" si="547"/>
        <v>0</v>
      </c>
      <c r="BD553" s="29">
        <f t="shared" si="548"/>
        <v>0</v>
      </c>
      <c r="BE553" s="29">
        <v>0</v>
      </c>
      <c r="BF553" s="29">
        <f>553</f>
        <v>553</v>
      </c>
      <c r="BH553" s="15">
        <f t="shared" si="549"/>
        <v>0</v>
      </c>
      <c r="BI553" s="15">
        <f t="shared" si="550"/>
        <v>0</v>
      </c>
      <c r="BJ553" s="15">
        <f t="shared" si="551"/>
        <v>0</v>
      </c>
      <c r="BK553" s="15" t="s">
        <v>2969</v>
      </c>
      <c r="BL553" s="29">
        <v>766</v>
      </c>
    </row>
    <row r="554" spans="1:64" ht="12.75">
      <c r="A554" s="4" t="s">
        <v>507</v>
      </c>
      <c r="B554" s="94" t="s">
        <v>1502</v>
      </c>
      <c r="C554" s="152" t="s">
        <v>2438</v>
      </c>
      <c r="D554" s="153"/>
      <c r="E554" s="153"/>
      <c r="F554" s="153"/>
      <c r="G554" s="94" t="s">
        <v>2850</v>
      </c>
      <c r="H554" s="73">
        <v>10</v>
      </c>
      <c r="I554" s="105">
        <v>0</v>
      </c>
      <c r="J554" s="15">
        <f t="shared" si="530"/>
        <v>0</v>
      </c>
      <c r="K554" s="15">
        <f t="shared" si="531"/>
        <v>0</v>
      </c>
      <c r="L554" s="15">
        <f t="shared" si="532"/>
        <v>0</v>
      </c>
      <c r="M554" s="25" t="s">
        <v>2872</v>
      </c>
      <c r="N554" s="5"/>
      <c r="Z554" s="29">
        <f t="shared" si="533"/>
        <v>0</v>
      </c>
      <c r="AB554" s="29">
        <f t="shared" si="534"/>
        <v>0</v>
      </c>
      <c r="AC554" s="29">
        <f t="shared" si="535"/>
        <v>0</v>
      </c>
      <c r="AD554" s="29">
        <f t="shared" si="536"/>
        <v>0</v>
      </c>
      <c r="AE554" s="29">
        <f t="shared" si="537"/>
        <v>0</v>
      </c>
      <c r="AF554" s="29">
        <f t="shared" si="538"/>
        <v>0</v>
      </c>
      <c r="AG554" s="29">
        <f t="shared" si="539"/>
        <v>0</v>
      </c>
      <c r="AH554" s="29">
        <f t="shared" si="540"/>
        <v>0</v>
      </c>
      <c r="AI554" s="28" t="s">
        <v>2882</v>
      </c>
      <c r="AJ554" s="15">
        <f t="shared" si="541"/>
        <v>0</v>
      </c>
      <c r="AK554" s="15">
        <f t="shared" si="542"/>
        <v>0</v>
      </c>
      <c r="AL554" s="15">
        <f t="shared" si="543"/>
        <v>0</v>
      </c>
      <c r="AN554" s="29">
        <v>15</v>
      </c>
      <c r="AO554" s="29">
        <f t="shared" si="552"/>
        <v>0</v>
      </c>
      <c r="AP554" s="29">
        <f t="shared" si="553"/>
        <v>0</v>
      </c>
      <c r="AQ554" s="30" t="s">
        <v>13</v>
      </c>
      <c r="AV554" s="29">
        <f t="shared" si="544"/>
        <v>0</v>
      </c>
      <c r="AW554" s="29">
        <f t="shared" si="545"/>
        <v>0</v>
      </c>
      <c r="AX554" s="29">
        <f t="shared" si="546"/>
        <v>0</v>
      </c>
      <c r="AY554" s="32" t="s">
        <v>2920</v>
      </c>
      <c r="AZ554" s="32" t="s">
        <v>2945</v>
      </c>
      <c r="BA554" s="28" t="s">
        <v>2957</v>
      </c>
      <c r="BC554" s="29">
        <f t="shared" si="547"/>
        <v>0</v>
      </c>
      <c r="BD554" s="29">
        <f t="shared" si="548"/>
        <v>0</v>
      </c>
      <c r="BE554" s="29">
        <v>0</v>
      </c>
      <c r="BF554" s="29">
        <f>554</f>
        <v>554</v>
      </c>
      <c r="BH554" s="15">
        <f t="shared" si="549"/>
        <v>0</v>
      </c>
      <c r="BI554" s="15">
        <f t="shared" si="550"/>
        <v>0</v>
      </c>
      <c r="BJ554" s="15">
        <f t="shared" si="551"/>
        <v>0</v>
      </c>
      <c r="BK554" s="15" t="s">
        <v>2969</v>
      </c>
      <c r="BL554" s="29">
        <v>766</v>
      </c>
    </row>
    <row r="555" spans="1:64" ht="12.75">
      <c r="A555" s="4" t="s">
        <v>508</v>
      </c>
      <c r="B555" s="94" t="s">
        <v>1503</v>
      </c>
      <c r="C555" s="152" t="s">
        <v>2439</v>
      </c>
      <c r="D555" s="153"/>
      <c r="E555" s="153"/>
      <c r="F555" s="153"/>
      <c r="G555" s="94" t="s">
        <v>2850</v>
      </c>
      <c r="H555" s="73">
        <v>2</v>
      </c>
      <c r="I555" s="105">
        <v>0</v>
      </c>
      <c r="J555" s="15">
        <f t="shared" si="530"/>
        <v>0</v>
      </c>
      <c r="K555" s="15">
        <f t="shared" si="531"/>
        <v>0</v>
      </c>
      <c r="L555" s="15">
        <f t="shared" si="532"/>
        <v>0</v>
      </c>
      <c r="M555" s="25" t="s">
        <v>2872</v>
      </c>
      <c r="N555" s="5"/>
      <c r="Z555" s="29">
        <f t="shared" si="533"/>
        <v>0</v>
      </c>
      <c r="AB555" s="29">
        <f t="shared" si="534"/>
        <v>0</v>
      </c>
      <c r="AC555" s="29">
        <f t="shared" si="535"/>
        <v>0</v>
      </c>
      <c r="AD555" s="29">
        <f t="shared" si="536"/>
        <v>0</v>
      </c>
      <c r="AE555" s="29">
        <f t="shared" si="537"/>
        <v>0</v>
      </c>
      <c r="AF555" s="29">
        <f t="shared" si="538"/>
        <v>0</v>
      </c>
      <c r="AG555" s="29">
        <f t="shared" si="539"/>
        <v>0</v>
      </c>
      <c r="AH555" s="29">
        <f t="shared" si="540"/>
        <v>0</v>
      </c>
      <c r="AI555" s="28" t="s">
        <v>2882</v>
      </c>
      <c r="AJ555" s="15">
        <f t="shared" si="541"/>
        <v>0</v>
      </c>
      <c r="AK555" s="15">
        <f t="shared" si="542"/>
        <v>0</v>
      </c>
      <c r="AL555" s="15">
        <f t="shared" si="543"/>
        <v>0</v>
      </c>
      <c r="AN555" s="29">
        <v>15</v>
      </c>
      <c r="AO555" s="29">
        <f t="shared" si="552"/>
        <v>0</v>
      </c>
      <c r="AP555" s="29">
        <f t="shared" si="553"/>
        <v>0</v>
      </c>
      <c r="AQ555" s="30" t="s">
        <v>13</v>
      </c>
      <c r="AV555" s="29">
        <f t="shared" si="544"/>
        <v>0</v>
      </c>
      <c r="AW555" s="29">
        <f t="shared" si="545"/>
        <v>0</v>
      </c>
      <c r="AX555" s="29">
        <f t="shared" si="546"/>
        <v>0</v>
      </c>
      <c r="AY555" s="32" t="s">
        <v>2920</v>
      </c>
      <c r="AZ555" s="32" t="s">
        <v>2945</v>
      </c>
      <c r="BA555" s="28" t="s">
        <v>2957</v>
      </c>
      <c r="BC555" s="29">
        <f t="shared" si="547"/>
        <v>0</v>
      </c>
      <c r="BD555" s="29">
        <f t="shared" si="548"/>
        <v>0</v>
      </c>
      <c r="BE555" s="29">
        <v>0</v>
      </c>
      <c r="BF555" s="29">
        <f>555</f>
        <v>555</v>
      </c>
      <c r="BH555" s="15">
        <f t="shared" si="549"/>
        <v>0</v>
      </c>
      <c r="BI555" s="15">
        <f t="shared" si="550"/>
        <v>0</v>
      </c>
      <c r="BJ555" s="15">
        <f t="shared" si="551"/>
        <v>0</v>
      </c>
      <c r="BK555" s="15" t="s">
        <v>2969</v>
      </c>
      <c r="BL555" s="29">
        <v>766</v>
      </c>
    </row>
    <row r="556" spans="1:64" ht="12.75">
      <c r="A556" s="4" t="s">
        <v>509</v>
      </c>
      <c r="B556" s="94" t="s">
        <v>1504</v>
      </c>
      <c r="C556" s="152" t="s">
        <v>2440</v>
      </c>
      <c r="D556" s="153"/>
      <c r="E556" s="153"/>
      <c r="F556" s="153"/>
      <c r="G556" s="94" t="s">
        <v>2850</v>
      </c>
      <c r="H556" s="73">
        <v>18</v>
      </c>
      <c r="I556" s="105">
        <v>0</v>
      </c>
      <c r="J556" s="15">
        <f t="shared" si="530"/>
        <v>0</v>
      </c>
      <c r="K556" s="15">
        <f t="shared" si="531"/>
        <v>0</v>
      </c>
      <c r="L556" s="15">
        <f t="shared" si="532"/>
        <v>0</v>
      </c>
      <c r="M556" s="25" t="s">
        <v>2872</v>
      </c>
      <c r="N556" s="5"/>
      <c r="Z556" s="29">
        <f t="shared" si="533"/>
        <v>0</v>
      </c>
      <c r="AB556" s="29">
        <f t="shared" si="534"/>
        <v>0</v>
      </c>
      <c r="AC556" s="29">
        <f t="shared" si="535"/>
        <v>0</v>
      </c>
      <c r="AD556" s="29">
        <f t="shared" si="536"/>
        <v>0</v>
      </c>
      <c r="AE556" s="29">
        <f t="shared" si="537"/>
        <v>0</v>
      </c>
      <c r="AF556" s="29">
        <f t="shared" si="538"/>
        <v>0</v>
      </c>
      <c r="AG556" s="29">
        <f t="shared" si="539"/>
        <v>0</v>
      </c>
      <c r="AH556" s="29">
        <f t="shared" si="540"/>
        <v>0</v>
      </c>
      <c r="AI556" s="28" t="s">
        <v>2882</v>
      </c>
      <c r="AJ556" s="15">
        <f t="shared" si="541"/>
        <v>0</v>
      </c>
      <c r="AK556" s="15">
        <f t="shared" si="542"/>
        <v>0</v>
      </c>
      <c r="AL556" s="15">
        <f t="shared" si="543"/>
        <v>0</v>
      </c>
      <c r="AN556" s="29">
        <v>15</v>
      </c>
      <c r="AO556" s="29">
        <f t="shared" si="552"/>
        <v>0</v>
      </c>
      <c r="AP556" s="29">
        <f t="shared" si="553"/>
        <v>0</v>
      </c>
      <c r="AQ556" s="30" t="s">
        <v>13</v>
      </c>
      <c r="AV556" s="29">
        <f t="shared" si="544"/>
        <v>0</v>
      </c>
      <c r="AW556" s="29">
        <f t="shared" si="545"/>
        <v>0</v>
      </c>
      <c r="AX556" s="29">
        <f t="shared" si="546"/>
        <v>0</v>
      </c>
      <c r="AY556" s="32" t="s">
        <v>2920</v>
      </c>
      <c r="AZ556" s="32" t="s">
        <v>2945</v>
      </c>
      <c r="BA556" s="28" t="s">
        <v>2957</v>
      </c>
      <c r="BC556" s="29">
        <f t="shared" si="547"/>
        <v>0</v>
      </c>
      <c r="BD556" s="29">
        <f t="shared" si="548"/>
        <v>0</v>
      </c>
      <c r="BE556" s="29">
        <v>0</v>
      </c>
      <c r="BF556" s="29">
        <f>556</f>
        <v>556</v>
      </c>
      <c r="BH556" s="15">
        <f t="shared" si="549"/>
        <v>0</v>
      </c>
      <c r="BI556" s="15">
        <f t="shared" si="550"/>
        <v>0</v>
      </c>
      <c r="BJ556" s="15">
        <f t="shared" si="551"/>
        <v>0</v>
      </c>
      <c r="BK556" s="15" t="s">
        <v>2969</v>
      </c>
      <c r="BL556" s="29">
        <v>766</v>
      </c>
    </row>
    <row r="557" spans="1:64" ht="12.75">
      <c r="A557" s="4" t="s">
        <v>510</v>
      </c>
      <c r="B557" s="94" t="s">
        <v>1505</v>
      </c>
      <c r="C557" s="152" t="s">
        <v>2441</v>
      </c>
      <c r="D557" s="153"/>
      <c r="E557" s="153"/>
      <c r="F557" s="153"/>
      <c r="G557" s="94" t="s">
        <v>2850</v>
      </c>
      <c r="H557" s="73">
        <v>1</v>
      </c>
      <c r="I557" s="105">
        <v>0</v>
      </c>
      <c r="J557" s="15">
        <f t="shared" si="530"/>
        <v>0</v>
      </c>
      <c r="K557" s="15">
        <f t="shared" si="531"/>
        <v>0</v>
      </c>
      <c r="L557" s="15">
        <f t="shared" si="532"/>
        <v>0</v>
      </c>
      <c r="M557" s="25" t="s">
        <v>2872</v>
      </c>
      <c r="N557" s="5"/>
      <c r="Z557" s="29">
        <f t="shared" si="533"/>
        <v>0</v>
      </c>
      <c r="AB557" s="29">
        <f t="shared" si="534"/>
        <v>0</v>
      </c>
      <c r="AC557" s="29">
        <f t="shared" si="535"/>
        <v>0</v>
      </c>
      <c r="AD557" s="29">
        <f t="shared" si="536"/>
        <v>0</v>
      </c>
      <c r="AE557" s="29">
        <f t="shared" si="537"/>
        <v>0</v>
      </c>
      <c r="AF557" s="29">
        <f t="shared" si="538"/>
        <v>0</v>
      </c>
      <c r="AG557" s="29">
        <f t="shared" si="539"/>
        <v>0</v>
      </c>
      <c r="AH557" s="29">
        <f t="shared" si="540"/>
        <v>0</v>
      </c>
      <c r="AI557" s="28" t="s">
        <v>2882</v>
      </c>
      <c r="AJ557" s="15">
        <f t="shared" si="541"/>
        <v>0</v>
      </c>
      <c r="AK557" s="15">
        <f t="shared" si="542"/>
        <v>0</v>
      </c>
      <c r="AL557" s="15">
        <f t="shared" si="543"/>
        <v>0</v>
      </c>
      <c r="AN557" s="29">
        <v>15</v>
      </c>
      <c r="AO557" s="29">
        <f t="shared" si="552"/>
        <v>0</v>
      </c>
      <c r="AP557" s="29">
        <f t="shared" si="553"/>
        <v>0</v>
      </c>
      <c r="AQ557" s="30" t="s">
        <v>13</v>
      </c>
      <c r="AV557" s="29">
        <f t="shared" si="544"/>
        <v>0</v>
      </c>
      <c r="AW557" s="29">
        <f t="shared" si="545"/>
        <v>0</v>
      </c>
      <c r="AX557" s="29">
        <f t="shared" si="546"/>
        <v>0</v>
      </c>
      <c r="AY557" s="32" t="s">
        <v>2920</v>
      </c>
      <c r="AZ557" s="32" t="s">
        <v>2945</v>
      </c>
      <c r="BA557" s="28" t="s">
        <v>2957</v>
      </c>
      <c r="BC557" s="29">
        <f t="shared" si="547"/>
        <v>0</v>
      </c>
      <c r="BD557" s="29">
        <f t="shared" si="548"/>
        <v>0</v>
      </c>
      <c r="BE557" s="29">
        <v>0</v>
      </c>
      <c r="BF557" s="29">
        <f>557</f>
        <v>557</v>
      </c>
      <c r="BH557" s="15">
        <f t="shared" si="549"/>
        <v>0</v>
      </c>
      <c r="BI557" s="15">
        <f t="shared" si="550"/>
        <v>0</v>
      </c>
      <c r="BJ557" s="15">
        <f t="shared" si="551"/>
        <v>0</v>
      </c>
      <c r="BK557" s="15" t="s">
        <v>2969</v>
      </c>
      <c r="BL557" s="29">
        <v>766</v>
      </c>
    </row>
    <row r="558" spans="1:64" ht="12.75">
      <c r="A558" s="4" t="s">
        <v>511</v>
      </c>
      <c r="B558" s="94" t="s">
        <v>1506</v>
      </c>
      <c r="C558" s="152" t="s">
        <v>2442</v>
      </c>
      <c r="D558" s="153"/>
      <c r="E558" s="153"/>
      <c r="F558" s="153"/>
      <c r="G558" s="94" t="s">
        <v>2850</v>
      </c>
      <c r="H558" s="73">
        <v>35</v>
      </c>
      <c r="I558" s="105">
        <v>0</v>
      </c>
      <c r="J558" s="15">
        <f t="shared" si="530"/>
        <v>0</v>
      </c>
      <c r="K558" s="15">
        <f t="shared" si="531"/>
        <v>0</v>
      </c>
      <c r="L558" s="15">
        <f t="shared" si="532"/>
        <v>0</v>
      </c>
      <c r="M558" s="25" t="s">
        <v>2872</v>
      </c>
      <c r="N558" s="5"/>
      <c r="Z558" s="29">
        <f t="shared" si="533"/>
        <v>0</v>
      </c>
      <c r="AB558" s="29">
        <f t="shared" si="534"/>
        <v>0</v>
      </c>
      <c r="AC558" s="29">
        <f t="shared" si="535"/>
        <v>0</v>
      </c>
      <c r="AD558" s="29">
        <f t="shared" si="536"/>
        <v>0</v>
      </c>
      <c r="AE558" s="29">
        <f t="shared" si="537"/>
        <v>0</v>
      </c>
      <c r="AF558" s="29">
        <f t="shared" si="538"/>
        <v>0</v>
      </c>
      <c r="AG558" s="29">
        <f t="shared" si="539"/>
        <v>0</v>
      </c>
      <c r="AH558" s="29">
        <f t="shared" si="540"/>
        <v>0</v>
      </c>
      <c r="AI558" s="28" t="s">
        <v>2882</v>
      </c>
      <c r="AJ558" s="15">
        <f t="shared" si="541"/>
        <v>0</v>
      </c>
      <c r="AK558" s="15">
        <f t="shared" si="542"/>
        <v>0</v>
      </c>
      <c r="AL558" s="15">
        <f t="shared" si="543"/>
        <v>0</v>
      </c>
      <c r="AN558" s="29">
        <v>15</v>
      </c>
      <c r="AO558" s="29">
        <f t="shared" si="552"/>
        <v>0</v>
      </c>
      <c r="AP558" s="29">
        <f t="shared" si="553"/>
        <v>0</v>
      </c>
      <c r="AQ558" s="30" t="s">
        <v>13</v>
      </c>
      <c r="AV558" s="29">
        <f t="shared" si="544"/>
        <v>0</v>
      </c>
      <c r="AW558" s="29">
        <f t="shared" si="545"/>
        <v>0</v>
      </c>
      <c r="AX558" s="29">
        <f t="shared" si="546"/>
        <v>0</v>
      </c>
      <c r="AY558" s="32" t="s">
        <v>2920</v>
      </c>
      <c r="AZ558" s="32" t="s">
        <v>2945</v>
      </c>
      <c r="BA558" s="28" t="s">
        <v>2957</v>
      </c>
      <c r="BC558" s="29">
        <f t="shared" si="547"/>
        <v>0</v>
      </c>
      <c r="BD558" s="29">
        <f t="shared" si="548"/>
        <v>0</v>
      </c>
      <c r="BE558" s="29">
        <v>0</v>
      </c>
      <c r="BF558" s="29">
        <f>558</f>
        <v>558</v>
      </c>
      <c r="BH558" s="15">
        <f t="shared" si="549"/>
        <v>0</v>
      </c>
      <c r="BI558" s="15">
        <f t="shared" si="550"/>
        <v>0</v>
      </c>
      <c r="BJ558" s="15">
        <f t="shared" si="551"/>
        <v>0</v>
      </c>
      <c r="BK558" s="15" t="s">
        <v>2969</v>
      </c>
      <c r="BL558" s="29">
        <v>766</v>
      </c>
    </row>
    <row r="559" spans="1:64" ht="12.75">
      <c r="A559" s="4" t="s">
        <v>512</v>
      </c>
      <c r="B559" s="94" t="s">
        <v>1507</v>
      </c>
      <c r="C559" s="152" t="s">
        <v>2443</v>
      </c>
      <c r="D559" s="153"/>
      <c r="E559" s="153"/>
      <c r="F559" s="153"/>
      <c r="G559" s="94" t="s">
        <v>2850</v>
      </c>
      <c r="H559" s="73">
        <v>3</v>
      </c>
      <c r="I559" s="105">
        <v>0</v>
      </c>
      <c r="J559" s="15">
        <f t="shared" si="530"/>
        <v>0</v>
      </c>
      <c r="K559" s="15">
        <f t="shared" si="531"/>
        <v>0</v>
      </c>
      <c r="L559" s="15">
        <f t="shared" si="532"/>
        <v>0</v>
      </c>
      <c r="M559" s="25" t="s">
        <v>2872</v>
      </c>
      <c r="N559" s="5"/>
      <c r="Z559" s="29">
        <f t="shared" si="533"/>
        <v>0</v>
      </c>
      <c r="AB559" s="29">
        <f t="shared" si="534"/>
        <v>0</v>
      </c>
      <c r="AC559" s="29">
        <f t="shared" si="535"/>
        <v>0</v>
      </c>
      <c r="AD559" s="29">
        <f t="shared" si="536"/>
        <v>0</v>
      </c>
      <c r="AE559" s="29">
        <f t="shared" si="537"/>
        <v>0</v>
      </c>
      <c r="AF559" s="29">
        <f t="shared" si="538"/>
        <v>0</v>
      </c>
      <c r="AG559" s="29">
        <f t="shared" si="539"/>
        <v>0</v>
      </c>
      <c r="AH559" s="29">
        <f t="shared" si="540"/>
        <v>0</v>
      </c>
      <c r="AI559" s="28" t="s">
        <v>2882</v>
      </c>
      <c r="AJ559" s="15">
        <f t="shared" si="541"/>
        <v>0</v>
      </c>
      <c r="AK559" s="15">
        <f t="shared" si="542"/>
        <v>0</v>
      </c>
      <c r="AL559" s="15">
        <f t="shared" si="543"/>
        <v>0</v>
      </c>
      <c r="AN559" s="29">
        <v>15</v>
      </c>
      <c r="AO559" s="29">
        <f t="shared" si="552"/>
        <v>0</v>
      </c>
      <c r="AP559" s="29">
        <f t="shared" si="553"/>
        <v>0</v>
      </c>
      <c r="AQ559" s="30" t="s">
        <v>13</v>
      </c>
      <c r="AV559" s="29">
        <f t="shared" si="544"/>
        <v>0</v>
      </c>
      <c r="AW559" s="29">
        <f t="shared" si="545"/>
        <v>0</v>
      </c>
      <c r="AX559" s="29">
        <f t="shared" si="546"/>
        <v>0</v>
      </c>
      <c r="AY559" s="32" t="s">
        <v>2920</v>
      </c>
      <c r="AZ559" s="32" t="s">
        <v>2945</v>
      </c>
      <c r="BA559" s="28" t="s">
        <v>2957</v>
      </c>
      <c r="BC559" s="29">
        <f t="shared" si="547"/>
        <v>0</v>
      </c>
      <c r="BD559" s="29">
        <f t="shared" si="548"/>
        <v>0</v>
      </c>
      <c r="BE559" s="29">
        <v>0</v>
      </c>
      <c r="BF559" s="29">
        <f>559</f>
        <v>559</v>
      </c>
      <c r="BH559" s="15">
        <f t="shared" si="549"/>
        <v>0</v>
      </c>
      <c r="BI559" s="15">
        <f t="shared" si="550"/>
        <v>0</v>
      </c>
      <c r="BJ559" s="15">
        <f t="shared" si="551"/>
        <v>0</v>
      </c>
      <c r="BK559" s="15" t="s">
        <v>2969</v>
      </c>
      <c r="BL559" s="29">
        <v>766</v>
      </c>
    </row>
    <row r="560" spans="1:64" ht="12.75">
      <c r="A560" s="4" t="s">
        <v>513</v>
      </c>
      <c r="B560" s="94" t="s">
        <v>1508</v>
      </c>
      <c r="C560" s="152" t="s">
        <v>2444</v>
      </c>
      <c r="D560" s="153"/>
      <c r="E560" s="153"/>
      <c r="F560" s="153"/>
      <c r="G560" s="94" t="s">
        <v>2850</v>
      </c>
      <c r="H560" s="73">
        <v>3</v>
      </c>
      <c r="I560" s="105">
        <v>0</v>
      </c>
      <c r="J560" s="15">
        <f t="shared" si="530"/>
        <v>0</v>
      </c>
      <c r="K560" s="15">
        <f t="shared" si="531"/>
        <v>0</v>
      </c>
      <c r="L560" s="15">
        <f t="shared" si="532"/>
        <v>0</v>
      </c>
      <c r="M560" s="25" t="s">
        <v>2872</v>
      </c>
      <c r="N560" s="5"/>
      <c r="Z560" s="29">
        <f t="shared" si="533"/>
        <v>0</v>
      </c>
      <c r="AB560" s="29">
        <f t="shared" si="534"/>
        <v>0</v>
      </c>
      <c r="AC560" s="29">
        <f t="shared" si="535"/>
        <v>0</v>
      </c>
      <c r="AD560" s="29">
        <f t="shared" si="536"/>
        <v>0</v>
      </c>
      <c r="AE560" s="29">
        <f t="shared" si="537"/>
        <v>0</v>
      </c>
      <c r="AF560" s="29">
        <f t="shared" si="538"/>
        <v>0</v>
      </c>
      <c r="AG560" s="29">
        <f t="shared" si="539"/>
        <v>0</v>
      </c>
      <c r="AH560" s="29">
        <f t="shared" si="540"/>
        <v>0</v>
      </c>
      <c r="AI560" s="28" t="s">
        <v>2882</v>
      </c>
      <c r="AJ560" s="15">
        <f t="shared" si="541"/>
        <v>0</v>
      </c>
      <c r="AK560" s="15">
        <f t="shared" si="542"/>
        <v>0</v>
      </c>
      <c r="AL560" s="15">
        <f t="shared" si="543"/>
        <v>0</v>
      </c>
      <c r="AN560" s="29">
        <v>15</v>
      </c>
      <c r="AO560" s="29">
        <f t="shared" si="552"/>
        <v>0</v>
      </c>
      <c r="AP560" s="29">
        <f t="shared" si="553"/>
        <v>0</v>
      </c>
      <c r="AQ560" s="30" t="s">
        <v>13</v>
      </c>
      <c r="AV560" s="29">
        <f t="shared" si="544"/>
        <v>0</v>
      </c>
      <c r="AW560" s="29">
        <f t="shared" si="545"/>
        <v>0</v>
      </c>
      <c r="AX560" s="29">
        <f t="shared" si="546"/>
        <v>0</v>
      </c>
      <c r="AY560" s="32" t="s">
        <v>2920</v>
      </c>
      <c r="AZ560" s="32" t="s">
        <v>2945</v>
      </c>
      <c r="BA560" s="28" t="s">
        <v>2957</v>
      </c>
      <c r="BC560" s="29">
        <f t="shared" si="547"/>
        <v>0</v>
      </c>
      <c r="BD560" s="29">
        <f t="shared" si="548"/>
        <v>0</v>
      </c>
      <c r="BE560" s="29">
        <v>0</v>
      </c>
      <c r="BF560" s="29">
        <f>560</f>
        <v>560</v>
      </c>
      <c r="BH560" s="15">
        <f t="shared" si="549"/>
        <v>0</v>
      </c>
      <c r="BI560" s="15">
        <f t="shared" si="550"/>
        <v>0</v>
      </c>
      <c r="BJ560" s="15">
        <f t="shared" si="551"/>
        <v>0</v>
      </c>
      <c r="BK560" s="15" t="s">
        <v>2969</v>
      </c>
      <c r="BL560" s="29">
        <v>766</v>
      </c>
    </row>
    <row r="561" spans="1:64" ht="12.75">
      <c r="A561" s="4" t="s">
        <v>514</v>
      </c>
      <c r="B561" s="94" t="s">
        <v>1509</v>
      </c>
      <c r="C561" s="152" t="s">
        <v>2445</v>
      </c>
      <c r="D561" s="153"/>
      <c r="E561" s="153"/>
      <c r="F561" s="153"/>
      <c r="G561" s="94" t="s">
        <v>2850</v>
      </c>
      <c r="H561" s="73">
        <v>1</v>
      </c>
      <c r="I561" s="105">
        <v>0</v>
      </c>
      <c r="J561" s="15">
        <f t="shared" si="530"/>
        <v>0</v>
      </c>
      <c r="K561" s="15">
        <f t="shared" si="531"/>
        <v>0</v>
      </c>
      <c r="L561" s="15">
        <f t="shared" si="532"/>
        <v>0</v>
      </c>
      <c r="M561" s="25" t="s">
        <v>2872</v>
      </c>
      <c r="N561" s="5"/>
      <c r="Z561" s="29">
        <f t="shared" si="533"/>
        <v>0</v>
      </c>
      <c r="AB561" s="29">
        <f t="shared" si="534"/>
        <v>0</v>
      </c>
      <c r="AC561" s="29">
        <f t="shared" si="535"/>
        <v>0</v>
      </c>
      <c r="AD561" s="29">
        <f t="shared" si="536"/>
        <v>0</v>
      </c>
      <c r="AE561" s="29">
        <f t="shared" si="537"/>
        <v>0</v>
      </c>
      <c r="AF561" s="29">
        <f t="shared" si="538"/>
        <v>0</v>
      </c>
      <c r="AG561" s="29">
        <f t="shared" si="539"/>
        <v>0</v>
      </c>
      <c r="AH561" s="29">
        <f t="shared" si="540"/>
        <v>0</v>
      </c>
      <c r="AI561" s="28" t="s">
        <v>2882</v>
      </c>
      <c r="AJ561" s="15">
        <f t="shared" si="541"/>
        <v>0</v>
      </c>
      <c r="AK561" s="15">
        <f t="shared" si="542"/>
        <v>0</v>
      </c>
      <c r="AL561" s="15">
        <f t="shared" si="543"/>
        <v>0</v>
      </c>
      <c r="AN561" s="29">
        <v>15</v>
      </c>
      <c r="AO561" s="29">
        <f t="shared" si="552"/>
        <v>0</v>
      </c>
      <c r="AP561" s="29">
        <f t="shared" si="553"/>
        <v>0</v>
      </c>
      <c r="AQ561" s="30" t="s">
        <v>13</v>
      </c>
      <c r="AV561" s="29">
        <f t="shared" si="544"/>
        <v>0</v>
      </c>
      <c r="AW561" s="29">
        <f t="shared" si="545"/>
        <v>0</v>
      </c>
      <c r="AX561" s="29">
        <f t="shared" si="546"/>
        <v>0</v>
      </c>
      <c r="AY561" s="32" t="s">
        <v>2920</v>
      </c>
      <c r="AZ561" s="32" t="s">
        <v>2945</v>
      </c>
      <c r="BA561" s="28" t="s">
        <v>2957</v>
      </c>
      <c r="BC561" s="29">
        <f t="shared" si="547"/>
        <v>0</v>
      </c>
      <c r="BD561" s="29">
        <f t="shared" si="548"/>
        <v>0</v>
      </c>
      <c r="BE561" s="29">
        <v>0</v>
      </c>
      <c r="BF561" s="29">
        <f>561</f>
        <v>561</v>
      </c>
      <c r="BH561" s="15">
        <f t="shared" si="549"/>
        <v>0</v>
      </c>
      <c r="BI561" s="15">
        <f t="shared" si="550"/>
        <v>0</v>
      </c>
      <c r="BJ561" s="15">
        <f t="shared" si="551"/>
        <v>0</v>
      </c>
      <c r="BK561" s="15" t="s">
        <v>2969</v>
      </c>
      <c r="BL561" s="29">
        <v>766</v>
      </c>
    </row>
    <row r="562" spans="1:64" ht="12.75">
      <c r="A562" s="4" t="s">
        <v>515</v>
      </c>
      <c r="B562" s="94" t="s">
        <v>1510</v>
      </c>
      <c r="C562" s="152" t="s">
        <v>2446</v>
      </c>
      <c r="D562" s="153"/>
      <c r="E562" s="153"/>
      <c r="F562" s="153"/>
      <c r="G562" s="94" t="s">
        <v>2850</v>
      </c>
      <c r="H562" s="73">
        <v>1</v>
      </c>
      <c r="I562" s="105">
        <v>0</v>
      </c>
      <c r="J562" s="15">
        <f t="shared" si="530"/>
        <v>0</v>
      </c>
      <c r="K562" s="15">
        <f t="shared" si="531"/>
        <v>0</v>
      </c>
      <c r="L562" s="15">
        <f t="shared" si="532"/>
        <v>0</v>
      </c>
      <c r="M562" s="25" t="s">
        <v>2872</v>
      </c>
      <c r="N562" s="5"/>
      <c r="Z562" s="29">
        <f t="shared" si="533"/>
        <v>0</v>
      </c>
      <c r="AB562" s="29">
        <f t="shared" si="534"/>
        <v>0</v>
      </c>
      <c r="AC562" s="29">
        <f t="shared" si="535"/>
        <v>0</v>
      </c>
      <c r="AD562" s="29">
        <f t="shared" si="536"/>
        <v>0</v>
      </c>
      <c r="AE562" s="29">
        <f t="shared" si="537"/>
        <v>0</v>
      </c>
      <c r="AF562" s="29">
        <f t="shared" si="538"/>
        <v>0</v>
      </c>
      <c r="AG562" s="29">
        <f t="shared" si="539"/>
        <v>0</v>
      </c>
      <c r="AH562" s="29">
        <f t="shared" si="540"/>
        <v>0</v>
      </c>
      <c r="AI562" s="28" t="s">
        <v>2882</v>
      </c>
      <c r="AJ562" s="15">
        <f t="shared" si="541"/>
        <v>0</v>
      </c>
      <c r="AK562" s="15">
        <f t="shared" si="542"/>
        <v>0</v>
      </c>
      <c r="AL562" s="15">
        <f t="shared" si="543"/>
        <v>0</v>
      </c>
      <c r="AN562" s="29">
        <v>15</v>
      </c>
      <c r="AO562" s="29">
        <f t="shared" si="552"/>
        <v>0</v>
      </c>
      <c r="AP562" s="29">
        <f t="shared" si="553"/>
        <v>0</v>
      </c>
      <c r="AQ562" s="30" t="s">
        <v>13</v>
      </c>
      <c r="AV562" s="29">
        <f t="shared" si="544"/>
        <v>0</v>
      </c>
      <c r="AW562" s="29">
        <f t="shared" si="545"/>
        <v>0</v>
      </c>
      <c r="AX562" s="29">
        <f t="shared" si="546"/>
        <v>0</v>
      </c>
      <c r="AY562" s="32" t="s">
        <v>2920</v>
      </c>
      <c r="AZ562" s="32" t="s">
        <v>2945</v>
      </c>
      <c r="BA562" s="28" t="s">
        <v>2957</v>
      </c>
      <c r="BC562" s="29">
        <f t="shared" si="547"/>
        <v>0</v>
      </c>
      <c r="BD562" s="29">
        <f t="shared" si="548"/>
        <v>0</v>
      </c>
      <c r="BE562" s="29">
        <v>0</v>
      </c>
      <c r="BF562" s="29">
        <f>562</f>
        <v>562</v>
      </c>
      <c r="BH562" s="15">
        <f t="shared" si="549"/>
        <v>0</v>
      </c>
      <c r="BI562" s="15">
        <f t="shared" si="550"/>
        <v>0</v>
      </c>
      <c r="BJ562" s="15">
        <f t="shared" si="551"/>
        <v>0</v>
      </c>
      <c r="BK562" s="15" t="s">
        <v>2969</v>
      </c>
      <c r="BL562" s="29">
        <v>766</v>
      </c>
    </row>
    <row r="563" spans="1:64" ht="12.75">
      <c r="A563" s="4" t="s">
        <v>516</v>
      </c>
      <c r="B563" s="94" t="s">
        <v>1511</v>
      </c>
      <c r="C563" s="152" t="s">
        <v>2447</v>
      </c>
      <c r="D563" s="153"/>
      <c r="E563" s="153"/>
      <c r="F563" s="153"/>
      <c r="G563" s="94" t="s">
        <v>2848</v>
      </c>
      <c r="H563" s="73">
        <v>6.346</v>
      </c>
      <c r="I563" s="105">
        <v>0</v>
      </c>
      <c r="J563" s="15">
        <f t="shared" si="530"/>
        <v>0</v>
      </c>
      <c r="K563" s="15">
        <f t="shared" si="531"/>
        <v>0</v>
      </c>
      <c r="L563" s="15">
        <f t="shared" si="532"/>
        <v>0</v>
      </c>
      <c r="M563" s="25" t="s">
        <v>2872</v>
      </c>
      <c r="N563" s="5"/>
      <c r="Z563" s="29">
        <f t="shared" si="533"/>
        <v>0</v>
      </c>
      <c r="AB563" s="29">
        <f t="shared" si="534"/>
        <v>0</v>
      </c>
      <c r="AC563" s="29">
        <f t="shared" si="535"/>
        <v>0</v>
      </c>
      <c r="AD563" s="29">
        <f t="shared" si="536"/>
        <v>0</v>
      </c>
      <c r="AE563" s="29">
        <f t="shared" si="537"/>
        <v>0</v>
      </c>
      <c r="AF563" s="29">
        <f t="shared" si="538"/>
        <v>0</v>
      </c>
      <c r="AG563" s="29">
        <f t="shared" si="539"/>
        <v>0</v>
      </c>
      <c r="AH563" s="29">
        <f t="shared" si="540"/>
        <v>0</v>
      </c>
      <c r="AI563" s="28" t="s">
        <v>2882</v>
      </c>
      <c r="AJ563" s="15">
        <f t="shared" si="541"/>
        <v>0</v>
      </c>
      <c r="AK563" s="15">
        <f t="shared" si="542"/>
        <v>0</v>
      </c>
      <c r="AL563" s="15">
        <f t="shared" si="543"/>
        <v>0</v>
      </c>
      <c r="AN563" s="29">
        <v>15</v>
      </c>
      <c r="AO563" s="29">
        <f t="shared" si="552"/>
        <v>0</v>
      </c>
      <c r="AP563" s="29">
        <f t="shared" si="553"/>
        <v>0</v>
      </c>
      <c r="AQ563" s="30" t="s">
        <v>11</v>
      </c>
      <c r="AV563" s="29">
        <f t="shared" si="544"/>
        <v>0</v>
      </c>
      <c r="AW563" s="29">
        <f t="shared" si="545"/>
        <v>0</v>
      </c>
      <c r="AX563" s="29">
        <f t="shared" si="546"/>
        <v>0</v>
      </c>
      <c r="AY563" s="32" t="s">
        <v>2920</v>
      </c>
      <c r="AZ563" s="32" t="s">
        <v>2945</v>
      </c>
      <c r="BA563" s="28" t="s">
        <v>2957</v>
      </c>
      <c r="BC563" s="29">
        <f t="shared" si="547"/>
        <v>0</v>
      </c>
      <c r="BD563" s="29">
        <f t="shared" si="548"/>
        <v>0</v>
      </c>
      <c r="BE563" s="29">
        <v>0</v>
      </c>
      <c r="BF563" s="29">
        <f>563</f>
        <v>563</v>
      </c>
      <c r="BH563" s="15">
        <f t="shared" si="549"/>
        <v>0</v>
      </c>
      <c r="BI563" s="15">
        <f t="shared" si="550"/>
        <v>0</v>
      </c>
      <c r="BJ563" s="15">
        <f t="shared" si="551"/>
        <v>0</v>
      </c>
      <c r="BK563" s="15" t="s">
        <v>2969</v>
      </c>
      <c r="BL563" s="29">
        <v>766</v>
      </c>
    </row>
    <row r="564" spans="1:47" ht="12.75">
      <c r="A564" s="3"/>
      <c r="B564" s="97" t="s">
        <v>773</v>
      </c>
      <c r="C564" s="161" t="s">
        <v>2448</v>
      </c>
      <c r="D564" s="162"/>
      <c r="E564" s="162"/>
      <c r="F564" s="162"/>
      <c r="G564" s="13" t="s">
        <v>6</v>
      </c>
      <c r="H564" s="13" t="s">
        <v>6</v>
      </c>
      <c r="I564" s="13" t="s">
        <v>6</v>
      </c>
      <c r="J564" s="34">
        <f>SUM(J565:J592)</f>
        <v>0</v>
      </c>
      <c r="K564" s="34">
        <f>SUM(K565:K592)</f>
        <v>0</v>
      </c>
      <c r="L564" s="34">
        <f>SUM(L565:L592)</f>
        <v>0</v>
      </c>
      <c r="M564" s="24"/>
      <c r="N564" s="5"/>
      <c r="AI564" s="28" t="s">
        <v>2882</v>
      </c>
      <c r="AS564" s="34">
        <f>SUM(AJ565:AJ592)</f>
        <v>0</v>
      </c>
      <c r="AT564" s="34">
        <f>SUM(AK565:AK592)</f>
        <v>0</v>
      </c>
      <c r="AU564" s="34">
        <f>SUM(AL565:AL592)</f>
        <v>0</v>
      </c>
    </row>
    <row r="565" spans="1:64" ht="12.75">
      <c r="A565" s="4" t="s">
        <v>517</v>
      </c>
      <c r="B565" s="94" t="s">
        <v>1512</v>
      </c>
      <c r="C565" s="152" t="s">
        <v>2449</v>
      </c>
      <c r="D565" s="153"/>
      <c r="E565" s="153"/>
      <c r="F565" s="153"/>
      <c r="G565" s="94" t="s">
        <v>2853</v>
      </c>
      <c r="H565" s="73">
        <v>270</v>
      </c>
      <c r="I565" s="105">
        <v>0</v>
      </c>
      <c r="J565" s="15">
        <f aca="true" t="shared" si="554" ref="J565:J592">H565*AO565</f>
        <v>0</v>
      </c>
      <c r="K565" s="15">
        <f aca="true" t="shared" si="555" ref="K565:K592">H565*AP565</f>
        <v>0</v>
      </c>
      <c r="L565" s="15">
        <f aca="true" t="shared" si="556" ref="L565:L592">H565*I565</f>
        <v>0</v>
      </c>
      <c r="M565" s="25" t="s">
        <v>2872</v>
      </c>
      <c r="N565" s="5"/>
      <c r="Z565" s="29">
        <f aca="true" t="shared" si="557" ref="Z565:Z592">IF(AQ565="5",BJ565,0)</f>
        <v>0</v>
      </c>
      <c r="AB565" s="29">
        <f aca="true" t="shared" si="558" ref="AB565:AB592">IF(AQ565="1",BH565,0)</f>
        <v>0</v>
      </c>
      <c r="AC565" s="29">
        <f aca="true" t="shared" si="559" ref="AC565:AC592">IF(AQ565="1",BI565,0)</f>
        <v>0</v>
      </c>
      <c r="AD565" s="29">
        <f aca="true" t="shared" si="560" ref="AD565:AD592">IF(AQ565="7",BH565,0)</f>
        <v>0</v>
      </c>
      <c r="AE565" s="29">
        <f aca="true" t="shared" si="561" ref="AE565:AE592">IF(AQ565="7",BI565,0)</f>
        <v>0</v>
      </c>
      <c r="AF565" s="29">
        <f aca="true" t="shared" si="562" ref="AF565:AF592">IF(AQ565="2",BH565,0)</f>
        <v>0</v>
      </c>
      <c r="AG565" s="29">
        <f aca="true" t="shared" si="563" ref="AG565:AG592">IF(AQ565="2",BI565,0)</f>
        <v>0</v>
      </c>
      <c r="AH565" s="29">
        <f aca="true" t="shared" si="564" ref="AH565:AH592">IF(AQ565="0",BJ565,0)</f>
        <v>0</v>
      </c>
      <c r="AI565" s="28" t="s">
        <v>2882</v>
      </c>
      <c r="AJ565" s="15">
        <f aca="true" t="shared" si="565" ref="AJ565:AJ592">IF(AN565=0,L565,0)</f>
        <v>0</v>
      </c>
      <c r="AK565" s="15">
        <f aca="true" t="shared" si="566" ref="AK565:AK592">IF(AN565=15,L565,0)</f>
        <v>0</v>
      </c>
      <c r="AL565" s="15">
        <f aca="true" t="shared" si="567" ref="AL565:AL592">IF(AN565=21,L565,0)</f>
        <v>0</v>
      </c>
      <c r="AN565" s="29">
        <v>15</v>
      </c>
      <c r="AO565" s="29">
        <f>I565*0</f>
        <v>0</v>
      </c>
      <c r="AP565" s="29">
        <f>I565*(1-0)</f>
        <v>0</v>
      </c>
      <c r="AQ565" s="30" t="s">
        <v>13</v>
      </c>
      <c r="AV565" s="29">
        <f aca="true" t="shared" si="568" ref="AV565:AV592">AW565+AX565</f>
        <v>0</v>
      </c>
      <c r="AW565" s="29">
        <f aca="true" t="shared" si="569" ref="AW565:AW592">H565*AO565</f>
        <v>0</v>
      </c>
      <c r="AX565" s="29">
        <f aca="true" t="shared" si="570" ref="AX565:AX592">H565*AP565</f>
        <v>0</v>
      </c>
      <c r="AY565" s="32" t="s">
        <v>2921</v>
      </c>
      <c r="AZ565" s="32" t="s">
        <v>2945</v>
      </c>
      <c r="BA565" s="28" t="s">
        <v>2957</v>
      </c>
      <c r="BC565" s="29">
        <f aca="true" t="shared" si="571" ref="BC565:BC592">AW565+AX565</f>
        <v>0</v>
      </c>
      <c r="BD565" s="29">
        <f aca="true" t="shared" si="572" ref="BD565:BD592">I565/(100-BE565)*100</f>
        <v>0</v>
      </c>
      <c r="BE565" s="29">
        <v>0</v>
      </c>
      <c r="BF565" s="29">
        <f>565</f>
        <v>565</v>
      </c>
      <c r="BH565" s="15">
        <f aca="true" t="shared" si="573" ref="BH565:BH592">H565*AO565</f>
        <v>0</v>
      </c>
      <c r="BI565" s="15">
        <f aca="true" t="shared" si="574" ref="BI565:BI592">H565*AP565</f>
        <v>0</v>
      </c>
      <c r="BJ565" s="15">
        <f aca="true" t="shared" si="575" ref="BJ565:BJ592">H565*I565</f>
        <v>0</v>
      </c>
      <c r="BK565" s="15" t="s">
        <v>2969</v>
      </c>
      <c r="BL565" s="29">
        <v>767</v>
      </c>
    </row>
    <row r="566" spans="1:64" ht="12.75">
      <c r="A566" s="4" t="s">
        <v>518</v>
      </c>
      <c r="B566" s="94" t="s">
        <v>1513</v>
      </c>
      <c r="C566" s="152" t="s">
        <v>2450</v>
      </c>
      <c r="D566" s="153"/>
      <c r="E566" s="153"/>
      <c r="F566" s="153"/>
      <c r="G566" s="94" t="s">
        <v>2851</v>
      </c>
      <c r="H566" s="73">
        <v>40.4</v>
      </c>
      <c r="I566" s="105">
        <v>0</v>
      </c>
      <c r="J566" s="15">
        <f t="shared" si="554"/>
        <v>0</v>
      </c>
      <c r="K566" s="15">
        <f t="shared" si="555"/>
        <v>0</v>
      </c>
      <c r="L566" s="15">
        <f t="shared" si="556"/>
        <v>0</v>
      </c>
      <c r="M566" s="25" t="s">
        <v>2872</v>
      </c>
      <c r="N566" s="5"/>
      <c r="Z566" s="29">
        <f t="shared" si="557"/>
        <v>0</v>
      </c>
      <c r="AB566" s="29">
        <f t="shared" si="558"/>
        <v>0</v>
      </c>
      <c r="AC566" s="29">
        <f t="shared" si="559"/>
        <v>0</v>
      </c>
      <c r="AD566" s="29">
        <f t="shared" si="560"/>
        <v>0</v>
      </c>
      <c r="AE566" s="29">
        <f t="shared" si="561"/>
        <v>0</v>
      </c>
      <c r="AF566" s="29">
        <f t="shared" si="562"/>
        <v>0</v>
      </c>
      <c r="AG566" s="29">
        <f t="shared" si="563"/>
        <v>0</v>
      </c>
      <c r="AH566" s="29">
        <f t="shared" si="564"/>
        <v>0</v>
      </c>
      <c r="AI566" s="28" t="s">
        <v>2882</v>
      </c>
      <c r="AJ566" s="15">
        <f t="shared" si="565"/>
        <v>0</v>
      </c>
      <c r="AK566" s="15">
        <f t="shared" si="566"/>
        <v>0</v>
      </c>
      <c r="AL566" s="15">
        <f t="shared" si="567"/>
        <v>0</v>
      </c>
      <c r="AN566" s="29">
        <v>15</v>
      </c>
      <c r="AO566" s="29">
        <f>I566*0</f>
        <v>0</v>
      </c>
      <c r="AP566" s="29">
        <f>I566*(1-0)</f>
        <v>0</v>
      </c>
      <c r="AQ566" s="30" t="s">
        <v>13</v>
      </c>
      <c r="AV566" s="29">
        <f t="shared" si="568"/>
        <v>0</v>
      </c>
      <c r="AW566" s="29">
        <f t="shared" si="569"/>
        <v>0</v>
      </c>
      <c r="AX566" s="29">
        <f t="shared" si="570"/>
        <v>0</v>
      </c>
      <c r="AY566" s="32" t="s">
        <v>2921</v>
      </c>
      <c r="AZ566" s="32" t="s">
        <v>2945</v>
      </c>
      <c r="BA566" s="28" t="s">
        <v>2957</v>
      </c>
      <c r="BC566" s="29">
        <f t="shared" si="571"/>
        <v>0</v>
      </c>
      <c r="BD566" s="29">
        <f t="shared" si="572"/>
        <v>0</v>
      </c>
      <c r="BE566" s="29">
        <v>0</v>
      </c>
      <c r="BF566" s="29">
        <f>566</f>
        <v>566</v>
      </c>
      <c r="BH566" s="15">
        <f t="shared" si="573"/>
        <v>0</v>
      </c>
      <c r="BI566" s="15">
        <f t="shared" si="574"/>
        <v>0</v>
      </c>
      <c r="BJ566" s="15">
        <f t="shared" si="575"/>
        <v>0</v>
      </c>
      <c r="BK566" s="15" t="s">
        <v>2969</v>
      </c>
      <c r="BL566" s="29">
        <v>767</v>
      </c>
    </row>
    <row r="567" spans="1:64" ht="12.75">
      <c r="A567" s="4" t="s">
        <v>519</v>
      </c>
      <c r="B567" s="94" t="s">
        <v>1514</v>
      </c>
      <c r="C567" s="152" t="s">
        <v>2451</v>
      </c>
      <c r="D567" s="153"/>
      <c r="E567" s="153"/>
      <c r="F567" s="153"/>
      <c r="G567" s="94" t="s">
        <v>2850</v>
      </c>
      <c r="H567" s="73">
        <v>70</v>
      </c>
      <c r="I567" s="105">
        <v>0</v>
      </c>
      <c r="J567" s="15">
        <f t="shared" si="554"/>
        <v>0</v>
      </c>
      <c r="K567" s="15">
        <f t="shared" si="555"/>
        <v>0</v>
      </c>
      <c r="L567" s="15">
        <f t="shared" si="556"/>
        <v>0</v>
      </c>
      <c r="M567" s="25" t="s">
        <v>2872</v>
      </c>
      <c r="N567" s="5"/>
      <c r="Z567" s="29">
        <f t="shared" si="557"/>
        <v>0</v>
      </c>
      <c r="AB567" s="29">
        <f t="shared" si="558"/>
        <v>0</v>
      </c>
      <c r="AC567" s="29">
        <f t="shared" si="559"/>
        <v>0</v>
      </c>
      <c r="AD567" s="29">
        <f t="shared" si="560"/>
        <v>0</v>
      </c>
      <c r="AE567" s="29">
        <f t="shared" si="561"/>
        <v>0</v>
      </c>
      <c r="AF567" s="29">
        <f t="shared" si="562"/>
        <v>0</v>
      </c>
      <c r="AG567" s="29">
        <f t="shared" si="563"/>
        <v>0</v>
      </c>
      <c r="AH567" s="29">
        <f t="shared" si="564"/>
        <v>0</v>
      </c>
      <c r="AI567" s="28" t="s">
        <v>2882</v>
      </c>
      <c r="AJ567" s="15">
        <f t="shared" si="565"/>
        <v>0</v>
      </c>
      <c r="AK567" s="15">
        <f t="shared" si="566"/>
        <v>0</v>
      </c>
      <c r="AL567" s="15">
        <f t="shared" si="567"/>
        <v>0</v>
      </c>
      <c r="AN567" s="29">
        <v>15</v>
      </c>
      <c r="AO567" s="29">
        <f>I567*0</f>
        <v>0</v>
      </c>
      <c r="AP567" s="29">
        <f>I567*(1-0)</f>
        <v>0</v>
      </c>
      <c r="AQ567" s="30" t="s">
        <v>13</v>
      </c>
      <c r="AV567" s="29">
        <f t="shared" si="568"/>
        <v>0</v>
      </c>
      <c r="AW567" s="29">
        <f t="shared" si="569"/>
        <v>0</v>
      </c>
      <c r="AX567" s="29">
        <f t="shared" si="570"/>
        <v>0</v>
      </c>
      <c r="AY567" s="32" t="s">
        <v>2921</v>
      </c>
      <c r="AZ567" s="32" t="s">
        <v>2945</v>
      </c>
      <c r="BA567" s="28" t="s">
        <v>2957</v>
      </c>
      <c r="BC567" s="29">
        <f t="shared" si="571"/>
        <v>0</v>
      </c>
      <c r="BD567" s="29">
        <f t="shared" si="572"/>
        <v>0</v>
      </c>
      <c r="BE567" s="29">
        <v>0</v>
      </c>
      <c r="BF567" s="29">
        <f>567</f>
        <v>567</v>
      </c>
      <c r="BH567" s="15">
        <f t="shared" si="573"/>
        <v>0</v>
      </c>
      <c r="BI567" s="15">
        <f t="shared" si="574"/>
        <v>0</v>
      </c>
      <c r="BJ567" s="15">
        <f t="shared" si="575"/>
        <v>0</v>
      </c>
      <c r="BK567" s="15" t="s">
        <v>2969</v>
      </c>
      <c r="BL567" s="29">
        <v>767</v>
      </c>
    </row>
    <row r="568" spans="1:64" ht="12.75">
      <c r="A568" s="4" t="s">
        <v>520</v>
      </c>
      <c r="B568" s="94" t="s">
        <v>1515</v>
      </c>
      <c r="C568" s="152" t="s">
        <v>2452</v>
      </c>
      <c r="D568" s="153"/>
      <c r="E568" s="153"/>
      <c r="F568" s="153"/>
      <c r="G568" s="94" t="s">
        <v>2850</v>
      </c>
      <c r="H568" s="73">
        <v>1</v>
      </c>
      <c r="I568" s="105">
        <v>0</v>
      </c>
      <c r="J568" s="15">
        <f t="shared" si="554"/>
        <v>0</v>
      </c>
      <c r="K568" s="15">
        <f t="shared" si="555"/>
        <v>0</v>
      </c>
      <c r="L568" s="15">
        <f t="shared" si="556"/>
        <v>0</v>
      </c>
      <c r="M568" s="25" t="s">
        <v>2872</v>
      </c>
      <c r="N568" s="5"/>
      <c r="Z568" s="29">
        <f t="shared" si="557"/>
        <v>0</v>
      </c>
      <c r="AB568" s="29">
        <f t="shared" si="558"/>
        <v>0</v>
      </c>
      <c r="AC568" s="29">
        <f t="shared" si="559"/>
        <v>0</v>
      </c>
      <c r="AD568" s="29">
        <f t="shared" si="560"/>
        <v>0</v>
      </c>
      <c r="AE568" s="29">
        <f t="shared" si="561"/>
        <v>0</v>
      </c>
      <c r="AF568" s="29">
        <f t="shared" si="562"/>
        <v>0</v>
      </c>
      <c r="AG568" s="29">
        <f t="shared" si="563"/>
        <v>0</v>
      </c>
      <c r="AH568" s="29">
        <f t="shared" si="564"/>
        <v>0</v>
      </c>
      <c r="AI568" s="28" t="s">
        <v>2882</v>
      </c>
      <c r="AJ568" s="15">
        <f t="shared" si="565"/>
        <v>0</v>
      </c>
      <c r="AK568" s="15">
        <f t="shared" si="566"/>
        <v>0</v>
      </c>
      <c r="AL568" s="15">
        <f t="shared" si="567"/>
        <v>0</v>
      </c>
      <c r="AN568" s="29">
        <v>15</v>
      </c>
      <c r="AO568" s="29">
        <f>I568*0</f>
        <v>0</v>
      </c>
      <c r="AP568" s="29">
        <f>I568*(1-0)</f>
        <v>0</v>
      </c>
      <c r="AQ568" s="30" t="s">
        <v>13</v>
      </c>
      <c r="AV568" s="29">
        <f t="shared" si="568"/>
        <v>0</v>
      </c>
      <c r="AW568" s="29">
        <f t="shared" si="569"/>
        <v>0</v>
      </c>
      <c r="AX568" s="29">
        <f t="shared" si="570"/>
        <v>0</v>
      </c>
      <c r="AY568" s="32" t="s">
        <v>2921</v>
      </c>
      <c r="AZ568" s="32" t="s">
        <v>2945</v>
      </c>
      <c r="BA568" s="28" t="s">
        <v>2957</v>
      </c>
      <c r="BC568" s="29">
        <f t="shared" si="571"/>
        <v>0</v>
      </c>
      <c r="BD568" s="29">
        <f t="shared" si="572"/>
        <v>0</v>
      </c>
      <c r="BE568" s="29">
        <v>0</v>
      </c>
      <c r="BF568" s="29">
        <f>568</f>
        <v>568</v>
      </c>
      <c r="BH568" s="15">
        <f t="shared" si="573"/>
        <v>0</v>
      </c>
      <c r="BI568" s="15">
        <f t="shared" si="574"/>
        <v>0</v>
      </c>
      <c r="BJ568" s="15">
        <f t="shared" si="575"/>
        <v>0</v>
      </c>
      <c r="BK568" s="15" t="s">
        <v>2969</v>
      </c>
      <c r="BL568" s="29">
        <v>767</v>
      </c>
    </row>
    <row r="569" spans="1:64" ht="12.75">
      <c r="A569" s="4" t="s">
        <v>521</v>
      </c>
      <c r="B569" s="94" t="s">
        <v>1516</v>
      </c>
      <c r="C569" s="152" t="s">
        <v>2453</v>
      </c>
      <c r="D569" s="153"/>
      <c r="E569" s="153"/>
      <c r="F569" s="153"/>
      <c r="G569" s="94" t="s">
        <v>2850</v>
      </c>
      <c r="H569" s="73">
        <v>1</v>
      </c>
      <c r="I569" s="105">
        <v>0</v>
      </c>
      <c r="J569" s="15">
        <f t="shared" si="554"/>
        <v>0</v>
      </c>
      <c r="K569" s="15">
        <f t="shared" si="555"/>
        <v>0</v>
      </c>
      <c r="L569" s="15">
        <f t="shared" si="556"/>
        <v>0</v>
      </c>
      <c r="M569" s="25" t="s">
        <v>2872</v>
      </c>
      <c r="N569" s="5"/>
      <c r="Z569" s="29">
        <f t="shared" si="557"/>
        <v>0</v>
      </c>
      <c r="AB569" s="29">
        <f t="shared" si="558"/>
        <v>0</v>
      </c>
      <c r="AC569" s="29">
        <f t="shared" si="559"/>
        <v>0</v>
      </c>
      <c r="AD569" s="29">
        <f t="shared" si="560"/>
        <v>0</v>
      </c>
      <c r="AE569" s="29">
        <f t="shared" si="561"/>
        <v>0</v>
      </c>
      <c r="AF569" s="29">
        <f t="shared" si="562"/>
        <v>0</v>
      </c>
      <c r="AG569" s="29">
        <f t="shared" si="563"/>
        <v>0</v>
      </c>
      <c r="AH569" s="29">
        <f t="shared" si="564"/>
        <v>0</v>
      </c>
      <c r="AI569" s="28" t="s">
        <v>2882</v>
      </c>
      <c r="AJ569" s="15">
        <f t="shared" si="565"/>
        <v>0</v>
      </c>
      <c r="AK569" s="15">
        <f t="shared" si="566"/>
        <v>0</v>
      </c>
      <c r="AL569" s="15">
        <f t="shared" si="567"/>
        <v>0</v>
      </c>
      <c r="AN569" s="29">
        <v>15</v>
      </c>
      <c r="AO569" s="29">
        <f>I569*0</f>
        <v>0</v>
      </c>
      <c r="AP569" s="29">
        <f>I569*(1-0)</f>
        <v>0</v>
      </c>
      <c r="AQ569" s="30" t="s">
        <v>13</v>
      </c>
      <c r="AV569" s="29">
        <f t="shared" si="568"/>
        <v>0</v>
      </c>
      <c r="AW569" s="29">
        <f t="shared" si="569"/>
        <v>0</v>
      </c>
      <c r="AX569" s="29">
        <f t="shared" si="570"/>
        <v>0</v>
      </c>
      <c r="AY569" s="32" t="s">
        <v>2921</v>
      </c>
      <c r="AZ569" s="32" t="s">
        <v>2945</v>
      </c>
      <c r="BA569" s="28" t="s">
        <v>2957</v>
      </c>
      <c r="BC569" s="29">
        <f t="shared" si="571"/>
        <v>0</v>
      </c>
      <c r="BD569" s="29">
        <f t="shared" si="572"/>
        <v>0</v>
      </c>
      <c r="BE569" s="29">
        <v>0</v>
      </c>
      <c r="BF569" s="29">
        <f>569</f>
        <v>569</v>
      </c>
      <c r="BH569" s="15">
        <f t="shared" si="573"/>
        <v>0</v>
      </c>
      <c r="BI569" s="15">
        <f t="shared" si="574"/>
        <v>0</v>
      </c>
      <c r="BJ569" s="15">
        <f t="shared" si="575"/>
        <v>0</v>
      </c>
      <c r="BK569" s="15" t="s">
        <v>2969</v>
      </c>
      <c r="BL569" s="29">
        <v>767</v>
      </c>
    </row>
    <row r="570" spans="1:64" ht="12.75">
      <c r="A570" s="4" t="s">
        <v>522</v>
      </c>
      <c r="B570" s="94" t="s">
        <v>1517</v>
      </c>
      <c r="C570" s="152" t="s">
        <v>2454</v>
      </c>
      <c r="D570" s="153"/>
      <c r="E570" s="153"/>
      <c r="F570" s="153"/>
      <c r="G570" s="94" t="s">
        <v>2850</v>
      </c>
      <c r="H570" s="73">
        <v>1</v>
      </c>
      <c r="I570" s="105">
        <v>0</v>
      </c>
      <c r="J570" s="15">
        <f t="shared" si="554"/>
        <v>0</v>
      </c>
      <c r="K570" s="15">
        <f t="shared" si="555"/>
        <v>0</v>
      </c>
      <c r="L570" s="15">
        <f t="shared" si="556"/>
        <v>0</v>
      </c>
      <c r="M570" s="25" t="s">
        <v>2872</v>
      </c>
      <c r="N570" s="5"/>
      <c r="Z570" s="29">
        <f t="shared" si="557"/>
        <v>0</v>
      </c>
      <c r="AB570" s="29">
        <f t="shared" si="558"/>
        <v>0</v>
      </c>
      <c r="AC570" s="29">
        <f t="shared" si="559"/>
        <v>0</v>
      </c>
      <c r="AD570" s="29">
        <f t="shared" si="560"/>
        <v>0</v>
      </c>
      <c r="AE570" s="29">
        <f t="shared" si="561"/>
        <v>0</v>
      </c>
      <c r="AF570" s="29">
        <f t="shared" si="562"/>
        <v>0</v>
      </c>
      <c r="AG570" s="29">
        <f t="shared" si="563"/>
        <v>0</v>
      </c>
      <c r="AH570" s="29">
        <f t="shared" si="564"/>
        <v>0</v>
      </c>
      <c r="AI570" s="28" t="s">
        <v>2882</v>
      </c>
      <c r="AJ570" s="15">
        <f t="shared" si="565"/>
        <v>0</v>
      </c>
      <c r="AK570" s="15">
        <f t="shared" si="566"/>
        <v>0</v>
      </c>
      <c r="AL570" s="15">
        <f t="shared" si="567"/>
        <v>0</v>
      </c>
      <c r="AN570" s="29">
        <v>15</v>
      </c>
      <c r="AO570" s="29">
        <f>I570*0.0152648148148148</f>
        <v>0</v>
      </c>
      <c r="AP570" s="29">
        <f>I570*(1-0.0152648148148148)</f>
        <v>0</v>
      </c>
      <c r="AQ570" s="30" t="s">
        <v>13</v>
      </c>
      <c r="AV570" s="29">
        <f t="shared" si="568"/>
        <v>0</v>
      </c>
      <c r="AW570" s="29">
        <f t="shared" si="569"/>
        <v>0</v>
      </c>
      <c r="AX570" s="29">
        <f t="shared" si="570"/>
        <v>0</v>
      </c>
      <c r="AY570" s="32" t="s">
        <v>2921</v>
      </c>
      <c r="AZ570" s="32" t="s">
        <v>2945</v>
      </c>
      <c r="BA570" s="28" t="s">
        <v>2957</v>
      </c>
      <c r="BC570" s="29">
        <f t="shared" si="571"/>
        <v>0</v>
      </c>
      <c r="BD570" s="29">
        <f t="shared" si="572"/>
        <v>0</v>
      </c>
      <c r="BE570" s="29">
        <v>0</v>
      </c>
      <c r="BF570" s="29">
        <f>570</f>
        <v>570</v>
      </c>
      <c r="BH570" s="15">
        <f t="shared" si="573"/>
        <v>0</v>
      </c>
      <c r="BI570" s="15">
        <f t="shared" si="574"/>
        <v>0</v>
      </c>
      <c r="BJ570" s="15">
        <f t="shared" si="575"/>
        <v>0</v>
      </c>
      <c r="BK570" s="15" t="s">
        <v>2969</v>
      </c>
      <c r="BL570" s="29">
        <v>767</v>
      </c>
    </row>
    <row r="571" spans="1:64" ht="12.75">
      <c r="A571" s="4" t="s">
        <v>523</v>
      </c>
      <c r="B571" s="94" t="s">
        <v>1518</v>
      </c>
      <c r="C571" s="152" t="s">
        <v>2455</v>
      </c>
      <c r="D571" s="153"/>
      <c r="E571" s="153"/>
      <c r="F571" s="153"/>
      <c r="G571" s="94" t="s">
        <v>2850</v>
      </c>
      <c r="H571" s="73">
        <v>1</v>
      </c>
      <c r="I571" s="105">
        <v>0</v>
      </c>
      <c r="J571" s="15">
        <f t="shared" si="554"/>
        <v>0</v>
      </c>
      <c r="K571" s="15">
        <f t="shared" si="555"/>
        <v>0</v>
      </c>
      <c r="L571" s="15">
        <f t="shared" si="556"/>
        <v>0</v>
      </c>
      <c r="M571" s="25" t="s">
        <v>2872</v>
      </c>
      <c r="N571" s="5"/>
      <c r="Z571" s="29">
        <f t="shared" si="557"/>
        <v>0</v>
      </c>
      <c r="AB571" s="29">
        <f t="shared" si="558"/>
        <v>0</v>
      </c>
      <c r="AC571" s="29">
        <f t="shared" si="559"/>
        <v>0</v>
      </c>
      <c r="AD571" s="29">
        <f t="shared" si="560"/>
        <v>0</v>
      </c>
      <c r="AE571" s="29">
        <f t="shared" si="561"/>
        <v>0</v>
      </c>
      <c r="AF571" s="29">
        <f t="shared" si="562"/>
        <v>0</v>
      </c>
      <c r="AG571" s="29">
        <f t="shared" si="563"/>
        <v>0</v>
      </c>
      <c r="AH571" s="29">
        <f t="shared" si="564"/>
        <v>0</v>
      </c>
      <c r="AI571" s="28" t="s">
        <v>2882</v>
      </c>
      <c r="AJ571" s="15">
        <f t="shared" si="565"/>
        <v>0</v>
      </c>
      <c r="AK571" s="15">
        <f t="shared" si="566"/>
        <v>0</v>
      </c>
      <c r="AL571" s="15">
        <f t="shared" si="567"/>
        <v>0</v>
      </c>
      <c r="AN571" s="29">
        <v>15</v>
      </c>
      <c r="AO571" s="29">
        <f>I571*0.0168025316455696</f>
        <v>0</v>
      </c>
      <c r="AP571" s="29">
        <f>I571*(1-0.0168025316455696)</f>
        <v>0</v>
      </c>
      <c r="AQ571" s="30" t="s">
        <v>13</v>
      </c>
      <c r="AV571" s="29">
        <f t="shared" si="568"/>
        <v>0</v>
      </c>
      <c r="AW571" s="29">
        <f t="shared" si="569"/>
        <v>0</v>
      </c>
      <c r="AX571" s="29">
        <f t="shared" si="570"/>
        <v>0</v>
      </c>
      <c r="AY571" s="32" t="s">
        <v>2921</v>
      </c>
      <c r="AZ571" s="32" t="s">
        <v>2945</v>
      </c>
      <c r="BA571" s="28" t="s">
        <v>2957</v>
      </c>
      <c r="BC571" s="29">
        <f t="shared" si="571"/>
        <v>0</v>
      </c>
      <c r="BD571" s="29">
        <f t="shared" si="572"/>
        <v>0</v>
      </c>
      <c r="BE571" s="29">
        <v>0</v>
      </c>
      <c r="BF571" s="29">
        <f>571</f>
        <v>571</v>
      </c>
      <c r="BH571" s="15">
        <f t="shared" si="573"/>
        <v>0</v>
      </c>
      <c r="BI571" s="15">
        <f t="shared" si="574"/>
        <v>0</v>
      </c>
      <c r="BJ571" s="15">
        <f t="shared" si="575"/>
        <v>0</v>
      </c>
      <c r="BK571" s="15" t="s">
        <v>2969</v>
      </c>
      <c r="BL571" s="29">
        <v>767</v>
      </c>
    </row>
    <row r="572" spans="1:64" ht="12.75">
      <c r="A572" s="4" t="s">
        <v>524</v>
      </c>
      <c r="B572" s="94" t="s">
        <v>1519</v>
      </c>
      <c r="C572" s="152" t="s">
        <v>2456</v>
      </c>
      <c r="D572" s="153"/>
      <c r="E572" s="153"/>
      <c r="F572" s="153"/>
      <c r="G572" s="94" t="s">
        <v>2850</v>
      </c>
      <c r="H572" s="73">
        <v>1</v>
      </c>
      <c r="I572" s="105">
        <v>0</v>
      </c>
      <c r="J572" s="15">
        <f t="shared" si="554"/>
        <v>0</v>
      </c>
      <c r="K572" s="15">
        <f t="shared" si="555"/>
        <v>0</v>
      </c>
      <c r="L572" s="15">
        <f t="shared" si="556"/>
        <v>0</v>
      </c>
      <c r="M572" s="25" t="s">
        <v>2872</v>
      </c>
      <c r="N572" s="5"/>
      <c r="Z572" s="29">
        <f t="shared" si="557"/>
        <v>0</v>
      </c>
      <c r="AB572" s="29">
        <f t="shared" si="558"/>
        <v>0</v>
      </c>
      <c r="AC572" s="29">
        <f t="shared" si="559"/>
        <v>0</v>
      </c>
      <c r="AD572" s="29">
        <f t="shared" si="560"/>
        <v>0</v>
      </c>
      <c r="AE572" s="29">
        <f t="shared" si="561"/>
        <v>0</v>
      </c>
      <c r="AF572" s="29">
        <f t="shared" si="562"/>
        <v>0</v>
      </c>
      <c r="AG572" s="29">
        <f t="shared" si="563"/>
        <v>0</v>
      </c>
      <c r="AH572" s="29">
        <f t="shared" si="564"/>
        <v>0</v>
      </c>
      <c r="AI572" s="28" t="s">
        <v>2882</v>
      </c>
      <c r="AJ572" s="15">
        <f t="shared" si="565"/>
        <v>0</v>
      </c>
      <c r="AK572" s="15">
        <f t="shared" si="566"/>
        <v>0</v>
      </c>
      <c r="AL572" s="15">
        <f t="shared" si="567"/>
        <v>0</v>
      </c>
      <c r="AN572" s="29">
        <v>15</v>
      </c>
      <c r="AO572" s="29">
        <f>I572*0.0168025641025641</f>
        <v>0</v>
      </c>
      <c r="AP572" s="29">
        <f>I572*(1-0.0168025641025641)</f>
        <v>0</v>
      </c>
      <c r="AQ572" s="30" t="s">
        <v>13</v>
      </c>
      <c r="AV572" s="29">
        <f t="shared" si="568"/>
        <v>0</v>
      </c>
      <c r="AW572" s="29">
        <f t="shared" si="569"/>
        <v>0</v>
      </c>
      <c r="AX572" s="29">
        <f t="shared" si="570"/>
        <v>0</v>
      </c>
      <c r="AY572" s="32" t="s">
        <v>2921</v>
      </c>
      <c r="AZ572" s="32" t="s">
        <v>2945</v>
      </c>
      <c r="BA572" s="28" t="s">
        <v>2957</v>
      </c>
      <c r="BC572" s="29">
        <f t="shared" si="571"/>
        <v>0</v>
      </c>
      <c r="BD572" s="29">
        <f t="shared" si="572"/>
        <v>0</v>
      </c>
      <c r="BE572" s="29">
        <v>0</v>
      </c>
      <c r="BF572" s="29">
        <f>572</f>
        <v>572</v>
      </c>
      <c r="BH572" s="15">
        <f t="shared" si="573"/>
        <v>0</v>
      </c>
      <c r="BI572" s="15">
        <f t="shared" si="574"/>
        <v>0</v>
      </c>
      <c r="BJ572" s="15">
        <f t="shared" si="575"/>
        <v>0</v>
      </c>
      <c r="BK572" s="15" t="s">
        <v>2969</v>
      </c>
      <c r="BL572" s="29">
        <v>767</v>
      </c>
    </row>
    <row r="573" spans="1:64" ht="12.75">
      <c r="A573" s="4" t="s">
        <v>525</v>
      </c>
      <c r="B573" s="94" t="s">
        <v>1520</v>
      </c>
      <c r="C573" s="152" t="s">
        <v>2457</v>
      </c>
      <c r="D573" s="153"/>
      <c r="E573" s="153"/>
      <c r="F573" s="153"/>
      <c r="G573" s="94" t="s">
        <v>2850</v>
      </c>
      <c r="H573" s="73">
        <v>1</v>
      </c>
      <c r="I573" s="105">
        <v>0</v>
      </c>
      <c r="J573" s="15">
        <f t="shared" si="554"/>
        <v>0</v>
      </c>
      <c r="K573" s="15">
        <f t="shared" si="555"/>
        <v>0</v>
      </c>
      <c r="L573" s="15">
        <f t="shared" si="556"/>
        <v>0</v>
      </c>
      <c r="M573" s="25" t="s">
        <v>2872</v>
      </c>
      <c r="N573" s="5"/>
      <c r="Z573" s="29">
        <f t="shared" si="557"/>
        <v>0</v>
      </c>
      <c r="AB573" s="29">
        <f t="shared" si="558"/>
        <v>0</v>
      </c>
      <c r="AC573" s="29">
        <f t="shared" si="559"/>
        <v>0</v>
      </c>
      <c r="AD573" s="29">
        <f t="shared" si="560"/>
        <v>0</v>
      </c>
      <c r="AE573" s="29">
        <f t="shared" si="561"/>
        <v>0</v>
      </c>
      <c r="AF573" s="29">
        <f t="shared" si="562"/>
        <v>0</v>
      </c>
      <c r="AG573" s="29">
        <f t="shared" si="563"/>
        <v>0</v>
      </c>
      <c r="AH573" s="29">
        <f t="shared" si="564"/>
        <v>0</v>
      </c>
      <c r="AI573" s="28" t="s">
        <v>2882</v>
      </c>
      <c r="AJ573" s="15">
        <f t="shared" si="565"/>
        <v>0</v>
      </c>
      <c r="AK573" s="15">
        <f t="shared" si="566"/>
        <v>0</v>
      </c>
      <c r="AL573" s="15">
        <f t="shared" si="567"/>
        <v>0</v>
      </c>
      <c r="AN573" s="29">
        <v>15</v>
      </c>
      <c r="AO573" s="29">
        <f>I573*0.0418558080502841</f>
        <v>0</v>
      </c>
      <c r="AP573" s="29">
        <f>I573*(1-0.0418558080502841)</f>
        <v>0</v>
      </c>
      <c r="AQ573" s="30" t="s">
        <v>13</v>
      </c>
      <c r="AV573" s="29">
        <f t="shared" si="568"/>
        <v>0</v>
      </c>
      <c r="AW573" s="29">
        <f t="shared" si="569"/>
        <v>0</v>
      </c>
      <c r="AX573" s="29">
        <f t="shared" si="570"/>
        <v>0</v>
      </c>
      <c r="AY573" s="32" t="s">
        <v>2921</v>
      </c>
      <c r="AZ573" s="32" t="s">
        <v>2945</v>
      </c>
      <c r="BA573" s="28" t="s">
        <v>2957</v>
      </c>
      <c r="BC573" s="29">
        <f t="shared" si="571"/>
        <v>0</v>
      </c>
      <c r="BD573" s="29">
        <f t="shared" si="572"/>
        <v>0</v>
      </c>
      <c r="BE573" s="29">
        <v>0</v>
      </c>
      <c r="BF573" s="29">
        <f>573</f>
        <v>573</v>
      </c>
      <c r="BH573" s="15">
        <f t="shared" si="573"/>
        <v>0</v>
      </c>
      <c r="BI573" s="15">
        <f t="shared" si="574"/>
        <v>0</v>
      </c>
      <c r="BJ573" s="15">
        <f t="shared" si="575"/>
        <v>0</v>
      </c>
      <c r="BK573" s="15" t="s">
        <v>2969</v>
      </c>
      <c r="BL573" s="29">
        <v>767</v>
      </c>
    </row>
    <row r="574" spans="1:64" ht="12.75">
      <c r="A574" s="4" t="s">
        <v>526</v>
      </c>
      <c r="B574" s="94" t="s">
        <v>1521</v>
      </c>
      <c r="C574" s="152" t="s">
        <v>2458</v>
      </c>
      <c r="D574" s="153"/>
      <c r="E574" s="153"/>
      <c r="F574" s="153"/>
      <c r="G574" s="94" t="s">
        <v>2850</v>
      </c>
      <c r="H574" s="73">
        <v>1</v>
      </c>
      <c r="I574" s="105">
        <v>0</v>
      </c>
      <c r="J574" s="15">
        <f t="shared" si="554"/>
        <v>0</v>
      </c>
      <c r="K574" s="15">
        <f t="shared" si="555"/>
        <v>0</v>
      </c>
      <c r="L574" s="15">
        <f t="shared" si="556"/>
        <v>0</v>
      </c>
      <c r="M574" s="25" t="s">
        <v>2872</v>
      </c>
      <c r="N574" s="5"/>
      <c r="Z574" s="29">
        <f t="shared" si="557"/>
        <v>0</v>
      </c>
      <c r="AB574" s="29">
        <f t="shared" si="558"/>
        <v>0</v>
      </c>
      <c r="AC574" s="29">
        <f t="shared" si="559"/>
        <v>0</v>
      </c>
      <c r="AD574" s="29">
        <f t="shared" si="560"/>
        <v>0</v>
      </c>
      <c r="AE574" s="29">
        <f t="shared" si="561"/>
        <v>0</v>
      </c>
      <c r="AF574" s="29">
        <f t="shared" si="562"/>
        <v>0</v>
      </c>
      <c r="AG574" s="29">
        <f t="shared" si="563"/>
        <v>0</v>
      </c>
      <c r="AH574" s="29">
        <f t="shared" si="564"/>
        <v>0</v>
      </c>
      <c r="AI574" s="28" t="s">
        <v>2882</v>
      </c>
      <c r="AJ574" s="15">
        <f t="shared" si="565"/>
        <v>0</v>
      </c>
      <c r="AK574" s="15">
        <f t="shared" si="566"/>
        <v>0</v>
      </c>
      <c r="AL574" s="15">
        <f t="shared" si="567"/>
        <v>0</v>
      </c>
      <c r="AN574" s="29">
        <v>15</v>
      </c>
      <c r="AO574" s="29">
        <f>I574*0.0418557999290529</f>
        <v>0</v>
      </c>
      <c r="AP574" s="29">
        <f>I574*(1-0.0418557999290529)</f>
        <v>0</v>
      </c>
      <c r="AQ574" s="30" t="s">
        <v>13</v>
      </c>
      <c r="AV574" s="29">
        <f t="shared" si="568"/>
        <v>0</v>
      </c>
      <c r="AW574" s="29">
        <f t="shared" si="569"/>
        <v>0</v>
      </c>
      <c r="AX574" s="29">
        <f t="shared" si="570"/>
        <v>0</v>
      </c>
      <c r="AY574" s="32" t="s">
        <v>2921</v>
      </c>
      <c r="AZ574" s="32" t="s">
        <v>2945</v>
      </c>
      <c r="BA574" s="28" t="s">
        <v>2957</v>
      </c>
      <c r="BC574" s="29">
        <f t="shared" si="571"/>
        <v>0</v>
      </c>
      <c r="BD574" s="29">
        <f t="shared" si="572"/>
        <v>0</v>
      </c>
      <c r="BE574" s="29">
        <v>0</v>
      </c>
      <c r="BF574" s="29">
        <f>574</f>
        <v>574</v>
      </c>
      <c r="BH574" s="15">
        <f t="shared" si="573"/>
        <v>0</v>
      </c>
      <c r="BI574" s="15">
        <f t="shared" si="574"/>
        <v>0</v>
      </c>
      <c r="BJ574" s="15">
        <f t="shared" si="575"/>
        <v>0</v>
      </c>
      <c r="BK574" s="15" t="s">
        <v>2969</v>
      </c>
      <c r="BL574" s="29">
        <v>767</v>
      </c>
    </row>
    <row r="575" spans="1:64" ht="12.75">
      <c r="A575" s="4" t="s">
        <v>527</v>
      </c>
      <c r="B575" s="94" t="s">
        <v>1522</v>
      </c>
      <c r="C575" s="152" t="s">
        <v>2459</v>
      </c>
      <c r="D575" s="153"/>
      <c r="E575" s="153"/>
      <c r="F575" s="153"/>
      <c r="G575" s="94" t="s">
        <v>2850</v>
      </c>
      <c r="H575" s="73">
        <v>1</v>
      </c>
      <c r="I575" s="105">
        <v>0</v>
      </c>
      <c r="J575" s="15">
        <f t="shared" si="554"/>
        <v>0</v>
      </c>
      <c r="K575" s="15">
        <f t="shared" si="555"/>
        <v>0</v>
      </c>
      <c r="L575" s="15">
        <f t="shared" si="556"/>
        <v>0</v>
      </c>
      <c r="M575" s="25" t="s">
        <v>2872</v>
      </c>
      <c r="N575" s="5"/>
      <c r="Z575" s="29">
        <f t="shared" si="557"/>
        <v>0</v>
      </c>
      <c r="AB575" s="29">
        <f t="shared" si="558"/>
        <v>0</v>
      </c>
      <c r="AC575" s="29">
        <f t="shared" si="559"/>
        <v>0</v>
      </c>
      <c r="AD575" s="29">
        <f t="shared" si="560"/>
        <v>0</v>
      </c>
      <c r="AE575" s="29">
        <f t="shared" si="561"/>
        <v>0</v>
      </c>
      <c r="AF575" s="29">
        <f t="shared" si="562"/>
        <v>0</v>
      </c>
      <c r="AG575" s="29">
        <f t="shared" si="563"/>
        <v>0</v>
      </c>
      <c r="AH575" s="29">
        <f t="shared" si="564"/>
        <v>0</v>
      </c>
      <c r="AI575" s="28" t="s">
        <v>2882</v>
      </c>
      <c r="AJ575" s="15">
        <f t="shared" si="565"/>
        <v>0</v>
      </c>
      <c r="AK575" s="15">
        <f t="shared" si="566"/>
        <v>0</v>
      </c>
      <c r="AL575" s="15">
        <f t="shared" si="567"/>
        <v>0</v>
      </c>
      <c r="AN575" s="29">
        <v>15</v>
      </c>
      <c r="AO575" s="29">
        <f>I575*0</f>
        <v>0</v>
      </c>
      <c r="AP575" s="29">
        <f>I575*(1-0)</f>
        <v>0</v>
      </c>
      <c r="AQ575" s="30" t="s">
        <v>13</v>
      </c>
      <c r="AV575" s="29">
        <f t="shared" si="568"/>
        <v>0</v>
      </c>
      <c r="AW575" s="29">
        <f t="shared" si="569"/>
        <v>0</v>
      </c>
      <c r="AX575" s="29">
        <f t="shared" si="570"/>
        <v>0</v>
      </c>
      <c r="AY575" s="32" t="s">
        <v>2921</v>
      </c>
      <c r="AZ575" s="32" t="s">
        <v>2945</v>
      </c>
      <c r="BA575" s="28" t="s">
        <v>2957</v>
      </c>
      <c r="BC575" s="29">
        <f t="shared" si="571"/>
        <v>0</v>
      </c>
      <c r="BD575" s="29">
        <f t="shared" si="572"/>
        <v>0</v>
      </c>
      <c r="BE575" s="29">
        <v>0</v>
      </c>
      <c r="BF575" s="29">
        <f>575</f>
        <v>575</v>
      </c>
      <c r="BH575" s="15">
        <f t="shared" si="573"/>
        <v>0</v>
      </c>
      <c r="BI575" s="15">
        <f t="shared" si="574"/>
        <v>0</v>
      </c>
      <c r="BJ575" s="15">
        <f t="shared" si="575"/>
        <v>0</v>
      </c>
      <c r="BK575" s="15" t="s">
        <v>2969</v>
      </c>
      <c r="BL575" s="29">
        <v>767</v>
      </c>
    </row>
    <row r="576" spans="1:64" ht="12.75">
      <c r="A576" s="4" t="s">
        <v>528</v>
      </c>
      <c r="B576" s="94" t="s">
        <v>1523</v>
      </c>
      <c r="C576" s="152" t="s">
        <v>2460</v>
      </c>
      <c r="D576" s="153"/>
      <c r="E576" s="153"/>
      <c r="F576" s="153"/>
      <c r="G576" s="94" t="s">
        <v>2850</v>
      </c>
      <c r="H576" s="73">
        <v>8</v>
      </c>
      <c r="I576" s="105">
        <v>0</v>
      </c>
      <c r="J576" s="15">
        <f t="shared" si="554"/>
        <v>0</v>
      </c>
      <c r="K576" s="15">
        <f t="shared" si="555"/>
        <v>0</v>
      </c>
      <c r="L576" s="15">
        <f t="shared" si="556"/>
        <v>0</v>
      </c>
      <c r="M576" s="25" t="s">
        <v>2872</v>
      </c>
      <c r="N576" s="5"/>
      <c r="Z576" s="29">
        <f t="shared" si="557"/>
        <v>0</v>
      </c>
      <c r="AB576" s="29">
        <f t="shared" si="558"/>
        <v>0</v>
      </c>
      <c r="AC576" s="29">
        <f t="shared" si="559"/>
        <v>0</v>
      </c>
      <c r="AD576" s="29">
        <f t="shared" si="560"/>
        <v>0</v>
      </c>
      <c r="AE576" s="29">
        <f t="shared" si="561"/>
        <v>0</v>
      </c>
      <c r="AF576" s="29">
        <f t="shared" si="562"/>
        <v>0</v>
      </c>
      <c r="AG576" s="29">
        <f t="shared" si="563"/>
        <v>0</v>
      </c>
      <c r="AH576" s="29">
        <f t="shared" si="564"/>
        <v>0</v>
      </c>
      <c r="AI576" s="28" t="s">
        <v>2882</v>
      </c>
      <c r="AJ576" s="15">
        <f t="shared" si="565"/>
        <v>0</v>
      </c>
      <c r="AK576" s="15">
        <f t="shared" si="566"/>
        <v>0</v>
      </c>
      <c r="AL576" s="15">
        <f t="shared" si="567"/>
        <v>0</v>
      </c>
      <c r="AN576" s="29">
        <v>15</v>
      </c>
      <c r="AO576" s="29">
        <f>I576*0</f>
        <v>0</v>
      </c>
      <c r="AP576" s="29">
        <f>I576*(1-0)</f>
        <v>0</v>
      </c>
      <c r="AQ576" s="30" t="s">
        <v>13</v>
      </c>
      <c r="AV576" s="29">
        <f t="shared" si="568"/>
        <v>0</v>
      </c>
      <c r="AW576" s="29">
        <f t="shared" si="569"/>
        <v>0</v>
      </c>
      <c r="AX576" s="29">
        <f t="shared" si="570"/>
        <v>0</v>
      </c>
      <c r="AY576" s="32" t="s">
        <v>2921</v>
      </c>
      <c r="AZ576" s="32" t="s">
        <v>2945</v>
      </c>
      <c r="BA576" s="28" t="s">
        <v>2957</v>
      </c>
      <c r="BC576" s="29">
        <f t="shared" si="571"/>
        <v>0</v>
      </c>
      <c r="BD576" s="29">
        <f t="shared" si="572"/>
        <v>0</v>
      </c>
      <c r="BE576" s="29">
        <v>0</v>
      </c>
      <c r="BF576" s="29">
        <f>576</f>
        <v>576</v>
      </c>
      <c r="BH576" s="15">
        <f t="shared" si="573"/>
        <v>0</v>
      </c>
      <c r="BI576" s="15">
        <f t="shared" si="574"/>
        <v>0</v>
      </c>
      <c r="BJ576" s="15">
        <f t="shared" si="575"/>
        <v>0</v>
      </c>
      <c r="BK576" s="15" t="s">
        <v>2969</v>
      </c>
      <c r="BL576" s="29">
        <v>767</v>
      </c>
    </row>
    <row r="577" spans="1:64" ht="12.75">
      <c r="A577" s="4" t="s">
        <v>529</v>
      </c>
      <c r="B577" s="94" t="s">
        <v>1524</v>
      </c>
      <c r="C577" s="152" t="s">
        <v>2461</v>
      </c>
      <c r="D577" s="153"/>
      <c r="E577" s="153"/>
      <c r="F577" s="153"/>
      <c r="G577" s="94" t="s">
        <v>2850</v>
      </c>
      <c r="H577" s="73">
        <v>1</v>
      </c>
      <c r="I577" s="105">
        <v>0</v>
      </c>
      <c r="J577" s="15">
        <f t="shared" si="554"/>
        <v>0</v>
      </c>
      <c r="K577" s="15">
        <f t="shared" si="555"/>
        <v>0</v>
      </c>
      <c r="L577" s="15">
        <f t="shared" si="556"/>
        <v>0</v>
      </c>
      <c r="M577" s="25" t="s">
        <v>2872</v>
      </c>
      <c r="N577" s="5"/>
      <c r="Z577" s="29">
        <f t="shared" si="557"/>
        <v>0</v>
      </c>
      <c r="AB577" s="29">
        <f t="shared" si="558"/>
        <v>0</v>
      </c>
      <c r="AC577" s="29">
        <f t="shared" si="559"/>
        <v>0</v>
      </c>
      <c r="AD577" s="29">
        <f t="shared" si="560"/>
        <v>0</v>
      </c>
      <c r="AE577" s="29">
        <f t="shared" si="561"/>
        <v>0</v>
      </c>
      <c r="AF577" s="29">
        <f t="shared" si="562"/>
        <v>0</v>
      </c>
      <c r="AG577" s="29">
        <f t="shared" si="563"/>
        <v>0</v>
      </c>
      <c r="AH577" s="29">
        <f t="shared" si="564"/>
        <v>0</v>
      </c>
      <c r="AI577" s="28" t="s">
        <v>2882</v>
      </c>
      <c r="AJ577" s="15">
        <f t="shared" si="565"/>
        <v>0</v>
      </c>
      <c r="AK577" s="15">
        <f t="shared" si="566"/>
        <v>0</v>
      </c>
      <c r="AL577" s="15">
        <f t="shared" si="567"/>
        <v>0</v>
      </c>
      <c r="AN577" s="29">
        <v>15</v>
      </c>
      <c r="AO577" s="29">
        <f>I577*0</f>
        <v>0</v>
      </c>
      <c r="AP577" s="29">
        <f>I577*(1-0)</f>
        <v>0</v>
      </c>
      <c r="AQ577" s="30" t="s">
        <v>13</v>
      </c>
      <c r="AV577" s="29">
        <f t="shared" si="568"/>
        <v>0</v>
      </c>
      <c r="AW577" s="29">
        <f t="shared" si="569"/>
        <v>0</v>
      </c>
      <c r="AX577" s="29">
        <f t="shared" si="570"/>
        <v>0</v>
      </c>
      <c r="AY577" s="32" t="s">
        <v>2921</v>
      </c>
      <c r="AZ577" s="32" t="s">
        <v>2945</v>
      </c>
      <c r="BA577" s="28" t="s">
        <v>2957</v>
      </c>
      <c r="BC577" s="29">
        <f t="shared" si="571"/>
        <v>0</v>
      </c>
      <c r="BD577" s="29">
        <f t="shared" si="572"/>
        <v>0</v>
      </c>
      <c r="BE577" s="29">
        <v>0</v>
      </c>
      <c r="BF577" s="29">
        <f>577</f>
        <v>577</v>
      </c>
      <c r="BH577" s="15">
        <f t="shared" si="573"/>
        <v>0</v>
      </c>
      <c r="BI577" s="15">
        <f t="shared" si="574"/>
        <v>0</v>
      </c>
      <c r="BJ577" s="15">
        <f t="shared" si="575"/>
        <v>0</v>
      </c>
      <c r="BK577" s="15" t="s">
        <v>2969</v>
      </c>
      <c r="BL577" s="29">
        <v>767</v>
      </c>
    </row>
    <row r="578" spans="1:64" ht="12.75">
      <c r="A578" s="4" t="s">
        <v>530</v>
      </c>
      <c r="B578" s="94" t="s">
        <v>1525</v>
      </c>
      <c r="C578" s="152" t="s">
        <v>2462</v>
      </c>
      <c r="D578" s="153"/>
      <c r="E578" s="153"/>
      <c r="F578" s="153"/>
      <c r="G578" s="94" t="s">
        <v>2850</v>
      </c>
      <c r="H578" s="73">
        <v>1</v>
      </c>
      <c r="I578" s="105">
        <v>0</v>
      </c>
      <c r="J578" s="15">
        <f t="shared" si="554"/>
        <v>0</v>
      </c>
      <c r="K578" s="15">
        <f t="shared" si="555"/>
        <v>0</v>
      </c>
      <c r="L578" s="15">
        <f t="shared" si="556"/>
        <v>0</v>
      </c>
      <c r="M578" s="25" t="s">
        <v>2872</v>
      </c>
      <c r="N578" s="5"/>
      <c r="Z578" s="29">
        <f t="shared" si="557"/>
        <v>0</v>
      </c>
      <c r="AB578" s="29">
        <f t="shared" si="558"/>
        <v>0</v>
      </c>
      <c r="AC578" s="29">
        <f t="shared" si="559"/>
        <v>0</v>
      </c>
      <c r="AD578" s="29">
        <f t="shared" si="560"/>
        <v>0</v>
      </c>
      <c r="AE578" s="29">
        <f t="shared" si="561"/>
        <v>0</v>
      </c>
      <c r="AF578" s="29">
        <f t="shared" si="562"/>
        <v>0</v>
      </c>
      <c r="AG578" s="29">
        <f t="shared" si="563"/>
        <v>0</v>
      </c>
      <c r="AH578" s="29">
        <f t="shared" si="564"/>
        <v>0</v>
      </c>
      <c r="AI578" s="28" t="s">
        <v>2882</v>
      </c>
      <c r="AJ578" s="15">
        <f t="shared" si="565"/>
        <v>0</v>
      </c>
      <c r="AK578" s="15">
        <f t="shared" si="566"/>
        <v>0</v>
      </c>
      <c r="AL578" s="15">
        <f t="shared" si="567"/>
        <v>0</v>
      </c>
      <c r="AN578" s="29">
        <v>15</v>
      </c>
      <c r="AO578" s="29">
        <f>I578*0.0291018007202881</f>
        <v>0</v>
      </c>
      <c r="AP578" s="29">
        <f>I578*(1-0.0291018007202881)</f>
        <v>0</v>
      </c>
      <c r="AQ578" s="30" t="s">
        <v>13</v>
      </c>
      <c r="AV578" s="29">
        <f t="shared" si="568"/>
        <v>0</v>
      </c>
      <c r="AW578" s="29">
        <f t="shared" si="569"/>
        <v>0</v>
      </c>
      <c r="AX578" s="29">
        <f t="shared" si="570"/>
        <v>0</v>
      </c>
      <c r="AY578" s="32" t="s">
        <v>2921</v>
      </c>
      <c r="AZ578" s="32" t="s">
        <v>2945</v>
      </c>
      <c r="BA578" s="28" t="s">
        <v>2957</v>
      </c>
      <c r="BC578" s="29">
        <f t="shared" si="571"/>
        <v>0</v>
      </c>
      <c r="BD578" s="29">
        <f t="shared" si="572"/>
        <v>0</v>
      </c>
      <c r="BE578" s="29">
        <v>0</v>
      </c>
      <c r="BF578" s="29">
        <f>578</f>
        <v>578</v>
      </c>
      <c r="BH578" s="15">
        <f t="shared" si="573"/>
        <v>0</v>
      </c>
      <c r="BI578" s="15">
        <f t="shared" si="574"/>
        <v>0</v>
      </c>
      <c r="BJ578" s="15">
        <f t="shared" si="575"/>
        <v>0</v>
      </c>
      <c r="BK578" s="15" t="s">
        <v>2969</v>
      </c>
      <c r="BL578" s="29">
        <v>767</v>
      </c>
    </row>
    <row r="579" spans="1:64" ht="12.75">
      <c r="A579" s="4" t="s">
        <v>531</v>
      </c>
      <c r="B579" s="94" t="s">
        <v>1526</v>
      </c>
      <c r="C579" s="152" t="s">
        <v>2463</v>
      </c>
      <c r="D579" s="153"/>
      <c r="E579" s="153"/>
      <c r="F579" s="153"/>
      <c r="G579" s="94" t="s">
        <v>2853</v>
      </c>
      <c r="H579" s="73">
        <v>160</v>
      </c>
      <c r="I579" s="105">
        <v>0</v>
      </c>
      <c r="J579" s="15">
        <f t="shared" si="554"/>
        <v>0</v>
      </c>
      <c r="K579" s="15">
        <f t="shared" si="555"/>
        <v>0</v>
      </c>
      <c r="L579" s="15">
        <f t="shared" si="556"/>
        <v>0</v>
      </c>
      <c r="M579" s="25" t="s">
        <v>2872</v>
      </c>
      <c r="N579" s="5"/>
      <c r="Z579" s="29">
        <f t="shared" si="557"/>
        <v>0</v>
      </c>
      <c r="AB579" s="29">
        <f t="shared" si="558"/>
        <v>0</v>
      </c>
      <c r="AC579" s="29">
        <f t="shared" si="559"/>
        <v>0</v>
      </c>
      <c r="AD579" s="29">
        <f t="shared" si="560"/>
        <v>0</v>
      </c>
      <c r="AE579" s="29">
        <f t="shared" si="561"/>
        <v>0</v>
      </c>
      <c r="AF579" s="29">
        <f t="shared" si="562"/>
        <v>0</v>
      </c>
      <c r="AG579" s="29">
        <f t="shared" si="563"/>
        <v>0</v>
      </c>
      <c r="AH579" s="29">
        <f t="shared" si="564"/>
        <v>0</v>
      </c>
      <c r="AI579" s="28" t="s">
        <v>2882</v>
      </c>
      <c r="AJ579" s="15">
        <f t="shared" si="565"/>
        <v>0</v>
      </c>
      <c r="AK579" s="15">
        <f t="shared" si="566"/>
        <v>0</v>
      </c>
      <c r="AL579" s="15">
        <f t="shared" si="567"/>
        <v>0</v>
      </c>
      <c r="AN579" s="29">
        <v>15</v>
      </c>
      <c r="AO579" s="29">
        <f>I579*0.719712230215827</f>
        <v>0</v>
      </c>
      <c r="AP579" s="29">
        <f>I579*(1-0.719712230215827)</f>
        <v>0</v>
      </c>
      <c r="AQ579" s="30" t="s">
        <v>13</v>
      </c>
      <c r="AV579" s="29">
        <f t="shared" si="568"/>
        <v>0</v>
      </c>
      <c r="AW579" s="29">
        <f t="shared" si="569"/>
        <v>0</v>
      </c>
      <c r="AX579" s="29">
        <f t="shared" si="570"/>
        <v>0</v>
      </c>
      <c r="AY579" s="32" t="s">
        <v>2921</v>
      </c>
      <c r="AZ579" s="32" t="s">
        <v>2945</v>
      </c>
      <c r="BA579" s="28" t="s">
        <v>2957</v>
      </c>
      <c r="BC579" s="29">
        <f t="shared" si="571"/>
        <v>0</v>
      </c>
      <c r="BD579" s="29">
        <f t="shared" si="572"/>
        <v>0</v>
      </c>
      <c r="BE579" s="29">
        <v>0</v>
      </c>
      <c r="BF579" s="29">
        <f>579</f>
        <v>579</v>
      </c>
      <c r="BH579" s="15">
        <f t="shared" si="573"/>
        <v>0</v>
      </c>
      <c r="BI579" s="15">
        <f t="shared" si="574"/>
        <v>0</v>
      </c>
      <c r="BJ579" s="15">
        <f t="shared" si="575"/>
        <v>0</v>
      </c>
      <c r="BK579" s="15" t="s">
        <v>2969</v>
      </c>
      <c r="BL579" s="29">
        <v>767</v>
      </c>
    </row>
    <row r="580" spans="1:64" ht="12.75">
      <c r="A580" s="4" t="s">
        <v>532</v>
      </c>
      <c r="B580" s="94" t="s">
        <v>1527</v>
      </c>
      <c r="C580" s="152" t="s">
        <v>2464</v>
      </c>
      <c r="D580" s="153"/>
      <c r="E580" s="153"/>
      <c r="F580" s="153"/>
      <c r="G580" s="94" t="s">
        <v>2853</v>
      </c>
      <c r="H580" s="73">
        <v>945</v>
      </c>
      <c r="I580" s="105">
        <v>0</v>
      </c>
      <c r="J580" s="15">
        <f t="shared" si="554"/>
        <v>0</v>
      </c>
      <c r="K580" s="15">
        <f t="shared" si="555"/>
        <v>0</v>
      </c>
      <c r="L580" s="15">
        <f t="shared" si="556"/>
        <v>0</v>
      </c>
      <c r="M580" s="25" t="s">
        <v>2872</v>
      </c>
      <c r="N580" s="5"/>
      <c r="Z580" s="29">
        <f t="shared" si="557"/>
        <v>0</v>
      </c>
      <c r="AB580" s="29">
        <f t="shared" si="558"/>
        <v>0</v>
      </c>
      <c r="AC580" s="29">
        <f t="shared" si="559"/>
        <v>0</v>
      </c>
      <c r="AD580" s="29">
        <f t="shared" si="560"/>
        <v>0</v>
      </c>
      <c r="AE580" s="29">
        <f t="shared" si="561"/>
        <v>0</v>
      </c>
      <c r="AF580" s="29">
        <f t="shared" si="562"/>
        <v>0</v>
      </c>
      <c r="AG580" s="29">
        <f t="shared" si="563"/>
        <v>0</v>
      </c>
      <c r="AH580" s="29">
        <f t="shared" si="564"/>
        <v>0</v>
      </c>
      <c r="AI580" s="28" t="s">
        <v>2882</v>
      </c>
      <c r="AJ580" s="15">
        <f t="shared" si="565"/>
        <v>0</v>
      </c>
      <c r="AK580" s="15">
        <f t="shared" si="566"/>
        <v>0</v>
      </c>
      <c r="AL580" s="15">
        <f t="shared" si="567"/>
        <v>0</v>
      </c>
      <c r="AN580" s="29">
        <v>15</v>
      </c>
      <c r="AO580" s="29">
        <f>I580*0.719712230215827</f>
        <v>0</v>
      </c>
      <c r="AP580" s="29">
        <f>I580*(1-0.719712230215827)</f>
        <v>0</v>
      </c>
      <c r="AQ580" s="30" t="s">
        <v>13</v>
      </c>
      <c r="AV580" s="29">
        <f t="shared" si="568"/>
        <v>0</v>
      </c>
      <c r="AW580" s="29">
        <f t="shared" si="569"/>
        <v>0</v>
      </c>
      <c r="AX580" s="29">
        <f t="shared" si="570"/>
        <v>0</v>
      </c>
      <c r="AY580" s="32" t="s">
        <v>2921</v>
      </c>
      <c r="AZ580" s="32" t="s">
        <v>2945</v>
      </c>
      <c r="BA580" s="28" t="s">
        <v>2957</v>
      </c>
      <c r="BC580" s="29">
        <f t="shared" si="571"/>
        <v>0</v>
      </c>
      <c r="BD580" s="29">
        <f t="shared" si="572"/>
        <v>0</v>
      </c>
      <c r="BE580" s="29">
        <v>0</v>
      </c>
      <c r="BF580" s="29">
        <f>580</f>
        <v>580</v>
      </c>
      <c r="BH580" s="15">
        <f t="shared" si="573"/>
        <v>0</v>
      </c>
      <c r="BI580" s="15">
        <f t="shared" si="574"/>
        <v>0</v>
      </c>
      <c r="BJ580" s="15">
        <f t="shared" si="575"/>
        <v>0</v>
      </c>
      <c r="BK580" s="15" t="s">
        <v>2969</v>
      </c>
      <c r="BL580" s="29">
        <v>767</v>
      </c>
    </row>
    <row r="581" spans="1:64" ht="12.75">
      <c r="A581" s="4" t="s">
        <v>533</v>
      </c>
      <c r="B581" s="94" t="s">
        <v>1528</v>
      </c>
      <c r="C581" s="152" t="s">
        <v>2465</v>
      </c>
      <c r="D581" s="153"/>
      <c r="E581" s="153"/>
      <c r="F581" s="153"/>
      <c r="G581" s="94" t="s">
        <v>2850</v>
      </c>
      <c r="H581" s="73">
        <v>1</v>
      </c>
      <c r="I581" s="105">
        <v>0</v>
      </c>
      <c r="J581" s="15">
        <f t="shared" si="554"/>
        <v>0</v>
      </c>
      <c r="K581" s="15">
        <f t="shared" si="555"/>
        <v>0</v>
      </c>
      <c r="L581" s="15">
        <f t="shared" si="556"/>
        <v>0</v>
      </c>
      <c r="M581" s="25" t="s">
        <v>2872</v>
      </c>
      <c r="N581" s="5"/>
      <c r="Z581" s="29">
        <f t="shared" si="557"/>
        <v>0</v>
      </c>
      <c r="AB581" s="29">
        <f t="shared" si="558"/>
        <v>0</v>
      </c>
      <c r="AC581" s="29">
        <f t="shared" si="559"/>
        <v>0</v>
      </c>
      <c r="AD581" s="29">
        <f t="shared" si="560"/>
        <v>0</v>
      </c>
      <c r="AE581" s="29">
        <f t="shared" si="561"/>
        <v>0</v>
      </c>
      <c r="AF581" s="29">
        <f t="shared" si="562"/>
        <v>0</v>
      </c>
      <c r="AG581" s="29">
        <f t="shared" si="563"/>
        <v>0</v>
      </c>
      <c r="AH581" s="29">
        <f t="shared" si="564"/>
        <v>0</v>
      </c>
      <c r="AI581" s="28" t="s">
        <v>2882</v>
      </c>
      <c r="AJ581" s="15">
        <f t="shared" si="565"/>
        <v>0</v>
      </c>
      <c r="AK581" s="15">
        <f t="shared" si="566"/>
        <v>0</v>
      </c>
      <c r="AL581" s="15">
        <f t="shared" si="567"/>
        <v>0</v>
      </c>
      <c r="AN581" s="29">
        <v>15</v>
      </c>
      <c r="AO581" s="29">
        <f>I581*0.781246328125</f>
        <v>0</v>
      </c>
      <c r="AP581" s="29">
        <f>I581*(1-0.781246328125)</f>
        <v>0</v>
      </c>
      <c r="AQ581" s="30" t="s">
        <v>13</v>
      </c>
      <c r="AV581" s="29">
        <f t="shared" si="568"/>
        <v>0</v>
      </c>
      <c r="AW581" s="29">
        <f t="shared" si="569"/>
        <v>0</v>
      </c>
      <c r="AX581" s="29">
        <f t="shared" si="570"/>
        <v>0</v>
      </c>
      <c r="AY581" s="32" t="s">
        <v>2921</v>
      </c>
      <c r="AZ581" s="32" t="s">
        <v>2945</v>
      </c>
      <c r="BA581" s="28" t="s">
        <v>2957</v>
      </c>
      <c r="BC581" s="29">
        <f t="shared" si="571"/>
        <v>0</v>
      </c>
      <c r="BD581" s="29">
        <f t="shared" si="572"/>
        <v>0</v>
      </c>
      <c r="BE581" s="29">
        <v>0</v>
      </c>
      <c r="BF581" s="29">
        <f>581</f>
        <v>581</v>
      </c>
      <c r="BH581" s="15">
        <f t="shared" si="573"/>
        <v>0</v>
      </c>
      <c r="BI581" s="15">
        <f t="shared" si="574"/>
        <v>0</v>
      </c>
      <c r="BJ581" s="15">
        <f t="shared" si="575"/>
        <v>0</v>
      </c>
      <c r="BK581" s="15" t="s">
        <v>2969</v>
      </c>
      <c r="BL581" s="29">
        <v>767</v>
      </c>
    </row>
    <row r="582" spans="1:64" ht="12.75">
      <c r="A582" s="4" t="s">
        <v>534</v>
      </c>
      <c r="B582" s="94" t="s">
        <v>1529</v>
      </c>
      <c r="C582" s="152" t="s">
        <v>2466</v>
      </c>
      <c r="D582" s="153"/>
      <c r="E582" s="153"/>
      <c r="F582" s="153"/>
      <c r="G582" s="94" t="s">
        <v>2850</v>
      </c>
      <c r="H582" s="73">
        <v>2</v>
      </c>
      <c r="I582" s="105">
        <v>0</v>
      </c>
      <c r="J582" s="15">
        <f t="shared" si="554"/>
        <v>0</v>
      </c>
      <c r="K582" s="15">
        <f t="shared" si="555"/>
        <v>0</v>
      </c>
      <c r="L582" s="15">
        <f t="shared" si="556"/>
        <v>0</v>
      </c>
      <c r="M582" s="25" t="s">
        <v>2872</v>
      </c>
      <c r="N582" s="5"/>
      <c r="Z582" s="29">
        <f t="shared" si="557"/>
        <v>0</v>
      </c>
      <c r="AB582" s="29">
        <f t="shared" si="558"/>
        <v>0</v>
      </c>
      <c r="AC582" s="29">
        <f t="shared" si="559"/>
        <v>0</v>
      </c>
      <c r="AD582" s="29">
        <f t="shared" si="560"/>
        <v>0</v>
      </c>
      <c r="AE582" s="29">
        <f t="shared" si="561"/>
        <v>0</v>
      </c>
      <c r="AF582" s="29">
        <f t="shared" si="562"/>
        <v>0</v>
      </c>
      <c r="AG582" s="29">
        <f t="shared" si="563"/>
        <v>0</v>
      </c>
      <c r="AH582" s="29">
        <f t="shared" si="564"/>
        <v>0</v>
      </c>
      <c r="AI582" s="28" t="s">
        <v>2882</v>
      </c>
      <c r="AJ582" s="15">
        <f t="shared" si="565"/>
        <v>0</v>
      </c>
      <c r="AK582" s="15">
        <f t="shared" si="566"/>
        <v>0</v>
      </c>
      <c r="AL582" s="15">
        <f t="shared" si="567"/>
        <v>0</v>
      </c>
      <c r="AN582" s="29">
        <v>15</v>
      </c>
      <c r="AO582" s="29">
        <f aca="true" t="shared" si="576" ref="AO582:AO591">I582*0.78</f>
        <v>0</v>
      </c>
      <c r="AP582" s="29">
        <f aca="true" t="shared" si="577" ref="AP582:AP591">I582*(1-0.78)</f>
        <v>0</v>
      </c>
      <c r="AQ582" s="30" t="s">
        <v>13</v>
      </c>
      <c r="AV582" s="29">
        <f t="shared" si="568"/>
        <v>0</v>
      </c>
      <c r="AW582" s="29">
        <f t="shared" si="569"/>
        <v>0</v>
      </c>
      <c r="AX582" s="29">
        <f t="shared" si="570"/>
        <v>0</v>
      </c>
      <c r="AY582" s="32" t="s">
        <v>2921</v>
      </c>
      <c r="AZ582" s="32" t="s">
        <v>2945</v>
      </c>
      <c r="BA582" s="28" t="s">
        <v>2957</v>
      </c>
      <c r="BC582" s="29">
        <f t="shared" si="571"/>
        <v>0</v>
      </c>
      <c r="BD582" s="29">
        <f t="shared" si="572"/>
        <v>0</v>
      </c>
      <c r="BE582" s="29">
        <v>0</v>
      </c>
      <c r="BF582" s="29">
        <f>582</f>
        <v>582</v>
      </c>
      <c r="BH582" s="15">
        <f t="shared" si="573"/>
        <v>0</v>
      </c>
      <c r="BI582" s="15">
        <f t="shared" si="574"/>
        <v>0</v>
      </c>
      <c r="BJ582" s="15">
        <f t="shared" si="575"/>
        <v>0</v>
      </c>
      <c r="BK582" s="15" t="s">
        <v>2969</v>
      </c>
      <c r="BL582" s="29">
        <v>767</v>
      </c>
    </row>
    <row r="583" spans="1:64" ht="12.75">
      <c r="A583" s="4" t="s">
        <v>535</v>
      </c>
      <c r="B583" s="94" t="s">
        <v>1530</v>
      </c>
      <c r="C583" s="152" t="s">
        <v>2467</v>
      </c>
      <c r="D583" s="153"/>
      <c r="E583" s="153"/>
      <c r="F583" s="153"/>
      <c r="G583" s="94" t="s">
        <v>2850</v>
      </c>
      <c r="H583" s="73">
        <v>1</v>
      </c>
      <c r="I583" s="105">
        <v>0</v>
      </c>
      <c r="J583" s="15">
        <f t="shared" si="554"/>
        <v>0</v>
      </c>
      <c r="K583" s="15">
        <f t="shared" si="555"/>
        <v>0</v>
      </c>
      <c r="L583" s="15">
        <f t="shared" si="556"/>
        <v>0</v>
      </c>
      <c r="M583" s="25" t="s">
        <v>2872</v>
      </c>
      <c r="N583" s="5"/>
      <c r="Z583" s="29">
        <f t="shared" si="557"/>
        <v>0</v>
      </c>
      <c r="AB583" s="29">
        <f t="shared" si="558"/>
        <v>0</v>
      </c>
      <c r="AC583" s="29">
        <f t="shared" si="559"/>
        <v>0</v>
      </c>
      <c r="AD583" s="29">
        <f t="shared" si="560"/>
        <v>0</v>
      </c>
      <c r="AE583" s="29">
        <f t="shared" si="561"/>
        <v>0</v>
      </c>
      <c r="AF583" s="29">
        <f t="shared" si="562"/>
        <v>0</v>
      </c>
      <c r="AG583" s="29">
        <f t="shared" si="563"/>
        <v>0</v>
      </c>
      <c r="AH583" s="29">
        <f t="shared" si="564"/>
        <v>0</v>
      </c>
      <c r="AI583" s="28" t="s">
        <v>2882</v>
      </c>
      <c r="AJ583" s="15">
        <f t="shared" si="565"/>
        <v>0</v>
      </c>
      <c r="AK583" s="15">
        <f t="shared" si="566"/>
        <v>0</v>
      </c>
      <c r="AL583" s="15">
        <f t="shared" si="567"/>
        <v>0</v>
      </c>
      <c r="AN583" s="29">
        <v>15</v>
      </c>
      <c r="AO583" s="29">
        <f t="shared" si="576"/>
        <v>0</v>
      </c>
      <c r="AP583" s="29">
        <f t="shared" si="577"/>
        <v>0</v>
      </c>
      <c r="AQ583" s="30" t="s">
        <v>13</v>
      </c>
      <c r="AV583" s="29">
        <f t="shared" si="568"/>
        <v>0</v>
      </c>
      <c r="AW583" s="29">
        <f t="shared" si="569"/>
        <v>0</v>
      </c>
      <c r="AX583" s="29">
        <f t="shared" si="570"/>
        <v>0</v>
      </c>
      <c r="AY583" s="32" t="s">
        <v>2921</v>
      </c>
      <c r="AZ583" s="32" t="s">
        <v>2945</v>
      </c>
      <c r="BA583" s="28" t="s">
        <v>2957</v>
      </c>
      <c r="BC583" s="29">
        <f t="shared" si="571"/>
        <v>0</v>
      </c>
      <c r="BD583" s="29">
        <f t="shared" si="572"/>
        <v>0</v>
      </c>
      <c r="BE583" s="29">
        <v>0</v>
      </c>
      <c r="BF583" s="29">
        <f>583</f>
        <v>583</v>
      </c>
      <c r="BH583" s="15">
        <f t="shared" si="573"/>
        <v>0</v>
      </c>
      <c r="BI583" s="15">
        <f t="shared" si="574"/>
        <v>0</v>
      </c>
      <c r="BJ583" s="15">
        <f t="shared" si="575"/>
        <v>0</v>
      </c>
      <c r="BK583" s="15" t="s">
        <v>2969</v>
      </c>
      <c r="BL583" s="29">
        <v>767</v>
      </c>
    </row>
    <row r="584" spans="1:64" ht="12.75">
      <c r="A584" s="4" t="s">
        <v>536</v>
      </c>
      <c r="B584" s="94" t="s">
        <v>1531</v>
      </c>
      <c r="C584" s="152" t="s">
        <v>2468</v>
      </c>
      <c r="D584" s="153"/>
      <c r="E584" s="153"/>
      <c r="F584" s="153"/>
      <c r="G584" s="94" t="s">
        <v>2850</v>
      </c>
      <c r="H584" s="73">
        <v>6</v>
      </c>
      <c r="I584" s="105">
        <v>0</v>
      </c>
      <c r="J584" s="15">
        <f t="shared" si="554"/>
        <v>0</v>
      </c>
      <c r="K584" s="15">
        <f t="shared" si="555"/>
        <v>0</v>
      </c>
      <c r="L584" s="15">
        <f t="shared" si="556"/>
        <v>0</v>
      </c>
      <c r="M584" s="25" t="s">
        <v>2872</v>
      </c>
      <c r="N584" s="5"/>
      <c r="Z584" s="29">
        <f t="shared" si="557"/>
        <v>0</v>
      </c>
      <c r="AB584" s="29">
        <f t="shared" si="558"/>
        <v>0</v>
      </c>
      <c r="AC584" s="29">
        <f t="shared" si="559"/>
        <v>0</v>
      </c>
      <c r="AD584" s="29">
        <f t="shared" si="560"/>
        <v>0</v>
      </c>
      <c r="AE584" s="29">
        <f t="shared" si="561"/>
        <v>0</v>
      </c>
      <c r="AF584" s="29">
        <f t="shared" si="562"/>
        <v>0</v>
      </c>
      <c r="AG584" s="29">
        <f t="shared" si="563"/>
        <v>0</v>
      </c>
      <c r="AH584" s="29">
        <f t="shared" si="564"/>
        <v>0</v>
      </c>
      <c r="AI584" s="28" t="s">
        <v>2882</v>
      </c>
      <c r="AJ584" s="15">
        <f t="shared" si="565"/>
        <v>0</v>
      </c>
      <c r="AK584" s="15">
        <f t="shared" si="566"/>
        <v>0</v>
      </c>
      <c r="AL584" s="15">
        <f t="shared" si="567"/>
        <v>0</v>
      </c>
      <c r="AN584" s="29">
        <v>15</v>
      </c>
      <c r="AO584" s="29">
        <f t="shared" si="576"/>
        <v>0</v>
      </c>
      <c r="AP584" s="29">
        <f t="shared" si="577"/>
        <v>0</v>
      </c>
      <c r="AQ584" s="30" t="s">
        <v>13</v>
      </c>
      <c r="AV584" s="29">
        <f t="shared" si="568"/>
        <v>0</v>
      </c>
      <c r="AW584" s="29">
        <f t="shared" si="569"/>
        <v>0</v>
      </c>
      <c r="AX584" s="29">
        <f t="shared" si="570"/>
        <v>0</v>
      </c>
      <c r="AY584" s="32" t="s">
        <v>2921</v>
      </c>
      <c r="AZ584" s="32" t="s">
        <v>2945</v>
      </c>
      <c r="BA584" s="28" t="s">
        <v>2957</v>
      </c>
      <c r="BC584" s="29">
        <f t="shared" si="571"/>
        <v>0</v>
      </c>
      <c r="BD584" s="29">
        <f t="shared" si="572"/>
        <v>0</v>
      </c>
      <c r="BE584" s="29">
        <v>0</v>
      </c>
      <c r="BF584" s="29">
        <f>584</f>
        <v>584</v>
      </c>
      <c r="BH584" s="15">
        <f t="shared" si="573"/>
        <v>0</v>
      </c>
      <c r="BI584" s="15">
        <f t="shared" si="574"/>
        <v>0</v>
      </c>
      <c r="BJ584" s="15">
        <f t="shared" si="575"/>
        <v>0</v>
      </c>
      <c r="BK584" s="15" t="s">
        <v>2969</v>
      </c>
      <c r="BL584" s="29">
        <v>767</v>
      </c>
    </row>
    <row r="585" spans="1:64" ht="12.75">
      <c r="A585" s="4" t="s">
        <v>537</v>
      </c>
      <c r="B585" s="94" t="s">
        <v>1532</v>
      </c>
      <c r="C585" s="152" t="s">
        <v>2469</v>
      </c>
      <c r="D585" s="153"/>
      <c r="E585" s="153"/>
      <c r="F585" s="153"/>
      <c r="G585" s="94" t="s">
        <v>2850</v>
      </c>
      <c r="H585" s="73">
        <v>6</v>
      </c>
      <c r="I585" s="105">
        <v>0</v>
      </c>
      <c r="J585" s="15">
        <f t="shared" si="554"/>
        <v>0</v>
      </c>
      <c r="K585" s="15">
        <f t="shared" si="555"/>
        <v>0</v>
      </c>
      <c r="L585" s="15">
        <f t="shared" si="556"/>
        <v>0</v>
      </c>
      <c r="M585" s="25" t="s">
        <v>2872</v>
      </c>
      <c r="N585" s="5"/>
      <c r="Z585" s="29">
        <f t="shared" si="557"/>
        <v>0</v>
      </c>
      <c r="AB585" s="29">
        <f t="shared" si="558"/>
        <v>0</v>
      </c>
      <c r="AC585" s="29">
        <f t="shared" si="559"/>
        <v>0</v>
      </c>
      <c r="AD585" s="29">
        <f t="shared" si="560"/>
        <v>0</v>
      </c>
      <c r="AE585" s="29">
        <f t="shared" si="561"/>
        <v>0</v>
      </c>
      <c r="AF585" s="29">
        <f t="shared" si="562"/>
        <v>0</v>
      </c>
      <c r="AG585" s="29">
        <f t="shared" si="563"/>
        <v>0</v>
      </c>
      <c r="AH585" s="29">
        <f t="shared" si="564"/>
        <v>0</v>
      </c>
      <c r="AI585" s="28" t="s">
        <v>2882</v>
      </c>
      <c r="AJ585" s="15">
        <f t="shared" si="565"/>
        <v>0</v>
      </c>
      <c r="AK585" s="15">
        <f t="shared" si="566"/>
        <v>0</v>
      </c>
      <c r="AL585" s="15">
        <f t="shared" si="567"/>
        <v>0</v>
      </c>
      <c r="AN585" s="29">
        <v>15</v>
      </c>
      <c r="AO585" s="29">
        <f t="shared" si="576"/>
        <v>0</v>
      </c>
      <c r="AP585" s="29">
        <f t="shared" si="577"/>
        <v>0</v>
      </c>
      <c r="AQ585" s="30" t="s">
        <v>13</v>
      </c>
      <c r="AV585" s="29">
        <f t="shared" si="568"/>
        <v>0</v>
      </c>
      <c r="AW585" s="29">
        <f t="shared" si="569"/>
        <v>0</v>
      </c>
      <c r="AX585" s="29">
        <f t="shared" si="570"/>
        <v>0</v>
      </c>
      <c r="AY585" s="32" t="s">
        <v>2921</v>
      </c>
      <c r="AZ585" s="32" t="s">
        <v>2945</v>
      </c>
      <c r="BA585" s="28" t="s">
        <v>2957</v>
      </c>
      <c r="BC585" s="29">
        <f t="shared" si="571"/>
        <v>0</v>
      </c>
      <c r="BD585" s="29">
        <f t="shared" si="572"/>
        <v>0</v>
      </c>
      <c r="BE585" s="29">
        <v>0</v>
      </c>
      <c r="BF585" s="29">
        <f>585</f>
        <v>585</v>
      </c>
      <c r="BH585" s="15">
        <f t="shared" si="573"/>
        <v>0</v>
      </c>
      <c r="BI585" s="15">
        <f t="shared" si="574"/>
        <v>0</v>
      </c>
      <c r="BJ585" s="15">
        <f t="shared" si="575"/>
        <v>0</v>
      </c>
      <c r="BK585" s="15" t="s">
        <v>2969</v>
      </c>
      <c r="BL585" s="29">
        <v>767</v>
      </c>
    </row>
    <row r="586" spans="1:64" ht="12.75">
      <c r="A586" s="4" t="s">
        <v>538</v>
      </c>
      <c r="B586" s="94" t="s">
        <v>1533</v>
      </c>
      <c r="C586" s="152" t="s">
        <v>2470</v>
      </c>
      <c r="D586" s="153"/>
      <c r="E586" s="153"/>
      <c r="F586" s="153"/>
      <c r="G586" s="94" t="s">
        <v>2850</v>
      </c>
      <c r="H586" s="73">
        <v>6</v>
      </c>
      <c r="I586" s="105">
        <v>0</v>
      </c>
      <c r="J586" s="15">
        <f t="shared" si="554"/>
        <v>0</v>
      </c>
      <c r="K586" s="15">
        <f t="shared" si="555"/>
        <v>0</v>
      </c>
      <c r="L586" s="15">
        <f t="shared" si="556"/>
        <v>0</v>
      </c>
      <c r="M586" s="25" t="s">
        <v>2872</v>
      </c>
      <c r="N586" s="5"/>
      <c r="Z586" s="29">
        <f t="shared" si="557"/>
        <v>0</v>
      </c>
      <c r="AB586" s="29">
        <f t="shared" si="558"/>
        <v>0</v>
      </c>
      <c r="AC586" s="29">
        <f t="shared" si="559"/>
        <v>0</v>
      </c>
      <c r="AD586" s="29">
        <f t="shared" si="560"/>
        <v>0</v>
      </c>
      <c r="AE586" s="29">
        <f t="shared" si="561"/>
        <v>0</v>
      </c>
      <c r="AF586" s="29">
        <f t="shared" si="562"/>
        <v>0</v>
      </c>
      <c r="AG586" s="29">
        <f t="shared" si="563"/>
        <v>0</v>
      </c>
      <c r="AH586" s="29">
        <f t="shared" si="564"/>
        <v>0</v>
      </c>
      <c r="AI586" s="28" t="s">
        <v>2882</v>
      </c>
      <c r="AJ586" s="15">
        <f t="shared" si="565"/>
        <v>0</v>
      </c>
      <c r="AK586" s="15">
        <f t="shared" si="566"/>
        <v>0</v>
      </c>
      <c r="AL586" s="15">
        <f t="shared" si="567"/>
        <v>0</v>
      </c>
      <c r="AN586" s="29">
        <v>15</v>
      </c>
      <c r="AO586" s="29">
        <f t="shared" si="576"/>
        <v>0</v>
      </c>
      <c r="AP586" s="29">
        <f t="shared" si="577"/>
        <v>0</v>
      </c>
      <c r="AQ586" s="30" t="s">
        <v>13</v>
      </c>
      <c r="AV586" s="29">
        <f t="shared" si="568"/>
        <v>0</v>
      </c>
      <c r="AW586" s="29">
        <f t="shared" si="569"/>
        <v>0</v>
      </c>
      <c r="AX586" s="29">
        <f t="shared" si="570"/>
        <v>0</v>
      </c>
      <c r="AY586" s="32" t="s">
        <v>2921</v>
      </c>
      <c r="AZ586" s="32" t="s">
        <v>2945</v>
      </c>
      <c r="BA586" s="28" t="s">
        <v>2957</v>
      </c>
      <c r="BC586" s="29">
        <f t="shared" si="571"/>
        <v>0</v>
      </c>
      <c r="BD586" s="29">
        <f t="shared" si="572"/>
        <v>0</v>
      </c>
      <c r="BE586" s="29">
        <v>0</v>
      </c>
      <c r="BF586" s="29">
        <f>586</f>
        <v>586</v>
      </c>
      <c r="BH586" s="15">
        <f t="shared" si="573"/>
        <v>0</v>
      </c>
      <c r="BI586" s="15">
        <f t="shared" si="574"/>
        <v>0</v>
      </c>
      <c r="BJ586" s="15">
        <f t="shared" si="575"/>
        <v>0</v>
      </c>
      <c r="BK586" s="15" t="s">
        <v>2969</v>
      </c>
      <c r="BL586" s="29">
        <v>767</v>
      </c>
    </row>
    <row r="587" spans="1:64" ht="12.75">
      <c r="A587" s="4" t="s">
        <v>539</v>
      </c>
      <c r="B587" s="94" t="s">
        <v>1534</v>
      </c>
      <c r="C587" s="152" t="s">
        <v>2471</v>
      </c>
      <c r="D587" s="153"/>
      <c r="E587" s="153"/>
      <c r="F587" s="153"/>
      <c r="G587" s="94" t="s">
        <v>2850</v>
      </c>
      <c r="H587" s="73">
        <v>6</v>
      </c>
      <c r="I587" s="105">
        <v>0</v>
      </c>
      <c r="J587" s="15">
        <f t="shared" si="554"/>
        <v>0</v>
      </c>
      <c r="K587" s="15">
        <f t="shared" si="555"/>
        <v>0</v>
      </c>
      <c r="L587" s="15">
        <f t="shared" si="556"/>
        <v>0</v>
      </c>
      <c r="M587" s="25" t="s">
        <v>2872</v>
      </c>
      <c r="N587" s="5"/>
      <c r="Z587" s="29">
        <f t="shared" si="557"/>
        <v>0</v>
      </c>
      <c r="AB587" s="29">
        <f t="shared" si="558"/>
        <v>0</v>
      </c>
      <c r="AC587" s="29">
        <f t="shared" si="559"/>
        <v>0</v>
      </c>
      <c r="AD587" s="29">
        <f t="shared" si="560"/>
        <v>0</v>
      </c>
      <c r="AE587" s="29">
        <f t="shared" si="561"/>
        <v>0</v>
      </c>
      <c r="AF587" s="29">
        <f t="shared" si="562"/>
        <v>0</v>
      </c>
      <c r="AG587" s="29">
        <f t="shared" si="563"/>
        <v>0</v>
      </c>
      <c r="AH587" s="29">
        <f t="shared" si="564"/>
        <v>0</v>
      </c>
      <c r="AI587" s="28" t="s">
        <v>2882</v>
      </c>
      <c r="AJ587" s="15">
        <f t="shared" si="565"/>
        <v>0</v>
      </c>
      <c r="AK587" s="15">
        <f t="shared" si="566"/>
        <v>0</v>
      </c>
      <c r="AL587" s="15">
        <f t="shared" si="567"/>
        <v>0</v>
      </c>
      <c r="AN587" s="29">
        <v>15</v>
      </c>
      <c r="AO587" s="29">
        <f t="shared" si="576"/>
        <v>0</v>
      </c>
      <c r="AP587" s="29">
        <f t="shared" si="577"/>
        <v>0</v>
      </c>
      <c r="AQ587" s="30" t="s">
        <v>13</v>
      </c>
      <c r="AV587" s="29">
        <f t="shared" si="568"/>
        <v>0</v>
      </c>
      <c r="AW587" s="29">
        <f t="shared" si="569"/>
        <v>0</v>
      </c>
      <c r="AX587" s="29">
        <f t="shared" si="570"/>
        <v>0</v>
      </c>
      <c r="AY587" s="32" t="s">
        <v>2921</v>
      </c>
      <c r="AZ587" s="32" t="s">
        <v>2945</v>
      </c>
      <c r="BA587" s="28" t="s">
        <v>2957</v>
      </c>
      <c r="BC587" s="29">
        <f t="shared" si="571"/>
        <v>0</v>
      </c>
      <c r="BD587" s="29">
        <f t="shared" si="572"/>
        <v>0</v>
      </c>
      <c r="BE587" s="29">
        <v>0</v>
      </c>
      <c r="BF587" s="29">
        <f>587</f>
        <v>587</v>
      </c>
      <c r="BH587" s="15">
        <f t="shared" si="573"/>
        <v>0</v>
      </c>
      <c r="BI587" s="15">
        <f t="shared" si="574"/>
        <v>0</v>
      </c>
      <c r="BJ587" s="15">
        <f t="shared" si="575"/>
        <v>0</v>
      </c>
      <c r="BK587" s="15" t="s">
        <v>2969</v>
      </c>
      <c r="BL587" s="29">
        <v>767</v>
      </c>
    </row>
    <row r="588" spans="1:64" ht="12.75">
      <c r="A588" s="4" t="s">
        <v>540</v>
      </c>
      <c r="B588" s="94" t="s">
        <v>1535</v>
      </c>
      <c r="C588" s="152" t="s">
        <v>2472</v>
      </c>
      <c r="D588" s="153"/>
      <c r="E588" s="153"/>
      <c r="F588" s="153"/>
      <c r="G588" s="94" t="s">
        <v>2850</v>
      </c>
      <c r="H588" s="73">
        <v>6</v>
      </c>
      <c r="I588" s="105">
        <v>0</v>
      </c>
      <c r="J588" s="15">
        <f t="shared" si="554"/>
        <v>0</v>
      </c>
      <c r="K588" s="15">
        <f t="shared" si="555"/>
        <v>0</v>
      </c>
      <c r="L588" s="15">
        <f t="shared" si="556"/>
        <v>0</v>
      </c>
      <c r="M588" s="25" t="s">
        <v>2872</v>
      </c>
      <c r="N588" s="5"/>
      <c r="Z588" s="29">
        <f t="shared" si="557"/>
        <v>0</v>
      </c>
      <c r="AB588" s="29">
        <f t="shared" si="558"/>
        <v>0</v>
      </c>
      <c r="AC588" s="29">
        <f t="shared" si="559"/>
        <v>0</v>
      </c>
      <c r="AD588" s="29">
        <f t="shared" si="560"/>
        <v>0</v>
      </c>
      <c r="AE588" s="29">
        <f t="shared" si="561"/>
        <v>0</v>
      </c>
      <c r="AF588" s="29">
        <f t="shared" si="562"/>
        <v>0</v>
      </c>
      <c r="AG588" s="29">
        <f t="shared" si="563"/>
        <v>0</v>
      </c>
      <c r="AH588" s="29">
        <f t="shared" si="564"/>
        <v>0</v>
      </c>
      <c r="AI588" s="28" t="s">
        <v>2882</v>
      </c>
      <c r="AJ588" s="15">
        <f t="shared" si="565"/>
        <v>0</v>
      </c>
      <c r="AK588" s="15">
        <f t="shared" si="566"/>
        <v>0</v>
      </c>
      <c r="AL588" s="15">
        <f t="shared" si="567"/>
        <v>0</v>
      </c>
      <c r="AN588" s="29">
        <v>15</v>
      </c>
      <c r="AO588" s="29">
        <f t="shared" si="576"/>
        <v>0</v>
      </c>
      <c r="AP588" s="29">
        <f t="shared" si="577"/>
        <v>0</v>
      </c>
      <c r="AQ588" s="30" t="s">
        <v>13</v>
      </c>
      <c r="AV588" s="29">
        <f t="shared" si="568"/>
        <v>0</v>
      </c>
      <c r="AW588" s="29">
        <f t="shared" si="569"/>
        <v>0</v>
      </c>
      <c r="AX588" s="29">
        <f t="shared" si="570"/>
        <v>0</v>
      </c>
      <c r="AY588" s="32" t="s">
        <v>2921</v>
      </c>
      <c r="AZ588" s="32" t="s">
        <v>2945</v>
      </c>
      <c r="BA588" s="28" t="s">
        <v>2957</v>
      </c>
      <c r="BC588" s="29">
        <f t="shared" si="571"/>
        <v>0</v>
      </c>
      <c r="BD588" s="29">
        <f t="shared" si="572"/>
        <v>0</v>
      </c>
      <c r="BE588" s="29">
        <v>0</v>
      </c>
      <c r="BF588" s="29">
        <f>588</f>
        <v>588</v>
      </c>
      <c r="BH588" s="15">
        <f t="shared" si="573"/>
        <v>0</v>
      </c>
      <c r="BI588" s="15">
        <f t="shared" si="574"/>
        <v>0</v>
      </c>
      <c r="BJ588" s="15">
        <f t="shared" si="575"/>
        <v>0</v>
      </c>
      <c r="BK588" s="15" t="s">
        <v>2969</v>
      </c>
      <c r="BL588" s="29">
        <v>767</v>
      </c>
    </row>
    <row r="589" spans="1:64" ht="12.75">
      <c r="A589" s="4" t="s">
        <v>541</v>
      </c>
      <c r="B589" s="94" t="s">
        <v>1536</v>
      </c>
      <c r="C589" s="152" t="s">
        <v>2473</v>
      </c>
      <c r="D589" s="153"/>
      <c r="E589" s="153"/>
      <c r="F589" s="153"/>
      <c r="G589" s="94" t="s">
        <v>2850</v>
      </c>
      <c r="H589" s="73">
        <v>2</v>
      </c>
      <c r="I589" s="105">
        <v>0</v>
      </c>
      <c r="J589" s="15">
        <f t="shared" si="554"/>
        <v>0</v>
      </c>
      <c r="K589" s="15">
        <f t="shared" si="555"/>
        <v>0</v>
      </c>
      <c r="L589" s="15">
        <f t="shared" si="556"/>
        <v>0</v>
      </c>
      <c r="M589" s="25" t="s">
        <v>2872</v>
      </c>
      <c r="N589" s="5"/>
      <c r="Z589" s="29">
        <f t="shared" si="557"/>
        <v>0</v>
      </c>
      <c r="AB589" s="29">
        <f t="shared" si="558"/>
        <v>0</v>
      </c>
      <c r="AC589" s="29">
        <f t="shared" si="559"/>
        <v>0</v>
      </c>
      <c r="AD589" s="29">
        <f t="shared" si="560"/>
        <v>0</v>
      </c>
      <c r="AE589" s="29">
        <f t="shared" si="561"/>
        <v>0</v>
      </c>
      <c r="AF589" s="29">
        <f t="shared" si="562"/>
        <v>0</v>
      </c>
      <c r="AG589" s="29">
        <f t="shared" si="563"/>
        <v>0</v>
      </c>
      <c r="AH589" s="29">
        <f t="shared" si="564"/>
        <v>0</v>
      </c>
      <c r="AI589" s="28" t="s">
        <v>2882</v>
      </c>
      <c r="AJ589" s="15">
        <f t="shared" si="565"/>
        <v>0</v>
      </c>
      <c r="AK589" s="15">
        <f t="shared" si="566"/>
        <v>0</v>
      </c>
      <c r="AL589" s="15">
        <f t="shared" si="567"/>
        <v>0</v>
      </c>
      <c r="AN589" s="29">
        <v>15</v>
      </c>
      <c r="AO589" s="29">
        <f t="shared" si="576"/>
        <v>0</v>
      </c>
      <c r="AP589" s="29">
        <f t="shared" si="577"/>
        <v>0</v>
      </c>
      <c r="AQ589" s="30" t="s">
        <v>13</v>
      </c>
      <c r="AV589" s="29">
        <f t="shared" si="568"/>
        <v>0</v>
      </c>
      <c r="AW589" s="29">
        <f t="shared" si="569"/>
        <v>0</v>
      </c>
      <c r="AX589" s="29">
        <f t="shared" si="570"/>
        <v>0</v>
      </c>
      <c r="AY589" s="32" t="s">
        <v>2921</v>
      </c>
      <c r="AZ589" s="32" t="s">
        <v>2945</v>
      </c>
      <c r="BA589" s="28" t="s">
        <v>2957</v>
      </c>
      <c r="BC589" s="29">
        <f t="shared" si="571"/>
        <v>0</v>
      </c>
      <c r="BD589" s="29">
        <f t="shared" si="572"/>
        <v>0</v>
      </c>
      <c r="BE589" s="29">
        <v>0</v>
      </c>
      <c r="BF589" s="29">
        <f>589</f>
        <v>589</v>
      </c>
      <c r="BH589" s="15">
        <f t="shared" si="573"/>
        <v>0</v>
      </c>
      <c r="BI589" s="15">
        <f t="shared" si="574"/>
        <v>0</v>
      </c>
      <c r="BJ589" s="15">
        <f t="shared" si="575"/>
        <v>0</v>
      </c>
      <c r="BK589" s="15" t="s">
        <v>2969</v>
      </c>
      <c r="BL589" s="29">
        <v>767</v>
      </c>
    </row>
    <row r="590" spans="1:64" ht="12.75">
      <c r="A590" s="4" t="s">
        <v>542</v>
      </c>
      <c r="B590" s="94" t="s">
        <v>1537</v>
      </c>
      <c r="C590" s="152" t="s">
        <v>2474</v>
      </c>
      <c r="D590" s="153"/>
      <c r="E590" s="153"/>
      <c r="F590" s="153"/>
      <c r="G590" s="94" t="s">
        <v>2850</v>
      </c>
      <c r="H590" s="73">
        <v>1</v>
      </c>
      <c r="I590" s="105">
        <v>0</v>
      </c>
      <c r="J590" s="15">
        <f t="shared" si="554"/>
        <v>0</v>
      </c>
      <c r="K590" s="15">
        <f t="shared" si="555"/>
        <v>0</v>
      </c>
      <c r="L590" s="15">
        <f t="shared" si="556"/>
        <v>0</v>
      </c>
      <c r="M590" s="25" t="s">
        <v>2872</v>
      </c>
      <c r="N590" s="5"/>
      <c r="Z590" s="29">
        <f t="shared" si="557"/>
        <v>0</v>
      </c>
      <c r="AB590" s="29">
        <f t="shared" si="558"/>
        <v>0</v>
      </c>
      <c r="AC590" s="29">
        <f t="shared" si="559"/>
        <v>0</v>
      </c>
      <c r="AD590" s="29">
        <f t="shared" si="560"/>
        <v>0</v>
      </c>
      <c r="AE590" s="29">
        <f t="shared" si="561"/>
        <v>0</v>
      </c>
      <c r="AF590" s="29">
        <f t="shared" si="562"/>
        <v>0</v>
      </c>
      <c r="AG590" s="29">
        <f t="shared" si="563"/>
        <v>0</v>
      </c>
      <c r="AH590" s="29">
        <f t="shared" si="564"/>
        <v>0</v>
      </c>
      <c r="AI590" s="28" t="s">
        <v>2882</v>
      </c>
      <c r="AJ590" s="15">
        <f t="shared" si="565"/>
        <v>0</v>
      </c>
      <c r="AK590" s="15">
        <f t="shared" si="566"/>
        <v>0</v>
      </c>
      <c r="AL590" s="15">
        <f t="shared" si="567"/>
        <v>0</v>
      </c>
      <c r="AN590" s="29">
        <v>15</v>
      </c>
      <c r="AO590" s="29">
        <f t="shared" si="576"/>
        <v>0</v>
      </c>
      <c r="AP590" s="29">
        <f t="shared" si="577"/>
        <v>0</v>
      </c>
      <c r="AQ590" s="30" t="s">
        <v>13</v>
      </c>
      <c r="AV590" s="29">
        <f t="shared" si="568"/>
        <v>0</v>
      </c>
      <c r="AW590" s="29">
        <f t="shared" si="569"/>
        <v>0</v>
      </c>
      <c r="AX590" s="29">
        <f t="shared" si="570"/>
        <v>0</v>
      </c>
      <c r="AY590" s="32" t="s">
        <v>2921</v>
      </c>
      <c r="AZ590" s="32" t="s">
        <v>2945</v>
      </c>
      <c r="BA590" s="28" t="s">
        <v>2957</v>
      </c>
      <c r="BC590" s="29">
        <f t="shared" si="571"/>
        <v>0</v>
      </c>
      <c r="BD590" s="29">
        <f t="shared" si="572"/>
        <v>0</v>
      </c>
      <c r="BE590" s="29">
        <v>0</v>
      </c>
      <c r="BF590" s="29">
        <f>590</f>
        <v>590</v>
      </c>
      <c r="BH590" s="15">
        <f t="shared" si="573"/>
        <v>0</v>
      </c>
      <c r="BI590" s="15">
        <f t="shared" si="574"/>
        <v>0</v>
      </c>
      <c r="BJ590" s="15">
        <f t="shared" si="575"/>
        <v>0</v>
      </c>
      <c r="BK590" s="15" t="s">
        <v>2969</v>
      </c>
      <c r="BL590" s="29">
        <v>767</v>
      </c>
    </row>
    <row r="591" spans="1:64" ht="12.75">
      <c r="A591" s="4" t="s">
        <v>543</v>
      </c>
      <c r="B591" s="94" t="s">
        <v>1538</v>
      </c>
      <c r="C591" s="152" t="s">
        <v>2475</v>
      </c>
      <c r="D591" s="153"/>
      <c r="E591" s="153"/>
      <c r="F591" s="153"/>
      <c r="G591" s="94" t="s">
        <v>2850</v>
      </c>
      <c r="H591" s="73">
        <v>29</v>
      </c>
      <c r="I591" s="105">
        <v>0</v>
      </c>
      <c r="J591" s="15">
        <f t="shared" si="554"/>
        <v>0</v>
      </c>
      <c r="K591" s="15">
        <f t="shared" si="555"/>
        <v>0</v>
      </c>
      <c r="L591" s="15">
        <f t="shared" si="556"/>
        <v>0</v>
      </c>
      <c r="M591" s="25" t="s">
        <v>2872</v>
      </c>
      <c r="N591" s="5"/>
      <c r="Z591" s="29">
        <f t="shared" si="557"/>
        <v>0</v>
      </c>
      <c r="AB591" s="29">
        <f t="shared" si="558"/>
        <v>0</v>
      </c>
      <c r="AC591" s="29">
        <f t="shared" si="559"/>
        <v>0</v>
      </c>
      <c r="AD591" s="29">
        <f t="shared" si="560"/>
        <v>0</v>
      </c>
      <c r="AE591" s="29">
        <f t="shared" si="561"/>
        <v>0</v>
      </c>
      <c r="AF591" s="29">
        <f t="shared" si="562"/>
        <v>0</v>
      </c>
      <c r="AG591" s="29">
        <f t="shared" si="563"/>
        <v>0</v>
      </c>
      <c r="AH591" s="29">
        <f t="shared" si="564"/>
        <v>0</v>
      </c>
      <c r="AI591" s="28" t="s">
        <v>2882</v>
      </c>
      <c r="AJ591" s="15">
        <f t="shared" si="565"/>
        <v>0</v>
      </c>
      <c r="AK591" s="15">
        <f t="shared" si="566"/>
        <v>0</v>
      </c>
      <c r="AL591" s="15">
        <f t="shared" si="567"/>
        <v>0</v>
      </c>
      <c r="AN591" s="29">
        <v>15</v>
      </c>
      <c r="AO591" s="29">
        <f t="shared" si="576"/>
        <v>0</v>
      </c>
      <c r="AP591" s="29">
        <f t="shared" si="577"/>
        <v>0</v>
      </c>
      <c r="AQ591" s="30" t="s">
        <v>13</v>
      </c>
      <c r="AV591" s="29">
        <f t="shared" si="568"/>
        <v>0</v>
      </c>
      <c r="AW591" s="29">
        <f t="shared" si="569"/>
        <v>0</v>
      </c>
      <c r="AX591" s="29">
        <f t="shared" si="570"/>
        <v>0</v>
      </c>
      <c r="AY591" s="32" t="s">
        <v>2921</v>
      </c>
      <c r="AZ591" s="32" t="s">
        <v>2945</v>
      </c>
      <c r="BA591" s="28" t="s">
        <v>2957</v>
      </c>
      <c r="BC591" s="29">
        <f t="shared" si="571"/>
        <v>0</v>
      </c>
      <c r="BD591" s="29">
        <f t="shared" si="572"/>
        <v>0</v>
      </c>
      <c r="BE591" s="29">
        <v>0</v>
      </c>
      <c r="BF591" s="29">
        <f>591</f>
        <v>591</v>
      </c>
      <c r="BH591" s="15">
        <f t="shared" si="573"/>
        <v>0</v>
      </c>
      <c r="BI591" s="15">
        <f t="shared" si="574"/>
        <v>0</v>
      </c>
      <c r="BJ591" s="15">
        <f t="shared" si="575"/>
        <v>0</v>
      </c>
      <c r="BK591" s="15" t="s">
        <v>2969</v>
      </c>
      <c r="BL591" s="29">
        <v>767</v>
      </c>
    </row>
    <row r="592" spans="1:64" ht="12.75">
      <c r="A592" s="4" t="s">
        <v>544</v>
      </c>
      <c r="B592" s="94" t="s">
        <v>1539</v>
      </c>
      <c r="C592" s="152" t="s">
        <v>2476</v>
      </c>
      <c r="D592" s="153"/>
      <c r="E592" s="153"/>
      <c r="F592" s="153"/>
      <c r="G592" s="94" t="s">
        <v>2848</v>
      </c>
      <c r="H592" s="73">
        <v>9.588</v>
      </c>
      <c r="I592" s="105">
        <v>0</v>
      </c>
      <c r="J592" s="15">
        <f t="shared" si="554"/>
        <v>0</v>
      </c>
      <c r="K592" s="15">
        <f t="shared" si="555"/>
        <v>0</v>
      </c>
      <c r="L592" s="15">
        <f t="shared" si="556"/>
        <v>0</v>
      </c>
      <c r="M592" s="25" t="s">
        <v>2872</v>
      </c>
      <c r="N592" s="5"/>
      <c r="Z592" s="29">
        <f t="shared" si="557"/>
        <v>0</v>
      </c>
      <c r="AB592" s="29">
        <f t="shared" si="558"/>
        <v>0</v>
      </c>
      <c r="AC592" s="29">
        <f t="shared" si="559"/>
        <v>0</v>
      </c>
      <c r="AD592" s="29">
        <f t="shared" si="560"/>
        <v>0</v>
      </c>
      <c r="AE592" s="29">
        <f t="shared" si="561"/>
        <v>0</v>
      </c>
      <c r="AF592" s="29">
        <f t="shared" si="562"/>
        <v>0</v>
      </c>
      <c r="AG592" s="29">
        <f t="shared" si="563"/>
        <v>0</v>
      </c>
      <c r="AH592" s="29">
        <f t="shared" si="564"/>
        <v>0</v>
      </c>
      <c r="AI592" s="28" t="s">
        <v>2882</v>
      </c>
      <c r="AJ592" s="15">
        <f t="shared" si="565"/>
        <v>0</v>
      </c>
      <c r="AK592" s="15">
        <f t="shared" si="566"/>
        <v>0</v>
      </c>
      <c r="AL592" s="15">
        <f t="shared" si="567"/>
        <v>0</v>
      </c>
      <c r="AN592" s="29">
        <v>15</v>
      </c>
      <c r="AO592" s="29">
        <f>I592*0</f>
        <v>0</v>
      </c>
      <c r="AP592" s="29">
        <f>I592*(1-0)</f>
        <v>0</v>
      </c>
      <c r="AQ592" s="30" t="s">
        <v>11</v>
      </c>
      <c r="AV592" s="29">
        <f t="shared" si="568"/>
        <v>0</v>
      </c>
      <c r="AW592" s="29">
        <f t="shared" si="569"/>
        <v>0</v>
      </c>
      <c r="AX592" s="29">
        <f t="shared" si="570"/>
        <v>0</v>
      </c>
      <c r="AY592" s="32" t="s">
        <v>2921</v>
      </c>
      <c r="AZ592" s="32" t="s">
        <v>2945</v>
      </c>
      <c r="BA592" s="28" t="s">
        <v>2957</v>
      </c>
      <c r="BC592" s="29">
        <f t="shared" si="571"/>
        <v>0</v>
      </c>
      <c r="BD592" s="29">
        <f t="shared" si="572"/>
        <v>0</v>
      </c>
      <c r="BE592" s="29">
        <v>0</v>
      </c>
      <c r="BF592" s="29">
        <f>592</f>
        <v>592</v>
      </c>
      <c r="BH592" s="15">
        <f t="shared" si="573"/>
        <v>0</v>
      </c>
      <c r="BI592" s="15">
        <f t="shared" si="574"/>
        <v>0</v>
      </c>
      <c r="BJ592" s="15">
        <f t="shared" si="575"/>
        <v>0</v>
      </c>
      <c r="BK592" s="15" t="s">
        <v>2969</v>
      </c>
      <c r="BL592" s="29">
        <v>767</v>
      </c>
    </row>
    <row r="593" spans="1:47" ht="12.75">
      <c r="A593" s="3"/>
      <c r="B593" s="97" t="s">
        <v>777</v>
      </c>
      <c r="C593" s="161" t="s">
        <v>2477</v>
      </c>
      <c r="D593" s="162"/>
      <c r="E593" s="162"/>
      <c r="F593" s="162"/>
      <c r="G593" s="13" t="s">
        <v>6</v>
      </c>
      <c r="H593" s="13" t="s">
        <v>6</v>
      </c>
      <c r="I593" s="13" t="s">
        <v>6</v>
      </c>
      <c r="J593" s="34">
        <f>SUM(J594:J607)</f>
        <v>0</v>
      </c>
      <c r="K593" s="34">
        <f>SUM(K594:K607)</f>
        <v>0</v>
      </c>
      <c r="L593" s="34">
        <f>SUM(L594:L607)</f>
        <v>0</v>
      </c>
      <c r="M593" s="24"/>
      <c r="N593" s="5"/>
      <c r="AI593" s="28" t="s">
        <v>2882</v>
      </c>
      <c r="AS593" s="34">
        <f>SUM(AJ594:AJ607)</f>
        <v>0</v>
      </c>
      <c r="AT593" s="34">
        <f>SUM(AK594:AK607)</f>
        <v>0</v>
      </c>
      <c r="AU593" s="34">
        <f>SUM(AL594:AL607)</f>
        <v>0</v>
      </c>
    </row>
    <row r="594" spans="1:64" ht="12.75">
      <c r="A594" s="4" t="s">
        <v>545</v>
      </c>
      <c r="B594" s="94" t="s">
        <v>1540</v>
      </c>
      <c r="C594" s="152" t="s">
        <v>2478</v>
      </c>
      <c r="D594" s="153"/>
      <c r="E594" s="153"/>
      <c r="F594" s="153"/>
      <c r="G594" s="94" t="s">
        <v>2849</v>
      </c>
      <c r="H594" s="73">
        <v>64.49</v>
      </c>
      <c r="I594" s="105">
        <v>0</v>
      </c>
      <c r="J594" s="15">
        <f aca="true" t="shared" si="578" ref="J594:J607">H594*AO594</f>
        <v>0</v>
      </c>
      <c r="K594" s="15">
        <f aca="true" t="shared" si="579" ref="K594:K607">H594*AP594</f>
        <v>0</v>
      </c>
      <c r="L594" s="15">
        <f aca="true" t="shared" si="580" ref="L594:L607">H594*I594</f>
        <v>0</v>
      </c>
      <c r="M594" s="25" t="s">
        <v>2872</v>
      </c>
      <c r="N594" s="5"/>
      <c r="Z594" s="29">
        <f aca="true" t="shared" si="581" ref="Z594:Z607">IF(AQ594="5",BJ594,0)</f>
        <v>0</v>
      </c>
      <c r="AB594" s="29">
        <f aca="true" t="shared" si="582" ref="AB594:AB607">IF(AQ594="1",BH594,0)</f>
        <v>0</v>
      </c>
      <c r="AC594" s="29">
        <f aca="true" t="shared" si="583" ref="AC594:AC607">IF(AQ594="1",BI594,0)</f>
        <v>0</v>
      </c>
      <c r="AD594" s="29">
        <f aca="true" t="shared" si="584" ref="AD594:AD607">IF(AQ594="7",BH594,0)</f>
        <v>0</v>
      </c>
      <c r="AE594" s="29">
        <f aca="true" t="shared" si="585" ref="AE594:AE607">IF(AQ594="7",BI594,0)</f>
        <v>0</v>
      </c>
      <c r="AF594" s="29">
        <f aca="true" t="shared" si="586" ref="AF594:AF607">IF(AQ594="2",BH594,0)</f>
        <v>0</v>
      </c>
      <c r="AG594" s="29">
        <f aca="true" t="shared" si="587" ref="AG594:AG607">IF(AQ594="2",BI594,0)</f>
        <v>0</v>
      </c>
      <c r="AH594" s="29">
        <f aca="true" t="shared" si="588" ref="AH594:AH607">IF(AQ594="0",BJ594,0)</f>
        <v>0</v>
      </c>
      <c r="AI594" s="28" t="s">
        <v>2882</v>
      </c>
      <c r="AJ594" s="15">
        <f aca="true" t="shared" si="589" ref="AJ594:AJ607">IF(AN594=0,L594,0)</f>
        <v>0</v>
      </c>
      <c r="AK594" s="15">
        <f aca="true" t="shared" si="590" ref="AK594:AK607">IF(AN594=15,L594,0)</f>
        <v>0</v>
      </c>
      <c r="AL594" s="15">
        <f aca="true" t="shared" si="591" ref="AL594:AL607">IF(AN594=21,L594,0)</f>
        <v>0</v>
      </c>
      <c r="AN594" s="29">
        <v>15</v>
      </c>
      <c r="AO594" s="29">
        <f>I594*0</f>
        <v>0</v>
      </c>
      <c r="AP594" s="29">
        <f>I594*(1-0)</f>
        <v>0</v>
      </c>
      <c r="AQ594" s="30" t="s">
        <v>13</v>
      </c>
      <c r="AV594" s="29">
        <f aca="true" t="shared" si="592" ref="AV594:AV607">AW594+AX594</f>
        <v>0</v>
      </c>
      <c r="AW594" s="29">
        <f aca="true" t="shared" si="593" ref="AW594:AW607">H594*AO594</f>
        <v>0</v>
      </c>
      <c r="AX594" s="29">
        <f aca="true" t="shared" si="594" ref="AX594:AX607">H594*AP594</f>
        <v>0</v>
      </c>
      <c r="AY594" s="32" t="s">
        <v>2922</v>
      </c>
      <c r="AZ594" s="32" t="s">
        <v>2946</v>
      </c>
      <c r="BA594" s="28" t="s">
        <v>2957</v>
      </c>
      <c r="BC594" s="29">
        <f aca="true" t="shared" si="595" ref="BC594:BC607">AW594+AX594</f>
        <v>0</v>
      </c>
      <c r="BD594" s="29">
        <f aca="true" t="shared" si="596" ref="BD594:BD607">I594/(100-BE594)*100</f>
        <v>0</v>
      </c>
      <c r="BE594" s="29">
        <v>0</v>
      </c>
      <c r="BF594" s="29">
        <f>594</f>
        <v>594</v>
      </c>
      <c r="BH594" s="15">
        <f aca="true" t="shared" si="597" ref="BH594:BH607">H594*AO594</f>
        <v>0</v>
      </c>
      <c r="BI594" s="15">
        <f aca="true" t="shared" si="598" ref="BI594:BI607">H594*AP594</f>
        <v>0</v>
      </c>
      <c r="BJ594" s="15">
        <f aca="true" t="shared" si="599" ref="BJ594:BJ607">H594*I594</f>
        <v>0</v>
      </c>
      <c r="BK594" s="15" t="s">
        <v>2969</v>
      </c>
      <c r="BL594" s="29">
        <v>771</v>
      </c>
    </row>
    <row r="595" spans="1:64" ht="12.75">
      <c r="A595" s="4" t="s">
        <v>546</v>
      </c>
      <c r="B595" s="94" t="s">
        <v>1541</v>
      </c>
      <c r="C595" s="152" t="s">
        <v>2479</v>
      </c>
      <c r="D595" s="153"/>
      <c r="E595" s="153"/>
      <c r="F595" s="153"/>
      <c r="G595" s="94" t="s">
        <v>2849</v>
      </c>
      <c r="H595" s="73">
        <v>9.28</v>
      </c>
      <c r="I595" s="105">
        <v>0</v>
      </c>
      <c r="J595" s="15">
        <f t="shared" si="578"/>
        <v>0</v>
      </c>
      <c r="K595" s="15">
        <f t="shared" si="579"/>
        <v>0</v>
      </c>
      <c r="L595" s="15">
        <f t="shared" si="580"/>
        <v>0</v>
      </c>
      <c r="M595" s="25" t="s">
        <v>2872</v>
      </c>
      <c r="N595" s="5"/>
      <c r="Z595" s="29">
        <f t="shared" si="581"/>
        <v>0</v>
      </c>
      <c r="AB595" s="29">
        <f t="shared" si="582"/>
        <v>0</v>
      </c>
      <c r="AC595" s="29">
        <f t="shared" si="583"/>
        <v>0</v>
      </c>
      <c r="AD595" s="29">
        <f t="shared" si="584"/>
        <v>0</v>
      </c>
      <c r="AE595" s="29">
        <f t="shared" si="585"/>
        <v>0</v>
      </c>
      <c r="AF595" s="29">
        <f t="shared" si="586"/>
        <v>0</v>
      </c>
      <c r="AG595" s="29">
        <f t="shared" si="587"/>
        <v>0</v>
      </c>
      <c r="AH595" s="29">
        <f t="shared" si="588"/>
        <v>0</v>
      </c>
      <c r="AI595" s="28" t="s">
        <v>2882</v>
      </c>
      <c r="AJ595" s="15">
        <f t="shared" si="589"/>
        <v>0</v>
      </c>
      <c r="AK595" s="15">
        <f t="shared" si="590"/>
        <v>0</v>
      </c>
      <c r="AL595" s="15">
        <f t="shared" si="591"/>
        <v>0</v>
      </c>
      <c r="AN595" s="29">
        <v>15</v>
      </c>
      <c r="AO595" s="29">
        <f>I595*0</f>
        <v>0</v>
      </c>
      <c r="AP595" s="29">
        <f>I595*(1-0)</f>
        <v>0</v>
      </c>
      <c r="AQ595" s="30" t="s">
        <v>13</v>
      </c>
      <c r="AV595" s="29">
        <f t="shared" si="592"/>
        <v>0</v>
      </c>
      <c r="AW595" s="29">
        <f t="shared" si="593"/>
        <v>0</v>
      </c>
      <c r="AX595" s="29">
        <f t="shared" si="594"/>
        <v>0</v>
      </c>
      <c r="AY595" s="32" t="s">
        <v>2922</v>
      </c>
      <c r="AZ595" s="32" t="s">
        <v>2946</v>
      </c>
      <c r="BA595" s="28" t="s">
        <v>2957</v>
      </c>
      <c r="BC595" s="29">
        <f t="shared" si="595"/>
        <v>0</v>
      </c>
      <c r="BD595" s="29">
        <f t="shared" si="596"/>
        <v>0</v>
      </c>
      <c r="BE595" s="29">
        <v>0</v>
      </c>
      <c r="BF595" s="29">
        <f>595</f>
        <v>595</v>
      </c>
      <c r="BH595" s="15">
        <f t="shared" si="597"/>
        <v>0</v>
      </c>
      <c r="BI595" s="15">
        <f t="shared" si="598"/>
        <v>0</v>
      </c>
      <c r="BJ595" s="15">
        <f t="shared" si="599"/>
        <v>0</v>
      </c>
      <c r="BK595" s="15" t="s">
        <v>2969</v>
      </c>
      <c r="BL595" s="29">
        <v>771</v>
      </c>
    </row>
    <row r="596" spans="1:64" ht="12.75">
      <c r="A596" s="4" t="s">
        <v>547</v>
      </c>
      <c r="B596" s="94" t="s">
        <v>1542</v>
      </c>
      <c r="C596" s="152" t="s">
        <v>2480</v>
      </c>
      <c r="D596" s="153"/>
      <c r="E596" s="153"/>
      <c r="F596" s="153"/>
      <c r="G596" s="94" t="s">
        <v>2849</v>
      </c>
      <c r="H596" s="73">
        <v>75.254</v>
      </c>
      <c r="I596" s="105">
        <v>0</v>
      </c>
      <c r="J596" s="15">
        <f t="shared" si="578"/>
        <v>0</v>
      </c>
      <c r="K596" s="15">
        <f t="shared" si="579"/>
        <v>0</v>
      </c>
      <c r="L596" s="15">
        <f t="shared" si="580"/>
        <v>0</v>
      </c>
      <c r="M596" s="25" t="s">
        <v>2872</v>
      </c>
      <c r="N596" s="5"/>
      <c r="Z596" s="29">
        <f t="shared" si="581"/>
        <v>0</v>
      </c>
      <c r="AB596" s="29">
        <f t="shared" si="582"/>
        <v>0</v>
      </c>
      <c r="AC596" s="29">
        <f t="shared" si="583"/>
        <v>0</v>
      </c>
      <c r="AD596" s="29">
        <f t="shared" si="584"/>
        <v>0</v>
      </c>
      <c r="AE596" s="29">
        <f t="shared" si="585"/>
        <v>0</v>
      </c>
      <c r="AF596" s="29">
        <f t="shared" si="586"/>
        <v>0</v>
      </c>
      <c r="AG596" s="29">
        <f t="shared" si="587"/>
        <v>0</v>
      </c>
      <c r="AH596" s="29">
        <f t="shared" si="588"/>
        <v>0</v>
      </c>
      <c r="AI596" s="28" t="s">
        <v>2882</v>
      </c>
      <c r="AJ596" s="15">
        <f t="shared" si="589"/>
        <v>0</v>
      </c>
      <c r="AK596" s="15">
        <f t="shared" si="590"/>
        <v>0</v>
      </c>
      <c r="AL596" s="15">
        <f t="shared" si="591"/>
        <v>0</v>
      </c>
      <c r="AN596" s="29">
        <v>15</v>
      </c>
      <c r="AO596" s="29">
        <f>I596*0.496905805361035</f>
        <v>0</v>
      </c>
      <c r="AP596" s="29">
        <f>I596*(1-0.496905805361035)</f>
        <v>0</v>
      </c>
      <c r="AQ596" s="30" t="s">
        <v>13</v>
      </c>
      <c r="AV596" s="29">
        <f t="shared" si="592"/>
        <v>0</v>
      </c>
      <c r="AW596" s="29">
        <f t="shared" si="593"/>
        <v>0</v>
      </c>
      <c r="AX596" s="29">
        <f t="shared" si="594"/>
        <v>0</v>
      </c>
      <c r="AY596" s="32" t="s">
        <v>2922</v>
      </c>
      <c r="AZ596" s="32" t="s">
        <v>2946</v>
      </c>
      <c r="BA596" s="28" t="s">
        <v>2957</v>
      </c>
      <c r="BC596" s="29">
        <f t="shared" si="595"/>
        <v>0</v>
      </c>
      <c r="BD596" s="29">
        <f t="shared" si="596"/>
        <v>0</v>
      </c>
      <c r="BE596" s="29">
        <v>0</v>
      </c>
      <c r="BF596" s="29">
        <f>596</f>
        <v>596</v>
      </c>
      <c r="BH596" s="15">
        <f t="shared" si="597"/>
        <v>0</v>
      </c>
      <c r="BI596" s="15">
        <f t="shared" si="598"/>
        <v>0</v>
      </c>
      <c r="BJ596" s="15">
        <f t="shared" si="599"/>
        <v>0</v>
      </c>
      <c r="BK596" s="15" t="s">
        <v>2969</v>
      </c>
      <c r="BL596" s="29">
        <v>771</v>
      </c>
    </row>
    <row r="597" spans="1:64" ht="12.75">
      <c r="A597" s="4" t="s">
        <v>548</v>
      </c>
      <c r="B597" s="94" t="s">
        <v>1543</v>
      </c>
      <c r="C597" s="152" t="s">
        <v>2481</v>
      </c>
      <c r="D597" s="153"/>
      <c r="E597" s="153"/>
      <c r="F597" s="153"/>
      <c r="G597" s="94" t="s">
        <v>2849</v>
      </c>
      <c r="H597" s="73">
        <v>61.74</v>
      </c>
      <c r="I597" s="105">
        <v>0</v>
      </c>
      <c r="J597" s="15">
        <f t="shared" si="578"/>
        <v>0</v>
      </c>
      <c r="K597" s="15">
        <f t="shared" si="579"/>
        <v>0</v>
      </c>
      <c r="L597" s="15">
        <f t="shared" si="580"/>
        <v>0</v>
      </c>
      <c r="M597" s="25" t="s">
        <v>2872</v>
      </c>
      <c r="N597" s="5"/>
      <c r="Z597" s="29">
        <f t="shared" si="581"/>
        <v>0</v>
      </c>
      <c r="AB597" s="29">
        <f t="shared" si="582"/>
        <v>0</v>
      </c>
      <c r="AC597" s="29">
        <f t="shared" si="583"/>
        <v>0</v>
      </c>
      <c r="AD597" s="29">
        <f t="shared" si="584"/>
        <v>0</v>
      </c>
      <c r="AE597" s="29">
        <f t="shared" si="585"/>
        <v>0</v>
      </c>
      <c r="AF597" s="29">
        <f t="shared" si="586"/>
        <v>0</v>
      </c>
      <c r="AG597" s="29">
        <f t="shared" si="587"/>
        <v>0</v>
      </c>
      <c r="AH597" s="29">
        <f t="shared" si="588"/>
        <v>0</v>
      </c>
      <c r="AI597" s="28" t="s">
        <v>2882</v>
      </c>
      <c r="AJ597" s="15">
        <f t="shared" si="589"/>
        <v>0</v>
      </c>
      <c r="AK597" s="15">
        <f t="shared" si="590"/>
        <v>0</v>
      </c>
      <c r="AL597" s="15">
        <f t="shared" si="591"/>
        <v>0</v>
      </c>
      <c r="AN597" s="29">
        <v>15</v>
      </c>
      <c r="AO597" s="29">
        <f>I597*0</f>
        <v>0</v>
      </c>
      <c r="AP597" s="29">
        <f>I597*(1-0)</f>
        <v>0</v>
      </c>
      <c r="AQ597" s="30" t="s">
        <v>13</v>
      </c>
      <c r="AV597" s="29">
        <f t="shared" si="592"/>
        <v>0</v>
      </c>
      <c r="AW597" s="29">
        <f t="shared" si="593"/>
        <v>0</v>
      </c>
      <c r="AX597" s="29">
        <f t="shared" si="594"/>
        <v>0</v>
      </c>
      <c r="AY597" s="32" t="s">
        <v>2922</v>
      </c>
      <c r="AZ597" s="32" t="s">
        <v>2946</v>
      </c>
      <c r="BA597" s="28" t="s">
        <v>2957</v>
      </c>
      <c r="BC597" s="29">
        <f t="shared" si="595"/>
        <v>0</v>
      </c>
      <c r="BD597" s="29">
        <f t="shared" si="596"/>
        <v>0</v>
      </c>
      <c r="BE597" s="29">
        <v>0</v>
      </c>
      <c r="BF597" s="29">
        <f>597</f>
        <v>597</v>
      </c>
      <c r="BH597" s="15">
        <f t="shared" si="597"/>
        <v>0</v>
      </c>
      <c r="BI597" s="15">
        <f t="shared" si="598"/>
        <v>0</v>
      </c>
      <c r="BJ597" s="15">
        <f t="shared" si="599"/>
        <v>0</v>
      </c>
      <c r="BK597" s="15" t="s">
        <v>2969</v>
      </c>
      <c r="BL597" s="29">
        <v>771</v>
      </c>
    </row>
    <row r="598" spans="1:64" ht="12.75">
      <c r="A598" s="4" t="s">
        <v>549</v>
      </c>
      <c r="B598" s="94" t="s">
        <v>1544</v>
      </c>
      <c r="C598" s="152" t="s">
        <v>2482</v>
      </c>
      <c r="D598" s="153"/>
      <c r="E598" s="153"/>
      <c r="F598" s="153"/>
      <c r="G598" s="94" t="s">
        <v>2849</v>
      </c>
      <c r="H598" s="73">
        <v>13.514</v>
      </c>
      <c r="I598" s="105">
        <v>0</v>
      </c>
      <c r="J598" s="15">
        <f t="shared" si="578"/>
        <v>0</v>
      </c>
      <c r="K598" s="15">
        <f t="shared" si="579"/>
        <v>0</v>
      </c>
      <c r="L598" s="15">
        <f t="shared" si="580"/>
        <v>0</v>
      </c>
      <c r="M598" s="25" t="s">
        <v>2872</v>
      </c>
      <c r="N598" s="5"/>
      <c r="Z598" s="29">
        <f t="shared" si="581"/>
        <v>0</v>
      </c>
      <c r="AB598" s="29">
        <f t="shared" si="582"/>
        <v>0</v>
      </c>
      <c r="AC598" s="29">
        <f t="shared" si="583"/>
        <v>0</v>
      </c>
      <c r="AD598" s="29">
        <f t="shared" si="584"/>
        <v>0</v>
      </c>
      <c r="AE598" s="29">
        <f t="shared" si="585"/>
        <v>0</v>
      </c>
      <c r="AF598" s="29">
        <f t="shared" si="586"/>
        <v>0</v>
      </c>
      <c r="AG598" s="29">
        <f t="shared" si="587"/>
        <v>0</v>
      </c>
      <c r="AH598" s="29">
        <f t="shared" si="588"/>
        <v>0</v>
      </c>
      <c r="AI598" s="28" t="s">
        <v>2882</v>
      </c>
      <c r="AJ598" s="15">
        <f t="shared" si="589"/>
        <v>0</v>
      </c>
      <c r="AK598" s="15">
        <f t="shared" si="590"/>
        <v>0</v>
      </c>
      <c r="AL598" s="15">
        <f t="shared" si="591"/>
        <v>0</v>
      </c>
      <c r="AN598" s="29">
        <v>15</v>
      </c>
      <c r="AO598" s="29">
        <f>I598*0</f>
        <v>0</v>
      </c>
      <c r="AP598" s="29">
        <f>I598*(1-0)</f>
        <v>0</v>
      </c>
      <c r="AQ598" s="30" t="s">
        <v>13</v>
      </c>
      <c r="AV598" s="29">
        <f t="shared" si="592"/>
        <v>0</v>
      </c>
      <c r="AW598" s="29">
        <f t="shared" si="593"/>
        <v>0</v>
      </c>
      <c r="AX598" s="29">
        <f t="shared" si="594"/>
        <v>0</v>
      </c>
      <c r="AY598" s="32" t="s">
        <v>2922</v>
      </c>
      <c r="AZ598" s="32" t="s">
        <v>2946</v>
      </c>
      <c r="BA598" s="28" t="s">
        <v>2957</v>
      </c>
      <c r="BC598" s="29">
        <f t="shared" si="595"/>
        <v>0</v>
      </c>
      <c r="BD598" s="29">
        <f t="shared" si="596"/>
        <v>0</v>
      </c>
      <c r="BE598" s="29">
        <v>0</v>
      </c>
      <c r="BF598" s="29">
        <f>598</f>
        <v>598</v>
      </c>
      <c r="BH598" s="15">
        <f t="shared" si="597"/>
        <v>0</v>
      </c>
      <c r="BI598" s="15">
        <f t="shared" si="598"/>
        <v>0</v>
      </c>
      <c r="BJ598" s="15">
        <f t="shared" si="599"/>
        <v>0</v>
      </c>
      <c r="BK598" s="15" t="s">
        <v>2969</v>
      </c>
      <c r="BL598" s="29">
        <v>771</v>
      </c>
    </row>
    <row r="599" spans="1:64" ht="12.75">
      <c r="A599" s="6" t="s">
        <v>550</v>
      </c>
      <c r="B599" s="98" t="s">
        <v>1545</v>
      </c>
      <c r="C599" s="163" t="s">
        <v>2483</v>
      </c>
      <c r="D599" s="164"/>
      <c r="E599" s="164"/>
      <c r="F599" s="164"/>
      <c r="G599" s="98" t="s">
        <v>2849</v>
      </c>
      <c r="H599" s="76">
        <v>42.966</v>
      </c>
      <c r="I599" s="106">
        <v>0</v>
      </c>
      <c r="J599" s="16">
        <f t="shared" si="578"/>
        <v>0</v>
      </c>
      <c r="K599" s="16">
        <f t="shared" si="579"/>
        <v>0</v>
      </c>
      <c r="L599" s="16">
        <f t="shared" si="580"/>
        <v>0</v>
      </c>
      <c r="M599" s="26" t="s">
        <v>2872</v>
      </c>
      <c r="N599" s="5"/>
      <c r="Z599" s="29">
        <f t="shared" si="581"/>
        <v>0</v>
      </c>
      <c r="AB599" s="29">
        <f t="shared" si="582"/>
        <v>0</v>
      </c>
      <c r="AC599" s="29">
        <f t="shared" si="583"/>
        <v>0</v>
      </c>
      <c r="AD599" s="29">
        <f t="shared" si="584"/>
        <v>0</v>
      </c>
      <c r="AE599" s="29">
        <f t="shared" si="585"/>
        <v>0</v>
      </c>
      <c r="AF599" s="29">
        <f t="shared" si="586"/>
        <v>0</v>
      </c>
      <c r="AG599" s="29">
        <f t="shared" si="587"/>
        <v>0</v>
      </c>
      <c r="AH599" s="29">
        <f t="shared" si="588"/>
        <v>0</v>
      </c>
      <c r="AI599" s="28" t="s">
        <v>2882</v>
      </c>
      <c r="AJ599" s="16">
        <f t="shared" si="589"/>
        <v>0</v>
      </c>
      <c r="AK599" s="16">
        <f t="shared" si="590"/>
        <v>0</v>
      </c>
      <c r="AL599" s="16">
        <f t="shared" si="591"/>
        <v>0</v>
      </c>
      <c r="AN599" s="29">
        <v>15</v>
      </c>
      <c r="AO599" s="29">
        <f>I599*1</f>
        <v>0</v>
      </c>
      <c r="AP599" s="29">
        <f>I599*(1-1)</f>
        <v>0</v>
      </c>
      <c r="AQ599" s="31" t="s">
        <v>13</v>
      </c>
      <c r="AV599" s="29">
        <f t="shared" si="592"/>
        <v>0</v>
      </c>
      <c r="AW599" s="29">
        <f t="shared" si="593"/>
        <v>0</v>
      </c>
      <c r="AX599" s="29">
        <f t="shared" si="594"/>
        <v>0</v>
      </c>
      <c r="AY599" s="32" t="s">
        <v>2922</v>
      </c>
      <c r="AZ599" s="32" t="s">
        <v>2946</v>
      </c>
      <c r="BA599" s="28" t="s">
        <v>2957</v>
      </c>
      <c r="BC599" s="29">
        <f t="shared" si="595"/>
        <v>0</v>
      </c>
      <c r="BD599" s="29">
        <f t="shared" si="596"/>
        <v>0</v>
      </c>
      <c r="BE599" s="29">
        <v>0</v>
      </c>
      <c r="BF599" s="29">
        <f>599</f>
        <v>599</v>
      </c>
      <c r="BH599" s="16">
        <f t="shared" si="597"/>
        <v>0</v>
      </c>
      <c r="BI599" s="16">
        <f t="shared" si="598"/>
        <v>0</v>
      </c>
      <c r="BJ599" s="16">
        <f t="shared" si="599"/>
        <v>0</v>
      </c>
      <c r="BK599" s="16" t="s">
        <v>2970</v>
      </c>
      <c r="BL599" s="29">
        <v>771</v>
      </c>
    </row>
    <row r="600" spans="1:64" ht="12.75">
      <c r="A600" s="6" t="s">
        <v>551</v>
      </c>
      <c r="B600" s="98" t="s">
        <v>1546</v>
      </c>
      <c r="C600" s="163" t="s">
        <v>2484</v>
      </c>
      <c r="D600" s="164"/>
      <c r="E600" s="164"/>
      <c r="F600" s="164"/>
      <c r="G600" s="98" t="s">
        <v>2849</v>
      </c>
      <c r="H600" s="76">
        <v>21.861</v>
      </c>
      <c r="I600" s="106">
        <v>0</v>
      </c>
      <c r="J600" s="16">
        <f t="shared" si="578"/>
        <v>0</v>
      </c>
      <c r="K600" s="16">
        <f t="shared" si="579"/>
        <v>0</v>
      </c>
      <c r="L600" s="16">
        <f t="shared" si="580"/>
        <v>0</v>
      </c>
      <c r="M600" s="26" t="s">
        <v>2872</v>
      </c>
      <c r="N600" s="5"/>
      <c r="Z600" s="29">
        <f t="shared" si="581"/>
        <v>0</v>
      </c>
      <c r="AB600" s="29">
        <f t="shared" si="582"/>
        <v>0</v>
      </c>
      <c r="AC600" s="29">
        <f t="shared" si="583"/>
        <v>0</v>
      </c>
      <c r="AD600" s="29">
        <f t="shared" si="584"/>
        <v>0</v>
      </c>
      <c r="AE600" s="29">
        <f t="shared" si="585"/>
        <v>0</v>
      </c>
      <c r="AF600" s="29">
        <f t="shared" si="586"/>
        <v>0</v>
      </c>
      <c r="AG600" s="29">
        <f t="shared" si="587"/>
        <v>0</v>
      </c>
      <c r="AH600" s="29">
        <f t="shared" si="588"/>
        <v>0</v>
      </c>
      <c r="AI600" s="28" t="s">
        <v>2882</v>
      </c>
      <c r="AJ600" s="16">
        <f t="shared" si="589"/>
        <v>0</v>
      </c>
      <c r="AK600" s="16">
        <f t="shared" si="590"/>
        <v>0</v>
      </c>
      <c r="AL600" s="16">
        <f t="shared" si="591"/>
        <v>0</v>
      </c>
      <c r="AN600" s="29">
        <v>15</v>
      </c>
      <c r="AO600" s="29">
        <f>I600*1</f>
        <v>0</v>
      </c>
      <c r="AP600" s="29">
        <f>I600*(1-1)</f>
        <v>0</v>
      </c>
      <c r="AQ600" s="31" t="s">
        <v>13</v>
      </c>
      <c r="AV600" s="29">
        <f t="shared" si="592"/>
        <v>0</v>
      </c>
      <c r="AW600" s="29">
        <f t="shared" si="593"/>
        <v>0</v>
      </c>
      <c r="AX600" s="29">
        <f t="shared" si="594"/>
        <v>0</v>
      </c>
      <c r="AY600" s="32" t="s">
        <v>2922</v>
      </c>
      <c r="AZ600" s="32" t="s">
        <v>2946</v>
      </c>
      <c r="BA600" s="28" t="s">
        <v>2957</v>
      </c>
      <c r="BC600" s="29">
        <f t="shared" si="595"/>
        <v>0</v>
      </c>
      <c r="BD600" s="29">
        <f t="shared" si="596"/>
        <v>0</v>
      </c>
      <c r="BE600" s="29">
        <v>0</v>
      </c>
      <c r="BF600" s="29">
        <f>600</f>
        <v>600</v>
      </c>
      <c r="BH600" s="16">
        <f t="shared" si="597"/>
        <v>0</v>
      </c>
      <c r="BI600" s="16">
        <f t="shared" si="598"/>
        <v>0</v>
      </c>
      <c r="BJ600" s="16">
        <f t="shared" si="599"/>
        <v>0</v>
      </c>
      <c r="BK600" s="16" t="s">
        <v>2970</v>
      </c>
      <c r="BL600" s="29">
        <v>771</v>
      </c>
    </row>
    <row r="601" spans="1:64" ht="12.75">
      <c r="A601" s="4" t="s">
        <v>552</v>
      </c>
      <c r="B601" s="94" t="s">
        <v>1547</v>
      </c>
      <c r="C601" s="152" t="s">
        <v>2485</v>
      </c>
      <c r="D601" s="153"/>
      <c r="E601" s="153"/>
      <c r="F601" s="153"/>
      <c r="G601" s="94" t="s">
        <v>2851</v>
      </c>
      <c r="H601" s="73">
        <v>28.9</v>
      </c>
      <c r="I601" s="105">
        <v>0</v>
      </c>
      <c r="J601" s="15">
        <f t="shared" si="578"/>
        <v>0</v>
      </c>
      <c r="K601" s="15">
        <f t="shared" si="579"/>
        <v>0</v>
      </c>
      <c r="L601" s="15">
        <f t="shared" si="580"/>
        <v>0</v>
      </c>
      <c r="M601" s="25" t="s">
        <v>2872</v>
      </c>
      <c r="N601" s="5"/>
      <c r="Z601" s="29">
        <f t="shared" si="581"/>
        <v>0</v>
      </c>
      <c r="AB601" s="29">
        <f t="shared" si="582"/>
        <v>0</v>
      </c>
      <c r="AC601" s="29">
        <f t="shared" si="583"/>
        <v>0</v>
      </c>
      <c r="AD601" s="29">
        <f t="shared" si="584"/>
        <v>0</v>
      </c>
      <c r="AE601" s="29">
        <f t="shared" si="585"/>
        <v>0</v>
      </c>
      <c r="AF601" s="29">
        <f t="shared" si="586"/>
        <v>0</v>
      </c>
      <c r="AG601" s="29">
        <f t="shared" si="587"/>
        <v>0</v>
      </c>
      <c r="AH601" s="29">
        <f t="shared" si="588"/>
        <v>0</v>
      </c>
      <c r="AI601" s="28" t="s">
        <v>2882</v>
      </c>
      <c r="AJ601" s="15">
        <f t="shared" si="589"/>
        <v>0</v>
      </c>
      <c r="AK601" s="15">
        <f t="shared" si="590"/>
        <v>0</v>
      </c>
      <c r="AL601" s="15">
        <f t="shared" si="591"/>
        <v>0</v>
      </c>
      <c r="AN601" s="29">
        <v>15</v>
      </c>
      <c r="AO601" s="29">
        <f>I601*0.081460804532728</f>
        <v>0</v>
      </c>
      <c r="AP601" s="29">
        <f>I601*(1-0.081460804532728)</f>
        <v>0</v>
      </c>
      <c r="AQ601" s="30" t="s">
        <v>13</v>
      </c>
      <c r="AV601" s="29">
        <f t="shared" si="592"/>
        <v>0</v>
      </c>
      <c r="AW601" s="29">
        <f t="shared" si="593"/>
        <v>0</v>
      </c>
      <c r="AX601" s="29">
        <f t="shared" si="594"/>
        <v>0</v>
      </c>
      <c r="AY601" s="32" t="s">
        <v>2922</v>
      </c>
      <c r="AZ601" s="32" t="s">
        <v>2946</v>
      </c>
      <c r="BA601" s="28" t="s">
        <v>2957</v>
      </c>
      <c r="BC601" s="29">
        <f t="shared" si="595"/>
        <v>0</v>
      </c>
      <c r="BD601" s="29">
        <f t="shared" si="596"/>
        <v>0</v>
      </c>
      <c r="BE601" s="29">
        <v>0</v>
      </c>
      <c r="BF601" s="29">
        <f>601</f>
        <v>601</v>
      </c>
      <c r="BH601" s="15">
        <f t="shared" si="597"/>
        <v>0</v>
      </c>
      <c r="BI601" s="15">
        <f t="shared" si="598"/>
        <v>0</v>
      </c>
      <c r="BJ601" s="15">
        <f t="shared" si="599"/>
        <v>0</v>
      </c>
      <c r="BK601" s="15" t="s">
        <v>2969</v>
      </c>
      <c r="BL601" s="29">
        <v>771</v>
      </c>
    </row>
    <row r="602" spans="1:64" ht="12.75">
      <c r="A602" s="6" t="s">
        <v>553</v>
      </c>
      <c r="B602" s="98" t="s">
        <v>1548</v>
      </c>
      <c r="C602" s="163" t="s">
        <v>2486</v>
      </c>
      <c r="D602" s="164"/>
      <c r="E602" s="164"/>
      <c r="F602" s="164"/>
      <c r="G602" s="98" t="s">
        <v>2849</v>
      </c>
      <c r="H602" s="76">
        <v>3.613</v>
      </c>
      <c r="I602" s="106">
        <v>0</v>
      </c>
      <c r="J602" s="16">
        <f t="shared" si="578"/>
        <v>0</v>
      </c>
      <c r="K602" s="16">
        <f t="shared" si="579"/>
        <v>0</v>
      </c>
      <c r="L602" s="16">
        <f t="shared" si="580"/>
        <v>0</v>
      </c>
      <c r="M602" s="26" t="s">
        <v>2872</v>
      </c>
      <c r="N602" s="5"/>
      <c r="Z602" s="29">
        <f t="shared" si="581"/>
        <v>0</v>
      </c>
      <c r="AB602" s="29">
        <f t="shared" si="582"/>
        <v>0</v>
      </c>
      <c r="AC602" s="29">
        <f t="shared" si="583"/>
        <v>0</v>
      </c>
      <c r="AD602" s="29">
        <f t="shared" si="584"/>
        <v>0</v>
      </c>
      <c r="AE602" s="29">
        <f t="shared" si="585"/>
        <v>0</v>
      </c>
      <c r="AF602" s="29">
        <f t="shared" si="586"/>
        <v>0</v>
      </c>
      <c r="AG602" s="29">
        <f t="shared" si="587"/>
        <v>0</v>
      </c>
      <c r="AH602" s="29">
        <f t="shared" si="588"/>
        <v>0</v>
      </c>
      <c r="AI602" s="28" t="s">
        <v>2882</v>
      </c>
      <c r="AJ602" s="16">
        <f t="shared" si="589"/>
        <v>0</v>
      </c>
      <c r="AK602" s="16">
        <f t="shared" si="590"/>
        <v>0</v>
      </c>
      <c r="AL602" s="16">
        <f t="shared" si="591"/>
        <v>0</v>
      </c>
      <c r="AN602" s="29">
        <v>15</v>
      </c>
      <c r="AO602" s="29">
        <f>I602*1</f>
        <v>0</v>
      </c>
      <c r="AP602" s="29">
        <f>I602*(1-1)</f>
        <v>0</v>
      </c>
      <c r="AQ602" s="31" t="s">
        <v>13</v>
      </c>
      <c r="AV602" s="29">
        <f t="shared" si="592"/>
        <v>0</v>
      </c>
      <c r="AW602" s="29">
        <f t="shared" si="593"/>
        <v>0</v>
      </c>
      <c r="AX602" s="29">
        <f t="shared" si="594"/>
        <v>0</v>
      </c>
      <c r="AY602" s="32" t="s">
        <v>2922</v>
      </c>
      <c r="AZ602" s="32" t="s">
        <v>2946</v>
      </c>
      <c r="BA602" s="28" t="s">
        <v>2957</v>
      </c>
      <c r="BC602" s="29">
        <f t="shared" si="595"/>
        <v>0</v>
      </c>
      <c r="BD602" s="29">
        <f t="shared" si="596"/>
        <v>0</v>
      </c>
      <c r="BE602" s="29">
        <v>0</v>
      </c>
      <c r="BF602" s="29">
        <f>602</f>
        <v>602</v>
      </c>
      <c r="BH602" s="16">
        <f t="shared" si="597"/>
        <v>0</v>
      </c>
      <c r="BI602" s="16">
        <f t="shared" si="598"/>
        <v>0</v>
      </c>
      <c r="BJ602" s="16">
        <f t="shared" si="599"/>
        <v>0</v>
      </c>
      <c r="BK602" s="16" t="s">
        <v>2970</v>
      </c>
      <c r="BL602" s="29">
        <v>771</v>
      </c>
    </row>
    <row r="603" spans="1:64" ht="12.75">
      <c r="A603" s="4" t="s">
        <v>554</v>
      </c>
      <c r="B603" s="94" t="s">
        <v>1549</v>
      </c>
      <c r="C603" s="152" t="s">
        <v>2487</v>
      </c>
      <c r="D603" s="153"/>
      <c r="E603" s="153"/>
      <c r="F603" s="153"/>
      <c r="G603" s="94" t="s">
        <v>2851</v>
      </c>
      <c r="H603" s="73">
        <v>8.6</v>
      </c>
      <c r="I603" s="105">
        <v>0</v>
      </c>
      <c r="J603" s="15">
        <f t="shared" si="578"/>
        <v>0</v>
      </c>
      <c r="K603" s="15">
        <f t="shared" si="579"/>
        <v>0</v>
      </c>
      <c r="L603" s="15">
        <f t="shared" si="580"/>
        <v>0</v>
      </c>
      <c r="M603" s="25" t="s">
        <v>2872</v>
      </c>
      <c r="N603" s="5"/>
      <c r="Z603" s="29">
        <f t="shared" si="581"/>
        <v>0</v>
      </c>
      <c r="AB603" s="29">
        <f t="shared" si="582"/>
        <v>0</v>
      </c>
      <c r="AC603" s="29">
        <f t="shared" si="583"/>
        <v>0</v>
      </c>
      <c r="AD603" s="29">
        <f t="shared" si="584"/>
        <v>0</v>
      </c>
      <c r="AE603" s="29">
        <f t="shared" si="585"/>
        <v>0</v>
      </c>
      <c r="AF603" s="29">
        <f t="shared" si="586"/>
        <v>0</v>
      </c>
      <c r="AG603" s="29">
        <f t="shared" si="587"/>
        <v>0</v>
      </c>
      <c r="AH603" s="29">
        <f t="shared" si="588"/>
        <v>0</v>
      </c>
      <c r="AI603" s="28" t="s">
        <v>2882</v>
      </c>
      <c r="AJ603" s="15">
        <f t="shared" si="589"/>
        <v>0</v>
      </c>
      <c r="AK603" s="15">
        <f t="shared" si="590"/>
        <v>0</v>
      </c>
      <c r="AL603" s="15">
        <f t="shared" si="591"/>
        <v>0</v>
      </c>
      <c r="AN603" s="29">
        <v>15</v>
      </c>
      <c r="AO603" s="29">
        <f>I603*0.679605737733997</f>
        <v>0</v>
      </c>
      <c r="AP603" s="29">
        <f>I603*(1-0.679605737733997)</f>
        <v>0</v>
      </c>
      <c r="AQ603" s="30" t="s">
        <v>13</v>
      </c>
      <c r="AV603" s="29">
        <f t="shared" si="592"/>
        <v>0</v>
      </c>
      <c r="AW603" s="29">
        <f t="shared" si="593"/>
        <v>0</v>
      </c>
      <c r="AX603" s="29">
        <f t="shared" si="594"/>
        <v>0</v>
      </c>
      <c r="AY603" s="32" t="s">
        <v>2922</v>
      </c>
      <c r="AZ603" s="32" t="s">
        <v>2946</v>
      </c>
      <c r="BA603" s="28" t="s">
        <v>2957</v>
      </c>
      <c r="BC603" s="29">
        <f t="shared" si="595"/>
        <v>0</v>
      </c>
      <c r="BD603" s="29">
        <f t="shared" si="596"/>
        <v>0</v>
      </c>
      <c r="BE603" s="29">
        <v>0</v>
      </c>
      <c r="BF603" s="29">
        <f>603</f>
        <v>603</v>
      </c>
      <c r="BH603" s="15">
        <f t="shared" si="597"/>
        <v>0</v>
      </c>
      <c r="BI603" s="15">
        <f t="shared" si="598"/>
        <v>0</v>
      </c>
      <c r="BJ603" s="15">
        <f t="shared" si="599"/>
        <v>0</v>
      </c>
      <c r="BK603" s="15" t="s">
        <v>2969</v>
      </c>
      <c r="BL603" s="29">
        <v>771</v>
      </c>
    </row>
    <row r="604" spans="1:64" ht="12.75">
      <c r="A604" s="4" t="s">
        <v>555</v>
      </c>
      <c r="B604" s="94" t="s">
        <v>1550</v>
      </c>
      <c r="C604" s="152" t="s">
        <v>2488</v>
      </c>
      <c r="D604" s="153"/>
      <c r="E604" s="153"/>
      <c r="F604" s="153"/>
      <c r="G604" s="94" t="s">
        <v>2851</v>
      </c>
      <c r="H604" s="73">
        <v>89.215</v>
      </c>
      <c r="I604" s="105">
        <v>0</v>
      </c>
      <c r="J604" s="15">
        <f t="shared" si="578"/>
        <v>0</v>
      </c>
      <c r="K604" s="15">
        <f t="shared" si="579"/>
        <v>0</v>
      </c>
      <c r="L604" s="15">
        <f t="shared" si="580"/>
        <v>0</v>
      </c>
      <c r="M604" s="25" t="s">
        <v>2872</v>
      </c>
      <c r="N604" s="5"/>
      <c r="Z604" s="29">
        <f t="shared" si="581"/>
        <v>0</v>
      </c>
      <c r="AB604" s="29">
        <f t="shared" si="582"/>
        <v>0</v>
      </c>
      <c r="AC604" s="29">
        <f t="shared" si="583"/>
        <v>0</v>
      </c>
      <c r="AD604" s="29">
        <f t="shared" si="584"/>
        <v>0</v>
      </c>
      <c r="AE604" s="29">
        <f t="shared" si="585"/>
        <v>0</v>
      </c>
      <c r="AF604" s="29">
        <f t="shared" si="586"/>
        <v>0</v>
      </c>
      <c r="AG604" s="29">
        <f t="shared" si="587"/>
        <v>0</v>
      </c>
      <c r="AH604" s="29">
        <f t="shared" si="588"/>
        <v>0</v>
      </c>
      <c r="AI604" s="28" t="s">
        <v>2882</v>
      </c>
      <c r="AJ604" s="15">
        <f t="shared" si="589"/>
        <v>0</v>
      </c>
      <c r="AK604" s="15">
        <f t="shared" si="590"/>
        <v>0</v>
      </c>
      <c r="AL604" s="15">
        <f t="shared" si="591"/>
        <v>0</v>
      </c>
      <c r="AN604" s="29">
        <v>15</v>
      </c>
      <c r="AO604" s="29">
        <f>I604*0.637784473945198</f>
        <v>0</v>
      </c>
      <c r="AP604" s="29">
        <f>I604*(1-0.637784473945198)</f>
        <v>0</v>
      </c>
      <c r="AQ604" s="30" t="s">
        <v>13</v>
      </c>
      <c r="AV604" s="29">
        <f t="shared" si="592"/>
        <v>0</v>
      </c>
      <c r="AW604" s="29">
        <f t="shared" si="593"/>
        <v>0</v>
      </c>
      <c r="AX604" s="29">
        <f t="shared" si="594"/>
        <v>0</v>
      </c>
      <c r="AY604" s="32" t="s">
        <v>2922</v>
      </c>
      <c r="AZ604" s="32" t="s">
        <v>2946</v>
      </c>
      <c r="BA604" s="28" t="s">
        <v>2957</v>
      </c>
      <c r="BC604" s="29">
        <f t="shared" si="595"/>
        <v>0</v>
      </c>
      <c r="BD604" s="29">
        <f t="shared" si="596"/>
        <v>0</v>
      </c>
      <c r="BE604" s="29">
        <v>0</v>
      </c>
      <c r="BF604" s="29">
        <f>604</f>
        <v>604</v>
      </c>
      <c r="BH604" s="15">
        <f t="shared" si="597"/>
        <v>0</v>
      </c>
      <c r="BI604" s="15">
        <f t="shared" si="598"/>
        <v>0</v>
      </c>
      <c r="BJ604" s="15">
        <f t="shared" si="599"/>
        <v>0</v>
      </c>
      <c r="BK604" s="15" t="s">
        <v>2969</v>
      </c>
      <c r="BL604" s="29">
        <v>771</v>
      </c>
    </row>
    <row r="605" spans="1:64" ht="12.75">
      <c r="A605" s="4" t="s">
        <v>556</v>
      </c>
      <c r="B605" s="94" t="s">
        <v>1551</v>
      </c>
      <c r="C605" s="152" t="s">
        <v>2489</v>
      </c>
      <c r="D605" s="153"/>
      <c r="E605" s="153"/>
      <c r="F605" s="153"/>
      <c r="G605" s="94" t="s">
        <v>2849</v>
      </c>
      <c r="H605" s="73">
        <v>61.74</v>
      </c>
      <c r="I605" s="105">
        <v>0</v>
      </c>
      <c r="J605" s="15">
        <f t="shared" si="578"/>
        <v>0</v>
      </c>
      <c r="K605" s="15">
        <f t="shared" si="579"/>
        <v>0</v>
      </c>
      <c r="L605" s="15">
        <f t="shared" si="580"/>
        <v>0</v>
      </c>
      <c r="M605" s="25" t="s">
        <v>2872</v>
      </c>
      <c r="N605" s="5"/>
      <c r="Z605" s="29">
        <f t="shared" si="581"/>
        <v>0</v>
      </c>
      <c r="AB605" s="29">
        <f t="shared" si="582"/>
        <v>0</v>
      </c>
      <c r="AC605" s="29">
        <f t="shared" si="583"/>
        <v>0</v>
      </c>
      <c r="AD605" s="29">
        <f t="shared" si="584"/>
        <v>0</v>
      </c>
      <c r="AE605" s="29">
        <f t="shared" si="585"/>
        <v>0</v>
      </c>
      <c r="AF605" s="29">
        <f t="shared" si="586"/>
        <v>0</v>
      </c>
      <c r="AG605" s="29">
        <f t="shared" si="587"/>
        <v>0</v>
      </c>
      <c r="AH605" s="29">
        <f t="shared" si="588"/>
        <v>0</v>
      </c>
      <c r="AI605" s="28" t="s">
        <v>2882</v>
      </c>
      <c r="AJ605" s="15">
        <f t="shared" si="589"/>
        <v>0</v>
      </c>
      <c r="AK605" s="15">
        <f t="shared" si="590"/>
        <v>0</v>
      </c>
      <c r="AL605" s="15">
        <f t="shared" si="591"/>
        <v>0</v>
      </c>
      <c r="AN605" s="29">
        <v>15</v>
      </c>
      <c r="AO605" s="29">
        <f>I605*1.00000184706317</f>
        <v>0</v>
      </c>
      <c r="AP605" s="29">
        <f>I605*(1-1.00000184706317)</f>
        <v>0</v>
      </c>
      <c r="AQ605" s="30" t="s">
        <v>13</v>
      </c>
      <c r="AV605" s="29">
        <f t="shared" si="592"/>
        <v>0</v>
      </c>
      <c r="AW605" s="29">
        <f t="shared" si="593"/>
        <v>0</v>
      </c>
      <c r="AX605" s="29">
        <f t="shared" si="594"/>
        <v>0</v>
      </c>
      <c r="AY605" s="32" t="s">
        <v>2922</v>
      </c>
      <c r="AZ605" s="32" t="s">
        <v>2946</v>
      </c>
      <c r="BA605" s="28" t="s">
        <v>2957</v>
      </c>
      <c r="BC605" s="29">
        <f t="shared" si="595"/>
        <v>0</v>
      </c>
      <c r="BD605" s="29">
        <f t="shared" si="596"/>
        <v>0</v>
      </c>
      <c r="BE605" s="29">
        <v>0</v>
      </c>
      <c r="BF605" s="29">
        <f>605</f>
        <v>605</v>
      </c>
      <c r="BH605" s="15">
        <f t="shared" si="597"/>
        <v>0</v>
      </c>
      <c r="BI605" s="15">
        <f t="shared" si="598"/>
        <v>0</v>
      </c>
      <c r="BJ605" s="15">
        <f t="shared" si="599"/>
        <v>0</v>
      </c>
      <c r="BK605" s="15" t="s">
        <v>2969</v>
      </c>
      <c r="BL605" s="29">
        <v>771</v>
      </c>
    </row>
    <row r="606" spans="1:64" ht="12.75">
      <c r="A606" s="4" t="s">
        <v>557</v>
      </c>
      <c r="B606" s="94" t="s">
        <v>1552</v>
      </c>
      <c r="C606" s="152" t="s">
        <v>2490</v>
      </c>
      <c r="D606" s="153"/>
      <c r="E606" s="153"/>
      <c r="F606" s="153"/>
      <c r="G606" s="94" t="s">
        <v>2849</v>
      </c>
      <c r="H606" s="73">
        <v>45.42</v>
      </c>
      <c r="I606" s="105">
        <v>0</v>
      </c>
      <c r="J606" s="15">
        <f t="shared" si="578"/>
        <v>0</v>
      </c>
      <c r="K606" s="15">
        <f t="shared" si="579"/>
        <v>0</v>
      </c>
      <c r="L606" s="15">
        <f t="shared" si="580"/>
        <v>0</v>
      </c>
      <c r="M606" s="25" t="s">
        <v>2872</v>
      </c>
      <c r="N606" s="5"/>
      <c r="Z606" s="29">
        <f t="shared" si="581"/>
        <v>0</v>
      </c>
      <c r="AB606" s="29">
        <f t="shared" si="582"/>
        <v>0</v>
      </c>
      <c r="AC606" s="29">
        <f t="shared" si="583"/>
        <v>0</v>
      </c>
      <c r="AD606" s="29">
        <f t="shared" si="584"/>
        <v>0</v>
      </c>
      <c r="AE606" s="29">
        <f t="shared" si="585"/>
        <v>0</v>
      </c>
      <c r="AF606" s="29">
        <f t="shared" si="586"/>
        <v>0</v>
      </c>
      <c r="AG606" s="29">
        <f t="shared" si="587"/>
        <v>0</v>
      </c>
      <c r="AH606" s="29">
        <f t="shared" si="588"/>
        <v>0</v>
      </c>
      <c r="AI606" s="28" t="s">
        <v>2882</v>
      </c>
      <c r="AJ606" s="15">
        <f t="shared" si="589"/>
        <v>0</v>
      </c>
      <c r="AK606" s="15">
        <f t="shared" si="590"/>
        <v>0</v>
      </c>
      <c r="AL606" s="15">
        <f t="shared" si="591"/>
        <v>0</v>
      </c>
      <c r="AN606" s="29">
        <v>15</v>
      </c>
      <c r="AO606" s="29">
        <f>I606*0</f>
        <v>0</v>
      </c>
      <c r="AP606" s="29">
        <f>I606*(1-0)</f>
        <v>0</v>
      </c>
      <c r="AQ606" s="30" t="s">
        <v>13</v>
      </c>
      <c r="AV606" s="29">
        <f t="shared" si="592"/>
        <v>0</v>
      </c>
      <c r="AW606" s="29">
        <f t="shared" si="593"/>
        <v>0</v>
      </c>
      <c r="AX606" s="29">
        <f t="shared" si="594"/>
        <v>0</v>
      </c>
      <c r="AY606" s="32" t="s">
        <v>2922</v>
      </c>
      <c r="AZ606" s="32" t="s">
        <v>2946</v>
      </c>
      <c r="BA606" s="28" t="s">
        <v>2957</v>
      </c>
      <c r="BC606" s="29">
        <f t="shared" si="595"/>
        <v>0</v>
      </c>
      <c r="BD606" s="29">
        <f t="shared" si="596"/>
        <v>0</v>
      </c>
      <c r="BE606" s="29">
        <v>0</v>
      </c>
      <c r="BF606" s="29">
        <f>606</f>
        <v>606</v>
      </c>
      <c r="BH606" s="15">
        <f t="shared" si="597"/>
        <v>0</v>
      </c>
      <c r="BI606" s="15">
        <f t="shared" si="598"/>
        <v>0</v>
      </c>
      <c r="BJ606" s="15">
        <f t="shared" si="599"/>
        <v>0</v>
      </c>
      <c r="BK606" s="15" t="s">
        <v>2969</v>
      </c>
      <c r="BL606" s="29">
        <v>771</v>
      </c>
    </row>
    <row r="607" spans="1:64" ht="12.75">
      <c r="A607" s="4" t="s">
        <v>558</v>
      </c>
      <c r="B607" s="94" t="s">
        <v>1553</v>
      </c>
      <c r="C607" s="152" t="s">
        <v>2491</v>
      </c>
      <c r="D607" s="153"/>
      <c r="E607" s="153"/>
      <c r="F607" s="153"/>
      <c r="G607" s="94" t="s">
        <v>2848</v>
      </c>
      <c r="H607" s="73">
        <v>1.73</v>
      </c>
      <c r="I607" s="105">
        <v>0</v>
      </c>
      <c r="J607" s="15">
        <f t="shared" si="578"/>
        <v>0</v>
      </c>
      <c r="K607" s="15">
        <f t="shared" si="579"/>
        <v>0</v>
      </c>
      <c r="L607" s="15">
        <f t="shared" si="580"/>
        <v>0</v>
      </c>
      <c r="M607" s="25" t="s">
        <v>2872</v>
      </c>
      <c r="N607" s="5"/>
      <c r="Z607" s="29">
        <f t="shared" si="581"/>
        <v>0</v>
      </c>
      <c r="AB607" s="29">
        <f t="shared" si="582"/>
        <v>0</v>
      </c>
      <c r="AC607" s="29">
        <f t="shared" si="583"/>
        <v>0</v>
      </c>
      <c r="AD607" s="29">
        <f t="shared" si="584"/>
        <v>0</v>
      </c>
      <c r="AE607" s="29">
        <f t="shared" si="585"/>
        <v>0</v>
      </c>
      <c r="AF607" s="29">
        <f t="shared" si="586"/>
        <v>0</v>
      </c>
      <c r="AG607" s="29">
        <f t="shared" si="587"/>
        <v>0</v>
      </c>
      <c r="AH607" s="29">
        <f t="shared" si="588"/>
        <v>0</v>
      </c>
      <c r="AI607" s="28" t="s">
        <v>2882</v>
      </c>
      <c r="AJ607" s="15">
        <f t="shared" si="589"/>
        <v>0</v>
      </c>
      <c r="AK607" s="15">
        <f t="shared" si="590"/>
        <v>0</v>
      </c>
      <c r="AL607" s="15">
        <f t="shared" si="591"/>
        <v>0</v>
      </c>
      <c r="AN607" s="29">
        <v>15</v>
      </c>
      <c r="AO607" s="29">
        <f>I607*0</f>
        <v>0</v>
      </c>
      <c r="AP607" s="29">
        <f>I607*(1-0)</f>
        <v>0</v>
      </c>
      <c r="AQ607" s="30" t="s">
        <v>11</v>
      </c>
      <c r="AV607" s="29">
        <f t="shared" si="592"/>
        <v>0</v>
      </c>
      <c r="AW607" s="29">
        <f t="shared" si="593"/>
        <v>0</v>
      </c>
      <c r="AX607" s="29">
        <f t="shared" si="594"/>
        <v>0</v>
      </c>
      <c r="AY607" s="32" t="s">
        <v>2922</v>
      </c>
      <c r="AZ607" s="32" t="s">
        <v>2946</v>
      </c>
      <c r="BA607" s="28" t="s">
        <v>2957</v>
      </c>
      <c r="BC607" s="29">
        <f t="shared" si="595"/>
        <v>0</v>
      </c>
      <c r="BD607" s="29">
        <f t="shared" si="596"/>
        <v>0</v>
      </c>
      <c r="BE607" s="29">
        <v>0</v>
      </c>
      <c r="BF607" s="29">
        <f>607</f>
        <v>607</v>
      </c>
      <c r="BH607" s="15">
        <f t="shared" si="597"/>
        <v>0</v>
      </c>
      <c r="BI607" s="15">
        <f t="shared" si="598"/>
        <v>0</v>
      </c>
      <c r="BJ607" s="15">
        <f t="shared" si="599"/>
        <v>0</v>
      </c>
      <c r="BK607" s="15" t="s">
        <v>2969</v>
      </c>
      <c r="BL607" s="29">
        <v>771</v>
      </c>
    </row>
    <row r="608" spans="1:47" ht="12.75">
      <c r="A608" s="3"/>
      <c r="B608" s="97" t="s">
        <v>782</v>
      </c>
      <c r="C608" s="161" t="s">
        <v>2492</v>
      </c>
      <c r="D608" s="162"/>
      <c r="E608" s="162"/>
      <c r="F608" s="162"/>
      <c r="G608" s="13" t="s">
        <v>6</v>
      </c>
      <c r="H608" s="13" t="s">
        <v>6</v>
      </c>
      <c r="I608" s="13" t="s">
        <v>6</v>
      </c>
      <c r="J608" s="34">
        <f>SUM(J609:J617)</f>
        <v>0</v>
      </c>
      <c r="K608" s="34">
        <f>SUM(K609:K617)</f>
        <v>0</v>
      </c>
      <c r="L608" s="34">
        <f>SUM(L609:L617)</f>
        <v>0</v>
      </c>
      <c r="M608" s="24"/>
      <c r="N608" s="5"/>
      <c r="AI608" s="28" t="s">
        <v>2882</v>
      </c>
      <c r="AS608" s="34">
        <f>SUM(AJ609:AJ617)</f>
        <v>0</v>
      </c>
      <c r="AT608" s="34">
        <f>SUM(AK609:AK617)</f>
        <v>0</v>
      </c>
      <c r="AU608" s="34">
        <f>SUM(AL609:AL617)</f>
        <v>0</v>
      </c>
    </row>
    <row r="609" spans="1:64" ht="12.75">
      <c r="A609" s="4" t="s">
        <v>559</v>
      </c>
      <c r="B609" s="94" t="s">
        <v>1554</v>
      </c>
      <c r="C609" s="152" t="s">
        <v>2493</v>
      </c>
      <c r="D609" s="153"/>
      <c r="E609" s="153"/>
      <c r="F609" s="153"/>
      <c r="G609" s="94" t="s">
        <v>2849</v>
      </c>
      <c r="H609" s="73">
        <v>305.85</v>
      </c>
      <c r="I609" s="105">
        <v>0</v>
      </c>
      <c r="J609" s="15">
        <f aca="true" t="shared" si="600" ref="J609:J617">H609*AO609</f>
        <v>0</v>
      </c>
      <c r="K609" s="15">
        <f aca="true" t="shared" si="601" ref="K609:K617">H609*AP609</f>
        <v>0</v>
      </c>
      <c r="L609" s="15">
        <f aca="true" t="shared" si="602" ref="L609:L617">H609*I609</f>
        <v>0</v>
      </c>
      <c r="M609" s="25" t="s">
        <v>2872</v>
      </c>
      <c r="N609" s="5"/>
      <c r="Z609" s="29">
        <f aca="true" t="shared" si="603" ref="Z609:Z617">IF(AQ609="5",BJ609,0)</f>
        <v>0</v>
      </c>
      <c r="AB609" s="29">
        <f aca="true" t="shared" si="604" ref="AB609:AB617">IF(AQ609="1",BH609,0)</f>
        <v>0</v>
      </c>
      <c r="AC609" s="29">
        <f aca="true" t="shared" si="605" ref="AC609:AC617">IF(AQ609="1",BI609,0)</f>
        <v>0</v>
      </c>
      <c r="AD609" s="29">
        <f aca="true" t="shared" si="606" ref="AD609:AD617">IF(AQ609="7",BH609,0)</f>
        <v>0</v>
      </c>
      <c r="AE609" s="29">
        <f aca="true" t="shared" si="607" ref="AE609:AE617">IF(AQ609="7",BI609,0)</f>
        <v>0</v>
      </c>
      <c r="AF609" s="29">
        <f aca="true" t="shared" si="608" ref="AF609:AF617">IF(AQ609="2",BH609,0)</f>
        <v>0</v>
      </c>
      <c r="AG609" s="29">
        <f aca="true" t="shared" si="609" ref="AG609:AG617">IF(AQ609="2",BI609,0)</f>
        <v>0</v>
      </c>
      <c r="AH609" s="29">
        <f aca="true" t="shared" si="610" ref="AH609:AH617">IF(AQ609="0",BJ609,0)</f>
        <v>0</v>
      </c>
      <c r="AI609" s="28" t="s">
        <v>2882</v>
      </c>
      <c r="AJ609" s="15">
        <f aca="true" t="shared" si="611" ref="AJ609:AJ617">IF(AN609=0,L609,0)</f>
        <v>0</v>
      </c>
      <c r="AK609" s="15">
        <f aca="true" t="shared" si="612" ref="AK609:AK617">IF(AN609=15,L609,0)</f>
        <v>0</v>
      </c>
      <c r="AL609" s="15">
        <f aca="true" t="shared" si="613" ref="AL609:AL617">IF(AN609=21,L609,0)</f>
        <v>0</v>
      </c>
      <c r="AN609" s="29">
        <v>15</v>
      </c>
      <c r="AO609" s="29">
        <f>I609*0</f>
        <v>0</v>
      </c>
      <c r="AP609" s="29">
        <f>I609*(1-0)</f>
        <v>0</v>
      </c>
      <c r="AQ609" s="30" t="s">
        <v>13</v>
      </c>
      <c r="AV609" s="29">
        <f aca="true" t="shared" si="614" ref="AV609:AV617">AW609+AX609</f>
        <v>0</v>
      </c>
      <c r="AW609" s="29">
        <f aca="true" t="shared" si="615" ref="AW609:AW617">H609*AO609</f>
        <v>0</v>
      </c>
      <c r="AX609" s="29">
        <f aca="true" t="shared" si="616" ref="AX609:AX617">H609*AP609</f>
        <v>0</v>
      </c>
      <c r="AY609" s="32" t="s">
        <v>2923</v>
      </c>
      <c r="AZ609" s="32" t="s">
        <v>2946</v>
      </c>
      <c r="BA609" s="28" t="s">
        <v>2957</v>
      </c>
      <c r="BC609" s="29">
        <f aca="true" t="shared" si="617" ref="BC609:BC617">AW609+AX609</f>
        <v>0</v>
      </c>
      <c r="BD609" s="29">
        <f aca="true" t="shared" si="618" ref="BD609:BD617">I609/(100-BE609)*100</f>
        <v>0</v>
      </c>
      <c r="BE609" s="29">
        <v>0</v>
      </c>
      <c r="BF609" s="29">
        <f>609</f>
        <v>609</v>
      </c>
      <c r="BH609" s="15">
        <f aca="true" t="shared" si="619" ref="BH609:BH617">H609*AO609</f>
        <v>0</v>
      </c>
      <c r="BI609" s="15">
        <f aca="true" t="shared" si="620" ref="BI609:BI617">H609*AP609</f>
        <v>0</v>
      </c>
      <c r="BJ609" s="15">
        <f aca="true" t="shared" si="621" ref="BJ609:BJ617">H609*I609</f>
        <v>0</v>
      </c>
      <c r="BK609" s="15" t="s">
        <v>2969</v>
      </c>
      <c r="BL609" s="29">
        <v>776</v>
      </c>
    </row>
    <row r="610" spans="1:64" ht="12.75">
      <c r="A610" s="4" t="s">
        <v>560</v>
      </c>
      <c r="B610" s="94" t="s">
        <v>1555</v>
      </c>
      <c r="C610" s="152" t="s">
        <v>2494</v>
      </c>
      <c r="D610" s="153"/>
      <c r="E610" s="153"/>
      <c r="F610" s="153"/>
      <c r="G610" s="94" t="s">
        <v>2849</v>
      </c>
      <c r="H610" s="73">
        <v>305.85</v>
      </c>
      <c r="I610" s="105">
        <v>0</v>
      </c>
      <c r="J610" s="15">
        <f t="shared" si="600"/>
        <v>0</v>
      </c>
      <c r="K610" s="15">
        <f t="shared" si="601"/>
        <v>0</v>
      </c>
      <c r="L610" s="15">
        <f t="shared" si="602"/>
        <v>0</v>
      </c>
      <c r="M610" s="25" t="s">
        <v>2872</v>
      </c>
      <c r="N610" s="5"/>
      <c r="Z610" s="29">
        <f t="shared" si="603"/>
        <v>0</v>
      </c>
      <c r="AB610" s="29">
        <f t="shared" si="604"/>
        <v>0</v>
      </c>
      <c r="AC610" s="29">
        <f t="shared" si="605"/>
        <v>0</v>
      </c>
      <c r="AD610" s="29">
        <f t="shared" si="606"/>
        <v>0</v>
      </c>
      <c r="AE610" s="29">
        <f t="shared" si="607"/>
        <v>0</v>
      </c>
      <c r="AF610" s="29">
        <f t="shared" si="608"/>
        <v>0</v>
      </c>
      <c r="AG610" s="29">
        <f t="shared" si="609"/>
        <v>0</v>
      </c>
      <c r="AH610" s="29">
        <f t="shared" si="610"/>
        <v>0</v>
      </c>
      <c r="AI610" s="28" t="s">
        <v>2882</v>
      </c>
      <c r="AJ610" s="15">
        <f t="shared" si="611"/>
        <v>0</v>
      </c>
      <c r="AK610" s="15">
        <f t="shared" si="612"/>
        <v>0</v>
      </c>
      <c r="AL610" s="15">
        <f t="shared" si="613"/>
        <v>0</v>
      </c>
      <c r="AN610" s="29">
        <v>15</v>
      </c>
      <c r="AO610" s="29">
        <f>I610*0</f>
        <v>0</v>
      </c>
      <c r="AP610" s="29">
        <f>I610*(1-0)</f>
        <v>0</v>
      </c>
      <c r="AQ610" s="30" t="s">
        <v>13</v>
      </c>
      <c r="AV610" s="29">
        <f t="shared" si="614"/>
        <v>0</v>
      </c>
      <c r="AW610" s="29">
        <f t="shared" si="615"/>
        <v>0</v>
      </c>
      <c r="AX610" s="29">
        <f t="shared" si="616"/>
        <v>0</v>
      </c>
      <c r="AY610" s="32" t="s">
        <v>2923</v>
      </c>
      <c r="AZ610" s="32" t="s">
        <v>2946</v>
      </c>
      <c r="BA610" s="28" t="s">
        <v>2957</v>
      </c>
      <c r="BC610" s="29">
        <f t="shared" si="617"/>
        <v>0</v>
      </c>
      <c r="BD610" s="29">
        <f t="shared" si="618"/>
        <v>0</v>
      </c>
      <c r="BE610" s="29">
        <v>0</v>
      </c>
      <c r="BF610" s="29">
        <f>610</f>
        <v>610</v>
      </c>
      <c r="BH610" s="15">
        <f t="shared" si="619"/>
        <v>0</v>
      </c>
      <c r="BI610" s="15">
        <f t="shared" si="620"/>
        <v>0</v>
      </c>
      <c r="BJ610" s="15">
        <f t="shared" si="621"/>
        <v>0</v>
      </c>
      <c r="BK610" s="15" t="s">
        <v>2969</v>
      </c>
      <c r="BL610" s="29">
        <v>776</v>
      </c>
    </row>
    <row r="611" spans="1:64" ht="12.75">
      <c r="A611" s="4" t="s">
        <v>561</v>
      </c>
      <c r="B611" s="94" t="s">
        <v>1556</v>
      </c>
      <c r="C611" s="152" t="s">
        <v>2495</v>
      </c>
      <c r="D611" s="153"/>
      <c r="E611" s="153"/>
      <c r="F611" s="153"/>
      <c r="G611" s="94" t="s">
        <v>2849</v>
      </c>
      <c r="H611" s="73">
        <v>305.85</v>
      </c>
      <c r="I611" s="105">
        <v>0</v>
      </c>
      <c r="J611" s="15">
        <f t="shared" si="600"/>
        <v>0</v>
      </c>
      <c r="K611" s="15">
        <f t="shared" si="601"/>
        <v>0</v>
      </c>
      <c r="L611" s="15">
        <f t="shared" si="602"/>
        <v>0</v>
      </c>
      <c r="M611" s="25" t="s">
        <v>2872</v>
      </c>
      <c r="N611" s="5"/>
      <c r="Z611" s="29">
        <f t="shared" si="603"/>
        <v>0</v>
      </c>
      <c r="AB611" s="29">
        <f t="shared" si="604"/>
        <v>0</v>
      </c>
      <c r="AC611" s="29">
        <f t="shared" si="605"/>
        <v>0</v>
      </c>
      <c r="AD611" s="29">
        <f t="shared" si="606"/>
        <v>0</v>
      </c>
      <c r="AE611" s="29">
        <f t="shared" si="607"/>
        <v>0</v>
      </c>
      <c r="AF611" s="29">
        <f t="shared" si="608"/>
        <v>0</v>
      </c>
      <c r="AG611" s="29">
        <f t="shared" si="609"/>
        <v>0</v>
      </c>
      <c r="AH611" s="29">
        <f t="shared" si="610"/>
        <v>0</v>
      </c>
      <c r="AI611" s="28" t="s">
        <v>2882</v>
      </c>
      <c r="AJ611" s="15">
        <f t="shared" si="611"/>
        <v>0</v>
      </c>
      <c r="AK611" s="15">
        <f t="shared" si="612"/>
        <v>0</v>
      </c>
      <c r="AL611" s="15">
        <f t="shared" si="613"/>
        <v>0</v>
      </c>
      <c r="AN611" s="29">
        <v>15</v>
      </c>
      <c r="AO611" s="29">
        <f>I611*0</f>
        <v>0</v>
      </c>
      <c r="AP611" s="29">
        <f>I611*(1-0)</f>
        <v>0</v>
      </c>
      <c r="AQ611" s="30" t="s">
        <v>13</v>
      </c>
      <c r="AV611" s="29">
        <f t="shared" si="614"/>
        <v>0</v>
      </c>
      <c r="AW611" s="29">
        <f t="shared" si="615"/>
        <v>0</v>
      </c>
      <c r="AX611" s="29">
        <f t="shared" si="616"/>
        <v>0</v>
      </c>
      <c r="AY611" s="32" t="s">
        <v>2923</v>
      </c>
      <c r="AZ611" s="32" t="s">
        <v>2946</v>
      </c>
      <c r="BA611" s="28" t="s">
        <v>2957</v>
      </c>
      <c r="BC611" s="29">
        <f t="shared" si="617"/>
        <v>0</v>
      </c>
      <c r="BD611" s="29">
        <f t="shared" si="618"/>
        <v>0</v>
      </c>
      <c r="BE611" s="29">
        <v>0</v>
      </c>
      <c r="BF611" s="29">
        <f>611</f>
        <v>611</v>
      </c>
      <c r="BH611" s="15">
        <f t="shared" si="619"/>
        <v>0</v>
      </c>
      <c r="BI611" s="15">
        <f t="shared" si="620"/>
        <v>0</v>
      </c>
      <c r="BJ611" s="15">
        <f t="shared" si="621"/>
        <v>0</v>
      </c>
      <c r="BK611" s="15" t="s">
        <v>2969</v>
      </c>
      <c r="BL611" s="29">
        <v>776</v>
      </c>
    </row>
    <row r="612" spans="1:64" ht="12.75">
      <c r="A612" s="4" t="s">
        <v>562</v>
      </c>
      <c r="B612" s="94" t="s">
        <v>1557</v>
      </c>
      <c r="C612" s="152" t="s">
        <v>2496</v>
      </c>
      <c r="D612" s="153"/>
      <c r="E612" s="153"/>
      <c r="F612" s="153"/>
      <c r="G612" s="94" t="s">
        <v>2851</v>
      </c>
      <c r="H612" s="73">
        <v>308.46</v>
      </c>
      <c r="I612" s="105">
        <v>0</v>
      </c>
      <c r="J612" s="15">
        <f t="shared" si="600"/>
        <v>0</v>
      </c>
      <c r="K612" s="15">
        <f t="shared" si="601"/>
        <v>0</v>
      </c>
      <c r="L612" s="15">
        <f t="shared" si="602"/>
        <v>0</v>
      </c>
      <c r="M612" s="25" t="s">
        <v>2872</v>
      </c>
      <c r="N612" s="5"/>
      <c r="Z612" s="29">
        <f t="shared" si="603"/>
        <v>0</v>
      </c>
      <c r="AB612" s="29">
        <f t="shared" si="604"/>
        <v>0</v>
      </c>
      <c r="AC612" s="29">
        <f t="shared" si="605"/>
        <v>0</v>
      </c>
      <c r="AD612" s="29">
        <f t="shared" si="606"/>
        <v>0</v>
      </c>
      <c r="AE612" s="29">
        <f t="shared" si="607"/>
        <v>0</v>
      </c>
      <c r="AF612" s="29">
        <f t="shared" si="608"/>
        <v>0</v>
      </c>
      <c r="AG612" s="29">
        <f t="shared" si="609"/>
        <v>0</v>
      </c>
      <c r="AH612" s="29">
        <f t="shared" si="610"/>
        <v>0</v>
      </c>
      <c r="AI612" s="28" t="s">
        <v>2882</v>
      </c>
      <c r="AJ612" s="15">
        <f t="shared" si="611"/>
        <v>0</v>
      </c>
      <c r="AK612" s="15">
        <f t="shared" si="612"/>
        <v>0</v>
      </c>
      <c r="AL612" s="15">
        <f t="shared" si="613"/>
        <v>0</v>
      </c>
      <c r="AN612" s="29">
        <v>15</v>
      </c>
      <c r="AO612" s="29">
        <f>I612*0.328608873266975</f>
        <v>0</v>
      </c>
      <c r="AP612" s="29">
        <f>I612*(1-0.328608873266975)</f>
        <v>0</v>
      </c>
      <c r="AQ612" s="30" t="s">
        <v>13</v>
      </c>
      <c r="AV612" s="29">
        <f t="shared" si="614"/>
        <v>0</v>
      </c>
      <c r="AW612" s="29">
        <f t="shared" si="615"/>
        <v>0</v>
      </c>
      <c r="AX612" s="29">
        <f t="shared" si="616"/>
        <v>0</v>
      </c>
      <c r="AY612" s="32" t="s">
        <v>2923</v>
      </c>
      <c r="AZ612" s="32" t="s">
        <v>2946</v>
      </c>
      <c r="BA612" s="28" t="s">
        <v>2957</v>
      </c>
      <c r="BC612" s="29">
        <f t="shared" si="617"/>
        <v>0</v>
      </c>
      <c r="BD612" s="29">
        <f t="shared" si="618"/>
        <v>0</v>
      </c>
      <c r="BE612" s="29">
        <v>0</v>
      </c>
      <c r="BF612" s="29">
        <f>612</f>
        <v>612</v>
      </c>
      <c r="BH612" s="15">
        <f t="shared" si="619"/>
        <v>0</v>
      </c>
      <c r="BI612" s="15">
        <f t="shared" si="620"/>
        <v>0</v>
      </c>
      <c r="BJ612" s="15">
        <f t="shared" si="621"/>
        <v>0</v>
      </c>
      <c r="BK612" s="15" t="s">
        <v>2969</v>
      </c>
      <c r="BL612" s="29">
        <v>776</v>
      </c>
    </row>
    <row r="613" spans="1:64" ht="12.75">
      <c r="A613" s="4" t="s">
        <v>563</v>
      </c>
      <c r="B613" s="94" t="s">
        <v>1558</v>
      </c>
      <c r="C613" s="152" t="s">
        <v>2497</v>
      </c>
      <c r="D613" s="153"/>
      <c r="E613" s="153"/>
      <c r="F613" s="153"/>
      <c r="G613" s="94" t="s">
        <v>2849</v>
      </c>
      <c r="H613" s="73">
        <v>305.85</v>
      </c>
      <c r="I613" s="105">
        <v>0</v>
      </c>
      <c r="J613" s="15">
        <f t="shared" si="600"/>
        <v>0</v>
      </c>
      <c r="K613" s="15">
        <f t="shared" si="601"/>
        <v>0</v>
      </c>
      <c r="L613" s="15">
        <f t="shared" si="602"/>
        <v>0</v>
      </c>
      <c r="M613" s="25" t="s">
        <v>2872</v>
      </c>
      <c r="N613" s="5"/>
      <c r="Z613" s="29">
        <f t="shared" si="603"/>
        <v>0</v>
      </c>
      <c r="AB613" s="29">
        <f t="shared" si="604"/>
        <v>0</v>
      </c>
      <c r="AC613" s="29">
        <f t="shared" si="605"/>
        <v>0</v>
      </c>
      <c r="AD613" s="29">
        <f t="shared" si="606"/>
        <v>0</v>
      </c>
      <c r="AE613" s="29">
        <f t="shared" si="607"/>
        <v>0</v>
      </c>
      <c r="AF613" s="29">
        <f t="shared" si="608"/>
        <v>0</v>
      </c>
      <c r="AG613" s="29">
        <f t="shared" si="609"/>
        <v>0</v>
      </c>
      <c r="AH613" s="29">
        <f t="shared" si="610"/>
        <v>0</v>
      </c>
      <c r="AI613" s="28" t="s">
        <v>2882</v>
      </c>
      <c r="AJ613" s="15">
        <f t="shared" si="611"/>
        <v>0</v>
      </c>
      <c r="AK613" s="15">
        <f t="shared" si="612"/>
        <v>0</v>
      </c>
      <c r="AL613" s="15">
        <f t="shared" si="613"/>
        <v>0</v>
      </c>
      <c r="AN613" s="29">
        <v>15</v>
      </c>
      <c r="AO613" s="29">
        <f>I613*0.277029330487255</f>
        <v>0</v>
      </c>
      <c r="AP613" s="29">
        <f>I613*(1-0.277029330487255)</f>
        <v>0</v>
      </c>
      <c r="AQ613" s="30" t="s">
        <v>13</v>
      </c>
      <c r="AV613" s="29">
        <f t="shared" si="614"/>
        <v>0</v>
      </c>
      <c r="AW613" s="29">
        <f t="shared" si="615"/>
        <v>0</v>
      </c>
      <c r="AX613" s="29">
        <f t="shared" si="616"/>
        <v>0</v>
      </c>
      <c r="AY613" s="32" t="s">
        <v>2923</v>
      </c>
      <c r="AZ613" s="32" t="s">
        <v>2946</v>
      </c>
      <c r="BA613" s="28" t="s">
        <v>2957</v>
      </c>
      <c r="BC613" s="29">
        <f t="shared" si="617"/>
        <v>0</v>
      </c>
      <c r="BD613" s="29">
        <f t="shared" si="618"/>
        <v>0</v>
      </c>
      <c r="BE613" s="29">
        <v>0</v>
      </c>
      <c r="BF613" s="29">
        <f>613</f>
        <v>613</v>
      </c>
      <c r="BH613" s="15">
        <f t="shared" si="619"/>
        <v>0</v>
      </c>
      <c r="BI613" s="15">
        <f t="shared" si="620"/>
        <v>0</v>
      </c>
      <c r="BJ613" s="15">
        <f t="shared" si="621"/>
        <v>0</v>
      </c>
      <c r="BK613" s="15" t="s">
        <v>2969</v>
      </c>
      <c r="BL613" s="29">
        <v>776</v>
      </c>
    </row>
    <row r="614" spans="1:64" ht="12.75">
      <c r="A614" s="6" t="s">
        <v>564</v>
      </c>
      <c r="B614" s="98" t="s">
        <v>1559</v>
      </c>
      <c r="C614" s="163" t="s">
        <v>2498</v>
      </c>
      <c r="D614" s="164"/>
      <c r="E614" s="164"/>
      <c r="F614" s="164"/>
      <c r="G614" s="98" t="s">
        <v>2849</v>
      </c>
      <c r="H614" s="76">
        <v>351.728</v>
      </c>
      <c r="I614" s="106">
        <v>0</v>
      </c>
      <c r="J614" s="16">
        <f t="shared" si="600"/>
        <v>0</v>
      </c>
      <c r="K614" s="16">
        <f t="shared" si="601"/>
        <v>0</v>
      </c>
      <c r="L614" s="16">
        <f t="shared" si="602"/>
        <v>0</v>
      </c>
      <c r="M614" s="26" t="s">
        <v>2872</v>
      </c>
      <c r="N614" s="5"/>
      <c r="Z614" s="29">
        <f t="shared" si="603"/>
        <v>0</v>
      </c>
      <c r="AB614" s="29">
        <f t="shared" si="604"/>
        <v>0</v>
      </c>
      <c r="AC614" s="29">
        <f t="shared" si="605"/>
        <v>0</v>
      </c>
      <c r="AD614" s="29">
        <f t="shared" si="606"/>
        <v>0</v>
      </c>
      <c r="AE614" s="29">
        <f t="shared" si="607"/>
        <v>0</v>
      </c>
      <c r="AF614" s="29">
        <f t="shared" si="608"/>
        <v>0</v>
      </c>
      <c r="AG614" s="29">
        <f t="shared" si="609"/>
        <v>0</v>
      </c>
      <c r="AH614" s="29">
        <f t="shared" si="610"/>
        <v>0</v>
      </c>
      <c r="AI614" s="28" t="s">
        <v>2882</v>
      </c>
      <c r="AJ614" s="16">
        <f t="shared" si="611"/>
        <v>0</v>
      </c>
      <c r="AK614" s="16">
        <f t="shared" si="612"/>
        <v>0</v>
      </c>
      <c r="AL614" s="16">
        <f t="shared" si="613"/>
        <v>0</v>
      </c>
      <c r="AN614" s="29">
        <v>15</v>
      </c>
      <c r="AO614" s="29">
        <f>I614*1</f>
        <v>0</v>
      </c>
      <c r="AP614" s="29">
        <f>I614*(1-1)</f>
        <v>0</v>
      </c>
      <c r="AQ614" s="31" t="s">
        <v>13</v>
      </c>
      <c r="AV614" s="29">
        <f t="shared" si="614"/>
        <v>0</v>
      </c>
      <c r="AW614" s="29">
        <f t="shared" si="615"/>
        <v>0</v>
      </c>
      <c r="AX614" s="29">
        <f t="shared" si="616"/>
        <v>0</v>
      </c>
      <c r="AY614" s="32" t="s">
        <v>2923</v>
      </c>
      <c r="AZ614" s="32" t="s">
        <v>2946</v>
      </c>
      <c r="BA614" s="28" t="s">
        <v>2957</v>
      </c>
      <c r="BC614" s="29">
        <f t="shared" si="617"/>
        <v>0</v>
      </c>
      <c r="BD614" s="29">
        <f t="shared" si="618"/>
        <v>0</v>
      </c>
      <c r="BE614" s="29">
        <v>0</v>
      </c>
      <c r="BF614" s="29">
        <f>614</f>
        <v>614</v>
      </c>
      <c r="BH614" s="16">
        <f t="shared" si="619"/>
        <v>0</v>
      </c>
      <c r="BI614" s="16">
        <f t="shared" si="620"/>
        <v>0</v>
      </c>
      <c r="BJ614" s="16">
        <f t="shared" si="621"/>
        <v>0</v>
      </c>
      <c r="BK614" s="16" t="s">
        <v>2970</v>
      </c>
      <c r="BL614" s="29">
        <v>776</v>
      </c>
    </row>
    <row r="615" spans="1:64" ht="12.75">
      <c r="A615" s="4" t="s">
        <v>565</v>
      </c>
      <c r="B615" s="94" t="s">
        <v>1560</v>
      </c>
      <c r="C615" s="152" t="s">
        <v>2499</v>
      </c>
      <c r="D615" s="153"/>
      <c r="E615" s="153"/>
      <c r="F615" s="153"/>
      <c r="G615" s="94" t="s">
        <v>2849</v>
      </c>
      <c r="H615" s="73">
        <v>1.8</v>
      </c>
      <c r="I615" s="105">
        <v>0</v>
      </c>
      <c r="J615" s="15">
        <f t="shared" si="600"/>
        <v>0</v>
      </c>
      <c r="K615" s="15">
        <f t="shared" si="601"/>
        <v>0</v>
      </c>
      <c r="L615" s="15">
        <f t="shared" si="602"/>
        <v>0</v>
      </c>
      <c r="M615" s="25" t="s">
        <v>2872</v>
      </c>
      <c r="N615" s="5"/>
      <c r="Z615" s="29">
        <f t="shared" si="603"/>
        <v>0</v>
      </c>
      <c r="AB615" s="29">
        <f t="shared" si="604"/>
        <v>0</v>
      </c>
      <c r="AC615" s="29">
        <f t="shared" si="605"/>
        <v>0</v>
      </c>
      <c r="AD615" s="29">
        <f t="shared" si="606"/>
        <v>0</v>
      </c>
      <c r="AE615" s="29">
        <f t="shared" si="607"/>
        <v>0</v>
      </c>
      <c r="AF615" s="29">
        <f t="shared" si="608"/>
        <v>0</v>
      </c>
      <c r="AG615" s="29">
        <f t="shared" si="609"/>
        <v>0</v>
      </c>
      <c r="AH615" s="29">
        <f t="shared" si="610"/>
        <v>0</v>
      </c>
      <c r="AI615" s="28" t="s">
        <v>2882</v>
      </c>
      <c r="AJ615" s="15">
        <f t="shared" si="611"/>
        <v>0</v>
      </c>
      <c r="AK615" s="15">
        <f t="shared" si="612"/>
        <v>0</v>
      </c>
      <c r="AL615" s="15">
        <f t="shared" si="613"/>
        <v>0</v>
      </c>
      <c r="AN615" s="29">
        <v>15</v>
      </c>
      <c r="AO615" s="29">
        <f>I615*0.99386082708778</f>
        <v>0</v>
      </c>
      <c r="AP615" s="29">
        <f>I615*(1-0.99386082708778)</f>
        <v>0</v>
      </c>
      <c r="AQ615" s="30" t="s">
        <v>13</v>
      </c>
      <c r="AV615" s="29">
        <f t="shared" si="614"/>
        <v>0</v>
      </c>
      <c r="AW615" s="29">
        <f t="shared" si="615"/>
        <v>0</v>
      </c>
      <c r="AX615" s="29">
        <f t="shared" si="616"/>
        <v>0</v>
      </c>
      <c r="AY615" s="32" t="s">
        <v>2923</v>
      </c>
      <c r="AZ615" s="32" t="s">
        <v>2946</v>
      </c>
      <c r="BA615" s="28" t="s">
        <v>2957</v>
      </c>
      <c r="BC615" s="29">
        <f t="shared" si="617"/>
        <v>0</v>
      </c>
      <c r="BD615" s="29">
        <f t="shared" si="618"/>
        <v>0</v>
      </c>
      <c r="BE615" s="29">
        <v>0</v>
      </c>
      <c r="BF615" s="29">
        <f>615</f>
        <v>615</v>
      </c>
      <c r="BH615" s="15">
        <f t="shared" si="619"/>
        <v>0</v>
      </c>
      <c r="BI615" s="15">
        <f t="shared" si="620"/>
        <v>0</v>
      </c>
      <c r="BJ615" s="15">
        <f t="shared" si="621"/>
        <v>0</v>
      </c>
      <c r="BK615" s="15" t="s">
        <v>2969</v>
      </c>
      <c r="BL615" s="29">
        <v>776</v>
      </c>
    </row>
    <row r="616" spans="1:64" ht="12.75">
      <c r="A616" s="4" t="s">
        <v>566</v>
      </c>
      <c r="B616" s="94" t="s">
        <v>1561</v>
      </c>
      <c r="C616" s="152" t="s">
        <v>2500</v>
      </c>
      <c r="D616" s="153"/>
      <c r="E616" s="153"/>
      <c r="F616" s="153"/>
      <c r="G616" s="94" t="s">
        <v>2851</v>
      </c>
      <c r="H616" s="73">
        <v>5.4</v>
      </c>
      <c r="I616" s="105">
        <v>0</v>
      </c>
      <c r="J616" s="15">
        <f t="shared" si="600"/>
        <v>0</v>
      </c>
      <c r="K616" s="15">
        <f t="shared" si="601"/>
        <v>0</v>
      </c>
      <c r="L616" s="15">
        <f t="shared" si="602"/>
        <v>0</v>
      </c>
      <c r="M616" s="25" t="s">
        <v>2872</v>
      </c>
      <c r="N616" s="5"/>
      <c r="Z616" s="29">
        <f t="shared" si="603"/>
        <v>0</v>
      </c>
      <c r="AB616" s="29">
        <f t="shared" si="604"/>
        <v>0</v>
      </c>
      <c r="AC616" s="29">
        <f t="shared" si="605"/>
        <v>0</v>
      </c>
      <c r="AD616" s="29">
        <f t="shared" si="606"/>
        <v>0</v>
      </c>
      <c r="AE616" s="29">
        <f t="shared" si="607"/>
        <v>0</v>
      </c>
      <c r="AF616" s="29">
        <f t="shared" si="608"/>
        <v>0</v>
      </c>
      <c r="AG616" s="29">
        <f t="shared" si="609"/>
        <v>0</v>
      </c>
      <c r="AH616" s="29">
        <f t="shared" si="610"/>
        <v>0</v>
      </c>
      <c r="AI616" s="28" t="s">
        <v>2882</v>
      </c>
      <c r="AJ616" s="15">
        <f t="shared" si="611"/>
        <v>0</v>
      </c>
      <c r="AK616" s="15">
        <f t="shared" si="612"/>
        <v>0</v>
      </c>
      <c r="AL616" s="15">
        <f t="shared" si="613"/>
        <v>0</v>
      </c>
      <c r="AN616" s="29">
        <v>15</v>
      </c>
      <c r="AO616" s="29">
        <f>I616*0.791354635859808</f>
        <v>0</v>
      </c>
      <c r="AP616" s="29">
        <f>I616*(1-0.791354635859808)</f>
        <v>0</v>
      </c>
      <c r="AQ616" s="30" t="s">
        <v>13</v>
      </c>
      <c r="AV616" s="29">
        <f t="shared" si="614"/>
        <v>0</v>
      </c>
      <c r="AW616" s="29">
        <f t="shared" si="615"/>
        <v>0</v>
      </c>
      <c r="AX616" s="29">
        <f t="shared" si="616"/>
        <v>0</v>
      </c>
      <c r="AY616" s="32" t="s">
        <v>2923</v>
      </c>
      <c r="AZ616" s="32" t="s">
        <v>2946</v>
      </c>
      <c r="BA616" s="28" t="s">
        <v>2957</v>
      </c>
      <c r="BC616" s="29">
        <f t="shared" si="617"/>
        <v>0</v>
      </c>
      <c r="BD616" s="29">
        <f t="shared" si="618"/>
        <v>0</v>
      </c>
      <c r="BE616" s="29">
        <v>0</v>
      </c>
      <c r="BF616" s="29">
        <f>616</f>
        <v>616</v>
      </c>
      <c r="BH616" s="15">
        <f t="shared" si="619"/>
        <v>0</v>
      </c>
      <c r="BI616" s="15">
        <f t="shared" si="620"/>
        <v>0</v>
      </c>
      <c r="BJ616" s="15">
        <f t="shared" si="621"/>
        <v>0</v>
      </c>
      <c r="BK616" s="15" t="s">
        <v>2969</v>
      </c>
      <c r="BL616" s="29">
        <v>776</v>
      </c>
    </row>
    <row r="617" spans="1:64" ht="12.75">
      <c r="A617" s="4" t="s">
        <v>567</v>
      </c>
      <c r="B617" s="94" t="s">
        <v>1562</v>
      </c>
      <c r="C617" s="152" t="s">
        <v>2501</v>
      </c>
      <c r="D617" s="153"/>
      <c r="E617" s="153"/>
      <c r="F617" s="153"/>
      <c r="G617" s="94" t="s">
        <v>2848</v>
      </c>
      <c r="H617" s="73">
        <v>3.457</v>
      </c>
      <c r="I617" s="105">
        <v>0</v>
      </c>
      <c r="J617" s="15">
        <f t="shared" si="600"/>
        <v>0</v>
      </c>
      <c r="K617" s="15">
        <f t="shared" si="601"/>
        <v>0</v>
      </c>
      <c r="L617" s="15">
        <f t="shared" si="602"/>
        <v>0</v>
      </c>
      <c r="M617" s="25" t="s">
        <v>2872</v>
      </c>
      <c r="N617" s="5"/>
      <c r="Z617" s="29">
        <f t="shared" si="603"/>
        <v>0</v>
      </c>
      <c r="AB617" s="29">
        <f t="shared" si="604"/>
        <v>0</v>
      </c>
      <c r="AC617" s="29">
        <f t="shared" si="605"/>
        <v>0</v>
      </c>
      <c r="AD617" s="29">
        <f t="shared" si="606"/>
        <v>0</v>
      </c>
      <c r="AE617" s="29">
        <f t="shared" si="607"/>
        <v>0</v>
      </c>
      <c r="AF617" s="29">
        <f t="shared" si="608"/>
        <v>0</v>
      </c>
      <c r="AG617" s="29">
        <f t="shared" si="609"/>
        <v>0</v>
      </c>
      <c r="AH617" s="29">
        <f t="shared" si="610"/>
        <v>0</v>
      </c>
      <c r="AI617" s="28" t="s">
        <v>2882</v>
      </c>
      <c r="AJ617" s="15">
        <f t="shared" si="611"/>
        <v>0</v>
      </c>
      <c r="AK617" s="15">
        <f t="shared" si="612"/>
        <v>0</v>
      </c>
      <c r="AL617" s="15">
        <f t="shared" si="613"/>
        <v>0</v>
      </c>
      <c r="AN617" s="29">
        <v>15</v>
      </c>
      <c r="AO617" s="29">
        <f>I617*0</f>
        <v>0</v>
      </c>
      <c r="AP617" s="29">
        <f>I617*(1-0)</f>
        <v>0</v>
      </c>
      <c r="AQ617" s="30" t="s">
        <v>11</v>
      </c>
      <c r="AV617" s="29">
        <f t="shared" si="614"/>
        <v>0</v>
      </c>
      <c r="AW617" s="29">
        <f t="shared" si="615"/>
        <v>0</v>
      </c>
      <c r="AX617" s="29">
        <f t="shared" si="616"/>
        <v>0</v>
      </c>
      <c r="AY617" s="32" t="s">
        <v>2923</v>
      </c>
      <c r="AZ617" s="32" t="s">
        <v>2946</v>
      </c>
      <c r="BA617" s="28" t="s">
        <v>2957</v>
      </c>
      <c r="BC617" s="29">
        <f t="shared" si="617"/>
        <v>0</v>
      </c>
      <c r="BD617" s="29">
        <f t="shared" si="618"/>
        <v>0</v>
      </c>
      <c r="BE617" s="29">
        <v>0</v>
      </c>
      <c r="BF617" s="29">
        <f>617</f>
        <v>617</v>
      </c>
      <c r="BH617" s="15">
        <f t="shared" si="619"/>
        <v>0</v>
      </c>
      <c r="BI617" s="15">
        <f t="shared" si="620"/>
        <v>0</v>
      </c>
      <c r="BJ617" s="15">
        <f t="shared" si="621"/>
        <v>0</v>
      </c>
      <c r="BK617" s="15" t="s">
        <v>2969</v>
      </c>
      <c r="BL617" s="29">
        <v>776</v>
      </c>
    </row>
    <row r="618" spans="1:47" ht="12.75">
      <c r="A618" s="3"/>
      <c r="B618" s="97" t="s">
        <v>787</v>
      </c>
      <c r="C618" s="161" t="s">
        <v>2502</v>
      </c>
      <c r="D618" s="162"/>
      <c r="E618" s="162"/>
      <c r="F618" s="162"/>
      <c r="G618" s="13" t="s">
        <v>6</v>
      </c>
      <c r="H618" s="13" t="s">
        <v>6</v>
      </c>
      <c r="I618" s="13" t="s">
        <v>6</v>
      </c>
      <c r="J618" s="34">
        <f>SUM(J619:J632)</f>
        <v>0</v>
      </c>
      <c r="K618" s="34">
        <f>SUM(K619:K632)</f>
        <v>0</v>
      </c>
      <c r="L618" s="34">
        <f>SUM(L619:L632)</f>
        <v>0</v>
      </c>
      <c r="M618" s="24"/>
      <c r="N618" s="5"/>
      <c r="AI618" s="28" t="s">
        <v>2882</v>
      </c>
      <c r="AS618" s="34">
        <f>SUM(AJ619:AJ632)</f>
        <v>0</v>
      </c>
      <c r="AT618" s="34">
        <f>SUM(AK619:AK632)</f>
        <v>0</v>
      </c>
      <c r="AU618" s="34">
        <f>SUM(AL619:AL632)</f>
        <v>0</v>
      </c>
    </row>
    <row r="619" spans="1:64" ht="12.75">
      <c r="A619" s="4" t="s">
        <v>568</v>
      </c>
      <c r="B619" s="94" t="s">
        <v>1563</v>
      </c>
      <c r="C619" s="152" t="s">
        <v>2503</v>
      </c>
      <c r="D619" s="153"/>
      <c r="E619" s="153"/>
      <c r="F619" s="153"/>
      <c r="G619" s="94" t="s">
        <v>2849</v>
      </c>
      <c r="H619" s="73">
        <v>61.499</v>
      </c>
      <c r="I619" s="105">
        <v>0</v>
      </c>
      <c r="J619" s="15">
        <f aca="true" t="shared" si="622" ref="J619:J632">H619*AO619</f>
        <v>0</v>
      </c>
      <c r="K619" s="15">
        <f aca="true" t="shared" si="623" ref="K619:K632">H619*AP619</f>
        <v>0</v>
      </c>
      <c r="L619" s="15">
        <f aca="true" t="shared" si="624" ref="L619:L632">H619*I619</f>
        <v>0</v>
      </c>
      <c r="M619" s="25" t="s">
        <v>2872</v>
      </c>
      <c r="N619" s="5"/>
      <c r="Z619" s="29">
        <f aca="true" t="shared" si="625" ref="Z619:Z632">IF(AQ619="5",BJ619,0)</f>
        <v>0</v>
      </c>
      <c r="AB619" s="29">
        <f aca="true" t="shared" si="626" ref="AB619:AB632">IF(AQ619="1",BH619,0)</f>
        <v>0</v>
      </c>
      <c r="AC619" s="29">
        <f aca="true" t="shared" si="627" ref="AC619:AC632">IF(AQ619="1",BI619,0)</f>
        <v>0</v>
      </c>
      <c r="AD619" s="29">
        <f aca="true" t="shared" si="628" ref="AD619:AD632">IF(AQ619="7",BH619,0)</f>
        <v>0</v>
      </c>
      <c r="AE619" s="29">
        <f aca="true" t="shared" si="629" ref="AE619:AE632">IF(AQ619="7",BI619,0)</f>
        <v>0</v>
      </c>
      <c r="AF619" s="29">
        <f aca="true" t="shared" si="630" ref="AF619:AF632">IF(AQ619="2",BH619,0)</f>
        <v>0</v>
      </c>
      <c r="AG619" s="29">
        <f aca="true" t="shared" si="631" ref="AG619:AG632">IF(AQ619="2",BI619,0)</f>
        <v>0</v>
      </c>
      <c r="AH619" s="29">
        <f aca="true" t="shared" si="632" ref="AH619:AH632">IF(AQ619="0",BJ619,0)</f>
        <v>0</v>
      </c>
      <c r="AI619" s="28" t="s">
        <v>2882</v>
      </c>
      <c r="AJ619" s="15">
        <f aca="true" t="shared" si="633" ref="AJ619:AJ632">IF(AN619=0,L619,0)</f>
        <v>0</v>
      </c>
      <c r="AK619" s="15">
        <f aca="true" t="shared" si="634" ref="AK619:AK632">IF(AN619=15,L619,0)</f>
        <v>0</v>
      </c>
      <c r="AL619" s="15">
        <f aca="true" t="shared" si="635" ref="AL619:AL632">IF(AN619=21,L619,0)</f>
        <v>0</v>
      </c>
      <c r="AN619" s="29">
        <v>15</v>
      </c>
      <c r="AO619" s="29">
        <f>I619*0</f>
        <v>0</v>
      </c>
      <c r="AP619" s="29">
        <f>I619*(1-0)</f>
        <v>0</v>
      </c>
      <c r="AQ619" s="30" t="s">
        <v>13</v>
      </c>
      <c r="AV619" s="29">
        <f aca="true" t="shared" si="636" ref="AV619:AV632">AW619+AX619</f>
        <v>0</v>
      </c>
      <c r="AW619" s="29">
        <f aca="true" t="shared" si="637" ref="AW619:AW632">H619*AO619</f>
        <v>0</v>
      </c>
      <c r="AX619" s="29">
        <f aca="true" t="shared" si="638" ref="AX619:AX632">H619*AP619</f>
        <v>0</v>
      </c>
      <c r="AY619" s="32" t="s">
        <v>2924</v>
      </c>
      <c r="AZ619" s="32" t="s">
        <v>2947</v>
      </c>
      <c r="BA619" s="28" t="s">
        <v>2957</v>
      </c>
      <c r="BC619" s="29">
        <f aca="true" t="shared" si="639" ref="BC619:BC632">AW619+AX619</f>
        <v>0</v>
      </c>
      <c r="BD619" s="29">
        <f aca="true" t="shared" si="640" ref="BD619:BD632">I619/(100-BE619)*100</f>
        <v>0</v>
      </c>
      <c r="BE619" s="29">
        <v>0</v>
      </c>
      <c r="BF619" s="29">
        <f>619</f>
        <v>619</v>
      </c>
      <c r="BH619" s="15">
        <f aca="true" t="shared" si="641" ref="BH619:BH632">H619*AO619</f>
        <v>0</v>
      </c>
      <c r="BI619" s="15">
        <f aca="true" t="shared" si="642" ref="BI619:BI632">H619*AP619</f>
        <v>0</v>
      </c>
      <c r="BJ619" s="15">
        <f aca="true" t="shared" si="643" ref="BJ619:BJ632">H619*I619</f>
        <v>0</v>
      </c>
      <c r="BK619" s="15" t="s">
        <v>2969</v>
      </c>
      <c r="BL619" s="29">
        <v>781</v>
      </c>
    </row>
    <row r="620" spans="1:64" ht="12.75">
      <c r="A620" s="4" t="s">
        <v>569</v>
      </c>
      <c r="B620" s="94" t="s">
        <v>1564</v>
      </c>
      <c r="C620" s="152" t="s">
        <v>2504</v>
      </c>
      <c r="D620" s="153"/>
      <c r="E620" s="153"/>
      <c r="F620" s="153"/>
      <c r="G620" s="94" t="s">
        <v>2849</v>
      </c>
      <c r="H620" s="73">
        <v>199.687</v>
      </c>
      <c r="I620" s="105">
        <v>0</v>
      </c>
      <c r="J620" s="15">
        <f t="shared" si="622"/>
        <v>0</v>
      </c>
      <c r="K620" s="15">
        <f t="shared" si="623"/>
        <v>0</v>
      </c>
      <c r="L620" s="15">
        <f t="shared" si="624"/>
        <v>0</v>
      </c>
      <c r="M620" s="25" t="s">
        <v>2872</v>
      </c>
      <c r="N620" s="5"/>
      <c r="Z620" s="29">
        <f t="shared" si="625"/>
        <v>0</v>
      </c>
      <c r="AB620" s="29">
        <f t="shared" si="626"/>
        <v>0</v>
      </c>
      <c r="AC620" s="29">
        <f t="shared" si="627"/>
        <v>0</v>
      </c>
      <c r="AD620" s="29">
        <f t="shared" si="628"/>
        <v>0</v>
      </c>
      <c r="AE620" s="29">
        <f t="shared" si="629"/>
        <v>0</v>
      </c>
      <c r="AF620" s="29">
        <f t="shared" si="630"/>
        <v>0</v>
      </c>
      <c r="AG620" s="29">
        <f t="shared" si="631"/>
        <v>0</v>
      </c>
      <c r="AH620" s="29">
        <f t="shared" si="632"/>
        <v>0</v>
      </c>
      <c r="AI620" s="28" t="s">
        <v>2882</v>
      </c>
      <c r="AJ620" s="15">
        <f t="shared" si="633"/>
        <v>0</v>
      </c>
      <c r="AK620" s="15">
        <f t="shared" si="634"/>
        <v>0</v>
      </c>
      <c r="AL620" s="15">
        <f t="shared" si="635"/>
        <v>0</v>
      </c>
      <c r="AN620" s="29">
        <v>15</v>
      </c>
      <c r="AO620" s="29">
        <f>I620*0.496905520064237</f>
        <v>0</v>
      </c>
      <c r="AP620" s="29">
        <f>I620*(1-0.496905520064237)</f>
        <v>0</v>
      </c>
      <c r="AQ620" s="30" t="s">
        <v>13</v>
      </c>
      <c r="AV620" s="29">
        <f t="shared" si="636"/>
        <v>0</v>
      </c>
      <c r="AW620" s="29">
        <f t="shared" si="637"/>
        <v>0</v>
      </c>
      <c r="AX620" s="29">
        <f t="shared" si="638"/>
        <v>0</v>
      </c>
      <c r="AY620" s="32" t="s">
        <v>2924</v>
      </c>
      <c r="AZ620" s="32" t="s">
        <v>2947</v>
      </c>
      <c r="BA620" s="28" t="s">
        <v>2957</v>
      </c>
      <c r="BC620" s="29">
        <f t="shared" si="639"/>
        <v>0</v>
      </c>
      <c r="BD620" s="29">
        <f t="shared" si="640"/>
        <v>0</v>
      </c>
      <c r="BE620" s="29">
        <v>0</v>
      </c>
      <c r="BF620" s="29">
        <f>620</f>
        <v>620</v>
      </c>
      <c r="BH620" s="15">
        <f t="shared" si="641"/>
        <v>0</v>
      </c>
      <c r="BI620" s="15">
        <f t="shared" si="642"/>
        <v>0</v>
      </c>
      <c r="BJ620" s="15">
        <f t="shared" si="643"/>
        <v>0</v>
      </c>
      <c r="BK620" s="15" t="s">
        <v>2969</v>
      </c>
      <c r="BL620" s="29">
        <v>781</v>
      </c>
    </row>
    <row r="621" spans="1:64" ht="12.75">
      <c r="A621" s="4" t="s">
        <v>570</v>
      </c>
      <c r="B621" s="94" t="s">
        <v>1565</v>
      </c>
      <c r="C621" s="152" t="s">
        <v>2505</v>
      </c>
      <c r="D621" s="153"/>
      <c r="E621" s="153"/>
      <c r="F621" s="153"/>
      <c r="G621" s="94" t="s">
        <v>2849</v>
      </c>
      <c r="H621" s="73">
        <v>1.356</v>
      </c>
      <c r="I621" s="105">
        <v>0</v>
      </c>
      <c r="J621" s="15">
        <f t="shared" si="622"/>
        <v>0</v>
      </c>
      <c r="K621" s="15">
        <f t="shared" si="623"/>
        <v>0</v>
      </c>
      <c r="L621" s="15">
        <f t="shared" si="624"/>
        <v>0</v>
      </c>
      <c r="M621" s="25" t="s">
        <v>2872</v>
      </c>
      <c r="N621" s="5"/>
      <c r="Z621" s="29">
        <f t="shared" si="625"/>
        <v>0</v>
      </c>
      <c r="AB621" s="29">
        <f t="shared" si="626"/>
        <v>0</v>
      </c>
      <c r="AC621" s="29">
        <f t="shared" si="627"/>
        <v>0</v>
      </c>
      <c r="AD621" s="29">
        <f t="shared" si="628"/>
        <v>0</v>
      </c>
      <c r="AE621" s="29">
        <f t="shared" si="629"/>
        <v>0</v>
      </c>
      <c r="AF621" s="29">
        <f t="shared" si="630"/>
        <v>0</v>
      </c>
      <c r="AG621" s="29">
        <f t="shared" si="631"/>
        <v>0</v>
      </c>
      <c r="AH621" s="29">
        <f t="shared" si="632"/>
        <v>0</v>
      </c>
      <c r="AI621" s="28" t="s">
        <v>2882</v>
      </c>
      <c r="AJ621" s="15">
        <f t="shared" si="633"/>
        <v>0</v>
      </c>
      <c r="AK621" s="15">
        <f t="shared" si="634"/>
        <v>0</v>
      </c>
      <c r="AL621" s="15">
        <f t="shared" si="635"/>
        <v>0</v>
      </c>
      <c r="AN621" s="29">
        <v>15</v>
      </c>
      <c r="AO621" s="29">
        <f>I621*0</f>
        <v>0</v>
      </c>
      <c r="AP621" s="29">
        <f>I621*(1-0)</f>
        <v>0</v>
      </c>
      <c r="AQ621" s="30" t="s">
        <v>13</v>
      </c>
      <c r="AV621" s="29">
        <f t="shared" si="636"/>
        <v>0</v>
      </c>
      <c r="AW621" s="29">
        <f t="shared" si="637"/>
        <v>0</v>
      </c>
      <c r="AX621" s="29">
        <f t="shared" si="638"/>
        <v>0</v>
      </c>
      <c r="AY621" s="32" t="s">
        <v>2924</v>
      </c>
      <c r="AZ621" s="32" t="s">
        <v>2947</v>
      </c>
      <c r="BA621" s="28" t="s">
        <v>2957</v>
      </c>
      <c r="BC621" s="29">
        <f t="shared" si="639"/>
        <v>0</v>
      </c>
      <c r="BD621" s="29">
        <f t="shared" si="640"/>
        <v>0</v>
      </c>
      <c r="BE621" s="29">
        <v>0</v>
      </c>
      <c r="BF621" s="29">
        <f>621</f>
        <v>621</v>
      </c>
      <c r="BH621" s="15">
        <f t="shared" si="641"/>
        <v>0</v>
      </c>
      <c r="BI621" s="15">
        <f t="shared" si="642"/>
        <v>0</v>
      </c>
      <c r="BJ621" s="15">
        <f t="shared" si="643"/>
        <v>0</v>
      </c>
      <c r="BK621" s="15" t="s">
        <v>2969</v>
      </c>
      <c r="BL621" s="29">
        <v>781</v>
      </c>
    </row>
    <row r="622" spans="1:64" ht="12.75">
      <c r="A622" s="4" t="s">
        <v>571</v>
      </c>
      <c r="B622" s="94" t="s">
        <v>1566</v>
      </c>
      <c r="C622" s="152" t="s">
        <v>2506</v>
      </c>
      <c r="D622" s="153"/>
      <c r="E622" s="153"/>
      <c r="F622" s="153"/>
      <c r="G622" s="94" t="s">
        <v>2849</v>
      </c>
      <c r="H622" s="73">
        <v>2.665</v>
      </c>
      <c r="I622" s="105">
        <v>0</v>
      </c>
      <c r="J622" s="15">
        <f t="shared" si="622"/>
        <v>0</v>
      </c>
      <c r="K622" s="15">
        <f t="shared" si="623"/>
        <v>0</v>
      </c>
      <c r="L622" s="15">
        <f t="shared" si="624"/>
        <v>0</v>
      </c>
      <c r="M622" s="25" t="s">
        <v>2872</v>
      </c>
      <c r="N622" s="5"/>
      <c r="Z622" s="29">
        <f t="shared" si="625"/>
        <v>0</v>
      </c>
      <c r="AB622" s="29">
        <f t="shared" si="626"/>
        <v>0</v>
      </c>
      <c r="AC622" s="29">
        <f t="shared" si="627"/>
        <v>0</v>
      </c>
      <c r="AD622" s="29">
        <f t="shared" si="628"/>
        <v>0</v>
      </c>
      <c r="AE622" s="29">
        <f t="shared" si="629"/>
        <v>0</v>
      </c>
      <c r="AF622" s="29">
        <f t="shared" si="630"/>
        <v>0</v>
      </c>
      <c r="AG622" s="29">
        <f t="shared" si="631"/>
        <v>0</v>
      </c>
      <c r="AH622" s="29">
        <f t="shared" si="632"/>
        <v>0</v>
      </c>
      <c r="AI622" s="28" t="s">
        <v>2882</v>
      </c>
      <c r="AJ622" s="15">
        <f t="shared" si="633"/>
        <v>0</v>
      </c>
      <c r="AK622" s="15">
        <f t="shared" si="634"/>
        <v>0</v>
      </c>
      <c r="AL622" s="15">
        <f t="shared" si="635"/>
        <v>0</v>
      </c>
      <c r="AN622" s="29">
        <v>15</v>
      </c>
      <c r="AO622" s="29">
        <f>I622*0</f>
        <v>0</v>
      </c>
      <c r="AP622" s="29">
        <f>I622*(1-0)</f>
        <v>0</v>
      </c>
      <c r="AQ622" s="30" t="s">
        <v>13</v>
      </c>
      <c r="AV622" s="29">
        <f t="shared" si="636"/>
        <v>0</v>
      </c>
      <c r="AW622" s="29">
        <f t="shared" si="637"/>
        <v>0</v>
      </c>
      <c r="AX622" s="29">
        <f t="shared" si="638"/>
        <v>0</v>
      </c>
      <c r="AY622" s="32" t="s">
        <v>2924</v>
      </c>
      <c r="AZ622" s="32" t="s">
        <v>2947</v>
      </c>
      <c r="BA622" s="28" t="s">
        <v>2957</v>
      </c>
      <c r="BC622" s="29">
        <f t="shared" si="639"/>
        <v>0</v>
      </c>
      <c r="BD622" s="29">
        <f t="shared" si="640"/>
        <v>0</v>
      </c>
      <c r="BE622" s="29">
        <v>0</v>
      </c>
      <c r="BF622" s="29">
        <f>622</f>
        <v>622</v>
      </c>
      <c r="BH622" s="15">
        <f t="shared" si="641"/>
        <v>0</v>
      </c>
      <c r="BI622" s="15">
        <f t="shared" si="642"/>
        <v>0</v>
      </c>
      <c r="BJ622" s="15">
        <f t="shared" si="643"/>
        <v>0</v>
      </c>
      <c r="BK622" s="15" t="s">
        <v>2969</v>
      </c>
      <c r="BL622" s="29">
        <v>781</v>
      </c>
    </row>
    <row r="623" spans="1:64" ht="12.75">
      <c r="A623" s="4" t="s">
        <v>572</v>
      </c>
      <c r="B623" s="94" t="s">
        <v>1567</v>
      </c>
      <c r="C623" s="152" t="s">
        <v>2507</v>
      </c>
      <c r="D623" s="153"/>
      <c r="E623" s="153"/>
      <c r="F623" s="153"/>
      <c r="G623" s="94" t="s">
        <v>2849</v>
      </c>
      <c r="H623" s="73">
        <v>185.49</v>
      </c>
      <c r="I623" s="105">
        <v>0</v>
      </c>
      <c r="J623" s="15">
        <f t="shared" si="622"/>
        <v>0</v>
      </c>
      <c r="K623" s="15">
        <f t="shared" si="623"/>
        <v>0</v>
      </c>
      <c r="L623" s="15">
        <f t="shared" si="624"/>
        <v>0</v>
      </c>
      <c r="M623" s="25" t="s">
        <v>2872</v>
      </c>
      <c r="N623" s="5"/>
      <c r="Z623" s="29">
        <f t="shared" si="625"/>
        <v>0</v>
      </c>
      <c r="AB623" s="29">
        <f t="shared" si="626"/>
        <v>0</v>
      </c>
      <c r="AC623" s="29">
        <f t="shared" si="627"/>
        <v>0</v>
      </c>
      <c r="AD623" s="29">
        <f t="shared" si="628"/>
        <v>0</v>
      </c>
      <c r="AE623" s="29">
        <f t="shared" si="629"/>
        <v>0</v>
      </c>
      <c r="AF623" s="29">
        <f t="shared" si="630"/>
        <v>0</v>
      </c>
      <c r="AG623" s="29">
        <f t="shared" si="631"/>
        <v>0</v>
      </c>
      <c r="AH623" s="29">
        <f t="shared" si="632"/>
        <v>0</v>
      </c>
      <c r="AI623" s="28" t="s">
        <v>2882</v>
      </c>
      <c r="AJ623" s="15">
        <f t="shared" si="633"/>
        <v>0</v>
      </c>
      <c r="AK623" s="15">
        <f t="shared" si="634"/>
        <v>0</v>
      </c>
      <c r="AL623" s="15">
        <f t="shared" si="635"/>
        <v>0</v>
      </c>
      <c r="AN623" s="29">
        <v>15</v>
      </c>
      <c r="AO623" s="29">
        <f>I623*0.189655453048786</f>
        <v>0</v>
      </c>
      <c r="AP623" s="29">
        <f>I623*(1-0.189655453048786)</f>
        <v>0</v>
      </c>
      <c r="AQ623" s="30" t="s">
        <v>13</v>
      </c>
      <c r="AV623" s="29">
        <f t="shared" si="636"/>
        <v>0</v>
      </c>
      <c r="AW623" s="29">
        <f t="shared" si="637"/>
        <v>0</v>
      </c>
      <c r="AX623" s="29">
        <f t="shared" si="638"/>
        <v>0</v>
      </c>
      <c r="AY623" s="32" t="s">
        <v>2924</v>
      </c>
      <c r="AZ623" s="32" t="s">
        <v>2947</v>
      </c>
      <c r="BA623" s="28" t="s">
        <v>2957</v>
      </c>
      <c r="BC623" s="29">
        <f t="shared" si="639"/>
        <v>0</v>
      </c>
      <c r="BD623" s="29">
        <f t="shared" si="640"/>
        <v>0</v>
      </c>
      <c r="BE623" s="29">
        <v>0</v>
      </c>
      <c r="BF623" s="29">
        <f>623</f>
        <v>623</v>
      </c>
      <c r="BH623" s="15">
        <f t="shared" si="641"/>
        <v>0</v>
      </c>
      <c r="BI623" s="15">
        <f t="shared" si="642"/>
        <v>0</v>
      </c>
      <c r="BJ623" s="15">
        <f t="shared" si="643"/>
        <v>0</v>
      </c>
      <c r="BK623" s="15" t="s">
        <v>2969</v>
      </c>
      <c r="BL623" s="29">
        <v>781</v>
      </c>
    </row>
    <row r="624" spans="1:64" ht="12.75">
      <c r="A624" s="6" t="s">
        <v>573</v>
      </c>
      <c r="B624" s="98" t="s">
        <v>1568</v>
      </c>
      <c r="C624" s="163" t="s">
        <v>2508</v>
      </c>
      <c r="D624" s="164"/>
      <c r="E624" s="164"/>
      <c r="F624" s="164"/>
      <c r="G624" s="98" t="s">
        <v>2849</v>
      </c>
      <c r="H624" s="76">
        <v>194.765</v>
      </c>
      <c r="I624" s="106">
        <v>0</v>
      </c>
      <c r="J624" s="16">
        <f t="shared" si="622"/>
        <v>0</v>
      </c>
      <c r="K624" s="16">
        <f t="shared" si="623"/>
        <v>0</v>
      </c>
      <c r="L624" s="16">
        <f t="shared" si="624"/>
        <v>0</v>
      </c>
      <c r="M624" s="26" t="s">
        <v>2872</v>
      </c>
      <c r="N624" s="5"/>
      <c r="Z624" s="29">
        <f t="shared" si="625"/>
        <v>0</v>
      </c>
      <c r="AB624" s="29">
        <f t="shared" si="626"/>
        <v>0</v>
      </c>
      <c r="AC624" s="29">
        <f t="shared" si="627"/>
        <v>0</v>
      </c>
      <c r="AD624" s="29">
        <f t="shared" si="628"/>
        <v>0</v>
      </c>
      <c r="AE624" s="29">
        <f t="shared" si="629"/>
        <v>0</v>
      </c>
      <c r="AF624" s="29">
        <f t="shared" si="630"/>
        <v>0</v>
      </c>
      <c r="AG624" s="29">
        <f t="shared" si="631"/>
        <v>0</v>
      </c>
      <c r="AH624" s="29">
        <f t="shared" si="632"/>
        <v>0</v>
      </c>
      <c r="AI624" s="28" t="s">
        <v>2882</v>
      </c>
      <c r="AJ624" s="16">
        <f t="shared" si="633"/>
        <v>0</v>
      </c>
      <c r="AK624" s="16">
        <f t="shared" si="634"/>
        <v>0</v>
      </c>
      <c r="AL624" s="16">
        <f t="shared" si="635"/>
        <v>0</v>
      </c>
      <c r="AN624" s="29">
        <v>15</v>
      </c>
      <c r="AO624" s="29">
        <f>I624*1</f>
        <v>0</v>
      </c>
      <c r="AP624" s="29">
        <f>I624*(1-1)</f>
        <v>0</v>
      </c>
      <c r="AQ624" s="31" t="s">
        <v>13</v>
      </c>
      <c r="AV624" s="29">
        <f t="shared" si="636"/>
        <v>0</v>
      </c>
      <c r="AW624" s="29">
        <f t="shared" si="637"/>
        <v>0</v>
      </c>
      <c r="AX624" s="29">
        <f t="shared" si="638"/>
        <v>0</v>
      </c>
      <c r="AY624" s="32" t="s">
        <v>2924</v>
      </c>
      <c r="AZ624" s="32" t="s">
        <v>2947</v>
      </c>
      <c r="BA624" s="28" t="s">
        <v>2957</v>
      </c>
      <c r="BC624" s="29">
        <f t="shared" si="639"/>
        <v>0</v>
      </c>
      <c r="BD624" s="29">
        <f t="shared" si="640"/>
        <v>0</v>
      </c>
      <c r="BE624" s="29">
        <v>0</v>
      </c>
      <c r="BF624" s="29">
        <f>624</f>
        <v>624</v>
      </c>
      <c r="BH624" s="16">
        <f t="shared" si="641"/>
        <v>0</v>
      </c>
      <c r="BI624" s="16">
        <f t="shared" si="642"/>
        <v>0</v>
      </c>
      <c r="BJ624" s="16">
        <f t="shared" si="643"/>
        <v>0</v>
      </c>
      <c r="BK624" s="16" t="s">
        <v>2970</v>
      </c>
      <c r="BL624" s="29">
        <v>781</v>
      </c>
    </row>
    <row r="625" spans="1:64" ht="12.75">
      <c r="A625" s="6" t="s">
        <v>574</v>
      </c>
      <c r="B625" s="98" t="s">
        <v>1569</v>
      </c>
      <c r="C625" s="163" t="s">
        <v>2509</v>
      </c>
      <c r="D625" s="164"/>
      <c r="E625" s="164"/>
      <c r="F625" s="164"/>
      <c r="G625" s="98" t="s">
        <v>2851</v>
      </c>
      <c r="H625" s="76">
        <v>98.137</v>
      </c>
      <c r="I625" s="106">
        <v>0</v>
      </c>
      <c r="J625" s="16">
        <f t="shared" si="622"/>
        <v>0</v>
      </c>
      <c r="K625" s="16">
        <f t="shared" si="623"/>
        <v>0</v>
      </c>
      <c r="L625" s="16">
        <f t="shared" si="624"/>
        <v>0</v>
      </c>
      <c r="M625" s="26" t="s">
        <v>2872</v>
      </c>
      <c r="N625" s="5"/>
      <c r="Z625" s="29">
        <f t="shared" si="625"/>
        <v>0</v>
      </c>
      <c r="AB625" s="29">
        <f t="shared" si="626"/>
        <v>0</v>
      </c>
      <c r="AC625" s="29">
        <f t="shared" si="627"/>
        <v>0</v>
      </c>
      <c r="AD625" s="29">
        <f t="shared" si="628"/>
        <v>0</v>
      </c>
      <c r="AE625" s="29">
        <f t="shared" si="629"/>
        <v>0</v>
      </c>
      <c r="AF625" s="29">
        <f t="shared" si="630"/>
        <v>0</v>
      </c>
      <c r="AG625" s="29">
        <f t="shared" si="631"/>
        <v>0</v>
      </c>
      <c r="AH625" s="29">
        <f t="shared" si="632"/>
        <v>0</v>
      </c>
      <c r="AI625" s="28" t="s">
        <v>2882</v>
      </c>
      <c r="AJ625" s="16">
        <f t="shared" si="633"/>
        <v>0</v>
      </c>
      <c r="AK625" s="16">
        <f t="shared" si="634"/>
        <v>0</v>
      </c>
      <c r="AL625" s="16">
        <f t="shared" si="635"/>
        <v>0</v>
      </c>
      <c r="AN625" s="29">
        <v>15</v>
      </c>
      <c r="AO625" s="29">
        <f>I625*1</f>
        <v>0</v>
      </c>
      <c r="AP625" s="29">
        <f>I625*(1-1)</f>
        <v>0</v>
      </c>
      <c r="AQ625" s="31" t="s">
        <v>13</v>
      </c>
      <c r="AV625" s="29">
        <f t="shared" si="636"/>
        <v>0</v>
      </c>
      <c r="AW625" s="29">
        <f t="shared" si="637"/>
        <v>0</v>
      </c>
      <c r="AX625" s="29">
        <f t="shared" si="638"/>
        <v>0</v>
      </c>
      <c r="AY625" s="32" t="s">
        <v>2924</v>
      </c>
      <c r="AZ625" s="32" t="s">
        <v>2947</v>
      </c>
      <c r="BA625" s="28" t="s">
        <v>2957</v>
      </c>
      <c r="BC625" s="29">
        <f t="shared" si="639"/>
        <v>0</v>
      </c>
      <c r="BD625" s="29">
        <f t="shared" si="640"/>
        <v>0</v>
      </c>
      <c r="BE625" s="29">
        <v>0</v>
      </c>
      <c r="BF625" s="29">
        <f>625</f>
        <v>625</v>
      </c>
      <c r="BH625" s="16">
        <f t="shared" si="641"/>
        <v>0</v>
      </c>
      <c r="BI625" s="16">
        <f t="shared" si="642"/>
        <v>0</v>
      </c>
      <c r="BJ625" s="16">
        <f t="shared" si="643"/>
        <v>0</v>
      </c>
      <c r="BK625" s="16" t="s">
        <v>2970</v>
      </c>
      <c r="BL625" s="29">
        <v>781</v>
      </c>
    </row>
    <row r="626" spans="1:64" ht="12.75">
      <c r="A626" s="4" t="s">
        <v>575</v>
      </c>
      <c r="B626" s="94" t="s">
        <v>1567</v>
      </c>
      <c r="C626" s="152" t="s">
        <v>2510</v>
      </c>
      <c r="D626" s="153"/>
      <c r="E626" s="153"/>
      <c r="F626" s="153"/>
      <c r="G626" s="94" t="s">
        <v>2849</v>
      </c>
      <c r="H626" s="73">
        <v>10.176</v>
      </c>
      <c r="I626" s="105">
        <v>0</v>
      </c>
      <c r="J626" s="15">
        <f t="shared" si="622"/>
        <v>0</v>
      </c>
      <c r="K626" s="15">
        <f t="shared" si="623"/>
        <v>0</v>
      </c>
      <c r="L626" s="15">
        <f t="shared" si="624"/>
        <v>0</v>
      </c>
      <c r="M626" s="25" t="s">
        <v>2872</v>
      </c>
      <c r="N626" s="5"/>
      <c r="Z626" s="29">
        <f t="shared" si="625"/>
        <v>0</v>
      </c>
      <c r="AB626" s="29">
        <f t="shared" si="626"/>
        <v>0</v>
      </c>
      <c r="AC626" s="29">
        <f t="shared" si="627"/>
        <v>0</v>
      </c>
      <c r="AD626" s="29">
        <f t="shared" si="628"/>
        <v>0</v>
      </c>
      <c r="AE626" s="29">
        <f t="shared" si="629"/>
        <v>0</v>
      </c>
      <c r="AF626" s="29">
        <f t="shared" si="630"/>
        <v>0</v>
      </c>
      <c r="AG626" s="29">
        <f t="shared" si="631"/>
        <v>0</v>
      </c>
      <c r="AH626" s="29">
        <f t="shared" si="632"/>
        <v>0</v>
      </c>
      <c r="AI626" s="28" t="s">
        <v>2882</v>
      </c>
      <c r="AJ626" s="15">
        <f t="shared" si="633"/>
        <v>0</v>
      </c>
      <c r="AK626" s="15">
        <f t="shared" si="634"/>
        <v>0</v>
      </c>
      <c r="AL626" s="15">
        <f t="shared" si="635"/>
        <v>0</v>
      </c>
      <c r="AN626" s="29">
        <v>15</v>
      </c>
      <c r="AO626" s="29">
        <f>I626*0.189655549043858</f>
        <v>0</v>
      </c>
      <c r="AP626" s="29">
        <f>I626*(1-0.189655549043858)</f>
        <v>0</v>
      </c>
      <c r="AQ626" s="30" t="s">
        <v>13</v>
      </c>
      <c r="AV626" s="29">
        <f t="shared" si="636"/>
        <v>0</v>
      </c>
      <c r="AW626" s="29">
        <f t="shared" si="637"/>
        <v>0</v>
      </c>
      <c r="AX626" s="29">
        <f t="shared" si="638"/>
        <v>0</v>
      </c>
      <c r="AY626" s="32" t="s">
        <v>2924</v>
      </c>
      <c r="AZ626" s="32" t="s">
        <v>2947</v>
      </c>
      <c r="BA626" s="28" t="s">
        <v>2957</v>
      </c>
      <c r="BC626" s="29">
        <f t="shared" si="639"/>
        <v>0</v>
      </c>
      <c r="BD626" s="29">
        <f t="shared" si="640"/>
        <v>0</v>
      </c>
      <c r="BE626" s="29">
        <v>0</v>
      </c>
      <c r="BF626" s="29">
        <f>626</f>
        <v>626</v>
      </c>
      <c r="BH626" s="15">
        <f t="shared" si="641"/>
        <v>0</v>
      </c>
      <c r="BI626" s="15">
        <f t="shared" si="642"/>
        <v>0</v>
      </c>
      <c r="BJ626" s="15">
        <f t="shared" si="643"/>
        <v>0</v>
      </c>
      <c r="BK626" s="15" t="s">
        <v>2969</v>
      </c>
      <c r="BL626" s="29">
        <v>781</v>
      </c>
    </row>
    <row r="627" spans="1:64" ht="12.75">
      <c r="A627" s="6" t="s">
        <v>576</v>
      </c>
      <c r="B627" s="98" t="s">
        <v>1568</v>
      </c>
      <c r="C627" s="163" t="s">
        <v>2508</v>
      </c>
      <c r="D627" s="164"/>
      <c r="E627" s="164"/>
      <c r="F627" s="164"/>
      <c r="G627" s="98" t="s">
        <v>2849</v>
      </c>
      <c r="H627" s="76">
        <v>10.685</v>
      </c>
      <c r="I627" s="106">
        <v>0</v>
      </c>
      <c r="J627" s="16">
        <f t="shared" si="622"/>
        <v>0</v>
      </c>
      <c r="K627" s="16">
        <f t="shared" si="623"/>
        <v>0</v>
      </c>
      <c r="L627" s="16">
        <f t="shared" si="624"/>
        <v>0</v>
      </c>
      <c r="M627" s="26" t="s">
        <v>2872</v>
      </c>
      <c r="N627" s="5"/>
      <c r="Z627" s="29">
        <f t="shared" si="625"/>
        <v>0</v>
      </c>
      <c r="AB627" s="29">
        <f t="shared" si="626"/>
        <v>0</v>
      </c>
      <c r="AC627" s="29">
        <f t="shared" si="627"/>
        <v>0</v>
      </c>
      <c r="AD627" s="29">
        <f t="shared" si="628"/>
        <v>0</v>
      </c>
      <c r="AE627" s="29">
        <f t="shared" si="629"/>
        <v>0</v>
      </c>
      <c r="AF627" s="29">
        <f t="shared" si="630"/>
        <v>0</v>
      </c>
      <c r="AG627" s="29">
        <f t="shared" si="631"/>
        <v>0</v>
      </c>
      <c r="AH627" s="29">
        <f t="shared" si="632"/>
        <v>0</v>
      </c>
      <c r="AI627" s="28" t="s">
        <v>2882</v>
      </c>
      <c r="AJ627" s="16">
        <f t="shared" si="633"/>
        <v>0</v>
      </c>
      <c r="AK627" s="16">
        <f t="shared" si="634"/>
        <v>0</v>
      </c>
      <c r="AL627" s="16">
        <f t="shared" si="635"/>
        <v>0</v>
      </c>
      <c r="AN627" s="29">
        <v>15</v>
      </c>
      <c r="AO627" s="29">
        <f>I627*1</f>
        <v>0</v>
      </c>
      <c r="AP627" s="29">
        <f>I627*(1-1)</f>
        <v>0</v>
      </c>
      <c r="AQ627" s="31" t="s">
        <v>13</v>
      </c>
      <c r="AV627" s="29">
        <f t="shared" si="636"/>
        <v>0</v>
      </c>
      <c r="AW627" s="29">
        <f t="shared" si="637"/>
        <v>0</v>
      </c>
      <c r="AX627" s="29">
        <f t="shared" si="638"/>
        <v>0</v>
      </c>
      <c r="AY627" s="32" t="s">
        <v>2924</v>
      </c>
      <c r="AZ627" s="32" t="s">
        <v>2947</v>
      </c>
      <c r="BA627" s="28" t="s">
        <v>2957</v>
      </c>
      <c r="BC627" s="29">
        <f t="shared" si="639"/>
        <v>0</v>
      </c>
      <c r="BD627" s="29">
        <f t="shared" si="640"/>
        <v>0</v>
      </c>
      <c r="BE627" s="29">
        <v>0</v>
      </c>
      <c r="BF627" s="29">
        <f>627</f>
        <v>627</v>
      </c>
      <c r="BH627" s="16">
        <f t="shared" si="641"/>
        <v>0</v>
      </c>
      <c r="BI627" s="16">
        <f t="shared" si="642"/>
        <v>0</v>
      </c>
      <c r="BJ627" s="16">
        <f t="shared" si="643"/>
        <v>0</v>
      </c>
      <c r="BK627" s="16" t="s">
        <v>2970</v>
      </c>
      <c r="BL627" s="29">
        <v>781</v>
      </c>
    </row>
    <row r="628" spans="1:64" ht="12.75">
      <c r="A628" s="4" t="s">
        <v>577</v>
      </c>
      <c r="B628" s="94" t="s">
        <v>1570</v>
      </c>
      <c r="C628" s="152" t="s">
        <v>2511</v>
      </c>
      <c r="D628" s="153"/>
      <c r="E628" s="153"/>
      <c r="F628" s="153"/>
      <c r="G628" s="94" t="s">
        <v>2849</v>
      </c>
      <c r="H628" s="73">
        <v>199.687</v>
      </c>
      <c r="I628" s="105">
        <v>0</v>
      </c>
      <c r="J628" s="15">
        <f t="shared" si="622"/>
        <v>0</v>
      </c>
      <c r="K628" s="15">
        <f t="shared" si="623"/>
        <v>0</v>
      </c>
      <c r="L628" s="15">
        <f t="shared" si="624"/>
        <v>0</v>
      </c>
      <c r="M628" s="25" t="s">
        <v>2872</v>
      </c>
      <c r="N628" s="5"/>
      <c r="Z628" s="29">
        <f t="shared" si="625"/>
        <v>0</v>
      </c>
      <c r="AB628" s="29">
        <f t="shared" si="626"/>
        <v>0</v>
      </c>
      <c r="AC628" s="29">
        <f t="shared" si="627"/>
        <v>0</v>
      </c>
      <c r="AD628" s="29">
        <f t="shared" si="628"/>
        <v>0</v>
      </c>
      <c r="AE628" s="29">
        <f t="shared" si="629"/>
        <v>0</v>
      </c>
      <c r="AF628" s="29">
        <f t="shared" si="630"/>
        <v>0</v>
      </c>
      <c r="AG628" s="29">
        <f t="shared" si="631"/>
        <v>0</v>
      </c>
      <c r="AH628" s="29">
        <f t="shared" si="632"/>
        <v>0</v>
      </c>
      <c r="AI628" s="28" t="s">
        <v>2882</v>
      </c>
      <c r="AJ628" s="15">
        <f t="shared" si="633"/>
        <v>0</v>
      </c>
      <c r="AK628" s="15">
        <f t="shared" si="634"/>
        <v>0</v>
      </c>
      <c r="AL628" s="15">
        <f t="shared" si="635"/>
        <v>0</v>
      </c>
      <c r="AN628" s="29">
        <v>15</v>
      </c>
      <c r="AO628" s="29">
        <f>I628*1.00000049790223</f>
        <v>0</v>
      </c>
      <c r="AP628" s="29">
        <f>I628*(1-1.00000049790223)</f>
        <v>0</v>
      </c>
      <c r="AQ628" s="30" t="s">
        <v>13</v>
      </c>
      <c r="AV628" s="29">
        <f t="shared" si="636"/>
        <v>0</v>
      </c>
      <c r="AW628" s="29">
        <f t="shared" si="637"/>
        <v>0</v>
      </c>
      <c r="AX628" s="29">
        <f t="shared" si="638"/>
        <v>0</v>
      </c>
      <c r="AY628" s="32" t="s">
        <v>2924</v>
      </c>
      <c r="AZ628" s="32" t="s">
        <v>2947</v>
      </c>
      <c r="BA628" s="28" t="s">
        <v>2957</v>
      </c>
      <c r="BC628" s="29">
        <f t="shared" si="639"/>
        <v>0</v>
      </c>
      <c r="BD628" s="29">
        <f t="shared" si="640"/>
        <v>0</v>
      </c>
      <c r="BE628" s="29">
        <v>0</v>
      </c>
      <c r="BF628" s="29">
        <f>628</f>
        <v>628</v>
      </c>
      <c r="BH628" s="15">
        <f t="shared" si="641"/>
        <v>0</v>
      </c>
      <c r="BI628" s="15">
        <f t="shared" si="642"/>
        <v>0</v>
      </c>
      <c r="BJ628" s="15">
        <f t="shared" si="643"/>
        <v>0</v>
      </c>
      <c r="BK628" s="15" t="s">
        <v>2969</v>
      </c>
      <c r="BL628" s="29">
        <v>781</v>
      </c>
    </row>
    <row r="629" spans="1:64" ht="12.75">
      <c r="A629" s="4" t="s">
        <v>578</v>
      </c>
      <c r="B629" s="94" t="s">
        <v>1571</v>
      </c>
      <c r="C629" s="152" t="s">
        <v>2512</v>
      </c>
      <c r="D629" s="153"/>
      <c r="E629" s="153"/>
      <c r="F629" s="153"/>
      <c r="G629" s="94" t="s">
        <v>2851</v>
      </c>
      <c r="H629" s="73">
        <v>119.135</v>
      </c>
      <c r="I629" s="105">
        <v>0</v>
      </c>
      <c r="J629" s="15">
        <f t="shared" si="622"/>
        <v>0</v>
      </c>
      <c r="K629" s="15">
        <f t="shared" si="623"/>
        <v>0</v>
      </c>
      <c r="L629" s="15">
        <f t="shared" si="624"/>
        <v>0</v>
      </c>
      <c r="M629" s="25" t="s">
        <v>2872</v>
      </c>
      <c r="N629" s="5"/>
      <c r="Z629" s="29">
        <f t="shared" si="625"/>
        <v>0</v>
      </c>
      <c r="AB629" s="29">
        <f t="shared" si="626"/>
        <v>0</v>
      </c>
      <c r="AC629" s="29">
        <f t="shared" si="627"/>
        <v>0</v>
      </c>
      <c r="AD629" s="29">
        <f t="shared" si="628"/>
        <v>0</v>
      </c>
      <c r="AE629" s="29">
        <f t="shared" si="629"/>
        <v>0</v>
      </c>
      <c r="AF629" s="29">
        <f t="shared" si="630"/>
        <v>0</v>
      </c>
      <c r="AG629" s="29">
        <f t="shared" si="631"/>
        <v>0</v>
      </c>
      <c r="AH629" s="29">
        <f t="shared" si="632"/>
        <v>0</v>
      </c>
      <c r="AI629" s="28" t="s">
        <v>2882</v>
      </c>
      <c r="AJ629" s="15">
        <f t="shared" si="633"/>
        <v>0</v>
      </c>
      <c r="AK629" s="15">
        <f t="shared" si="634"/>
        <v>0</v>
      </c>
      <c r="AL629" s="15">
        <f t="shared" si="635"/>
        <v>0</v>
      </c>
      <c r="AN629" s="29">
        <v>15</v>
      </c>
      <c r="AO629" s="29">
        <f>I629*0</f>
        <v>0</v>
      </c>
      <c r="AP629" s="29">
        <f>I629*(1-0)</f>
        <v>0</v>
      </c>
      <c r="AQ629" s="30" t="s">
        <v>13</v>
      </c>
      <c r="AV629" s="29">
        <f t="shared" si="636"/>
        <v>0</v>
      </c>
      <c r="AW629" s="29">
        <f t="shared" si="637"/>
        <v>0</v>
      </c>
      <c r="AX629" s="29">
        <f t="shared" si="638"/>
        <v>0</v>
      </c>
      <c r="AY629" s="32" t="s">
        <v>2924</v>
      </c>
      <c r="AZ629" s="32" t="s">
        <v>2947</v>
      </c>
      <c r="BA629" s="28" t="s">
        <v>2957</v>
      </c>
      <c r="BC629" s="29">
        <f t="shared" si="639"/>
        <v>0</v>
      </c>
      <c r="BD629" s="29">
        <f t="shared" si="640"/>
        <v>0</v>
      </c>
      <c r="BE629" s="29">
        <v>0</v>
      </c>
      <c r="BF629" s="29">
        <f>629</f>
        <v>629</v>
      </c>
      <c r="BH629" s="15">
        <f t="shared" si="641"/>
        <v>0</v>
      </c>
      <c r="BI629" s="15">
        <f t="shared" si="642"/>
        <v>0</v>
      </c>
      <c r="BJ629" s="15">
        <f t="shared" si="643"/>
        <v>0</v>
      </c>
      <c r="BK629" s="15" t="s">
        <v>2969</v>
      </c>
      <c r="BL629" s="29">
        <v>781</v>
      </c>
    </row>
    <row r="630" spans="1:64" ht="12.75">
      <c r="A630" s="6" t="s">
        <v>579</v>
      </c>
      <c r="B630" s="98" t="s">
        <v>1572</v>
      </c>
      <c r="C630" s="163" t="s">
        <v>2513</v>
      </c>
      <c r="D630" s="164"/>
      <c r="E630" s="164"/>
      <c r="F630" s="164"/>
      <c r="G630" s="98" t="s">
        <v>2851</v>
      </c>
      <c r="H630" s="76">
        <v>116.837</v>
      </c>
      <c r="I630" s="106">
        <v>0</v>
      </c>
      <c r="J630" s="16">
        <f t="shared" si="622"/>
        <v>0</v>
      </c>
      <c r="K630" s="16">
        <f t="shared" si="623"/>
        <v>0</v>
      </c>
      <c r="L630" s="16">
        <f t="shared" si="624"/>
        <v>0</v>
      </c>
      <c r="M630" s="26" t="s">
        <v>2872</v>
      </c>
      <c r="N630" s="5"/>
      <c r="Z630" s="29">
        <f t="shared" si="625"/>
        <v>0</v>
      </c>
      <c r="AB630" s="29">
        <f t="shared" si="626"/>
        <v>0</v>
      </c>
      <c r="AC630" s="29">
        <f t="shared" si="627"/>
        <v>0</v>
      </c>
      <c r="AD630" s="29">
        <f t="shared" si="628"/>
        <v>0</v>
      </c>
      <c r="AE630" s="29">
        <f t="shared" si="629"/>
        <v>0</v>
      </c>
      <c r="AF630" s="29">
        <f t="shared" si="630"/>
        <v>0</v>
      </c>
      <c r="AG630" s="29">
        <f t="shared" si="631"/>
        <v>0</v>
      </c>
      <c r="AH630" s="29">
        <f t="shared" si="632"/>
        <v>0</v>
      </c>
      <c r="AI630" s="28" t="s">
        <v>2882</v>
      </c>
      <c r="AJ630" s="16">
        <f t="shared" si="633"/>
        <v>0</v>
      </c>
      <c r="AK630" s="16">
        <f t="shared" si="634"/>
        <v>0</v>
      </c>
      <c r="AL630" s="16">
        <f t="shared" si="635"/>
        <v>0</v>
      </c>
      <c r="AN630" s="29">
        <v>15</v>
      </c>
      <c r="AO630" s="29">
        <f>I630*1</f>
        <v>0</v>
      </c>
      <c r="AP630" s="29">
        <f>I630*(1-1)</f>
        <v>0</v>
      </c>
      <c r="AQ630" s="31" t="s">
        <v>13</v>
      </c>
      <c r="AV630" s="29">
        <f t="shared" si="636"/>
        <v>0</v>
      </c>
      <c r="AW630" s="29">
        <f t="shared" si="637"/>
        <v>0</v>
      </c>
      <c r="AX630" s="29">
        <f t="shared" si="638"/>
        <v>0</v>
      </c>
      <c r="AY630" s="32" t="s">
        <v>2924</v>
      </c>
      <c r="AZ630" s="32" t="s">
        <v>2947</v>
      </c>
      <c r="BA630" s="28" t="s">
        <v>2957</v>
      </c>
      <c r="BC630" s="29">
        <f t="shared" si="639"/>
        <v>0</v>
      </c>
      <c r="BD630" s="29">
        <f t="shared" si="640"/>
        <v>0</v>
      </c>
      <c r="BE630" s="29">
        <v>0</v>
      </c>
      <c r="BF630" s="29">
        <f>630</f>
        <v>630</v>
      </c>
      <c r="BH630" s="16">
        <f t="shared" si="641"/>
        <v>0</v>
      </c>
      <c r="BI630" s="16">
        <f t="shared" si="642"/>
        <v>0</v>
      </c>
      <c r="BJ630" s="16">
        <f t="shared" si="643"/>
        <v>0</v>
      </c>
      <c r="BK630" s="16" t="s">
        <v>2970</v>
      </c>
      <c r="BL630" s="29">
        <v>781</v>
      </c>
    </row>
    <row r="631" spans="1:64" ht="12.75">
      <c r="A631" s="6" t="s">
        <v>580</v>
      </c>
      <c r="B631" s="98" t="s">
        <v>1573</v>
      </c>
      <c r="C631" s="163" t="s">
        <v>2514</v>
      </c>
      <c r="D631" s="164"/>
      <c r="E631" s="164"/>
      <c r="F631" s="164"/>
      <c r="G631" s="98" t="s">
        <v>2851</v>
      </c>
      <c r="H631" s="76">
        <v>14.212</v>
      </c>
      <c r="I631" s="106">
        <v>0</v>
      </c>
      <c r="J631" s="16">
        <f t="shared" si="622"/>
        <v>0</v>
      </c>
      <c r="K631" s="16">
        <f t="shared" si="623"/>
        <v>0</v>
      </c>
      <c r="L631" s="16">
        <f t="shared" si="624"/>
        <v>0</v>
      </c>
      <c r="M631" s="26" t="s">
        <v>2872</v>
      </c>
      <c r="N631" s="5"/>
      <c r="Z631" s="29">
        <f t="shared" si="625"/>
        <v>0</v>
      </c>
      <c r="AB631" s="29">
        <f t="shared" si="626"/>
        <v>0</v>
      </c>
      <c r="AC631" s="29">
        <f t="shared" si="627"/>
        <v>0</v>
      </c>
      <c r="AD631" s="29">
        <f t="shared" si="628"/>
        <v>0</v>
      </c>
      <c r="AE631" s="29">
        <f t="shared" si="629"/>
        <v>0</v>
      </c>
      <c r="AF631" s="29">
        <f t="shared" si="630"/>
        <v>0</v>
      </c>
      <c r="AG631" s="29">
        <f t="shared" si="631"/>
        <v>0</v>
      </c>
      <c r="AH631" s="29">
        <f t="shared" si="632"/>
        <v>0</v>
      </c>
      <c r="AI631" s="28" t="s">
        <v>2882</v>
      </c>
      <c r="AJ631" s="16">
        <f t="shared" si="633"/>
        <v>0</v>
      </c>
      <c r="AK631" s="16">
        <f t="shared" si="634"/>
        <v>0</v>
      </c>
      <c r="AL631" s="16">
        <f t="shared" si="635"/>
        <v>0</v>
      </c>
      <c r="AN631" s="29">
        <v>15</v>
      </c>
      <c r="AO631" s="29">
        <f>I631*1</f>
        <v>0</v>
      </c>
      <c r="AP631" s="29">
        <f>I631*(1-1)</f>
        <v>0</v>
      </c>
      <c r="AQ631" s="31" t="s">
        <v>13</v>
      </c>
      <c r="AV631" s="29">
        <f t="shared" si="636"/>
        <v>0</v>
      </c>
      <c r="AW631" s="29">
        <f t="shared" si="637"/>
        <v>0</v>
      </c>
      <c r="AX631" s="29">
        <f t="shared" si="638"/>
        <v>0</v>
      </c>
      <c r="AY631" s="32" t="s">
        <v>2924</v>
      </c>
      <c r="AZ631" s="32" t="s">
        <v>2947</v>
      </c>
      <c r="BA631" s="28" t="s">
        <v>2957</v>
      </c>
      <c r="BC631" s="29">
        <f t="shared" si="639"/>
        <v>0</v>
      </c>
      <c r="BD631" s="29">
        <f t="shared" si="640"/>
        <v>0</v>
      </c>
      <c r="BE631" s="29">
        <v>0</v>
      </c>
      <c r="BF631" s="29">
        <f>631</f>
        <v>631</v>
      </c>
      <c r="BH631" s="16">
        <f t="shared" si="641"/>
        <v>0</v>
      </c>
      <c r="BI631" s="16">
        <f t="shared" si="642"/>
        <v>0</v>
      </c>
      <c r="BJ631" s="16">
        <f t="shared" si="643"/>
        <v>0</v>
      </c>
      <c r="BK631" s="16" t="s">
        <v>2970</v>
      </c>
      <c r="BL631" s="29">
        <v>781</v>
      </c>
    </row>
    <row r="632" spans="1:64" ht="12.75">
      <c r="A632" s="4" t="s">
        <v>581</v>
      </c>
      <c r="B632" s="94" t="s">
        <v>1574</v>
      </c>
      <c r="C632" s="152" t="s">
        <v>2515</v>
      </c>
      <c r="D632" s="153"/>
      <c r="E632" s="153"/>
      <c r="F632" s="153"/>
      <c r="G632" s="94" t="s">
        <v>2848</v>
      </c>
      <c r="H632" s="73">
        <v>4.221</v>
      </c>
      <c r="I632" s="105">
        <v>0</v>
      </c>
      <c r="J632" s="15">
        <f t="shared" si="622"/>
        <v>0</v>
      </c>
      <c r="K632" s="15">
        <f t="shared" si="623"/>
        <v>0</v>
      </c>
      <c r="L632" s="15">
        <f t="shared" si="624"/>
        <v>0</v>
      </c>
      <c r="M632" s="25" t="s">
        <v>2872</v>
      </c>
      <c r="N632" s="5"/>
      <c r="Z632" s="29">
        <f t="shared" si="625"/>
        <v>0</v>
      </c>
      <c r="AB632" s="29">
        <f t="shared" si="626"/>
        <v>0</v>
      </c>
      <c r="AC632" s="29">
        <f t="shared" si="627"/>
        <v>0</v>
      </c>
      <c r="AD632" s="29">
        <f t="shared" si="628"/>
        <v>0</v>
      </c>
      <c r="AE632" s="29">
        <f t="shared" si="629"/>
        <v>0</v>
      </c>
      <c r="AF632" s="29">
        <f t="shared" si="630"/>
        <v>0</v>
      </c>
      <c r="AG632" s="29">
        <f t="shared" si="631"/>
        <v>0</v>
      </c>
      <c r="AH632" s="29">
        <f t="shared" si="632"/>
        <v>0</v>
      </c>
      <c r="AI632" s="28" t="s">
        <v>2882</v>
      </c>
      <c r="AJ632" s="15">
        <f t="shared" si="633"/>
        <v>0</v>
      </c>
      <c r="AK632" s="15">
        <f t="shared" si="634"/>
        <v>0</v>
      </c>
      <c r="AL632" s="15">
        <f t="shared" si="635"/>
        <v>0</v>
      </c>
      <c r="AN632" s="29">
        <v>15</v>
      </c>
      <c r="AO632" s="29">
        <f>I632*0</f>
        <v>0</v>
      </c>
      <c r="AP632" s="29">
        <f>I632*(1-0)</f>
        <v>0</v>
      </c>
      <c r="AQ632" s="30" t="s">
        <v>11</v>
      </c>
      <c r="AV632" s="29">
        <f t="shared" si="636"/>
        <v>0</v>
      </c>
      <c r="AW632" s="29">
        <f t="shared" si="637"/>
        <v>0</v>
      </c>
      <c r="AX632" s="29">
        <f t="shared" si="638"/>
        <v>0</v>
      </c>
      <c r="AY632" s="32" t="s">
        <v>2924</v>
      </c>
      <c r="AZ632" s="32" t="s">
        <v>2947</v>
      </c>
      <c r="BA632" s="28" t="s">
        <v>2957</v>
      </c>
      <c r="BC632" s="29">
        <f t="shared" si="639"/>
        <v>0</v>
      </c>
      <c r="BD632" s="29">
        <f t="shared" si="640"/>
        <v>0</v>
      </c>
      <c r="BE632" s="29">
        <v>0</v>
      </c>
      <c r="BF632" s="29">
        <f>632</f>
        <v>632</v>
      </c>
      <c r="BH632" s="15">
        <f t="shared" si="641"/>
        <v>0</v>
      </c>
      <c r="BI632" s="15">
        <f t="shared" si="642"/>
        <v>0</v>
      </c>
      <c r="BJ632" s="15">
        <f t="shared" si="643"/>
        <v>0</v>
      </c>
      <c r="BK632" s="15" t="s">
        <v>2969</v>
      </c>
      <c r="BL632" s="29">
        <v>781</v>
      </c>
    </row>
    <row r="633" spans="1:47" ht="12.75">
      <c r="A633" s="3"/>
      <c r="B633" s="97" t="s">
        <v>789</v>
      </c>
      <c r="C633" s="161" t="s">
        <v>2516</v>
      </c>
      <c r="D633" s="162"/>
      <c r="E633" s="162"/>
      <c r="F633" s="162"/>
      <c r="G633" s="13" t="s">
        <v>6</v>
      </c>
      <c r="H633" s="13" t="s">
        <v>6</v>
      </c>
      <c r="I633" s="13" t="s">
        <v>6</v>
      </c>
      <c r="J633" s="34">
        <f>SUM(J634:J637)</f>
        <v>0</v>
      </c>
      <c r="K633" s="34">
        <f>SUM(K634:K637)</f>
        <v>0</v>
      </c>
      <c r="L633" s="34">
        <f>SUM(L634:L637)</f>
        <v>0</v>
      </c>
      <c r="M633" s="24"/>
      <c r="N633" s="5"/>
      <c r="AI633" s="28" t="s">
        <v>2882</v>
      </c>
      <c r="AS633" s="34">
        <f>SUM(AJ634:AJ637)</f>
        <v>0</v>
      </c>
      <c r="AT633" s="34">
        <f>SUM(AK634:AK637)</f>
        <v>0</v>
      </c>
      <c r="AU633" s="34">
        <f>SUM(AL634:AL637)</f>
        <v>0</v>
      </c>
    </row>
    <row r="634" spans="1:64" ht="12.75">
      <c r="A634" s="4" t="s">
        <v>582</v>
      </c>
      <c r="B634" s="94" t="s">
        <v>1575</v>
      </c>
      <c r="C634" s="152" t="s">
        <v>2517</v>
      </c>
      <c r="D634" s="153"/>
      <c r="E634" s="153"/>
      <c r="F634" s="153"/>
      <c r="G634" s="94" t="s">
        <v>2849</v>
      </c>
      <c r="H634" s="73">
        <v>39.621</v>
      </c>
      <c r="I634" s="105">
        <v>0</v>
      </c>
      <c r="J634" s="15">
        <f>H634*AO634</f>
        <v>0</v>
      </c>
      <c r="K634" s="15">
        <f>H634*AP634</f>
        <v>0</v>
      </c>
      <c r="L634" s="15">
        <f>H634*I634</f>
        <v>0</v>
      </c>
      <c r="M634" s="25" t="s">
        <v>2872</v>
      </c>
      <c r="N634" s="5"/>
      <c r="Z634" s="29">
        <f>IF(AQ634="5",BJ634,0)</f>
        <v>0</v>
      </c>
      <c r="AB634" s="29">
        <f>IF(AQ634="1",BH634,0)</f>
        <v>0</v>
      </c>
      <c r="AC634" s="29">
        <f>IF(AQ634="1",BI634,0)</f>
        <v>0</v>
      </c>
      <c r="AD634" s="29">
        <f>IF(AQ634="7",BH634,0)</f>
        <v>0</v>
      </c>
      <c r="AE634" s="29">
        <f>IF(AQ634="7",BI634,0)</f>
        <v>0</v>
      </c>
      <c r="AF634" s="29">
        <f>IF(AQ634="2",BH634,0)</f>
        <v>0</v>
      </c>
      <c r="AG634" s="29">
        <f>IF(AQ634="2",BI634,0)</f>
        <v>0</v>
      </c>
      <c r="AH634" s="29">
        <f>IF(AQ634="0",BJ634,0)</f>
        <v>0</v>
      </c>
      <c r="AI634" s="28" t="s">
        <v>2882</v>
      </c>
      <c r="AJ634" s="15">
        <f>IF(AN634=0,L634,0)</f>
        <v>0</v>
      </c>
      <c r="AK634" s="15">
        <f>IF(AN634=15,L634,0)</f>
        <v>0</v>
      </c>
      <c r="AL634" s="15">
        <f>IF(AN634=21,L634,0)</f>
        <v>0</v>
      </c>
      <c r="AN634" s="29">
        <v>15</v>
      </c>
      <c r="AO634" s="29">
        <f>I634*0.198341015476022</f>
        <v>0</v>
      </c>
      <c r="AP634" s="29">
        <f>I634*(1-0.198341015476022)</f>
        <v>0</v>
      </c>
      <c r="AQ634" s="30" t="s">
        <v>13</v>
      </c>
      <c r="AV634" s="29">
        <f>AW634+AX634</f>
        <v>0</v>
      </c>
      <c r="AW634" s="29">
        <f>H634*AO634</f>
        <v>0</v>
      </c>
      <c r="AX634" s="29">
        <f>H634*AP634</f>
        <v>0</v>
      </c>
      <c r="AY634" s="32" t="s">
        <v>2925</v>
      </c>
      <c r="AZ634" s="32" t="s">
        <v>2947</v>
      </c>
      <c r="BA634" s="28" t="s">
        <v>2957</v>
      </c>
      <c r="BC634" s="29">
        <f>AW634+AX634</f>
        <v>0</v>
      </c>
      <c r="BD634" s="29">
        <f>I634/(100-BE634)*100</f>
        <v>0</v>
      </c>
      <c r="BE634" s="29">
        <v>0</v>
      </c>
      <c r="BF634" s="29">
        <f>634</f>
        <v>634</v>
      </c>
      <c r="BH634" s="15">
        <f>H634*AO634</f>
        <v>0</v>
      </c>
      <c r="BI634" s="15">
        <f>H634*AP634</f>
        <v>0</v>
      </c>
      <c r="BJ634" s="15">
        <f>H634*I634</f>
        <v>0</v>
      </c>
      <c r="BK634" s="15" t="s">
        <v>2969</v>
      </c>
      <c r="BL634" s="29">
        <v>783</v>
      </c>
    </row>
    <row r="635" spans="1:64" ht="12.75">
      <c r="A635" s="4" t="s">
        <v>583</v>
      </c>
      <c r="B635" s="94" t="s">
        <v>1576</v>
      </c>
      <c r="C635" s="152" t="s">
        <v>2518</v>
      </c>
      <c r="D635" s="153"/>
      <c r="E635" s="153"/>
      <c r="F635" s="153"/>
      <c r="G635" s="94" t="s">
        <v>2849</v>
      </c>
      <c r="H635" s="73">
        <v>39.621</v>
      </c>
      <c r="I635" s="105">
        <v>0</v>
      </c>
      <c r="J635" s="15">
        <f>H635*AO635</f>
        <v>0</v>
      </c>
      <c r="K635" s="15">
        <f>H635*AP635</f>
        <v>0</v>
      </c>
      <c r="L635" s="15">
        <f>H635*I635</f>
        <v>0</v>
      </c>
      <c r="M635" s="25" t="s">
        <v>2872</v>
      </c>
      <c r="N635" s="5"/>
      <c r="Z635" s="29">
        <f>IF(AQ635="5",BJ635,0)</f>
        <v>0</v>
      </c>
      <c r="AB635" s="29">
        <f>IF(AQ635="1",BH635,0)</f>
        <v>0</v>
      </c>
      <c r="AC635" s="29">
        <f>IF(AQ635="1",BI635,0)</f>
        <v>0</v>
      </c>
      <c r="AD635" s="29">
        <f>IF(AQ635="7",BH635,0)</f>
        <v>0</v>
      </c>
      <c r="AE635" s="29">
        <f>IF(AQ635="7",BI635,0)</f>
        <v>0</v>
      </c>
      <c r="AF635" s="29">
        <f>IF(AQ635="2",BH635,0)</f>
        <v>0</v>
      </c>
      <c r="AG635" s="29">
        <f>IF(AQ635="2",BI635,0)</f>
        <v>0</v>
      </c>
      <c r="AH635" s="29">
        <f>IF(AQ635="0",BJ635,0)</f>
        <v>0</v>
      </c>
      <c r="AI635" s="28" t="s">
        <v>2882</v>
      </c>
      <c r="AJ635" s="15">
        <f>IF(AN635=0,L635,0)</f>
        <v>0</v>
      </c>
      <c r="AK635" s="15">
        <f>IF(AN635=15,L635,0)</f>
        <v>0</v>
      </c>
      <c r="AL635" s="15">
        <f>IF(AN635=21,L635,0)</f>
        <v>0</v>
      </c>
      <c r="AN635" s="29">
        <v>15</v>
      </c>
      <c r="AO635" s="29">
        <f>I635*0.133117296089416</f>
        <v>0</v>
      </c>
      <c r="AP635" s="29">
        <f>I635*(1-0.133117296089416)</f>
        <v>0</v>
      </c>
      <c r="AQ635" s="30" t="s">
        <v>13</v>
      </c>
      <c r="AV635" s="29">
        <f>AW635+AX635</f>
        <v>0</v>
      </c>
      <c r="AW635" s="29">
        <f>H635*AO635</f>
        <v>0</v>
      </c>
      <c r="AX635" s="29">
        <f>H635*AP635</f>
        <v>0</v>
      </c>
      <c r="AY635" s="32" t="s">
        <v>2925</v>
      </c>
      <c r="AZ635" s="32" t="s">
        <v>2947</v>
      </c>
      <c r="BA635" s="28" t="s">
        <v>2957</v>
      </c>
      <c r="BC635" s="29">
        <f>AW635+AX635</f>
        <v>0</v>
      </c>
      <c r="BD635" s="29">
        <f>I635/(100-BE635)*100</f>
        <v>0</v>
      </c>
      <c r="BE635" s="29">
        <v>0</v>
      </c>
      <c r="BF635" s="29">
        <f>635</f>
        <v>635</v>
      </c>
      <c r="BH635" s="15">
        <f>H635*AO635</f>
        <v>0</v>
      </c>
      <c r="BI635" s="15">
        <f>H635*AP635</f>
        <v>0</v>
      </c>
      <c r="BJ635" s="15">
        <f>H635*I635</f>
        <v>0</v>
      </c>
      <c r="BK635" s="15" t="s">
        <v>2969</v>
      </c>
      <c r="BL635" s="29">
        <v>783</v>
      </c>
    </row>
    <row r="636" spans="1:64" ht="12.75">
      <c r="A636" s="4" t="s">
        <v>584</v>
      </c>
      <c r="B636" s="94" t="s">
        <v>1577</v>
      </c>
      <c r="C636" s="152" t="s">
        <v>2519</v>
      </c>
      <c r="D636" s="153"/>
      <c r="E636" s="153"/>
      <c r="F636" s="153"/>
      <c r="G636" s="94" t="s">
        <v>2849</v>
      </c>
      <c r="H636" s="73">
        <v>102.737</v>
      </c>
      <c r="I636" s="105">
        <v>0</v>
      </c>
      <c r="J636" s="15">
        <f>H636*AO636</f>
        <v>0</v>
      </c>
      <c r="K636" s="15">
        <f>H636*AP636</f>
        <v>0</v>
      </c>
      <c r="L636" s="15">
        <f>H636*I636</f>
        <v>0</v>
      </c>
      <c r="M636" s="25" t="s">
        <v>2872</v>
      </c>
      <c r="N636" s="5"/>
      <c r="Z636" s="29">
        <f>IF(AQ636="5",BJ636,0)</f>
        <v>0</v>
      </c>
      <c r="AB636" s="29">
        <f>IF(AQ636="1",BH636,0)</f>
        <v>0</v>
      </c>
      <c r="AC636" s="29">
        <f>IF(AQ636="1",BI636,0)</f>
        <v>0</v>
      </c>
      <c r="AD636" s="29">
        <f>IF(AQ636="7",BH636,0)</f>
        <v>0</v>
      </c>
      <c r="AE636" s="29">
        <f>IF(AQ636="7",BI636,0)</f>
        <v>0</v>
      </c>
      <c r="AF636" s="29">
        <f>IF(AQ636="2",BH636,0)</f>
        <v>0</v>
      </c>
      <c r="AG636" s="29">
        <f>IF(AQ636="2",BI636,0)</f>
        <v>0</v>
      </c>
      <c r="AH636" s="29">
        <f>IF(AQ636="0",BJ636,0)</f>
        <v>0</v>
      </c>
      <c r="AI636" s="28" t="s">
        <v>2882</v>
      </c>
      <c r="AJ636" s="15">
        <f>IF(AN636=0,L636,0)</f>
        <v>0</v>
      </c>
      <c r="AK636" s="15">
        <f>IF(AN636=15,L636,0)</f>
        <v>0</v>
      </c>
      <c r="AL636" s="15">
        <f>IF(AN636=21,L636,0)</f>
        <v>0</v>
      </c>
      <c r="AN636" s="29">
        <v>15</v>
      </c>
      <c r="AO636" s="29">
        <f>I636*0.405729201462335</f>
        <v>0</v>
      </c>
      <c r="AP636" s="29">
        <f>I636*(1-0.405729201462335)</f>
        <v>0</v>
      </c>
      <c r="AQ636" s="30" t="s">
        <v>13</v>
      </c>
      <c r="AV636" s="29">
        <f>AW636+AX636</f>
        <v>0</v>
      </c>
      <c r="AW636" s="29">
        <f>H636*AO636</f>
        <v>0</v>
      </c>
      <c r="AX636" s="29">
        <f>H636*AP636</f>
        <v>0</v>
      </c>
      <c r="AY636" s="32" t="s">
        <v>2925</v>
      </c>
      <c r="AZ636" s="32" t="s">
        <v>2947</v>
      </c>
      <c r="BA636" s="28" t="s">
        <v>2957</v>
      </c>
      <c r="BC636" s="29">
        <f>AW636+AX636</f>
        <v>0</v>
      </c>
      <c r="BD636" s="29">
        <f>I636/(100-BE636)*100</f>
        <v>0</v>
      </c>
      <c r="BE636" s="29">
        <v>0</v>
      </c>
      <c r="BF636" s="29">
        <f>636</f>
        <v>636</v>
      </c>
      <c r="BH636" s="15">
        <f>H636*AO636</f>
        <v>0</v>
      </c>
      <c r="BI636" s="15">
        <f>H636*AP636</f>
        <v>0</v>
      </c>
      <c r="BJ636" s="15">
        <f>H636*I636</f>
        <v>0</v>
      </c>
      <c r="BK636" s="15" t="s">
        <v>2969</v>
      </c>
      <c r="BL636" s="29">
        <v>783</v>
      </c>
    </row>
    <row r="637" spans="1:64" ht="12.75">
      <c r="A637" s="4" t="s">
        <v>585</v>
      </c>
      <c r="B637" s="94" t="s">
        <v>1578</v>
      </c>
      <c r="C637" s="152" t="s">
        <v>2520</v>
      </c>
      <c r="D637" s="153"/>
      <c r="E637" s="153"/>
      <c r="F637" s="153"/>
      <c r="G637" s="94" t="s">
        <v>2849</v>
      </c>
      <c r="H637" s="73">
        <v>39.621</v>
      </c>
      <c r="I637" s="105">
        <v>0</v>
      </c>
      <c r="J637" s="15">
        <f>H637*AO637</f>
        <v>0</v>
      </c>
      <c r="K637" s="15">
        <f>H637*AP637</f>
        <v>0</v>
      </c>
      <c r="L637" s="15">
        <f>H637*I637</f>
        <v>0</v>
      </c>
      <c r="M637" s="25" t="s">
        <v>2872</v>
      </c>
      <c r="N637" s="5"/>
      <c r="Z637" s="29">
        <f>IF(AQ637="5",BJ637,0)</f>
        <v>0</v>
      </c>
      <c r="AB637" s="29">
        <f>IF(AQ637="1",BH637,0)</f>
        <v>0</v>
      </c>
      <c r="AC637" s="29">
        <f>IF(AQ637="1",BI637,0)</f>
        <v>0</v>
      </c>
      <c r="AD637" s="29">
        <f>IF(AQ637="7",BH637,0)</f>
        <v>0</v>
      </c>
      <c r="AE637" s="29">
        <f>IF(AQ637="7",BI637,0)</f>
        <v>0</v>
      </c>
      <c r="AF637" s="29">
        <f>IF(AQ637="2",BH637,0)</f>
        <v>0</v>
      </c>
      <c r="AG637" s="29">
        <f>IF(AQ637="2",BI637,0)</f>
        <v>0</v>
      </c>
      <c r="AH637" s="29">
        <f>IF(AQ637="0",BJ637,0)</f>
        <v>0</v>
      </c>
      <c r="AI637" s="28" t="s">
        <v>2882</v>
      </c>
      <c r="AJ637" s="15">
        <f>IF(AN637=0,L637,0)</f>
        <v>0</v>
      </c>
      <c r="AK637" s="15">
        <f>IF(AN637=15,L637,0)</f>
        <v>0</v>
      </c>
      <c r="AL637" s="15">
        <f>IF(AN637=21,L637,0)</f>
        <v>0</v>
      </c>
      <c r="AN637" s="29">
        <v>15</v>
      </c>
      <c r="AO637" s="29">
        <f>I637*0.0894736339588645</f>
        <v>0</v>
      </c>
      <c r="AP637" s="29">
        <f>I637*(1-0.0894736339588645)</f>
        <v>0</v>
      </c>
      <c r="AQ637" s="30" t="s">
        <v>13</v>
      </c>
      <c r="AV637" s="29">
        <f>AW637+AX637</f>
        <v>0</v>
      </c>
      <c r="AW637" s="29">
        <f>H637*AO637</f>
        <v>0</v>
      </c>
      <c r="AX637" s="29">
        <f>H637*AP637</f>
        <v>0</v>
      </c>
      <c r="AY637" s="32" t="s">
        <v>2925</v>
      </c>
      <c r="AZ637" s="32" t="s">
        <v>2947</v>
      </c>
      <c r="BA637" s="28" t="s">
        <v>2957</v>
      </c>
      <c r="BC637" s="29">
        <f>AW637+AX637</f>
        <v>0</v>
      </c>
      <c r="BD637" s="29">
        <f>I637/(100-BE637)*100</f>
        <v>0</v>
      </c>
      <c r="BE637" s="29">
        <v>0</v>
      </c>
      <c r="BF637" s="29">
        <f>637</f>
        <v>637</v>
      </c>
      <c r="BH637" s="15">
        <f>H637*AO637</f>
        <v>0</v>
      </c>
      <c r="BI637" s="15">
        <f>H637*AP637</f>
        <v>0</v>
      </c>
      <c r="BJ637" s="15">
        <f>H637*I637</f>
        <v>0</v>
      </c>
      <c r="BK637" s="15" t="s">
        <v>2969</v>
      </c>
      <c r="BL637" s="29">
        <v>783</v>
      </c>
    </row>
    <row r="638" spans="1:47" ht="12.75">
      <c r="A638" s="3"/>
      <c r="B638" s="97" t="s">
        <v>790</v>
      </c>
      <c r="C638" s="161" t="s">
        <v>2521</v>
      </c>
      <c r="D638" s="162"/>
      <c r="E638" s="162"/>
      <c r="F638" s="162"/>
      <c r="G638" s="13" t="s">
        <v>6</v>
      </c>
      <c r="H638" s="13" t="s">
        <v>6</v>
      </c>
      <c r="I638" s="13" t="s">
        <v>6</v>
      </c>
      <c r="J638" s="34">
        <f>SUM(J639:J647)</f>
        <v>0</v>
      </c>
      <c r="K638" s="34">
        <f>SUM(K639:K647)</f>
        <v>0</v>
      </c>
      <c r="L638" s="34">
        <f>SUM(L639:L647)</f>
        <v>0</v>
      </c>
      <c r="M638" s="24"/>
      <c r="N638" s="5"/>
      <c r="AI638" s="28" t="s">
        <v>2882</v>
      </c>
      <c r="AS638" s="34">
        <f>SUM(AJ639:AJ647)</f>
        <v>0</v>
      </c>
      <c r="AT638" s="34">
        <f>SUM(AK639:AK647)</f>
        <v>0</v>
      </c>
      <c r="AU638" s="34">
        <f>SUM(AL639:AL647)</f>
        <v>0</v>
      </c>
    </row>
    <row r="639" spans="1:64" ht="12.75">
      <c r="A639" s="4" t="s">
        <v>586</v>
      </c>
      <c r="B639" s="94" t="s">
        <v>1579</v>
      </c>
      <c r="C639" s="152" t="s">
        <v>2522</v>
      </c>
      <c r="D639" s="153"/>
      <c r="E639" s="153"/>
      <c r="F639" s="153"/>
      <c r="G639" s="94" t="s">
        <v>2849</v>
      </c>
      <c r="H639" s="73">
        <v>214.47</v>
      </c>
      <c r="I639" s="105">
        <v>0</v>
      </c>
      <c r="J639" s="15">
        <f aca="true" t="shared" si="644" ref="J639:J647">H639*AO639</f>
        <v>0</v>
      </c>
      <c r="K639" s="15">
        <f aca="true" t="shared" si="645" ref="K639:K647">H639*AP639</f>
        <v>0</v>
      </c>
      <c r="L639" s="15">
        <f aca="true" t="shared" si="646" ref="L639:L647">H639*I639</f>
        <v>0</v>
      </c>
      <c r="M639" s="25" t="s">
        <v>2872</v>
      </c>
      <c r="N639" s="5"/>
      <c r="Z639" s="29">
        <f aca="true" t="shared" si="647" ref="Z639:Z647">IF(AQ639="5",BJ639,0)</f>
        <v>0</v>
      </c>
      <c r="AB639" s="29">
        <f aca="true" t="shared" si="648" ref="AB639:AB647">IF(AQ639="1",BH639,0)</f>
        <v>0</v>
      </c>
      <c r="AC639" s="29">
        <f aca="true" t="shared" si="649" ref="AC639:AC647">IF(AQ639="1",BI639,0)</f>
        <v>0</v>
      </c>
      <c r="AD639" s="29">
        <f aca="true" t="shared" si="650" ref="AD639:AD647">IF(AQ639="7",BH639,0)</f>
        <v>0</v>
      </c>
      <c r="AE639" s="29">
        <f aca="true" t="shared" si="651" ref="AE639:AE647">IF(AQ639="7",BI639,0)</f>
        <v>0</v>
      </c>
      <c r="AF639" s="29">
        <f aca="true" t="shared" si="652" ref="AF639:AF647">IF(AQ639="2",BH639,0)</f>
        <v>0</v>
      </c>
      <c r="AG639" s="29">
        <f aca="true" t="shared" si="653" ref="AG639:AG647">IF(AQ639="2",BI639,0)</f>
        <v>0</v>
      </c>
      <c r="AH639" s="29">
        <f aca="true" t="shared" si="654" ref="AH639:AH647">IF(AQ639="0",BJ639,0)</f>
        <v>0</v>
      </c>
      <c r="AI639" s="28" t="s">
        <v>2882</v>
      </c>
      <c r="AJ639" s="15">
        <f aca="true" t="shared" si="655" ref="AJ639:AJ647">IF(AN639=0,L639,0)</f>
        <v>0</v>
      </c>
      <c r="AK639" s="15">
        <f aca="true" t="shared" si="656" ref="AK639:AK647">IF(AN639=15,L639,0)</f>
        <v>0</v>
      </c>
      <c r="AL639" s="15">
        <f aca="true" t="shared" si="657" ref="AL639:AL647">IF(AN639=21,L639,0)</f>
        <v>0</v>
      </c>
      <c r="AN639" s="29">
        <v>15</v>
      </c>
      <c r="AO639" s="29">
        <f>I639*0</f>
        <v>0</v>
      </c>
      <c r="AP639" s="29">
        <f>I639*(1-0)</f>
        <v>0</v>
      </c>
      <c r="AQ639" s="30" t="s">
        <v>13</v>
      </c>
      <c r="AV639" s="29">
        <f aca="true" t="shared" si="658" ref="AV639:AV647">AW639+AX639</f>
        <v>0</v>
      </c>
      <c r="AW639" s="29">
        <f aca="true" t="shared" si="659" ref="AW639:AW647">H639*AO639</f>
        <v>0</v>
      </c>
      <c r="AX639" s="29">
        <f aca="true" t="shared" si="660" ref="AX639:AX647">H639*AP639</f>
        <v>0</v>
      </c>
      <c r="AY639" s="32" t="s">
        <v>2926</v>
      </c>
      <c r="AZ639" s="32" t="s">
        <v>2947</v>
      </c>
      <c r="BA639" s="28" t="s">
        <v>2957</v>
      </c>
      <c r="BC639" s="29">
        <f aca="true" t="shared" si="661" ref="BC639:BC647">AW639+AX639</f>
        <v>0</v>
      </c>
      <c r="BD639" s="29">
        <f aca="true" t="shared" si="662" ref="BD639:BD647">I639/(100-BE639)*100</f>
        <v>0</v>
      </c>
      <c r="BE639" s="29">
        <v>0</v>
      </c>
      <c r="BF639" s="29">
        <f>639</f>
        <v>639</v>
      </c>
      <c r="BH639" s="15">
        <f aca="true" t="shared" si="663" ref="BH639:BH647">H639*AO639</f>
        <v>0</v>
      </c>
      <c r="BI639" s="15">
        <f aca="true" t="shared" si="664" ref="BI639:BI647">H639*AP639</f>
        <v>0</v>
      </c>
      <c r="BJ639" s="15">
        <f aca="true" t="shared" si="665" ref="BJ639:BJ647">H639*I639</f>
        <v>0</v>
      </c>
      <c r="BK639" s="15" t="s">
        <v>2969</v>
      </c>
      <c r="BL639" s="29">
        <v>784</v>
      </c>
    </row>
    <row r="640" spans="1:64" ht="12.75">
      <c r="A640" s="4" t="s">
        <v>587</v>
      </c>
      <c r="B640" s="94" t="s">
        <v>1579</v>
      </c>
      <c r="C640" s="152" t="s">
        <v>2523</v>
      </c>
      <c r="D640" s="153"/>
      <c r="E640" s="153"/>
      <c r="F640" s="153"/>
      <c r="G640" s="94" t="s">
        <v>2849</v>
      </c>
      <c r="H640" s="73">
        <v>977.583</v>
      </c>
      <c r="I640" s="105">
        <v>0</v>
      </c>
      <c r="J640" s="15">
        <f t="shared" si="644"/>
        <v>0</v>
      </c>
      <c r="K640" s="15">
        <f t="shared" si="645"/>
        <v>0</v>
      </c>
      <c r="L640" s="15">
        <f t="shared" si="646"/>
        <v>0</v>
      </c>
      <c r="M640" s="25" t="s">
        <v>2872</v>
      </c>
      <c r="N640" s="5"/>
      <c r="Z640" s="29">
        <f t="shared" si="647"/>
        <v>0</v>
      </c>
      <c r="AB640" s="29">
        <f t="shared" si="648"/>
        <v>0</v>
      </c>
      <c r="AC640" s="29">
        <f t="shared" si="649"/>
        <v>0</v>
      </c>
      <c r="AD640" s="29">
        <f t="shared" si="650"/>
        <v>0</v>
      </c>
      <c r="AE640" s="29">
        <f t="shared" si="651"/>
        <v>0</v>
      </c>
      <c r="AF640" s="29">
        <f t="shared" si="652"/>
        <v>0</v>
      </c>
      <c r="AG640" s="29">
        <f t="shared" si="653"/>
        <v>0</v>
      </c>
      <c r="AH640" s="29">
        <f t="shared" si="654"/>
        <v>0</v>
      </c>
      <c r="AI640" s="28" t="s">
        <v>2882</v>
      </c>
      <c r="AJ640" s="15">
        <f t="shared" si="655"/>
        <v>0</v>
      </c>
      <c r="AK640" s="15">
        <f t="shared" si="656"/>
        <v>0</v>
      </c>
      <c r="AL640" s="15">
        <f t="shared" si="657"/>
        <v>0</v>
      </c>
      <c r="AN640" s="29">
        <v>15</v>
      </c>
      <c r="AO640" s="29">
        <f>I640*0</f>
        <v>0</v>
      </c>
      <c r="AP640" s="29">
        <f>I640*(1-0)</f>
        <v>0</v>
      </c>
      <c r="AQ640" s="30" t="s">
        <v>13</v>
      </c>
      <c r="AV640" s="29">
        <f t="shared" si="658"/>
        <v>0</v>
      </c>
      <c r="AW640" s="29">
        <f t="shared" si="659"/>
        <v>0</v>
      </c>
      <c r="AX640" s="29">
        <f t="shared" si="660"/>
        <v>0</v>
      </c>
      <c r="AY640" s="32" t="s">
        <v>2926</v>
      </c>
      <c r="AZ640" s="32" t="s">
        <v>2947</v>
      </c>
      <c r="BA640" s="28" t="s">
        <v>2957</v>
      </c>
      <c r="BC640" s="29">
        <f t="shared" si="661"/>
        <v>0</v>
      </c>
      <c r="BD640" s="29">
        <f t="shared" si="662"/>
        <v>0</v>
      </c>
      <c r="BE640" s="29">
        <v>0</v>
      </c>
      <c r="BF640" s="29">
        <f>640</f>
        <v>640</v>
      </c>
      <c r="BH640" s="15">
        <f t="shared" si="663"/>
        <v>0</v>
      </c>
      <c r="BI640" s="15">
        <f t="shared" si="664"/>
        <v>0</v>
      </c>
      <c r="BJ640" s="15">
        <f t="shared" si="665"/>
        <v>0</v>
      </c>
      <c r="BK640" s="15" t="s">
        <v>2969</v>
      </c>
      <c r="BL640" s="29">
        <v>784</v>
      </c>
    </row>
    <row r="641" spans="1:64" ht="12.75">
      <c r="A641" s="4" t="s">
        <v>588</v>
      </c>
      <c r="B641" s="94" t="s">
        <v>1580</v>
      </c>
      <c r="C641" s="152" t="s">
        <v>2524</v>
      </c>
      <c r="D641" s="153"/>
      <c r="E641" s="153"/>
      <c r="F641" s="153"/>
      <c r="G641" s="94" t="s">
        <v>2849</v>
      </c>
      <c r="H641" s="73">
        <v>953.883</v>
      </c>
      <c r="I641" s="105">
        <v>0</v>
      </c>
      <c r="J641" s="15">
        <f t="shared" si="644"/>
        <v>0</v>
      </c>
      <c r="K641" s="15">
        <f t="shared" si="645"/>
        <v>0</v>
      </c>
      <c r="L641" s="15">
        <f t="shared" si="646"/>
        <v>0</v>
      </c>
      <c r="M641" s="25" t="s">
        <v>2872</v>
      </c>
      <c r="N641" s="5"/>
      <c r="Z641" s="29">
        <f t="shared" si="647"/>
        <v>0</v>
      </c>
      <c r="AB641" s="29">
        <f t="shared" si="648"/>
        <v>0</v>
      </c>
      <c r="AC641" s="29">
        <f t="shared" si="649"/>
        <v>0</v>
      </c>
      <c r="AD641" s="29">
        <f t="shared" si="650"/>
        <v>0</v>
      </c>
      <c r="AE641" s="29">
        <f t="shared" si="651"/>
        <v>0</v>
      </c>
      <c r="AF641" s="29">
        <f t="shared" si="652"/>
        <v>0</v>
      </c>
      <c r="AG641" s="29">
        <f t="shared" si="653"/>
        <v>0</v>
      </c>
      <c r="AH641" s="29">
        <f t="shared" si="654"/>
        <v>0</v>
      </c>
      <c r="AI641" s="28" t="s">
        <v>2882</v>
      </c>
      <c r="AJ641" s="15">
        <f t="shared" si="655"/>
        <v>0</v>
      </c>
      <c r="AK641" s="15">
        <f t="shared" si="656"/>
        <v>0</v>
      </c>
      <c r="AL641" s="15">
        <f t="shared" si="657"/>
        <v>0</v>
      </c>
      <c r="AN641" s="29">
        <v>15</v>
      </c>
      <c r="AO641" s="29">
        <f>I641*0</f>
        <v>0</v>
      </c>
      <c r="AP641" s="29">
        <f>I641*(1-0)</f>
        <v>0</v>
      </c>
      <c r="AQ641" s="30" t="s">
        <v>13</v>
      </c>
      <c r="AV641" s="29">
        <f t="shared" si="658"/>
        <v>0</v>
      </c>
      <c r="AW641" s="29">
        <f t="shared" si="659"/>
        <v>0</v>
      </c>
      <c r="AX641" s="29">
        <f t="shared" si="660"/>
        <v>0</v>
      </c>
      <c r="AY641" s="32" t="s">
        <v>2926</v>
      </c>
      <c r="AZ641" s="32" t="s">
        <v>2947</v>
      </c>
      <c r="BA641" s="28" t="s">
        <v>2957</v>
      </c>
      <c r="BC641" s="29">
        <f t="shared" si="661"/>
        <v>0</v>
      </c>
      <c r="BD641" s="29">
        <f t="shared" si="662"/>
        <v>0</v>
      </c>
      <c r="BE641" s="29">
        <v>0</v>
      </c>
      <c r="BF641" s="29">
        <f>641</f>
        <v>641</v>
      </c>
      <c r="BH641" s="15">
        <f t="shared" si="663"/>
        <v>0</v>
      </c>
      <c r="BI641" s="15">
        <f t="shared" si="664"/>
        <v>0</v>
      </c>
      <c r="BJ641" s="15">
        <f t="shared" si="665"/>
        <v>0</v>
      </c>
      <c r="BK641" s="15" t="s">
        <v>2969</v>
      </c>
      <c r="BL641" s="29">
        <v>784</v>
      </c>
    </row>
    <row r="642" spans="1:64" ht="12.75">
      <c r="A642" s="4" t="s">
        <v>589</v>
      </c>
      <c r="B642" s="94" t="s">
        <v>1581</v>
      </c>
      <c r="C642" s="152" t="s">
        <v>2525</v>
      </c>
      <c r="D642" s="153"/>
      <c r="E642" s="153"/>
      <c r="F642" s="153"/>
      <c r="G642" s="94" t="s">
        <v>2849</v>
      </c>
      <c r="H642" s="73">
        <v>379.035</v>
      </c>
      <c r="I642" s="105">
        <v>0</v>
      </c>
      <c r="J642" s="15">
        <f t="shared" si="644"/>
        <v>0</v>
      </c>
      <c r="K642" s="15">
        <f t="shared" si="645"/>
        <v>0</v>
      </c>
      <c r="L642" s="15">
        <f t="shared" si="646"/>
        <v>0</v>
      </c>
      <c r="M642" s="25" t="s">
        <v>2872</v>
      </c>
      <c r="N642" s="5"/>
      <c r="Z642" s="29">
        <f t="shared" si="647"/>
        <v>0</v>
      </c>
      <c r="AB642" s="29">
        <f t="shared" si="648"/>
        <v>0</v>
      </c>
      <c r="AC642" s="29">
        <f t="shared" si="649"/>
        <v>0</v>
      </c>
      <c r="AD642" s="29">
        <f t="shared" si="650"/>
        <v>0</v>
      </c>
      <c r="AE642" s="29">
        <f t="shared" si="651"/>
        <v>0</v>
      </c>
      <c r="AF642" s="29">
        <f t="shared" si="652"/>
        <v>0</v>
      </c>
      <c r="AG642" s="29">
        <f t="shared" si="653"/>
        <v>0</v>
      </c>
      <c r="AH642" s="29">
        <f t="shared" si="654"/>
        <v>0</v>
      </c>
      <c r="AI642" s="28" t="s">
        <v>2882</v>
      </c>
      <c r="AJ642" s="15">
        <f t="shared" si="655"/>
        <v>0</v>
      </c>
      <c r="AK642" s="15">
        <f t="shared" si="656"/>
        <v>0</v>
      </c>
      <c r="AL642" s="15">
        <f t="shared" si="657"/>
        <v>0</v>
      </c>
      <c r="AN642" s="29">
        <v>15</v>
      </c>
      <c r="AO642" s="29">
        <f>I642*0.598170402669414</f>
        <v>0</v>
      </c>
      <c r="AP642" s="29">
        <f>I642*(1-0.598170402669414)</f>
        <v>0</v>
      </c>
      <c r="AQ642" s="30" t="s">
        <v>13</v>
      </c>
      <c r="AV642" s="29">
        <f t="shared" si="658"/>
        <v>0</v>
      </c>
      <c r="AW642" s="29">
        <f t="shared" si="659"/>
        <v>0</v>
      </c>
      <c r="AX642" s="29">
        <f t="shared" si="660"/>
        <v>0</v>
      </c>
      <c r="AY642" s="32" t="s">
        <v>2926</v>
      </c>
      <c r="AZ642" s="32" t="s">
        <v>2947</v>
      </c>
      <c r="BA642" s="28" t="s">
        <v>2957</v>
      </c>
      <c r="BC642" s="29">
        <f t="shared" si="661"/>
        <v>0</v>
      </c>
      <c r="BD642" s="29">
        <f t="shared" si="662"/>
        <v>0</v>
      </c>
      <c r="BE642" s="29">
        <v>0</v>
      </c>
      <c r="BF642" s="29">
        <f>642</f>
        <v>642</v>
      </c>
      <c r="BH642" s="15">
        <f t="shared" si="663"/>
        <v>0</v>
      </c>
      <c r="BI642" s="15">
        <f t="shared" si="664"/>
        <v>0</v>
      </c>
      <c r="BJ642" s="15">
        <f t="shared" si="665"/>
        <v>0</v>
      </c>
      <c r="BK642" s="15" t="s">
        <v>2969</v>
      </c>
      <c r="BL642" s="29">
        <v>784</v>
      </c>
    </row>
    <row r="643" spans="1:64" ht="12.75">
      <c r="A643" s="4" t="s">
        <v>590</v>
      </c>
      <c r="B643" s="94" t="s">
        <v>1582</v>
      </c>
      <c r="C643" s="152" t="s">
        <v>2526</v>
      </c>
      <c r="D643" s="153"/>
      <c r="E643" s="153"/>
      <c r="F643" s="153"/>
      <c r="G643" s="94" t="s">
        <v>2849</v>
      </c>
      <c r="H643" s="73">
        <v>214.47</v>
      </c>
      <c r="I643" s="105">
        <v>0</v>
      </c>
      <c r="J643" s="15">
        <f t="shared" si="644"/>
        <v>0</v>
      </c>
      <c r="K643" s="15">
        <f t="shared" si="645"/>
        <v>0</v>
      </c>
      <c r="L643" s="15">
        <f t="shared" si="646"/>
        <v>0</v>
      </c>
      <c r="M643" s="25" t="s">
        <v>2872</v>
      </c>
      <c r="N643" s="5"/>
      <c r="Z643" s="29">
        <f t="shared" si="647"/>
        <v>0</v>
      </c>
      <c r="AB643" s="29">
        <f t="shared" si="648"/>
        <v>0</v>
      </c>
      <c r="AC643" s="29">
        <f t="shared" si="649"/>
        <v>0</v>
      </c>
      <c r="AD643" s="29">
        <f t="shared" si="650"/>
        <v>0</v>
      </c>
      <c r="AE643" s="29">
        <f t="shared" si="651"/>
        <v>0</v>
      </c>
      <c r="AF643" s="29">
        <f t="shared" si="652"/>
        <v>0</v>
      </c>
      <c r="AG643" s="29">
        <f t="shared" si="653"/>
        <v>0</v>
      </c>
      <c r="AH643" s="29">
        <f t="shared" si="654"/>
        <v>0</v>
      </c>
      <c r="AI643" s="28" t="s">
        <v>2882</v>
      </c>
      <c r="AJ643" s="15">
        <f t="shared" si="655"/>
        <v>0</v>
      </c>
      <c r="AK643" s="15">
        <f t="shared" si="656"/>
        <v>0</v>
      </c>
      <c r="AL643" s="15">
        <f t="shared" si="657"/>
        <v>0</v>
      </c>
      <c r="AN643" s="29">
        <v>15</v>
      </c>
      <c r="AO643" s="29">
        <f>I643*0.600731971770921</f>
        <v>0</v>
      </c>
      <c r="AP643" s="29">
        <f>I643*(1-0.600731971770921)</f>
        <v>0</v>
      </c>
      <c r="AQ643" s="30" t="s">
        <v>13</v>
      </c>
      <c r="AV643" s="29">
        <f t="shared" si="658"/>
        <v>0</v>
      </c>
      <c r="AW643" s="29">
        <f t="shared" si="659"/>
        <v>0</v>
      </c>
      <c r="AX643" s="29">
        <f t="shared" si="660"/>
        <v>0</v>
      </c>
      <c r="AY643" s="32" t="s">
        <v>2926</v>
      </c>
      <c r="AZ643" s="32" t="s">
        <v>2947</v>
      </c>
      <c r="BA643" s="28" t="s">
        <v>2957</v>
      </c>
      <c r="BC643" s="29">
        <f t="shared" si="661"/>
        <v>0</v>
      </c>
      <c r="BD643" s="29">
        <f t="shared" si="662"/>
        <v>0</v>
      </c>
      <c r="BE643" s="29">
        <v>0</v>
      </c>
      <c r="BF643" s="29">
        <f>643</f>
        <v>643</v>
      </c>
      <c r="BH643" s="15">
        <f t="shared" si="663"/>
        <v>0</v>
      </c>
      <c r="BI643" s="15">
        <f t="shared" si="664"/>
        <v>0</v>
      </c>
      <c r="BJ643" s="15">
        <f t="shared" si="665"/>
        <v>0</v>
      </c>
      <c r="BK643" s="15" t="s">
        <v>2969</v>
      </c>
      <c r="BL643" s="29">
        <v>784</v>
      </c>
    </row>
    <row r="644" spans="1:64" ht="12.75">
      <c r="A644" s="4" t="s">
        <v>591</v>
      </c>
      <c r="B644" s="94" t="s">
        <v>1582</v>
      </c>
      <c r="C644" s="152" t="s">
        <v>2527</v>
      </c>
      <c r="D644" s="153"/>
      <c r="E644" s="153"/>
      <c r="F644" s="153"/>
      <c r="G644" s="94" t="s">
        <v>2849</v>
      </c>
      <c r="H644" s="73">
        <v>977.583</v>
      </c>
      <c r="I644" s="105">
        <v>0</v>
      </c>
      <c r="J644" s="15">
        <f t="shared" si="644"/>
        <v>0</v>
      </c>
      <c r="K644" s="15">
        <f t="shared" si="645"/>
        <v>0</v>
      </c>
      <c r="L644" s="15">
        <f t="shared" si="646"/>
        <v>0</v>
      </c>
      <c r="M644" s="25" t="s">
        <v>2872</v>
      </c>
      <c r="N644" s="5"/>
      <c r="Z644" s="29">
        <f t="shared" si="647"/>
        <v>0</v>
      </c>
      <c r="AB644" s="29">
        <f t="shared" si="648"/>
        <v>0</v>
      </c>
      <c r="AC644" s="29">
        <f t="shared" si="649"/>
        <v>0</v>
      </c>
      <c r="AD644" s="29">
        <f t="shared" si="650"/>
        <v>0</v>
      </c>
      <c r="AE644" s="29">
        <f t="shared" si="651"/>
        <v>0</v>
      </c>
      <c r="AF644" s="29">
        <f t="shared" si="652"/>
        <v>0</v>
      </c>
      <c r="AG644" s="29">
        <f t="shared" si="653"/>
        <v>0</v>
      </c>
      <c r="AH644" s="29">
        <f t="shared" si="654"/>
        <v>0</v>
      </c>
      <c r="AI644" s="28" t="s">
        <v>2882</v>
      </c>
      <c r="AJ644" s="15">
        <f t="shared" si="655"/>
        <v>0</v>
      </c>
      <c r="AK644" s="15">
        <f t="shared" si="656"/>
        <v>0</v>
      </c>
      <c r="AL644" s="15">
        <f t="shared" si="657"/>
        <v>0</v>
      </c>
      <c r="AN644" s="29">
        <v>15</v>
      </c>
      <c r="AO644" s="29">
        <f>I644*0.600731703932691</f>
        <v>0</v>
      </c>
      <c r="AP644" s="29">
        <f>I644*(1-0.600731703932691)</f>
        <v>0</v>
      </c>
      <c r="AQ644" s="30" t="s">
        <v>13</v>
      </c>
      <c r="AV644" s="29">
        <f t="shared" si="658"/>
        <v>0</v>
      </c>
      <c r="AW644" s="29">
        <f t="shared" si="659"/>
        <v>0</v>
      </c>
      <c r="AX644" s="29">
        <f t="shared" si="660"/>
        <v>0</v>
      </c>
      <c r="AY644" s="32" t="s">
        <v>2926</v>
      </c>
      <c r="AZ644" s="32" t="s">
        <v>2947</v>
      </c>
      <c r="BA644" s="28" t="s">
        <v>2957</v>
      </c>
      <c r="BC644" s="29">
        <f t="shared" si="661"/>
        <v>0</v>
      </c>
      <c r="BD644" s="29">
        <f t="shared" si="662"/>
        <v>0</v>
      </c>
      <c r="BE644" s="29">
        <v>0</v>
      </c>
      <c r="BF644" s="29">
        <f>644</f>
        <v>644</v>
      </c>
      <c r="BH644" s="15">
        <f t="shared" si="663"/>
        <v>0</v>
      </c>
      <c r="BI644" s="15">
        <f t="shared" si="664"/>
        <v>0</v>
      </c>
      <c r="BJ644" s="15">
        <f t="shared" si="665"/>
        <v>0</v>
      </c>
      <c r="BK644" s="15" t="s">
        <v>2969</v>
      </c>
      <c r="BL644" s="29">
        <v>784</v>
      </c>
    </row>
    <row r="645" spans="1:64" ht="12.75">
      <c r="A645" s="4" t="s">
        <v>592</v>
      </c>
      <c r="B645" s="94" t="s">
        <v>1583</v>
      </c>
      <c r="C645" s="152" t="s">
        <v>2528</v>
      </c>
      <c r="D645" s="153"/>
      <c r="E645" s="153"/>
      <c r="F645" s="153"/>
      <c r="G645" s="94" t="s">
        <v>2849</v>
      </c>
      <c r="H645" s="73">
        <v>214.47</v>
      </c>
      <c r="I645" s="105">
        <v>0</v>
      </c>
      <c r="J645" s="15">
        <f t="shared" si="644"/>
        <v>0</v>
      </c>
      <c r="K645" s="15">
        <f t="shared" si="645"/>
        <v>0</v>
      </c>
      <c r="L645" s="15">
        <f t="shared" si="646"/>
        <v>0</v>
      </c>
      <c r="M645" s="25" t="s">
        <v>2872</v>
      </c>
      <c r="N645" s="5"/>
      <c r="Z645" s="29">
        <f t="shared" si="647"/>
        <v>0</v>
      </c>
      <c r="AB645" s="29">
        <f t="shared" si="648"/>
        <v>0</v>
      </c>
      <c r="AC645" s="29">
        <f t="shared" si="649"/>
        <v>0</v>
      </c>
      <c r="AD645" s="29">
        <f t="shared" si="650"/>
        <v>0</v>
      </c>
      <c r="AE645" s="29">
        <f t="shared" si="651"/>
        <v>0</v>
      </c>
      <c r="AF645" s="29">
        <f t="shared" si="652"/>
        <v>0</v>
      </c>
      <c r="AG645" s="29">
        <f t="shared" si="653"/>
        <v>0</v>
      </c>
      <c r="AH645" s="29">
        <f t="shared" si="654"/>
        <v>0</v>
      </c>
      <c r="AI645" s="28" t="s">
        <v>2882</v>
      </c>
      <c r="AJ645" s="15">
        <f t="shared" si="655"/>
        <v>0</v>
      </c>
      <c r="AK645" s="15">
        <f t="shared" si="656"/>
        <v>0</v>
      </c>
      <c r="AL645" s="15">
        <f t="shared" si="657"/>
        <v>0</v>
      </c>
      <c r="AN645" s="29">
        <v>15</v>
      </c>
      <c r="AO645" s="29">
        <f>I645*0.324167908377778</f>
        <v>0</v>
      </c>
      <c r="AP645" s="29">
        <f>I645*(1-0.324167908377778)</f>
        <v>0</v>
      </c>
      <c r="AQ645" s="30" t="s">
        <v>13</v>
      </c>
      <c r="AV645" s="29">
        <f t="shared" si="658"/>
        <v>0</v>
      </c>
      <c r="AW645" s="29">
        <f t="shared" si="659"/>
        <v>0</v>
      </c>
      <c r="AX645" s="29">
        <f t="shared" si="660"/>
        <v>0</v>
      </c>
      <c r="AY645" s="32" t="s">
        <v>2926</v>
      </c>
      <c r="AZ645" s="32" t="s">
        <v>2947</v>
      </c>
      <c r="BA645" s="28" t="s">
        <v>2957</v>
      </c>
      <c r="BC645" s="29">
        <f t="shared" si="661"/>
        <v>0</v>
      </c>
      <c r="BD645" s="29">
        <f t="shared" si="662"/>
        <v>0</v>
      </c>
      <c r="BE645" s="29">
        <v>0</v>
      </c>
      <c r="BF645" s="29">
        <f>645</f>
        <v>645</v>
      </c>
      <c r="BH645" s="15">
        <f t="shared" si="663"/>
        <v>0</v>
      </c>
      <c r="BI645" s="15">
        <f t="shared" si="664"/>
        <v>0</v>
      </c>
      <c r="BJ645" s="15">
        <f t="shared" si="665"/>
        <v>0</v>
      </c>
      <c r="BK645" s="15" t="s">
        <v>2969</v>
      </c>
      <c r="BL645" s="29">
        <v>784</v>
      </c>
    </row>
    <row r="646" spans="1:64" ht="12.75">
      <c r="A646" s="4" t="s">
        <v>593</v>
      </c>
      <c r="B646" s="94" t="s">
        <v>1583</v>
      </c>
      <c r="C646" s="152" t="s">
        <v>2529</v>
      </c>
      <c r="D646" s="153"/>
      <c r="E646" s="153"/>
      <c r="F646" s="153"/>
      <c r="G646" s="94" t="s">
        <v>2849</v>
      </c>
      <c r="H646" s="73">
        <v>977.583</v>
      </c>
      <c r="I646" s="105">
        <v>0</v>
      </c>
      <c r="J646" s="15">
        <f t="shared" si="644"/>
        <v>0</v>
      </c>
      <c r="K646" s="15">
        <f t="shared" si="645"/>
        <v>0</v>
      </c>
      <c r="L646" s="15">
        <f t="shared" si="646"/>
        <v>0</v>
      </c>
      <c r="M646" s="25" t="s">
        <v>2872</v>
      </c>
      <c r="N646" s="5"/>
      <c r="Z646" s="29">
        <f t="shared" si="647"/>
        <v>0</v>
      </c>
      <c r="AB646" s="29">
        <f t="shared" si="648"/>
        <v>0</v>
      </c>
      <c r="AC646" s="29">
        <f t="shared" si="649"/>
        <v>0</v>
      </c>
      <c r="AD646" s="29">
        <f t="shared" si="650"/>
        <v>0</v>
      </c>
      <c r="AE646" s="29">
        <f t="shared" si="651"/>
        <v>0</v>
      </c>
      <c r="AF646" s="29">
        <f t="shared" si="652"/>
        <v>0</v>
      </c>
      <c r="AG646" s="29">
        <f t="shared" si="653"/>
        <v>0</v>
      </c>
      <c r="AH646" s="29">
        <f t="shared" si="654"/>
        <v>0</v>
      </c>
      <c r="AI646" s="28" t="s">
        <v>2882</v>
      </c>
      <c r="AJ646" s="15">
        <f t="shared" si="655"/>
        <v>0</v>
      </c>
      <c r="AK646" s="15">
        <f t="shared" si="656"/>
        <v>0</v>
      </c>
      <c r="AL646" s="15">
        <f t="shared" si="657"/>
        <v>0</v>
      </c>
      <c r="AN646" s="29">
        <v>15</v>
      </c>
      <c r="AO646" s="29">
        <f>I646*0.32416788654252</f>
        <v>0</v>
      </c>
      <c r="AP646" s="29">
        <f>I646*(1-0.32416788654252)</f>
        <v>0</v>
      </c>
      <c r="AQ646" s="30" t="s">
        <v>13</v>
      </c>
      <c r="AV646" s="29">
        <f t="shared" si="658"/>
        <v>0</v>
      </c>
      <c r="AW646" s="29">
        <f t="shared" si="659"/>
        <v>0</v>
      </c>
      <c r="AX646" s="29">
        <f t="shared" si="660"/>
        <v>0</v>
      </c>
      <c r="AY646" s="32" t="s">
        <v>2926</v>
      </c>
      <c r="AZ646" s="32" t="s">
        <v>2947</v>
      </c>
      <c r="BA646" s="28" t="s">
        <v>2957</v>
      </c>
      <c r="BC646" s="29">
        <f t="shared" si="661"/>
        <v>0</v>
      </c>
      <c r="BD646" s="29">
        <f t="shared" si="662"/>
        <v>0</v>
      </c>
      <c r="BE646" s="29">
        <v>0</v>
      </c>
      <c r="BF646" s="29">
        <f>646</f>
        <v>646</v>
      </c>
      <c r="BH646" s="15">
        <f t="shared" si="663"/>
        <v>0</v>
      </c>
      <c r="BI646" s="15">
        <f t="shared" si="664"/>
        <v>0</v>
      </c>
      <c r="BJ646" s="15">
        <f t="shared" si="665"/>
        <v>0</v>
      </c>
      <c r="BK646" s="15" t="s">
        <v>2969</v>
      </c>
      <c r="BL646" s="29">
        <v>784</v>
      </c>
    </row>
    <row r="647" spans="1:64" ht="12.75">
      <c r="A647" s="4" t="s">
        <v>594</v>
      </c>
      <c r="B647" s="94" t="s">
        <v>1584</v>
      </c>
      <c r="C647" s="152" t="s">
        <v>2530</v>
      </c>
      <c r="D647" s="153"/>
      <c r="E647" s="153"/>
      <c r="F647" s="153"/>
      <c r="G647" s="94" t="s">
        <v>2849</v>
      </c>
      <c r="H647" s="73">
        <v>953.883</v>
      </c>
      <c r="I647" s="105">
        <v>0</v>
      </c>
      <c r="J647" s="15">
        <f t="shared" si="644"/>
        <v>0</v>
      </c>
      <c r="K647" s="15">
        <f t="shared" si="645"/>
        <v>0</v>
      </c>
      <c r="L647" s="15">
        <f t="shared" si="646"/>
        <v>0</v>
      </c>
      <c r="M647" s="25" t="s">
        <v>2872</v>
      </c>
      <c r="N647" s="5"/>
      <c r="Z647" s="29">
        <f t="shared" si="647"/>
        <v>0</v>
      </c>
      <c r="AB647" s="29">
        <f t="shared" si="648"/>
        <v>0</v>
      </c>
      <c r="AC647" s="29">
        <f t="shared" si="649"/>
        <v>0</v>
      </c>
      <c r="AD647" s="29">
        <f t="shared" si="650"/>
        <v>0</v>
      </c>
      <c r="AE647" s="29">
        <f t="shared" si="651"/>
        <v>0</v>
      </c>
      <c r="AF647" s="29">
        <f t="shared" si="652"/>
        <v>0</v>
      </c>
      <c r="AG647" s="29">
        <f t="shared" si="653"/>
        <v>0</v>
      </c>
      <c r="AH647" s="29">
        <f t="shared" si="654"/>
        <v>0</v>
      </c>
      <c r="AI647" s="28" t="s">
        <v>2882</v>
      </c>
      <c r="AJ647" s="15">
        <f t="shared" si="655"/>
        <v>0</v>
      </c>
      <c r="AK647" s="15">
        <f t="shared" si="656"/>
        <v>0</v>
      </c>
      <c r="AL647" s="15">
        <f t="shared" si="657"/>
        <v>0</v>
      </c>
      <c r="AN647" s="29">
        <v>15</v>
      </c>
      <c r="AO647" s="29">
        <f>I647*0.0748201319982264</f>
        <v>0</v>
      </c>
      <c r="AP647" s="29">
        <f>I647*(1-0.0748201319982264)</f>
        <v>0</v>
      </c>
      <c r="AQ647" s="30" t="s">
        <v>13</v>
      </c>
      <c r="AV647" s="29">
        <f t="shared" si="658"/>
        <v>0</v>
      </c>
      <c r="AW647" s="29">
        <f t="shared" si="659"/>
        <v>0</v>
      </c>
      <c r="AX647" s="29">
        <f t="shared" si="660"/>
        <v>0</v>
      </c>
      <c r="AY647" s="32" t="s">
        <v>2926</v>
      </c>
      <c r="AZ647" s="32" t="s">
        <v>2947</v>
      </c>
      <c r="BA647" s="28" t="s">
        <v>2957</v>
      </c>
      <c r="BC647" s="29">
        <f t="shared" si="661"/>
        <v>0</v>
      </c>
      <c r="BD647" s="29">
        <f t="shared" si="662"/>
        <v>0</v>
      </c>
      <c r="BE647" s="29">
        <v>0</v>
      </c>
      <c r="BF647" s="29">
        <f>647</f>
        <v>647</v>
      </c>
      <c r="BH647" s="15">
        <f t="shared" si="663"/>
        <v>0</v>
      </c>
      <c r="BI647" s="15">
        <f t="shared" si="664"/>
        <v>0</v>
      </c>
      <c r="BJ647" s="15">
        <f t="shared" si="665"/>
        <v>0</v>
      </c>
      <c r="BK647" s="15" t="s">
        <v>2969</v>
      </c>
      <c r="BL647" s="29">
        <v>784</v>
      </c>
    </row>
    <row r="648" spans="1:47" ht="12.75">
      <c r="A648" s="3"/>
      <c r="B648" s="97" t="s">
        <v>1585</v>
      </c>
      <c r="C648" s="161" t="s">
        <v>2531</v>
      </c>
      <c r="D648" s="162"/>
      <c r="E648" s="162"/>
      <c r="F648" s="162"/>
      <c r="G648" s="13" t="s">
        <v>6</v>
      </c>
      <c r="H648" s="13" t="s">
        <v>6</v>
      </c>
      <c r="I648" s="13" t="s">
        <v>6</v>
      </c>
      <c r="J648" s="34">
        <f>SUM(J649:J779)</f>
        <v>0</v>
      </c>
      <c r="K648" s="34">
        <f>SUM(K649:K779)</f>
        <v>0</v>
      </c>
      <c r="L648" s="34">
        <f>SUM(L649:L779)</f>
        <v>0</v>
      </c>
      <c r="M648" s="24"/>
      <c r="N648" s="5"/>
      <c r="AI648" s="28" t="s">
        <v>2882</v>
      </c>
      <c r="AS648" s="34">
        <f>SUM(AJ649:AJ779)</f>
        <v>0</v>
      </c>
      <c r="AT648" s="34">
        <f>SUM(AK649:AK779)</f>
        <v>0</v>
      </c>
      <c r="AU648" s="34">
        <f>SUM(AL649:AL779)</f>
        <v>0</v>
      </c>
    </row>
    <row r="649" spans="1:64" ht="12.75">
      <c r="A649" s="4" t="s">
        <v>595</v>
      </c>
      <c r="B649" s="94" t="s">
        <v>1586</v>
      </c>
      <c r="C649" s="152" t="s">
        <v>2532</v>
      </c>
      <c r="D649" s="153"/>
      <c r="E649" s="153"/>
      <c r="F649" s="153"/>
      <c r="G649" s="94" t="s">
        <v>2850</v>
      </c>
      <c r="H649" s="73">
        <v>224</v>
      </c>
      <c r="I649" s="105">
        <v>0</v>
      </c>
      <c r="J649" s="15">
        <f aca="true" t="shared" si="666" ref="J649:J680">H649*AO649</f>
        <v>0</v>
      </c>
      <c r="K649" s="15">
        <f aca="true" t="shared" si="667" ref="K649:K680">H649*AP649</f>
        <v>0</v>
      </c>
      <c r="L649" s="15">
        <f aca="true" t="shared" si="668" ref="L649:L680">H649*I649</f>
        <v>0</v>
      </c>
      <c r="M649" s="25"/>
      <c r="N649" s="5"/>
      <c r="Z649" s="29">
        <f aca="true" t="shared" si="669" ref="Z649:Z680">IF(AQ649="5",BJ649,0)</f>
        <v>0</v>
      </c>
      <c r="AB649" s="29">
        <f aca="true" t="shared" si="670" ref="AB649:AB680">IF(AQ649="1",BH649,0)</f>
        <v>0</v>
      </c>
      <c r="AC649" s="29">
        <f aca="true" t="shared" si="671" ref="AC649:AC680">IF(AQ649="1",BI649,0)</f>
        <v>0</v>
      </c>
      <c r="AD649" s="29">
        <f aca="true" t="shared" si="672" ref="AD649:AD680">IF(AQ649="7",BH649,0)</f>
        <v>0</v>
      </c>
      <c r="AE649" s="29">
        <f aca="true" t="shared" si="673" ref="AE649:AE680">IF(AQ649="7",BI649,0)</f>
        <v>0</v>
      </c>
      <c r="AF649" s="29">
        <f aca="true" t="shared" si="674" ref="AF649:AF680">IF(AQ649="2",BH649,0)</f>
        <v>0</v>
      </c>
      <c r="AG649" s="29">
        <f aca="true" t="shared" si="675" ref="AG649:AG680">IF(AQ649="2",BI649,0)</f>
        <v>0</v>
      </c>
      <c r="AH649" s="29">
        <f aca="true" t="shared" si="676" ref="AH649:AH680">IF(AQ649="0",BJ649,0)</f>
        <v>0</v>
      </c>
      <c r="AI649" s="28" t="s">
        <v>2882</v>
      </c>
      <c r="AJ649" s="15">
        <f aca="true" t="shared" si="677" ref="AJ649:AJ680">IF(AN649=0,L649,0)</f>
        <v>0</v>
      </c>
      <c r="AK649" s="15">
        <f aca="true" t="shared" si="678" ref="AK649:AK680">IF(AN649=15,L649,0)</f>
        <v>0</v>
      </c>
      <c r="AL649" s="15">
        <f aca="true" t="shared" si="679" ref="AL649:AL680">IF(AN649=21,L649,0)</f>
        <v>0</v>
      </c>
      <c r="AN649" s="29">
        <v>15</v>
      </c>
      <c r="AO649" s="29">
        <f aca="true" t="shared" si="680" ref="AO649:AO667">I649*0</f>
        <v>0</v>
      </c>
      <c r="AP649" s="29">
        <f aca="true" t="shared" si="681" ref="AP649:AP667">I649*(1-0)</f>
        <v>0</v>
      </c>
      <c r="AQ649" s="30" t="s">
        <v>7</v>
      </c>
      <c r="AV649" s="29">
        <f aca="true" t="shared" si="682" ref="AV649:AV680">AW649+AX649</f>
        <v>0</v>
      </c>
      <c r="AW649" s="29">
        <f aca="true" t="shared" si="683" ref="AW649:AW680">H649*AO649</f>
        <v>0</v>
      </c>
      <c r="AX649" s="29">
        <f aca="true" t="shared" si="684" ref="AX649:AX680">H649*AP649</f>
        <v>0</v>
      </c>
      <c r="AY649" s="32" t="s">
        <v>2927</v>
      </c>
      <c r="AZ649" s="32" t="s">
        <v>2941</v>
      </c>
      <c r="BA649" s="28" t="s">
        <v>2957</v>
      </c>
      <c r="BC649" s="29">
        <f aca="true" t="shared" si="685" ref="BC649:BC680">AW649+AX649</f>
        <v>0</v>
      </c>
      <c r="BD649" s="29">
        <f aca="true" t="shared" si="686" ref="BD649:BD680">I649/(100-BE649)*100</f>
        <v>0</v>
      </c>
      <c r="BE649" s="29">
        <v>0</v>
      </c>
      <c r="BF649" s="29">
        <f>649</f>
        <v>649</v>
      </c>
      <c r="BH649" s="15">
        <f aca="true" t="shared" si="687" ref="BH649:BH680">H649*AO649</f>
        <v>0</v>
      </c>
      <c r="BI649" s="15">
        <f aca="true" t="shared" si="688" ref="BI649:BI680">H649*AP649</f>
        <v>0</v>
      </c>
      <c r="BJ649" s="15">
        <f aca="true" t="shared" si="689" ref="BJ649:BJ680">H649*I649</f>
        <v>0</v>
      </c>
      <c r="BK649" s="15" t="s">
        <v>2969</v>
      </c>
      <c r="BL649" s="29" t="s">
        <v>1585</v>
      </c>
    </row>
    <row r="650" spans="1:64" ht="12.75">
      <c r="A650" s="4" t="s">
        <v>596</v>
      </c>
      <c r="B650" s="94" t="s">
        <v>1587</v>
      </c>
      <c r="C650" s="152" t="s">
        <v>2533</v>
      </c>
      <c r="D650" s="153"/>
      <c r="E650" s="153"/>
      <c r="F650" s="153"/>
      <c r="G650" s="94" t="s">
        <v>2850</v>
      </c>
      <c r="H650" s="73">
        <v>104</v>
      </c>
      <c r="I650" s="105">
        <v>0</v>
      </c>
      <c r="J650" s="15">
        <f t="shared" si="666"/>
        <v>0</v>
      </c>
      <c r="K650" s="15">
        <f t="shared" si="667"/>
        <v>0</v>
      </c>
      <c r="L650" s="15">
        <f t="shared" si="668"/>
        <v>0</v>
      </c>
      <c r="M650" s="25"/>
      <c r="N650" s="5"/>
      <c r="Z650" s="29">
        <f t="shared" si="669"/>
        <v>0</v>
      </c>
      <c r="AB650" s="29">
        <f t="shared" si="670"/>
        <v>0</v>
      </c>
      <c r="AC650" s="29">
        <f t="shared" si="671"/>
        <v>0</v>
      </c>
      <c r="AD650" s="29">
        <f t="shared" si="672"/>
        <v>0</v>
      </c>
      <c r="AE650" s="29">
        <f t="shared" si="673"/>
        <v>0</v>
      </c>
      <c r="AF650" s="29">
        <f t="shared" si="674"/>
        <v>0</v>
      </c>
      <c r="AG650" s="29">
        <f t="shared" si="675"/>
        <v>0</v>
      </c>
      <c r="AH650" s="29">
        <f t="shared" si="676"/>
        <v>0</v>
      </c>
      <c r="AI650" s="28" t="s">
        <v>2882</v>
      </c>
      <c r="AJ650" s="15">
        <f t="shared" si="677"/>
        <v>0</v>
      </c>
      <c r="AK650" s="15">
        <f t="shared" si="678"/>
        <v>0</v>
      </c>
      <c r="AL650" s="15">
        <f t="shared" si="679"/>
        <v>0</v>
      </c>
      <c r="AN650" s="29">
        <v>15</v>
      </c>
      <c r="AO650" s="29">
        <f t="shared" si="680"/>
        <v>0</v>
      </c>
      <c r="AP650" s="29">
        <f t="shared" si="681"/>
        <v>0</v>
      </c>
      <c r="AQ650" s="30" t="s">
        <v>7</v>
      </c>
      <c r="AV650" s="29">
        <f t="shared" si="682"/>
        <v>0</v>
      </c>
      <c r="AW650" s="29">
        <f t="shared" si="683"/>
        <v>0</v>
      </c>
      <c r="AX650" s="29">
        <f t="shared" si="684"/>
        <v>0</v>
      </c>
      <c r="AY650" s="32" t="s">
        <v>2927</v>
      </c>
      <c r="AZ650" s="32" t="s">
        <v>2941</v>
      </c>
      <c r="BA650" s="28" t="s">
        <v>2957</v>
      </c>
      <c r="BC650" s="29">
        <f t="shared" si="685"/>
        <v>0</v>
      </c>
      <c r="BD650" s="29">
        <f t="shared" si="686"/>
        <v>0</v>
      </c>
      <c r="BE650" s="29">
        <v>0</v>
      </c>
      <c r="BF650" s="29">
        <f>650</f>
        <v>650</v>
      </c>
      <c r="BH650" s="15">
        <f t="shared" si="687"/>
        <v>0</v>
      </c>
      <c r="BI650" s="15">
        <f t="shared" si="688"/>
        <v>0</v>
      </c>
      <c r="BJ650" s="15">
        <f t="shared" si="689"/>
        <v>0</v>
      </c>
      <c r="BK650" s="15" t="s">
        <v>2969</v>
      </c>
      <c r="BL650" s="29" t="s">
        <v>1585</v>
      </c>
    </row>
    <row r="651" spans="1:64" ht="12.75">
      <c r="A651" s="4" t="s">
        <v>597</v>
      </c>
      <c r="B651" s="94" t="s">
        <v>1588</v>
      </c>
      <c r="C651" s="152" t="s">
        <v>2534</v>
      </c>
      <c r="D651" s="153"/>
      <c r="E651" s="153"/>
      <c r="F651" s="153"/>
      <c r="G651" s="94" t="s">
        <v>2850</v>
      </c>
      <c r="H651" s="73">
        <v>175</v>
      </c>
      <c r="I651" s="105">
        <v>0</v>
      </c>
      <c r="J651" s="15">
        <f t="shared" si="666"/>
        <v>0</v>
      </c>
      <c r="K651" s="15">
        <f t="shared" si="667"/>
        <v>0</v>
      </c>
      <c r="L651" s="15">
        <f t="shared" si="668"/>
        <v>0</v>
      </c>
      <c r="M651" s="25"/>
      <c r="N651" s="5"/>
      <c r="Z651" s="29">
        <f t="shared" si="669"/>
        <v>0</v>
      </c>
      <c r="AB651" s="29">
        <f t="shared" si="670"/>
        <v>0</v>
      </c>
      <c r="AC651" s="29">
        <f t="shared" si="671"/>
        <v>0</v>
      </c>
      <c r="AD651" s="29">
        <f t="shared" si="672"/>
        <v>0</v>
      </c>
      <c r="AE651" s="29">
        <f t="shared" si="673"/>
        <v>0</v>
      </c>
      <c r="AF651" s="29">
        <f t="shared" si="674"/>
        <v>0</v>
      </c>
      <c r="AG651" s="29">
        <f t="shared" si="675"/>
        <v>0</v>
      </c>
      <c r="AH651" s="29">
        <f t="shared" si="676"/>
        <v>0</v>
      </c>
      <c r="AI651" s="28" t="s">
        <v>2882</v>
      </c>
      <c r="AJ651" s="15">
        <f t="shared" si="677"/>
        <v>0</v>
      </c>
      <c r="AK651" s="15">
        <f t="shared" si="678"/>
        <v>0</v>
      </c>
      <c r="AL651" s="15">
        <f t="shared" si="679"/>
        <v>0</v>
      </c>
      <c r="AN651" s="29">
        <v>15</v>
      </c>
      <c r="AO651" s="29">
        <f t="shared" si="680"/>
        <v>0</v>
      </c>
      <c r="AP651" s="29">
        <f t="shared" si="681"/>
        <v>0</v>
      </c>
      <c r="AQ651" s="30" t="s">
        <v>7</v>
      </c>
      <c r="AV651" s="29">
        <f t="shared" si="682"/>
        <v>0</v>
      </c>
      <c r="AW651" s="29">
        <f t="shared" si="683"/>
        <v>0</v>
      </c>
      <c r="AX651" s="29">
        <f t="shared" si="684"/>
        <v>0</v>
      </c>
      <c r="AY651" s="32" t="s">
        <v>2927</v>
      </c>
      <c r="AZ651" s="32" t="s">
        <v>2941</v>
      </c>
      <c r="BA651" s="28" t="s">
        <v>2957</v>
      </c>
      <c r="BC651" s="29">
        <f t="shared" si="685"/>
        <v>0</v>
      </c>
      <c r="BD651" s="29">
        <f t="shared" si="686"/>
        <v>0</v>
      </c>
      <c r="BE651" s="29">
        <v>0</v>
      </c>
      <c r="BF651" s="29">
        <f>651</f>
        <v>651</v>
      </c>
      <c r="BH651" s="15">
        <f t="shared" si="687"/>
        <v>0</v>
      </c>
      <c r="BI651" s="15">
        <f t="shared" si="688"/>
        <v>0</v>
      </c>
      <c r="BJ651" s="15">
        <f t="shared" si="689"/>
        <v>0</v>
      </c>
      <c r="BK651" s="15" t="s">
        <v>2969</v>
      </c>
      <c r="BL651" s="29" t="s">
        <v>1585</v>
      </c>
    </row>
    <row r="652" spans="1:64" ht="12.75">
      <c r="A652" s="4" t="s">
        <v>598</v>
      </c>
      <c r="B652" s="94" t="s">
        <v>1589</v>
      </c>
      <c r="C652" s="152" t="s">
        <v>2535</v>
      </c>
      <c r="D652" s="153"/>
      <c r="E652" s="153"/>
      <c r="F652" s="153"/>
      <c r="G652" s="94" t="s">
        <v>2851</v>
      </c>
      <c r="H652" s="73">
        <v>1840</v>
      </c>
      <c r="I652" s="105">
        <v>0</v>
      </c>
      <c r="J652" s="15">
        <f t="shared" si="666"/>
        <v>0</v>
      </c>
      <c r="K652" s="15">
        <f t="shared" si="667"/>
        <v>0</v>
      </c>
      <c r="L652" s="15">
        <f t="shared" si="668"/>
        <v>0</v>
      </c>
      <c r="M652" s="25"/>
      <c r="N652" s="5"/>
      <c r="Z652" s="29">
        <f t="shared" si="669"/>
        <v>0</v>
      </c>
      <c r="AB652" s="29">
        <f t="shared" si="670"/>
        <v>0</v>
      </c>
      <c r="AC652" s="29">
        <f t="shared" si="671"/>
        <v>0</v>
      </c>
      <c r="AD652" s="29">
        <f t="shared" si="672"/>
        <v>0</v>
      </c>
      <c r="AE652" s="29">
        <f t="shared" si="673"/>
        <v>0</v>
      </c>
      <c r="AF652" s="29">
        <f t="shared" si="674"/>
        <v>0</v>
      </c>
      <c r="AG652" s="29">
        <f t="shared" si="675"/>
        <v>0</v>
      </c>
      <c r="AH652" s="29">
        <f t="shared" si="676"/>
        <v>0</v>
      </c>
      <c r="AI652" s="28" t="s">
        <v>2882</v>
      </c>
      <c r="AJ652" s="15">
        <f t="shared" si="677"/>
        <v>0</v>
      </c>
      <c r="AK652" s="15">
        <f t="shared" si="678"/>
        <v>0</v>
      </c>
      <c r="AL652" s="15">
        <f t="shared" si="679"/>
        <v>0</v>
      </c>
      <c r="AN652" s="29">
        <v>15</v>
      </c>
      <c r="AO652" s="29">
        <f t="shared" si="680"/>
        <v>0</v>
      </c>
      <c r="AP652" s="29">
        <f t="shared" si="681"/>
        <v>0</v>
      </c>
      <c r="AQ652" s="30" t="s">
        <v>7</v>
      </c>
      <c r="AV652" s="29">
        <f t="shared" si="682"/>
        <v>0</v>
      </c>
      <c r="AW652" s="29">
        <f t="shared" si="683"/>
        <v>0</v>
      </c>
      <c r="AX652" s="29">
        <f t="shared" si="684"/>
        <v>0</v>
      </c>
      <c r="AY652" s="32" t="s">
        <v>2927</v>
      </c>
      <c r="AZ652" s="32" t="s">
        <v>2941</v>
      </c>
      <c r="BA652" s="28" t="s">
        <v>2957</v>
      </c>
      <c r="BC652" s="29">
        <f t="shared" si="685"/>
        <v>0</v>
      </c>
      <c r="BD652" s="29">
        <f t="shared" si="686"/>
        <v>0</v>
      </c>
      <c r="BE652" s="29">
        <v>0</v>
      </c>
      <c r="BF652" s="29">
        <f>652</f>
        <v>652</v>
      </c>
      <c r="BH652" s="15">
        <f t="shared" si="687"/>
        <v>0</v>
      </c>
      <c r="BI652" s="15">
        <f t="shared" si="688"/>
        <v>0</v>
      </c>
      <c r="BJ652" s="15">
        <f t="shared" si="689"/>
        <v>0</v>
      </c>
      <c r="BK652" s="15" t="s">
        <v>2969</v>
      </c>
      <c r="BL652" s="29" t="s">
        <v>1585</v>
      </c>
    </row>
    <row r="653" spans="1:64" ht="12.75">
      <c r="A653" s="4" t="s">
        <v>599</v>
      </c>
      <c r="B653" s="94" t="s">
        <v>1590</v>
      </c>
      <c r="C653" s="152" t="s">
        <v>2536</v>
      </c>
      <c r="D653" s="153"/>
      <c r="E653" s="153"/>
      <c r="F653" s="153"/>
      <c r="G653" s="94" t="s">
        <v>2851</v>
      </c>
      <c r="H653" s="73">
        <v>114</v>
      </c>
      <c r="I653" s="105">
        <v>0</v>
      </c>
      <c r="J653" s="15">
        <f t="shared" si="666"/>
        <v>0</v>
      </c>
      <c r="K653" s="15">
        <f t="shared" si="667"/>
        <v>0</v>
      </c>
      <c r="L653" s="15">
        <f t="shared" si="668"/>
        <v>0</v>
      </c>
      <c r="M653" s="25"/>
      <c r="N653" s="5"/>
      <c r="Z653" s="29">
        <f t="shared" si="669"/>
        <v>0</v>
      </c>
      <c r="AB653" s="29">
        <f t="shared" si="670"/>
        <v>0</v>
      </c>
      <c r="AC653" s="29">
        <f t="shared" si="671"/>
        <v>0</v>
      </c>
      <c r="AD653" s="29">
        <f t="shared" si="672"/>
        <v>0</v>
      </c>
      <c r="AE653" s="29">
        <f t="shared" si="673"/>
        <v>0</v>
      </c>
      <c r="AF653" s="29">
        <f t="shared" si="674"/>
        <v>0</v>
      </c>
      <c r="AG653" s="29">
        <f t="shared" si="675"/>
        <v>0</v>
      </c>
      <c r="AH653" s="29">
        <f t="shared" si="676"/>
        <v>0</v>
      </c>
      <c r="AI653" s="28" t="s">
        <v>2882</v>
      </c>
      <c r="AJ653" s="15">
        <f t="shared" si="677"/>
        <v>0</v>
      </c>
      <c r="AK653" s="15">
        <f t="shared" si="678"/>
        <v>0</v>
      </c>
      <c r="AL653" s="15">
        <f t="shared" si="679"/>
        <v>0</v>
      </c>
      <c r="AN653" s="29">
        <v>15</v>
      </c>
      <c r="AO653" s="29">
        <f t="shared" si="680"/>
        <v>0</v>
      </c>
      <c r="AP653" s="29">
        <f t="shared" si="681"/>
        <v>0</v>
      </c>
      <c r="AQ653" s="30" t="s">
        <v>7</v>
      </c>
      <c r="AV653" s="29">
        <f t="shared" si="682"/>
        <v>0</v>
      </c>
      <c r="AW653" s="29">
        <f t="shared" si="683"/>
        <v>0</v>
      </c>
      <c r="AX653" s="29">
        <f t="shared" si="684"/>
        <v>0</v>
      </c>
      <c r="AY653" s="32" t="s">
        <v>2927</v>
      </c>
      <c r="AZ653" s="32" t="s">
        <v>2941</v>
      </c>
      <c r="BA653" s="28" t="s">
        <v>2957</v>
      </c>
      <c r="BC653" s="29">
        <f t="shared" si="685"/>
        <v>0</v>
      </c>
      <c r="BD653" s="29">
        <f t="shared" si="686"/>
        <v>0</v>
      </c>
      <c r="BE653" s="29">
        <v>0</v>
      </c>
      <c r="BF653" s="29">
        <f>653</f>
        <v>653</v>
      </c>
      <c r="BH653" s="15">
        <f t="shared" si="687"/>
        <v>0</v>
      </c>
      <c r="BI653" s="15">
        <f t="shared" si="688"/>
        <v>0</v>
      </c>
      <c r="BJ653" s="15">
        <f t="shared" si="689"/>
        <v>0</v>
      </c>
      <c r="BK653" s="15" t="s">
        <v>2969</v>
      </c>
      <c r="BL653" s="29" t="s">
        <v>1585</v>
      </c>
    </row>
    <row r="654" spans="1:64" ht="12.75">
      <c r="A654" s="4" t="s">
        <v>600</v>
      </c>
      <c r="B654" s="94" t="s">
        <v>1591</v>
      </c>
      <c r="C654" s="152" t="s">
        <v>2537</v>
      </c>
      <c r="D654" s="153"/>
      <c r="E654" s="153"/>
      <c r="F654" s="153"/>
      <c r="G654" s="94" t="s">
        <v>2850</v>
      </c>
      <c r="H654" s="73">
        <v>1</v>
      </c>
      <c r="I654" s="105">
        <v>0</v>
      </c>
      <c r="J654" s="15">
        <f t="shared" si="666"/>
        <v>0</v>
      </c>
      <c r="K654" s="15">
        <f t="shared" si="667"/>
        <v>0</v>
      </c>
      <c r="L654" s="15">
        <f t="shared" si="668"/>
        <v>0</v>
      </c>
      <c r="M654" s="25"/>
      <c r="N654" s="5"/>
      <c r="Z654" s="29">
        <f t="shared" si="669"/>
        <v>0</v>
      </c>
      <c r="AB654" s="29">
        <f t="shared" si="670"/>
        <v>0</v>
      </c>
      <c r="AC654" s="29">
        <f t="shared" si="671"/>
        <v>0</v>
      </c>
      <c r="AD654" s="29">
        <f t="shared" si="672"/>
        <v>0</v>
      </c>
      <c r="AE654" s="29">
        <f t="shared" si="673"/>
        <v>0</v>
      </c>
      <c r="AF654" s="29">
        <f t="shared" si="674"/>
        <v>0</v>
      </c>
      <c r="AG654" s="29">
        <f t="shared" si="675"/>
        <v>0</v>
      </c>
      <c r="AH654" s="29">
        <f t="shared" si="676"/>
        <v>0</v>
      </c>
      <c r="AI654" s="28" t="s">
        <v>2882</v>
      </c>
      <c r="AJ654" s="15">
        <f t="shared" si="677"/>
        <v>0</v>
      </c>
      <c r="AK654" s="15">
        <f t="shared" si="678"/>
        <v>0</v>
      </c>
      <c r="AL654" s="15">
        <f t="shared" si="679"/>
        <v>0</v>
      </c>
      <c r="AN654" s="29">
        <v>15</v>
      </c>
      <c r="AO654" s="29">
        <f t="shared" si="680"/>
        <v>0</v>
      </c>
      <c r="AP654" s="29">
        <f t="shared" si="681"/>
        <v>0</v>
      </c>
      <c r="AQ654" s="30" t="s">
        <v>7</v>
      </c>
      <c r="AV654" s="29">
        <f t="shared" si="682"/>
        <v>0</v>
      </c>
      <c r="AW654" s="29">
        <f t="shared" si="683"/>
        <v>0</v>
      </c>
      <c r="AX654" s="29">
        <f t="shared" si="684"/>
        <v>0</v>
      </c>
      <c r="AY654" s="32" t="s">
        <v>2927</v>
      </c>
      <c r="AZ654" s="32" t="s">
        <v>2941</v>
      </c>
      <c r="BA654" s="28" t="s">
        <v>2957</v>
      </c>
      <c r="BC654" s="29">
        <f t="shared" si="685"/>
        <v>0</v>
      </c>
      <c r="BD654" s="29">
        <f t="shared" si="686"/>
        <v>0</v>
      </c>
      <c r="BE654" s="29">
        <v>0</v>
      </c>
      <c r="BF654" s="29">
        <f>654</f>
        <v>654</v>
      </c>
      <c r="BH654" s="15">
        <f t="shared" si="687"/>
        <v>0</v>
      </c>
      <c r="BI654" s="15">
        <f t="shared" si="688"/>
        <v>0</v>
      </c>
      <c r="BJ654" s="15">
        <f t="shared" si="689"/>
        <v>0</v>
      </c>
      <c r="BK654" s="15" t="s">
        <v>2969</v>
      </c>
      <c r="BL654" s="29" t="s">
        <v>1585</v>
      </c>
    </row>
    <row r="655" spans="1:64" ht="12.75">
      <c r="A655" s="4" t="s">
        <v>601</v>
      </c>
      <c r="B655" s="94" t="s">
        <v>1592</v>
      </c>
      <c r="C655" s="152" t="s">
        <v>2538</v>
      </c>
      <c r="D655" s="153"/>
      <c r="E655" s="153"/>
      <c r="F655" s="153"/>
      <c r="G655" s="94" t="s">
        <v>2850</v>
      </c>
      <c r="H655" s="73">
        <v>1</v>
      </c>
      <c r="I655" s="105">
        <v>0</v>
      </c>
      <c r="J655" s="15">
        <f t="shared" si="666"/>
        <v>0</v>
      </c>
      <c r="K655" s="15">
        <f t="shared" si="667"/>
        <v>0</v>
      </c>
      <c r="L655" s="15">
        <f t="shared" si="668"/>
        <v>0</v>
      </c>
      <c r="M655" s="25"/>
      <c r="N655" s="5"/>
      <c r="Z655" s="29">
        <f t="shared" si="669"/>
        <v>0</v>
      </c>
      <c r="AB655" s="29">
        <f t="shared" si="670"/>
        <v>0</v>
      </c>
      <c r="AC655" s="29">
        <f t="shared" si="671"/>
        <v>0</v>
      </c>
      <c r="AD655" s="29">
        <f t="shared" si="672"/>
        <v>0</v>
      </c>
      <c r="AE655" s="29">
        <f t="shared" si="673"/>
        <v>0</v>
      </c>
      <c r="AF655" s="29">
        <f t="shared" si="674"/>
        <v>0</v>
      </c>
      <c r="AG655" s="29">
        <f t="shared" si="675"/>
        <v>0</v>
      </c>
      <c r="AH655" s="29">
        <f t="shared" si="676"/>
        <v>0</v>
      </c>
      <c r="AI655" s="28" t="s">
        <v>2882</v>
      </c>
      <c r="AJ655" s="15">
        <f t="shared" si="677"/>
        <v>0</v>
      </c>
      <c r="AK655" s="15">
        <f t="shared" si="678"/>
        <v>0</v>
      </c>
      <c r="AL655" s="15">
        <f t="shared" si="679"/>
        <v>0</v>
      </c>
      <c r="AN655" s="29">
        <v>15</v>
      </c>
      <c r="AO655" s="29">
        <f t="shared" si="680"/>
        <v>0</v>
      </c>
      <c r="AP655" s="29">
        <f t="shared" si="681"/>
        <v>0</v>
      </c>
      <c r="AQ655" s="30" t="s">
        <v>7</v>
      </c>
      <c r="AV655" s="29">
        <f t="shared" si="682"/>
        <v>0</v>
      </c>
      <c r="AW655" s="29">
        <f t="shared" si="683"/>
        <v>0</v>
      </c>
      <c r="AX655" s="29">
        <f t="shared" si="684"/>
        <v>0</v>
      </c>
      <c r="AY655" s="32" t="s">
        <v>2927</v>
      </c>
      <c r="AZ655" s="32" t="s">
        <v>2941</v>
      </c>
      <c r="BA655" s="28" t="s">
        <v>2957</v>
      </c>
      <c r="BC655" s="29">
        <f t="shared" si="685"/>
        <v>0</v>
      </c>
      <c r="BD655" s="29">
        <f t="shared" si="686"/>
        <v>0</v>
      </c>
      <c r="BE655" s="29">
        <v>0</v>
      </c>
      <c r="BF655" s="29">
        <f>655</f>
        <v>655</v>
      </c>
      <c r="BH655" s="15">
        <f t="shared" si="687"/>
        <v>0</v>
      </c>
      <c r="BI655" s="15">
        <f t="shared" si="688"/>
        <v>0</v>
      </c>
      <c r="BJ655" s="15">
        <f t="shared" si="689"/>
        <v>0</v>
      </c>
      <c r="BK655" s="15" t="s">
        <v>2969</v>
      </c>
      <c r="BL655" s="29" t="s">
        <v>1585</v>
      </c>
    </row>
    <row r="656" spans="1:64" ht="12.75">
      <c r="A656" s="4" t="s">
        <v>602</v>
      </c>
      <c r="B656" s="94" t="s">
        <v>1593</v>
      </c>
      <c r="C656" s="152" t="s">
        <v>2539</v>
      </c>
      <c r="D656" s="153"/>
      <c r="E656" s="153"/>
      <c r="F656" s="153"/>
      <c r="G656" s="94" t="s">
        <v>2850</v>
      </c>
      <c r="H656" s="73">
        <v>1</v>
      </c>
      <c r="I656" s="105">
        <v>0</v>
      </c>
      <c r="J656" s="15">
        <f t="shared" si="666"/>
        <v>0</v>
      </c>
      <c r="K656" s="15">
        <f t="shared" si="667"/>
        <v>0</v>
      </c>
      <c r="L656" s="15">
        <f t="shared" si="668"/>
        <v>0</v>
      </c>
      <c r="M656" s="25"/>
      <c r="N656" s="5"/>
      <c r="Z656" s="29">
        <f t="shared" si="669"/>
        <v>0</v>
      </c>
      <c r="AB656" s="29">
        <f t="shared" si="670"/>
        <v>0</v>
      </c>
      <c r="AC656" s="29">
        <f t="shared" si="671"/>
        <v>0</v>
      </c>
      <c r="AD656" s="29">
        <f t="shared" si="672"/>
        <v>0</v>
      </c>
      <c r="AE656" s="29">
        <f t="shared" si="673"/>
        <v>0</v>
      </c>
      <c r="AF656" s="29">
        <f t="shared" si="674"/>
        <v>0</v>
      </c>
      <c r="AG656" s="29">
        <f t="shared" si="675"/>
        <v>0</v>
      </c>
      <c r="AH656" s="29">
        <f t="shared" si="676"/>
        <v>0</v>
      </c>
      <c r="AI656" s="28" t="s">
        <v>2882</v>
      </c>
      <c r="AJ656" s="15">
        <f t="shared" si="677"/>
        <v>0</v>
      </c>
      <c r="AK656" s="15">
        <f t="shared" si="678"/>
        <v>0</v>
      </c>
      <c r="AL656" s="15">
        <f t="shared" si="679"/>
        <v>0</v>
      </c>
      <c r="AN656" s="29">
        <v>15</v>
      </c>
      <c r="AO656" s="29">
        <f t="shared" si="680"/>
        <v>0</v>
      </c>
      <c r="AP656" s="29">
        <f t="shared" si="681"/>
        <v>0</v>
      </c>
      <c r="AQ656" s="30" t="s">
        <v>7</v>
      </c>
      <c r="AV656" s="29">
        <f t="shared" si="682"/>
        <v>0</v>
      </c>
      <c r="AW656" s="29">
        <f t="shared" si="683"/>
        <v>0</v>
      </c>
      <c r="AX656" s="29">
        <f t="shared" si="684"/>
        <v>0</v>
      </c>
      <c r="AY656" s="32" t="s">
        <v>2927</v>
      </c>
      <c r="AZ656" s="32" t="s">
        <v>2941</v>
      </c>
      <c r="BA656" s="28" t="s">
        <v>2957</v>
      </c>
      <c r="BC656" s="29">
        <f t="shared" si="685"/>
        <v>0</v>
      </c>
      <c r="BD656" s="29">
        <f t="shared" si="686"/>
        <v>0</v>
      </c>
      <c r="BE656" s="29">
        <v>0</v>
      </c>
      <c r="BF656" s="29">
        <f>656</f>
        <v>656</v>
      </c>
      <c r="BH656" s="15">
        <f t="shared" si="687"/>
        <v>0</v>
      </c>
      <c r="BI656" s="15">
        <f t="shared" si="688"/>
        <v>0</v>
      </c>
      <c r="BJ656" s="15">
        <f t="shared" si="689"/>
        <v>0</v>
      </c>
      <c r="BK656" s="15" t="s">
        <v>2969</v>
      </c>
      <c r="BL656" s="29" t="s">
        <v>1585</v>
      </c>
    </row>
    <row r="657" spans="1:64" ht="12.75">
      <c r="A657" s="4" t="s">
        <v>603</v>
      </c>
      <c r="B657" s="94" t="s">
        <v>1594</v>
      </c>
      <c r="C657" s="152" t="s">
        <v>2540</v>
      </c>
      <c r="D657" s="153"/>
      <c r="E657" s="153"/>
      <c r="F657" s="153"/>
      <c r="G657" s="94" t="s">
        <v>2852</v>
      </c>
      <c r="H657" s="73">
        <v>5</v>
      </c>
      <c r="I657" s="105">
        <v>0</v>
      </c>
      <c r="J657" s="15">
        <f t="shared" si="666"/>
        <v>0</v>
      </c>
      <c r="K657" s="15">
        <f t="shared" si="667"/>
        <v>0</v>
      </c>
      <c r="L657" s="15">
        <f t="shared" si="668"/>
        <v>0</v>
      </c>
      <c r="M657" s="25"/>
      <c r="N657" s="5"/>
      <c r="Z657" s="29">
        <f t="shared" si="669"/>
        <v>0</v>
      </c>
      <c r="AB657" s="29">
        <f t="shared" si="670"/>
        <v>0</v>
      </c>
      <c r="AC657" s="29">
        <f t="shared" si="671"/>
        <v>0</v>
      </c>
      <c r="AD657" s="29">
        <f t="shared" si="672"/>
        <v>0</v>
      </c>
      <c r="AE657" s="29">
        <f t="shared" si="673"/>
        <v>0</v>
      </c>
      <c r="AF657" s="29">
        <f t="shared" si="674"/>
        <v>0</v>
      </c>
      <c r="AG657" s="29">
        <f t="shared" si="675"/>
        <v>0</v>
      </c>
      <c r="AH657" s="29">
        <f t="shared" si="676"/>
        <v>0</v>
      </c>
      <c r="AI657" s="28" t="s">
        <v>2882</v>
      </c>
      <c r="AJ657" s="15">
        <f t="shared" si="677"/>
        <v>0</v>
      </c>
      <c r="AK657" s="15">
        <f t="shared" si="678"/>
        <v>0</v>
      </c>
      <c r="AL657" s="15">
        <f t="shared" si="679"/>
        <v>0</v>
      </c>
      <c r="AN657" s="29">
        <v>15</v>
      </c>
      <c r="AO657" s="29">
        <f t="shared" si="680"/>
        <v>0</v>
      </c>
      <c r="AP657" s="29">
        <f t="shared" si="681"/>
        <v>0</v>
      </c>
      <c r="AQ657" s="30" t="s">
        <v>7</v>
      </c>
      <c r="AV657" s="29">
        <f t="shared" si="682"/>
        <v>0</v>
      </c>
      <c r="AW657" s="29">
        <f t="shared" si="683"/>
        <v>0</v>
      </c>
      <c r="AX657" s="29">
        <f t="shared" si="684"/>
        <v>0</v>
      </c>
      <c r="AY657" s="32" t="s">
        <v>2927</v>
      </c>
      <c r="AZ657" s="32" t="s">
        <v>2941</v>
      </c>
      <c r="BA657" s="28" t="s">
        <v>2957</v>
      </c>
      <c r="BC657" s="29">
        <f t="shared" si="685"/>
        <v>0</v>
      </c>
      <c r="BD657" s="29">
        <f t="shared" si="686"/>
        <v>0</v>
      </c>
      <c r="BE657" s="29">
        <v>0</v>
      </c>
      <c r="BF657" s="29">
        <f>657</f>
        <v>657</v>
      </c>
      <c r="BH657" s="15">
        <f t="shared" si="687"/>
        <v>0</v>
      </c>
      <c r="BI657" s="15">
        <f t="shared" si="688"/>
        <v>0</v>
      </c>
      <c r="BJ657" s="15">
        <f t="shared" si="689"/>
        <v>0</v>
      </c>
      <c r="BK657" s="15" t="s">
        <v>2969</v>
      </c>
      <c r="BL657" s="29" t="s">
        <v>1585</v>
      </c>
    </row>
    <row r="658" spans="1:64" ht="12.75">
      <c r="A658" s="4" t="s">
        <v>604</v>
      </c>
      <c r="B658" s="94" t="s">
        <v>1595</v>
      </c>
      <c r="C658" s="152" t="s">
        <v>2541</v>
      </c>
      <c r="D658" s="153"/>
      <c r="E658" s="153"/>
      <c r="F658" s="153"/>
      <c r="G658" s="94" t="s">
        <v>2850</v>
      </c>
      <c r="H658" s="73">
        <v>1</v>
      </c>
      <c r="I658" s="105">
        <v>0</v>
      </c>
      <c r="J658" s="15">
        <f t="shared" si="666"/>
        <v>0</v>
      </c>
      <c r="K658" s="15">
        <f t="shared" si="667"/>
        <v>0</v>
      </c>
      <c r="L658" s="15">
        <f t="shared" si="668"/>
        <v>0</v>
      </c>
      <c r="M658" s="25"/>
      <c r="N658" s="5"/>
      <c r="Z658" s="29">
        <f t="shared" si="669"/>
        <v>0</v>
      </c>
      <c r="AB658" s="29">
        <f t="shared" si="670"/>
        <v>0</v>
      </c>
      <c r="AC658" s="29">
        <f t="shared" si="671"/>
        <v>0</v>
      </c>
      <c r="AD658" s="29">
        <f t="shared" si="672"/>
        <v>0</v>
      </c>
      <c r="AE658" s="29">
        <f t="shared" si="673"/>
        <v>0</v>
      </c>
      <c r="AF658" s="29">
        <f t="shared" si="674"/>
        <v>0</v>
      </c>
      <c r="AG658" s="29">
        <f t="shared" si="675"/>
        <v>0</v>
      </c>
      <c r="AH658" s="29">
        <f t="shared" si="676"/>
        <v>0</v>
      </c>
      <c r="AI658" s="28" t="s">
        <v>2882</v>
      </c>
      <c r="AJ658" s="15">
        <f t="shared" si="677"/>
        <v>0</v>
      </c>
      <c r="AK658" s="15">
        <f t="shared" si="678"/>
        <v>0</v>
      </c>
      <c r="AL658" s="15">
        <f t="shared" si="679"/>
        <v>0</v>
      </c>
      <c r="AN658" s="29">
        <v>15</v>
      </c>
      <c r="AO658" s="29">
        <f t="shared" si="680"/>
        <v>0</v>
      </c>
      <c r="AP658" s="29">
        <f t="shared" si="681"/>
        <v>0</v>
      </c>
      <c r="AQ658" s="30" t="s">
        <v>7</v>
      </c>
      <c r="AV658" s="29">
        <f t="shared" si="682"/>
        <v>0</v>
      </c>
      <c r="AW658" s="29">
        <f t="shared" si="683"/>
        <v>0</v>
      </c>
      <c r="AX658" s="29">
        <f t="shared" si="684"/>
        <v>0</v>
      </c>
      <c r="AY658" s="32" t="s">
        <v>2927</v>
      </c>
      <c r="AZ658" s="32" t="s">
        <v>2941</v>
      </c>
      <c r="BA658" s="28" t="s">
        <v>2957</v>
      </c>
      <c r="BC658" s="29">
        <f t="shared" si="685"/>
        <v>0</v>
      </c>
      <c r="BD658" s="29">
        <f t="shared" si="686"/>
        <v>0</v>
      </c>
      <c r="BE658" s="29">
        <v>0</v>
      </c>
      <c r="BF658" s="29">
        <f>658</f>
        <v>658</v>
      </c>
      <c r="BH658" s="15">
        <f t="shared" si="687"/>
        <v>0</v>
      </c>
      <c r="BI658" s="15">
        <f t="shared" si="688"/>
        <v>0</v>
      </c>
      <c r="BJ658" s="15">
        <f t="shared" si="689"/>
        <v>0</v>
      </c>
      <c r="BK658" s="15" t="s">
        <v>2969</v>
      </c>
      <c r="BL658" s="29" t="s">
        <v>1585</v>
      </c>
    </row>
    <row r="659" spans="1:64" ht="12.75">
      <c r="A659" s="4" t="s">
        <v>605</v>
      </c>
      <c r="B659" s="94" t="s">
        <v>1596</v>
      </c>
      <c r="C659" s="152" t="s">
        <v>2541</v>
      </c>
      <c r="D659" s="153"/>
      <c r="E659" s="153"/>
      <c r="F659" s="153"/>
      <c r="G659" s="94" t="s">
        <v>2850</v>
      </c>
      <c r="H659" s="73">
        <v>1</v>
      </c>
      <c r="I659" s="105">
        <v>0</v>
      </c>
      <c r="J659" s="15">
        <f t="shared" si="666"/>
        <v>0</v>
      </c>
      <c r="K659" s="15">
        <f t="shared" si="667"/>
        <v>0</v>
      </c>
      <c r="L659" s="15">
        <f t="shared" si="668"/>
        <v>0</v>
      </c>
      <c r="M659" s="25"/>
      <c r="N659" s="5"/>
      <c r="Z659" s="29">
        <f t="shared" si="669"/>
        <v>0</v>
      </c>
      <c r="AB659" s="29">
        <f t="shared" si="670"/>
        <v>0</v>
      </c>
      <c r="AC659" s="29">
        <f t="shared" si="671"/>
        <v>0</v>
      </c>
      <c r="AD659" s="29">
        <f t="shared" si="672"/>
        <v>0</v>
      </c>
      <c r="AE659" s="29">
        <f t="shared" si="673"/>
        <v>0</v>
      </c>
      <c r="AF659" s="29">
        <f t="shared" si="674"/>
        <v>0</v>
      </c>
      <c r="AG659" s="29">
        <f t="shared" si="675"/>
        <v>0</v>
      </c>
      <c r="AH659" s="29">
        <f t="shared" si="676"/>
        <v>0</v>
      </c>
      <c r="AI659" s="28" t="s">
        <v>2882</v>
      </c>
      <c r="AJ659" s="15">
        <f t="shared" si="677"/>
        <v>0</v>
      </c>
      <c r="AK659" s="15">
        <f t="shared" si="678"/>
        <v>0</v>
      </c>
      <c r="AL659" s="15">
        <f t="shared" si="679"/>
        <v>0</v>
      </c>
      <c r="AN659" s="29">
        <v>15</v>
      </c>
      <c r="AO659" s="29">
        <f t="shared" si="680"/>
        <v>0</v>
      </c>
      <c r="AP659" s="29">
        <f t="shared" si="681"/>
        <v>0</v>
      </c>
      <c r="AQ659" s="30" t="s">
        <v>7</v>
      </c>
      <c r="AV659" s="29">
        <f t="shared" si="682"/>
        <v>0</v>
      </c>
      <c r="AW659" s="29">
        <f t="shared" si="683"/>
        <v>0</v>
      </c>
      <c r="AX659" s="29">
        <f t="shared" si="684"/>
        <v>0</v>
      </c>
      <c r="AY659" s="32" t="s">
        <v>2927</v>
      </c>
      <c r="AZ659" s="32" t="s">
        <v>2941</v>
      </c>
      <c r="BA659" s="28" t="s">
        <v>2957</v>
      </c>
      <c r="BC659" s="29">
        <f t="shared" si="685"/>
        <v>0</v>
      </c>
      <c r="BD659" s="29">
        <f t="shared" si="686"/>
        <v>0</v>
      </c>
      <c r="BE659" s="29">
        <v>0</v>
      </c>
      <c r="BF659" s="29">
        <f>659</f>
        <v>659</v>
      </c>
      <c r="BH659" s="15">
        <f t="shared" si="687"/>
        <v>0</v>
      </c>
      <c r="BI659" s="15">
        <f t="shared" si="688"/>
        <v>0</v>
      </c>
      <c r="BJ659" s="15">
        <f t="shared" si="689"/>
        <v>0</v>
      </c>
      <c r="BK659" s="15" t="s">
        <v>2969</v>
      </c>
      <c r="BL659" s="29" t="s">
        <v>1585</v>
      </c>
    </row>
    <row r="660" spans="1:64" ht="12.75">
      <c r="A660" s="4" t="s">
        <v>606</v>
      </c>
      <c r="B660" s="94" t="s">
        <v>1597</v>
      </c>
      <c r="C660" s="152" t="s">
        <v>2542</v>
      </c>
      <c r="D660" s="153"/>
      <c r="E660" s="153"/>
      <c r="F660" s="153"/>
      <c r="G660" s="94" t="s">
        <v>2852</v>
      </c>
      <c r="H660" s="73">
        <v>10</v>
      </c>
      <c r="I660" s="105">
        <v>0</v>
      </c>
      <c r="J660" s="15">
        <f t="shared" si="666"/>
        <v>0</v>
      </c>
      <c r="K660" s="15">
        <f t="shared" si="667"/>
        <v>0</v>
      </c>
      <c r="L660" s="15">
        <f t="shared" si="668"/>
        <v>0</v>
      </c>
      <c r="M660" s="25"/>
      <c r="N660" s="5"/>
      <c r="Z660" s="29">
        <f t="shared" si="669"/>
        <v>0</v>
      </c>
      <c r="AB660" s="29">
        <f t="shared" si="670"/>
        <v>0</v>
      </c>
      <c r="AC660" s="29">
        <f t="shared" si="671"/>
        <v>0</v>
      </c>
      <c r="AD660" s="29">
        <f t="shared" si="672"/>
        <v>0</v>
      </c>
      <c r="AE660" s="29">
        <f t="shared" si="673"/>
        <v>0</v>
      </c>
      <c r="AF660" s="29">
        <f t="shared" si="674"/>
        <v>0</v>
      </c>
      <c r="AG660" s="29">
        <f t="shared" si="675"/>
        <v>0</v>
      </c>
      <c r="AH660" s="29">
        <f t="shared" si="676"/>
        <v>0</v>
      </c>
      <c r="AI660" s="28" t="s">
        <v>2882</v>
      </c>
      <c r="AJ660" s="15">
        <f t="shared" si="677"/>
        <v>0</v>
      </c>
      <c r="AK660" s="15">
        <f t="shared" si="678"/>
        <v>0</v>
      </c>
      <c r="AL660" s="15">
        <f t="shared" si="679"/>
        <v>0</v>
      </c>
      <c r="AN660" s="29">
        <v>15</v>
      </c>
      <c r="AO660" s="29">
        <f t="shared" si="680"/>
        <v>0</v>
      </c>
      <c r="AP660" s="29">
        <f t="shared" si="681"/>
        <v>0</v>
      </c>
      <c r="AQ660" s="30" t="s">
        <v>7</v>
      </c>
      <c r="AV660" s="29">
        <f t="shared" si="682"/>
        <v>0</v>
      </c>
      <c r="AW660" s="29">
        <f t="shared" si="683"/>
        <v>0</v>
      </c>
      <c r="AX660" s="29">
        <f t="shared" si="684"/>
        <v>0</v>
      </c>
      <c r="AY660" s="32" t="s">
        <v>2927</v>
      </c>
      <c r="AZ660" s="32" t="s">
        <v>2941</v>
      </c>
      <c r="BA660" s="28" t="s">
        <v>2957</v>
      </c>
      <c r="BC660" s="29">
        <f t="shared" si="685"/>
        <v>0</v>
      </c>
      <c r="BD660" s="29">
        <f t="shared" si="686"/>
        <v>0</v>
      </c>
      <c r="BE660" s="29">
        <v>0</v>
      </c>
      <c r="BF660" s="29">
        <f>660</f>
        <v>660</v>
      </c>
      <c r="BH660" s="15">
        <f t="shared" si="687"/>
        <v>0</v>
      </c>
      <c r="BI660" s="15">
        <f t="shared" si="688"/>
        <v>0</v>
      </c>
      <c r="BJ660" s="15">
        <f t="shared" si="689"/>
        <v>0</v>
      </c>
      <c r="BK660" s="15" t="s">
        <v>2969</v>
      </c>
      <c r="BL660" s="29" t="s">
        <v>1585</v>
      </c>
    </row>
    <row r="661" spans="1:64" ht="12.75">
      <c r="A661" s="4" t="s">
        <v>607</v>
      </c>
      <c r="B661" s="94" t="s">
        <v>1598</v>
      </c>
      <c r="C661" s="152" t="s">
        <v>2543</v>
      </c>
      <c r="D661" s="153"/>
      <c r="E661" s="153"/>
      <c r="F661" s="153"/>
      <c r="G661" s="94" t="s">
        <v>2851</v>
      </c>
      <c r="H661" s="73">
        <v>2120</v>
      </c>
      <c r="I661" s="105">
        <v>0</v>
      </c>
      <c r="J661" s="15">
        <f t="shared" si="666"/>
        <v>0</v>
      </c>
      <c r="K661" s="15">
        <f t="shared" si="667"/>
        <v>0</v>
      </c>
      <c r="L661" s="15">
        <f t="shared" si="668"/>
        <v>0</v>
      </c>
      <c r="M661" s="25"/>
      <c r="N661" s="5"/>
      <c r="Z661" s="29">
        <f t="shared" si="669"/>
        <v>0</v>
      </c>
      <c r="AB661" s="29">
        <f t="shared" si="670"/>
        <v>0</v>
      </c>
      <c r="AC661" s="29">
        <f t="shared" si="671"/>
        <v>0</v>
      </c>
      <c r="AD661" s="29">
        <f t="shared" si="672"/>
        <v>0</v>
      </c>
      <c r="AE661" s="29">
        <f t="shared" si="673"/>
        <v>0</v>
      </c>
      <c r="AF661" s="29">
        <f t="shared" si="674"/>
        <v>0</v>
      </c>
      <c r="AG661" s="29">
        <f t="shared" si="675"/>
        <v>0</v>
      </c>
      <c r="AH661" s="29">
        <f t="shared" si="676"/>
        <v>0</v>
      </c>
      <c r="AI661" s="28" t="s">
        <v>2882</v>
      </c>
      <c r="AJ661" s="15">
        <f t="shared" si="677"/>
        <v>0</v>
      </c>
      <c r="AK661" s="15">
        <f t="shared" si="678"/>
        <v>0</v>
      </c>
      <c r="AL661" s="15">
        <f t="shared" si="679"/>
        <v>0</v>
      </c>
      <c r="AN661" s="29">
        <v>15</v>
      </c>
      <c r="AO661" s="29">
        <f t="shared" si="680"/>
        <v>0</v>
      </c>
      <c r="AP661" s="29">
        <f t="shared" si="681"/>
        <v>0</v>
      </c>
      <c r="AQ661" s="30" t="s">
        <v>7</v>
      </c>
      <c r="AV661" s="29">
        <f t="shared" si="682"/>
        <v>0</v>
      </c>
      <c r="AW661" s="29">
        <f t="shared" si="683"/>
        <v>0</v>
      </c>
      <c r="AX661" s="29">
        <f t="shared" si="684"/>
        <v>0</v>
      </c>
      <c r="AY661" s="32" t="s">
        <v>2927</v>
      </c>
      <c r="AZ661" s="32" t="s">
        <v>2941</v>
      </c>
      <c r="BA661" s="28" t="s">
        <v>2957</v>
      </c>
      <c r="BC661" s="29">
        <f t="shared" si="685"/>
        <v>0</v>
      </c>
      <c r="BD661" s="29">
        <f t="shared" si="686"/>
        <v>0</v>
      </c>
      <c r="BE661" s="29">
        <v>0</v>
      </c>
      <c r="BF661" s="29">
        <f>661</f>
        <v>661</v>
      </c>
      <c r="BH661" s="15">
        <f t="shared" si="687"/>
        <v>0</v>
      </c>
      <c r="BI661" s="15">
        <f t="shared" si="688"/>
        <v>0</v>
      </c>
      <c r="BJ661" s="15">
        <f t="shared" si="689"/>
        <v>0</v>
      </c>
      <c r="BK661" s="15" t="s">
        <v>2969</v>
      </c>
      <c r="BL661" s="29" t="s">
        <v>1585</v>
      </c>
    </row>
    <row r="662" spans="1:64" ht="12.75">
      <c r="A662" s="4" t="s">
        <v>608</v>
      </c>
      <c r="B662" s="94" t="s">
        <v>1599</v>
      </c>
      <c r="C662" s="152" t="s">
        <v>2544</v>
      </c>
      <c r="D662" s="153"/>
      <c r="E662" s="153"/>
      <c r="F662" s="153"/>
      <c r="G662" s="94" t="s">
        <v>2851</v>
      </c>
      <c r="H662" s="73">
        <v>2120</v>
      </c>
      <c r="I662" s="105">
        <v>0</v>
      </c>
      <c r="J662" s="15">
        <f t="shared" si="666"/>
        <v>0</v>
      </c>
      <c r="K662" s="15">
        <f t="shared" si="667"/>
        <v>0</v>
      </c>
      <c r="L662" s="15">
        <f t="shared" si="668"/>
        <v>0</v>
      </c>
      <c r="M662" s="25"/>
      <c r="N662" s="5"/>
      <c r="Z662" s="29">
        <f t="shared" si="669"/>
        <v>0</v>
      </c>
      <c r="AB662" s="29">
        <f t="shared" si="670"/>
        <v>0</v>
      </c>
      <c r="AC662" s="29">
        <f t="shared" si="671"/>
        <v>0</v>
      </c>
      <c r="AD662" s="29">
        <f t="shared" si="672"/>
        <v>0</v>
      </c>
      <c r="AE662" s="29">
        <f t="shared" si="673"/>
        <v>0</v>
      </c>
      <c r="AF662" s="29">
        <f t="shared" si="674"/>
        <v>0</v>
      </c>
      <c r="AG662" s="29">
        <f t="shared" si="675"/>
        <v>0</v>
      </c>
      <c r="AH662" s="29">
        <f t="shared" si="676"/>
        <v>0</v>
      </c>
      <c r="AI662" s="28" t="s">
        <v>2882</v>
      </c>
      <c r="AJ662" s="15">
        <f t="shared" si="677"/>
        <v>0</v>
      </c>
      <c r="AK662" s="15">
        <f t="shared" si="678"/>
        <v>0</v>
      </c>
      <c r="AL662" s="15">
        <f t="shared" si="679"/>
        <v>0</v>
      </c>
      <c r="AN662" s="29">
        <v>15</v>
      </c>
      <c r="AO662" s="29">
        <f t="shared" si="680"/>
        <v>0</v>
      </c>
      <c r="AP662" s="29">
        <f t="shared" si="681"/>
        <v>0</v>
      </c>
      <c r="AQ662" s="30" t="s">
        <v>7</v>
      </c>
      <c r="AV662" s="29">
        <f t="shared" si="682"/>
        <v>0</v>
      </c>
      <c r="AW662" s="29">
        <f t="shared" si="683"/>
        <v>0</v>
      </c>
      <c r="AX662" s="29">
        <f t="shared" si="684"/>
        <v>0</v>
      </c>
      <c r="AY662" s="32" t="s">
        <v>2927</v>
      </c>
      <c r="AZ662" s="32" t="s">
        <v>2941</v>
      </c>
      <c r="BA662" s="28" t="s">
        <v>2957</v>
      </c>
      <c r="BC662" s="29">
        <f t="shared" si="685"/>
        <v>0</v>
      </c>
      <c r="BD662" s="29">
        <f t="shared" si="686"/>
        <v>0</v>
      </c>
      <c r="BE662" s="29">
        <v>0</v>
      </c>
      <c r="BF662" s="29">
        <f>662</f>
        <v>662</v>
      </c>
      <c r="BH662" s="15">
        <f t="shared" si="687"/>
        <v>0</v>
      </c>
      <c r="BI662" s="15">
        <f t="shared" si="688"/>
        <v>0</v>
      </c>
      <c r="BJ662" s="15">
        <f t="shared" si="689"/>
        <v>0</v>
      </c>
      <c r="BK662" s="15" t="s">
        <v>2969</v>
      </c>
      <c r="BL662" s="29" t="s">
        <v>1585</v>
      </c>
    </row>
    <row r="663" spans="1:64" ht="12.75">
      <c r="A663" s="4" t="s">
        <v>609</v>
      </c>
      <c r="B663" s="94" t="s">
        <v>1600</v>
      </c>
      <c r="C663" s="152" t="s">
        <v>2545</v>
      </c>
      <c r="D663" s="153"/>
      <c r="E663" s="153"/>
      <c r="F663" s="153"/>
      <c r="G663" s="94" t="s">
        <v>2851</v>
      </c>
      <c r="H663" s="73">
        <v>420</v>
      </c>
      <c r="I663" s="105">
        <v>0</v>
      </c>
      <c r="J663" s="15">
        <f t="shared" si="666"/>
        <v>0</v>
      </c>
      <c r="K663" s="15">
        <f t="shared" si="667"/>
        <v>0</v>
      </c>
      <c r="L663" s="15">
        <f t="shared" si="668"/>
        <v>0</v>
      </c>
      <c r="M663" s="25"/>
      <c r="N663" s="5"/>
      <c r="Z663" s="29">
        <f t="shared" si="669"/>
        <v>0</v>
      </c>
      <c r="AB663" s="29">
        <f t="shared" si="670"/>
        <v>0</v>
      </c>
      <c r="AC663" s="29">
        <f t="shared" si="671"/>
        <v>0</v>
      </c>
      <c r="AD663" s="29">
        <f t="shared" si="672"/>
        <v>0</v>
      </c>
      <c r="AE663" s="29">
        <f t="shared" si="673"/>
        <v>0</v>
      </c>
      <c r="AF663" s="29">
        <f t="shared" si="674"/>
        <v>0</v>
      </c>
      <c r="AG663" s="29">
        <f t="shared" si="675"/>
        <v>0</v>
      </c>
      <c r="AH663" s="29">
        <f t="shared" si="676"/>
        <v>0</v>
      </c>
      <c r="AI663" s="28" t="s">
        <v>2882</v>
      </c>
      <c r="AJ663" s="15">
        <f t="shared" si="677"/>
        <v>0</v>
      </c>
      <c r="AK663" s="15">
        <f t="shared" si="678"/>
        <v>0</v>
      </c>
      <c r="AL663" s="15">
        <f t="shared" si="679"/>
        <v>0</v>
      </c>
      <c r="AN663" s="29">
        <v>15</v>
      </c>
      <c r="AO663" s="29">
        <f t="shared" si="680"/>
        <v>0</v>
      </c>
      <c r="AP663" s="29">
        <f t="shared" si="681"/>
        <v>0</v>
      </c>
      <c r="AQ663" s="30" t="s">
        <v>7</v>
      </c>
      <c r="AV663" s="29">
        <f t="shared" si="682"/>
        <v>0</v>
      </c>
      <c r="AW663" s="29">
        <f t="shared" si="683"/>
        <v>0</v>
      </c>
      <c r="AX663" s="29">
        <f t="shared" si="684"/>
        <v>0</v>
      </c>
      <c r="AY663" s="32" t="s">
        <v>2927</v>
      </c>
      <c r="AZ663" s="32" t="s">
        <v>2941</v>
      </c>
      <c r="BA663" s="28" t="s">
        <v>2957</v>
      </c>
      <c r="BC663" s="29">
        <f t="shared" si="685"/>
        <v>0</v>
      </c>
      <c r="BD663" s="29">
        <f t="shared" si="686"/>
        <v>0</v>
      </c>
      <c r="BE663" s="29">
        <v>0</v>
      </c>
      <c r="BF663" s="29">
        <f>663</f>
        <v>663</v>
      </c>
      <c r="BH663" s="15">
        <f t="shared" si="687"/>
        <v>0</v>
      </c>
      <c r="BI663" s="15">
        <f t="shared" si="688"/>
        <v>0</v>
      </c>
      <c r="BJ663" s="15">
        <f t="shared" si="689"/>
        <v>0</v>
      </c>
      <c r="BK663" s="15" t="s">
        <v>2969</v>
      </c>
      <c r="BL663" s="29" t="s">
        <v>1585</v>
      </c>
    </row>
    <row r="664" spans="1:64" ht="12.75">
      <c r="A664" s="4" t="s">
        <v>610</v>
      </c>
      <c r="B664" s="94" t="s">
        <v>1601</v>
      </c>
      <c r="C664" s="152" t="s">
        <v>2546</v>
      </c>
      <c r="D664" s="153"/>
      <c r="E664" s="153"/>
      <c r="F664" s="153"/>
      <c r="G664" s="94" t="s">
        <v>2851</v>
      </c>
      <c r="H664" s="73">
        <v>420</v>
      </c>
      <c r="I664" s="105">
        <v>0</v>
      </c>
      <c r="J664" s="15">
        <f t="shared" si="666"/>
        <v>0</v>
      </c>
      <c r="K664" s="15">
        <f t="shared" si="667"/>
        <v>0</v>
      </c>
      <c r="L664" s="15">
        <f t="shared" si="668"/>
        <v>0</v>
      </c>
      <c r="M664" s="25"/>
      <c r="N664" s="5"/>
      <c r="Z664" s="29">
        <f t="shared" si="669"/>
        <v>0</v>
      </c>
      <c r="AB664" s="29">
        <f t="shared" si="670"/>
        <v>0</v>
      </c>
      <c r="AC664" s="29">
        <f t="shared" si="671"/>
        <v>0</v>
      </c>
      <c r="AD664" s="29">
        <f t="shared" si="672"/>
        <v>0</v>
      </c>
      <c r="AE664" s="29">
        <f t="shared" si="673"/>
        <v>0</v>
      </c>
      <c r="AF664" s="29">
        <f t="shared" si="674"/>
        <v>0</v>
      </c>
      <c r="AG664" s="29">
        <f t="shared" si="675"/>
        <v>0</v>
      </c>
      <c r="AH664" s="29">
        <f t="shared" si="676"/>
        <v>0</v>
      </c>
      <c r="AI664" s="28" t="s">
        <v>2882</v>
      </c>
      <c r="AJ664" s="15">
        <f t="shared" si="677"/>
        <v>0</v>
      </c>
      <c r="AK664" s="15">
        <f t="shared" si="678"/>
        <v>0</v>
      </c>
      <c r="AL664" s="15">
        <f t="shared" si="679"/>
        <v>0</v>
      </c>
      <c r="AN664" s="29">
        <v>15</v>
      </c>
      <c r="AO664" s="29">
        <f t="shared" si="680"/>
        <v>0</v>
      </c>
      <c r="AP664" s="29">
        <f t="shared" si="681"/>
        <v>0</v>
      </c>
      <c r="AQ664" s="30" t="s">
        <v>7</v>
      </c>
      <c r="AV664" s="29">
        <f t="shared" si="682"/>
        <v>0</v>
      </c>
      <c r="AW664" s="29">
        <f t="shared" si="683"/>
        <v>0</v>
      </c>
      <c r="AX664" s="29">
        <f t="shared" si="684"/>
        <v>0</v>
      </c>
      <c r="AY664" s="32" t="s">
        <v>2927</v>
      </c>
      <c r="AZ664" s="32" t="s">
        <v>2941</v>
      </c>
      <c r="BA664" s="28" t="s">
        <v>2957</v>
      </c>
      <c r="BC664" s="29">
        <f t="shared" si="685"/>
        <v>0</v>
      </c>
      <c r="BD664" s="29">
        <f t="shared" si="686"/>
        <v>0</v>
      </c>
      <c r="BE664" s="29">
        <v>0</v>
      </c>
      <c r="BF664" s="29">
        <f>664</f>
        <v>664</v>
      </c>
      <c r="BH664" s="15">
        <f t="shared" si="687"/>
        <v>0</v>
      </c>
      <c r="BI664" s="15">
        <f t="shared" si="688"/>
        <v>0</v>
      </c>
      <c r="BJ664" s="15">
        <f t="shared" si="689"/>
        <v>0</v>
      </c>
      <c r="BK664" s="15" t="s">
        <v>2969</v>
      </c>
      <c r="BL664" s="29" t="s">
        <v>1585</v>
      </c>
    </row>
    <row r="665" spans="1:64" ht="12.75">
      <c r="A665" s="4" t="s">
        <v>611</v>
      </c>
      <c r="B665" s="94" t="s">
        <v>1602</v>
      </c>
      <c r="C665" s="152" t="s">
        <v>2547</v>
      </c>
      <c r="D665" s="153"/>
      <c r="E665" s="153"/>
      <c r="F665" s="153"/>
      <c r="G665" s="94" t="s">
        <v>2851</v>
      </c>
      <c r="H665" s="73">
        <v>540</v>
      </c>
      <c r="I665" s="105">
        <v>0</v>
      </c>
      <c r="J665" s="15">
        <f t="shared" si="666"/>
        <v>0</v>
      </c>
      <c r="K665" s="15">
        <f t="shared" si="667"/>
        <v>0</v>
      </c>
      <c r="L665" s="15">
        <f t="shared" si="668"/>
        <v>0</v>
      </c>
      <c r="M665" s="25"/>
      <c r="N665" s="5"/>
      <c r="Z665" s="29">
        <f t="shared" si="669"/>
        <v>0</v>
      </c>
      <c r="AB665" s="29">
        <f t="shared" si="670"/>
        <v>0</v>
      </c>
      <c r="AC665" s="29">
        <f t="shared" si="671"/>
        <v>0</v>
      </c>
      <c r="AD665" s="29">
        <f t="shared" si="672"/>
        <v>0</v>
      </c>
      <c r="AE665" s="29">
        <f t="shared" si="673"/>
        <v>0</v>
      </c>
      <c r="AF665" s="29">
        <f t="shared" si="674"/>
        <v>0</v>
      </c>
      <c r="AG665" s="29">
        <f t="shared" si="675"/>
        <v>0</v>
      </c>
      <c r="AH665" s="29">
        <f t="shared" si="676"/>
        <v>0</v>
      </c>
      <c r="AI665" s="28" t="s">
        <v>2882</v>
      </c>
      <c r="AJ665" s="15">
        <f t="shared" si="677"/>
        <v>0</v>
      </c>
      <c r="AK665" s="15">
        <f t="shared" si="678"/>
        <v>0</v>
      </c>
      <c r="AL665" s="15">
        <f t="shared" si="679"/>
        <v>0</v>
      </c>
      <c r="AN665" s="29">
        <v>15</v>
      </c>
      <c r="AO665" s="29">
        <f t="shared" si="680"/>
        <v>0</v>
      </c>
      <c r="AP665" s="29">
        <f t="shared" si="681"/>
        <v>0</v>
      </c>
      <c r="AQ665" s="30" t="s">
        <v>7</v>
      </c>
      <c r="AV665" s="29">
        <f t="shared" si="682"/>
        <v>0</v>
      </c>
      <c r="AW665" s="29">
        <f t="shared" si="683"/>
        <v>0</v>
      </c>
      <c r="AX665" s="29">
        <f t="shared" si="684"/>
        <v>0</v>
      </c>
      <c r="AY665" s="32" t="s">
        <v>2927</v>
      </c>
      <c r="AZ665" s="32" t="s">
        <v>2941</v>
      </c>
      <c r="BA665" s="28" t="s">
        <v>2957</v>
      </c>
      <c r="BC665" s="29">
        <f t="shared" si="685"/>
        <v>0</v>
      </c>
      <c r="BD665" s="29">
        <f t="shared" si="686"/>
        <v>0</v>
      </c>
      <c r="BE665" s="29">
        <v>0</v>
      </c>
      <c r="BF665" s="29">
        <f>665</f>
        <v>665</v>
      </c>
      <c r="BH665" s="15">
        <f t="shared" si="687"/>
        <v>0</v>
      </c>
      <c r="BI665" s="15">
        <f t="shared" si="688"/>
        <v>0</v>
      </c>
      <c r="BJ665" s="15">
        <f t="shared" si="689"/>
        <v>0</v>
      </c>
      <c r="BK665" s="15" t="s">
        <v>2969</v>
      </c>
      <c r="BL665" s="29" t="s">
        <v>1585</v>
      </c>
    </row>
    <row r="666" spans="1:64" ht="12.75">
      <c r="A666" s="4" t="s">
        <v>612</v>
      </c>
      <c r="B666" s="94" t="s">
        <v>1603</v>
      </c>
      <c r="C666" s="152" t="s">
        <v>2548</v>
      </c>
      <c r="D666" s="153"/>
      <c r="E666" s="153"/>
      <c r="F666" s="153"/>
      <c r="G666" s="94" t="s">
        <v>2851</v>
      </c>
      <c r="H666" s="73">
        <v>540</v>
      </c>
      <c r="I666" s="105">
        <v>0</v>
      </c>
      <c r="J666" s="15">
        <f t="shared" si="666"/>
        <v>0</v>
      </c>
      <c r="K666" s="15">
        <f t="shared" si="667"/>
        <v>0</v>
      </c>
      <c r="L666" s="15">
        <f t="shared" si="668"/>
        <v>0</v>
      </c>
      <c r="M666" s="25"/>
      <c r="N666" s="5"/>
      <c r="Z666" s="29">
        <f t="shared" si="669"/>
        <v>0</v>
      </c>
      <c r="AB666" s="29">
        <f t="shared" si="670"/>
        <v>0</v>
      </c>
      <c r="AC666" s="29">
        <f t="shared" si="671"/>
        <v>0</v>
      </c>
      <c r="AD666" s="29">
        <f t="shared" si="672"/>
        <v>0</v>
      </c>
      <c r="AE666" s="29">
        <f t="shared" si="673"/>
        <v>0</v>
      </c>
      <c r="AF666" s="29">
        <f t="shared" si="674"/>
        <v>0</v>
      </c>
      <c r="AG666" s="29">
        <f t="shared" si="675"/>
        <v>0</v>
      </c>
      <c r="AH666" s="29">
        <f t="shared" si="676"/>
        <v>0</v>
      </c>
      <c r="AI666" s="28" t="s">
        <v>2882</v>
      </c>
      <c r="AJ666" s="15">
        <f t="shared" si="677"/>
        <v>0</v>
      </c>
      <c r="AK666" s="15">
        <f t="shared" si="678"/>
        <v>0</v>
      </c>
      <c r="AL666" s="15">
        <f t="shared" si="679"/>
        <v>0</v>
      </c>
      <c r="AN666" s="29">
        <v>15</v>
      </c>
      <c r="AO666" s="29">
        <f t="shared" si="680"/>
        <v>0</v>
      </c>
      <c r="AP666" s="29">
        <f t="shared" si="681"/>
        <v>0</v>
      </c>
      <c r="AQ666" s="30" t="s">
        <v>7</v>
      </c>
      <c r="AV666" s="29">
        <f t="shared" si="682"/>
        <v>0</v>
      </c>
      <c r="AW666" s="29">
        <f t="shared" si="683"/>
        <v>0</v>
      </c>
      <c r="AX666" s="29">
        <f t="shared" si="684"/>
        <v>0</v>
      </c>
      <c r="AY666" s="32" t="s">
        <v>2927</v>
      </c>
      <c r="AZ666" s="32" t="s">
        <v>2941</v>
      </c>
      <c r="BA666" s="28" t="s">
        <v>2957</v>
      </c>
      <c r="BC666" s="29">
        <f t="shared" si="685"/>
        <v>0</v>
      </c>
      <c r="BD666" s="29">
        <f t="shared" si="686"/>
        <v>0</v>
      </c>
      <c r="BE666" s="29">
        <v>0</v>
      </c>
      <c r="BF666" s="29">
        <f>666</f>
        <v>666</v>
      </c>
      <c r="BH666" s="15">
        <f t="shared" si="687"/>
        <v>0</v>
      </c>
      <c r="BI666" s="15">
        <f t="shared" si="688"/>
        <v>0</v>
      </c>
      <c r="BJ666" s="15">
        <f t="shared" si="689"/>
        <v>0</v>
      </c>
      <c r="BK666" s="15" t="s">
        <v>2969</v>
      </c>
      <c r="BL666" s="29" t="s">
        <v>1585</v>
      </c>
    </row>
    <row r="667" spans="1:64" ht="12.75">
      <c r="A667" s="4" t="s">
        <v>613</v>
      </c>
      <c r="B667" s="94" t="s">
        <v>1604</v>
      </c>
      <c r="C667" s="152" t="s">
        <v>2549</v>
      </c>
      <c r="D667" s="153"/>
      <c r="E667" s="153"/>
      <c r="F667" s="153"/>
      <c r="G667" s="94" t="s">
        <v>2850</v>
      </c>
      <c r="H667" s="73">
        <v>306</v>
      </c>
      <c r="I667" s="105">
        <v>0</v>
      </c>
      <c r="J667" s="15">
        <f t="shared" si="666"/>
        <v>0</v>
      </c>
      <c r="K667" s="15">
        <f t="shared" si="667"/>
        <v>0</v>
      </c>
      <c r="L667" s="15">
        <f t="shared" si="668"/>
        <v>0</v>
      </c>
      <c r="M667" s="25"/>
      <c r="N667" s="5"/>
      <c r="Z667" s="29">
        <f t="shared" si="669"/>
        <v>0</v>
      </c>
      <c r="AB667" s="29">
        <f t="shared" si="670"/>
        <v>0</v>
      </c>
      <c r="AC667" s="29">
        <f t="shared" si="671"/>
        <v>0</v>
      </c>
      <c r="AD667" s="29">
        <f t="shared" si="672"/>
        <v>0</v>
      </c>
      <c r="AE667" s="29">
        <f t="shared" si="673"/>
        <v>0</v>
      </c>
      <c r="AF667" s="29">
        <f t="shared" si="674"/>
        <v>0</v>
      </c>
      <c r="AG667" s="29">
        <f t="shared" si="675"/>
        <v>0</v>
      </c>
      <c r="AH667" s="29">
        <f t="shared" si="676"/>
        <v>0</v>
      </c>
      <c r="AI667" s="28" t="s">
        <v>2882</v>
      </c>
      <c r="AJ667" s="15">
        <f t="shared" si="677"/>
        <v>0</v>
      </c>
      <c r="AK667" s="15">
        <f t="shared" si="678"/>
        <v>0</v>
      </c>
      <c r="AL667" s="15">
        <f t="shared" si="679"/>
        <v>0</v>
      </c>
      <c r="AN667" s="29">
        <v>15</v>
      </c>
      <c r="AO667" s="29">
        <f t="shared" si="680"/>
        <v>0</v>
      </c>
      <c r="AP667" s="29">
        <f t="shared" si="681"/>
        <v>0</v>
      </c>
      <c r="AQ667" s="30" t="s">
        <v>7</v>
      </c>
      <c r="AV667" s="29">
        <f t="shared" si="682"/>
        <v>0</v>
      </c>
      <c r="AW667" s="29">
        <f t="shared" si="683"/>
        <v>0</v>
      </c>
      <c r="AX667" s="29">
        <f t="shared" si="684"/>
        <v>0</v>
      </c>
      <c r="AY667" s="32" t="s">
        <v>2927</v>
      </c>
      <c r="AZ667" s="32" t="s">
        <v>2941</v>
      </c>
      <c r="BA667" s="28" t="s">
        <v>2957</v>
      </c>
      <c r="BC667" s="29">
        <f t="shared" si="685"/>
        <v>0</v>
      </c>
      <c r="BD667" s="29">
        <f t="shared" si="686"/>
        <v>0</v>
      </c>
      <c r="BE667" s="29">
        <v>0</v>
      </c>
      <c r="BF667" s="29">
        <f>667</f>
        <v>667</v>
      </c>
      <c r="BH667" s="15">
        <f t="shared" si="687"/>
        <v>0</v>
      </c>
      <c r="BI667" s="15">
        <f t="shared" si="688"/>
        <v>0</v>
      </c>
      <c r="BJ667" s="15">
        <f t="shared" si="689"/>
        <v>0</v>
      </c>
      <c r="BK667" s="15" t="s">
        <v>2969</v>
      </c>
      <c r="BL667" s="29" t="s">
        <v>1585</v>
      </c>
    </row>
    <row r="668" spans="1:64" ht="12.75">
      <c r="A668" s="6" t="s">
        <v>614</v>
      </c>
      <c r="B668" s="98" t="s">
        <v>1605</v>
      </c>
      <c r="C668" s="163" t="s">
        <v>2550</v>
      </c>
      <c r="D668" s="164"/>
      <c r="E668" s="164"/>
      <c r="F668" s="164"/>
      <c r="G668" s="98" t="s">
        <v>2850</v>
      </c>
      <c r="H668" s="76">
        <v>232</v>
      </c>
      <c r="I668" s="106">
        <v>0</v>
      </c>
      <c r="J668" s="16">
        <f t="shared" si="666"/>
        <v>0</v>
      </c>
      <c r="K668" s="16">
        <f t="shared" si="667"/>
        <v>0</v>
      </c>
      <c r="L668" s="16">
        <f t="shared" si="668"/>
        <v>0</v>
      </c>
      <c r="M668" s="26"/>
      <c r="N668" s="5"/>
      <c r="Z668" s="29">
        <f t="shared" si="669"/>
        <v>0</v>
      </c>
      <c r="AB668" s="29">
        <f t="shared" si="670"/>
        <v>0</v>
      </c>
      <c r="AC668" s="29">
        <f t="shared" si="671"/>
        <v>0</v>
      </c>
      <c r="AD668" s="29">
        <f t="shared" si="672"/>
        <v>0</v>
      </c>
      <c r="AE668" s="29">
        <f t="shared" si="673"/>
        <v>0</v>
      </c>
      <c r="AF668" s="29">
        <f t="shared" si="674"/>
        <v>0</v>
      </c>
      <c r="AG668" s="29">
        <f t="shared" si="675"/>
        <v>0</v>
      </c>
      <c r="AH668" s="29">
        <f t="shared" si="676"/>
        <v>0</v>
      </c>
      <c r="AI668" s="28" t="s">
        <v>2882</v>
      </c>
      <c r="AJ668" s="16">
        <f t="shared" si="677"/>
        <v>0</v>
      </c>
      <c r="AK668" s="16">
        <f t="shared" si="678"/>
        <v>0</v>
      </c>
      <c r="AL668" s="16">
        <f t="shared" si="679"/>
        <v>0</v>
      </c>
      <c r="AN668" s="29">
        <v>15</v>
      </c>
      <c r="AO668" s="29">
        <f>I668*1</f>
        <v>0</v>
      </c>
      <c r="AP668" s="29">
        <f>I668*(1-1)</f>
        <v>0</v>
      </c>
      <c r="AQ668" s="31" t="s">
        <v>7</v>
      </c>
      <c r="AV668" s="29">
        <f t="shared" si="682"/>
        <v>0</v>
      </c>
      <c r="AW668" s="29">
        <f t="shared" si="683"/>
        <v>0</v>
      </c>
      <c r="AX668" s="29">
        <f t="shared" si="684"/>
        <v>0</v>
      </c>
      <c r="AY668" s="32" t="s">
        <v>2927</v>
      </c>
      <c r="AZ668" s="32" t="s">
        <v>2941</v>
      </c>
      <c r="BA668" s="28" t="s">
        <v>2957</v>
      </c>
      <c r="BC668" s="29">
        <f t="shared" si="685"/>
        <v>0</v>
      </c>
      <c r="BD668" s="29">
        <f t="shared" si="686"/>
        <v>0</v>
      </c>
      <c r="BE668" s="29">
        <v>0</v>
      </c>
      <c r="BF668" s="29">
        <f>668</f>
        <v>668</v>
      </c>
      <c r="BH668" s="16">
        <f t="shared" si="687"/>
        <v>0</v>
      </c>
      <c r="BI668" s="16">
        <f t="shared" si="688"/>
        <v>0</v>
      </c>
      <c r="BJ668" s="16">
        <f t="shared" si="689"/>
        <v>0</v>
      </c>
      <c r="BK668" s="16" t="s">
        <v>2970</v>
      </c>
      <c r="BL668" s="29" t="s">
        <v>1585</v>
      </c>
    </row>
    <row r="669" spans="1:64" ht="12.75">
      <c r="A669" s="4" t="s">
        <v>615</v>
      </c>
      <c r="B669" s="94" t="s">
        <v>1606</v>
      </c>
      <c r="C669" s="152" t="s">
        <v>2551</v>
      </c>
      <c r="D669" s="153"/>
      <c r="E669" s="153"/>
      <c r="F669" s="153"/>
      <c r="G669" s="94" t="s">
        <v>2850</v>
      </c>
      <c r="H669" s="73">
        <v>62</v>
      </c>
      <c r="I669" s="105">
        <v>0</v>
      </c>
      <c r="J669" s="15">
        <f t="shared" si="666"/>
        <v>0</v>
      </c>
      <c r="K669" s="15">
        <f t="shared" si="667"/>
        <v>0</v>
      </c>
      <c r="L669" s="15">
        <f t="shared" si="668"/>
        <v>0</v>
      </c>
      <c r="M669" s="25"/>
      <c r="N669" s="5"/>
      <c r="Z669" s="29">
        <f t="shared" si="669"/>
        <v>0</v>
      </c>
      <c r="AB669" s="29">
        <f t="shared" si="670"/>
        <v>0</v>
      </c>
      <c r="AC669" s="29">
        <f t="shared" si="671"/>
        <v>0</v>
      </c>
      <c r="AD669" s="29">
        <f t="shared" si="672"/>
        <v>0</v>
      </c>
      <c r="AE669" s="29">
        <f t="shared" si="673"/>
        <v>0</v>
      </c>
      <c r="AF669" s="29">
        <f t="shared" si="674"/>
        <v>0</v>
      </c>
      <c r="AG669" s="29">
        <f t="shared" si="675"/>
        <v>0</v>
      </c>
      <c r="AH669" s="29">
        <f t="shared" si="676"/>
        <v>0</v>
      </c>
      <c r="AI669" s="28" t="s">
        <v>2882</v>
      </c>
      <c r="AJ669" s="15">
        <f t="shared" si="677"/>
        <v>0</v>
      </c>
      <c r="AK669" s="15">
        <f t="shared" si="678"/>
        <v>0</v>
      </c>
      <c r="AL669" s="15">
        <f t="shared" si="679"/>
        <v>0</v>
      </c>
      <c r="AN669" s="29">
        <v>15</v>
      </c>
      <c r="AO669" s="29">
        <f aca="true" t="shared" si="690" ref="AO669:AO700">I669*0</f>
        <v>0</v>
      </c>
      <c r="AP669" s="29">
        <f aca="true" t="shared" si="691" ref="AP669:AP700">I669*(1-0)</f>
        <v>0</v>
      </c>
      <c r="AQ669" s="30" t="s">
        <v>7</v>
      </c>
      <c r="AV669" s="29">
        <f t="shared" si="682"/>
        <v>0</v>
      </c>
      <c r="AW669" s="29">
        <f t="shared" si="683"/>
        <v>0</v>
      </c>
      <c r="AX669" s="29">
        <f t="shared" si="684"/>
        <v>0</v>
      </c>
      <c r="AY669" s="32" t="s">
        <v>2927</v>
      </c>
      <c r="AZ669" s="32" t="s">
        <v>2941</v>
      </c>
      <c r="BA669" s="28" t="s">
        <v>2957</v>
      </c>
      <c r="BC669" s="29">
        <f t="shared" si="685"/>
        <v>0</v>
      </c>
      <c r="BD669" s="29">
        <f t="shared" si="686"/>
        <v>0</v>
      </c>
      <c r="BE669" s="29">
        <v>0</v>
      </c>
      <c r="BF669" s="29">
        <f>669</f>
        <v>669</v>
      </c>
      <c r="BH669" s="15">
        <f t="shared" si="687"/>
        <v>0</v>
      </c>
      <c r="BI669" s="15">
        <f t="shared" si="688"/>
        <v>0</v>
      </c>
      <c r="BJ669" s="15">
        <f t="shared" si="689"/>
        <v>0</v>
      </c>
      <c r="BK669" s="15" t="s">
        <v>2969</v>
      </c>
      <c r="BL669" s="29" t="s">
        <v>1585</v>
      </c>
    </row>
    <row r="670" spans="1:64" ht="12.75">
      <c r="A670" s="4" t="s">
        <v>616</v>
      </c>
      <c r="B670" s="94" t="s">
        <v>1607</v>
      </c>
      <c r="C670" s="152" t="s">
        <v>2552</v>
      </c>
      <c r="D670" s="153"/>
      <c r="E670" s="153"/>
      <c r="F670" s="153"/>
      <c r="G670" s="94" t="s">
        <v>2850</v>
      </c>
      <c r="H670" s="73">
        <v>12</v>
      </c>
      <c r="I670" s="105">
        <v>0</v>
      </c>
      <c r="J670" s="15">
        <f t="shared" si="666"/>
        <v>0</v>
      </c>
      <c r="K670" s="15">
        <f t="shared" si="667"/>
        <v>0</v>
      </c>
      <c r="L670" s="15">
        <f t="shared" si="668"/>
        <v>0</v>
      </c>
      <c r="M670" s="25"/>
      <c r="N670" s="5"/>
      <c r="Z670" s="29">
        <f t="shared" si="669"/>
        <v>0</v>
      </c>
      <c r="AB670" s="29">
        <f t="shared" si="670"/>
        <v>0</v>
      </c>
      <c r="AC670" s="29">
        <f t="shared" si="671"/>
        <v>0</v>
      </c>
      <c r="AD670" s="29">
        <f t="shared" si="672"/>
        <v>0</v>
      </c>
      <c r="AE670" s="29">
        <f t="shared" si="673"/>
        <v>0</v>
      </c>
      <c r="AF670" s="29">
        <f t="shared" si="674"/>
        <v>0</v>
      </c>
      <c r="AG670" s="29">
        <f t="shared" si="675"/>
        <v>0</v>
      </c>
      <c r="AH670" s="29">
        <f t="shared" si="676"/>
        <v>0</v>
      </c>
      <c r="AI670" s="28" t="s">
        <v>2882</v>
      </c>
      <c r="AJ670" s="15">
        <f t="shared" si="677"/>
        <v>0</v>
      </c>
      <c r="AK670" s="15">
        <f t="shared" si="678"/>
        <v>0</v>
      </c>
      <c r="AL670" s="15">
        <f t="shared" si="679"/>
        <v>0</v>
      </c>
      <c r="AN670" s="29">
        <v>15</v>
      </c>
      <c r="AO670" s="29">
        <f t="shared" si="690"/>
        <v>0</v>
      </c>
      <c r="AP670" s="29">
        <f t="shared" si="691"/>
        <v>0</v>
      </c>
      <c r="AQ670" s="30" t="s">
        <v>7</v>
      </c>
      <c r="AV670" s="29">
        <f t="shared" si="682"/>
        <v>0</v>
      </c>
      <c r="AW670" s="29">
        <f t="shared" si="683"/>
        <v>0</v>
      </c>
      <c r="AX670" s="29">
        <f t="shared" si="684"/>
        <v>0</v>
      </c>
      <c r="AY670" s="32" t="s">
        <v>2927</v>
      </c>
      <c r="AZ670" s="32" t="s">
        <v>2941</v>
      </c>
      <c r="BA670" s="28" t="s">
        <v>2957</v>
      </c>
      <c r="BC670" s="29">
        <f t="shared" si="685"/>
        <v>0</v>
      </c>
      <c r="BD670" s="29">
        <f t="shared" si="686"/>
        <v>0</v>
      </c>
      <c r="BE670" s="29">
        <v>0</v>
      </c>
      <c r="BF670" s="29">
        <f>670</f>
        <v>670</v>
      </c>
      <c r="BH670" s="15">
        <f t="shared" si="687"/>
        <v>0</v>
      </c>
      <c r="BI670" s="15">
        <f t="shared" si="688"/>
        <v>0</v>
      </c>
      <c r="BJ670" s="15">
        <f t="shared" si="689"/>
        <v>0</v>
      </c>
      <c r="BK670" s="15" t="s">
        <v>2969</v>
      </c>
      <c r="BL670" s="29" t="s">
        <v>1585</v>
      </c>
    </row>
    <row r="671" spans="1:64" ht="12.75">
      <c r="A671" s="4" t="s">
        <v>617</v>
      </c>
      <c r="B671" s="94" t="s">
        <v>1608</v>
      </c>
      <c r="C671" s="152" t="s">
        <v>2553</v>
      </c>
      <c r="D671" s="153"/>
      <c r="E671" s="153"/>
      <c r="F671" s="153"/>
      <c r="G671" s="94" t="s">
        <v>2850</v>
      </c>
      <c r="H671" s="73">
        <v>6</v>
      </c>
      <c r="I671" s="105">
        <v>0</v>
      </c>
      <c r="J671" s="15">
        <f t="shared" si="666"/>
        <v>0</v>
      </c>
      <c r="K671" s="15">
        <f t="shared" si="667"/>
        <v>0</v>
      </c>
      <c r="L671" s="15">
        <f t="shared" si="668"/>
        <v>0</v>
      </c>
      <c r="M671" s="25"/>
      <c r="N671" s="5"/>
      <c r="Z671" s="29">
        <f t="shared" si="669"/>
        <v>0</v>
      </c>
      <c r="AB671" s="29">
        <f t="shared" si="670"/>
        <v>0</v>
      </c>
      <c r="AC671" s="29">
        <f t="shared" si="671"/>
        <v>0</v>
      </c>
      <c r="AD671" s="29">
        <f t="shared" si="672"/>
        <v>0</v>
      </c>
      <c r="AE671" s="29">
        <f t="shared" si="673"/>
        <v>0</v>
      </c>
      <c r="AF671" s="29">
        <f t="shared" si="674"/>
        <v>0</v>
      </c>
      <c r="AG671" s="29">
        <f t="shared" si="675"/>
        <v>0</v>
      </c>
      <c r="AH671" s="29">
        <f t="shared" si="676"/>
        <v>0</v>
      </c>
      <c r="AI671" s="28" t="s">
        <v>2882</v>
      </c>
      <c r="AJ671" s="15">
        <f t="shared" si="677"/>
        <v>0</v>
      </c>
      <c r="AK671" s="15">
        <f t="shared" si="678"/>
        <v>0</v>
      </c>
      <c r="AL671" s="15">
        <f t="shared" si="679"/>
        <v>0</v>
      </c>
      <c r="AN671" s="29">
        <v>15</v>
      </c>
      <c r="AO671" s="29">
        <f t="shared" si="690"/>
        <v>0</v>
      </c>
      <c r="AP671" s="29">
        <f t="shared" si="691"/>
        <v>0</v>
      </c>
      <c r="AQ671" s="30" t="s">
        <v>7</v>
      </c>
      <c r="AV671" s="29">
        <f t="shared" si="682"/>
        <v>0</v>
      </c>
      <c r="AW671" s="29">
        <f t="shared" si="683"/>
        <v>0</v>
      </c>
      <c r="AX671" s="29">
        <f t="shared" si="684"/>
        <v>0</v>
      </c>
      <c r="AY671" s="32" t="s">
        <v>2927</v>
      </c>
      <c r="AZ671" s="32" t="s">
        <v>2941</v>
      </c>
      <c r="BA671" s="28" t="s">
        <v>2957</v>
      </c>
      <c r="BC671" s="29">
        <f t="shared" si="685"/>
        <v>0</v>
      </c>
      <c r="BD671" s="29">
        <f t="shared" si="686"/>
        <v>0</v>
      </c>
      <c r="BE671" s="29">
        <v>0</v>
      </c>
      <c r="BF671" s="29">
        <f>671</f>
        <v>671</v>
      </c>
      <c r="BH671" s="15">
        <f t="shared" si="687"/>
        <v>0</v>
      </c>
      <c r="BI671" s="15">
        <f t="shared" si="688"/>
        <v>0</v>
      </c>
      <c r="BJ671" s="15">
        <f t="shared" si="689"/>
        <v>0</v>
      </c>
      <c r="BK671" s="15" t="s">
        <v>2969</v>
      </c>
      <c r="BL671" s="29" t="s">
        <v>1585</v>
      </c>
    </row>
    <row r="672" spans="1:64" ht="12.75">
      <c r="A672" s="4" t="s">
        <v>618</v>
      </c>
      <c r="B672" s="94" t="s">
        <v>1609</v>
      </c>
      <c r="C672" s="152" t="s">
        <v>2554</v>
      </c>
      <c r="D672" s="153"/>
      <c r="E672" s="153"/>
      <c r="F672" s="153"/>
      <c r="G672" s="94" t="s">
        <v>2850</v>
      </c>
      <c r="H672" s="73">
        <v>6</v>
      </c>
      <c r="I672" s="105">
        <v>0</v>
      </c>
      <c r="J672" s="15">
        <f t="shared" si="666"/>
        <v>0</v>
      </c>
      <c r="K672" s="15">
        <f t="shared" si="667"/>
        <v>0</v>
      </c>
      <c r="L672" s="15">
        <f t="shared" si="668"/>
        <v>0</v>
      </c>
      <c r="M672" s="25"/>
      <c r="N672" s="5"/>
      <c r="Z672" s="29">
        <f t="shared" si="669"/>
        <v>0</v>
      </c>
      <c r="AB672" s="29">
        <f t="shared" si="670"/>
        <v>0</v>
      </c>
      <c r="AC672" s="29">
        <f t="shared" si="671"/>
        <v>0</v>
      </c>
      <c r="AD672" s="29">
        <f t="shared" si="672"/>
        <v>0</v>
      </c>
      <c r="AE672" s="29">
        <f t="shared" si="673"/>
        <v>0</v>
      </c>
      <c r="AF672" s="29">
        <f t="shared" si="674"/>
        <v>0</v>
      </c>
      <c r="AG672" s="29">
        <f t="shared" si="675"/>
        <v>0</v>
      </c>
      <c r="AH672" s="29">
        <f t="shared" si="676"/>
        <v>0</v>
      </c>
      <c r="AI672" s="28" t="s">
        <v>2882</v>
      </c>
      <c r="AJ672" s="15">
        <f t="shared" si="677"/>
        <v>0</v>
      </c>
      <c r="AK672" s="15">
        <f t="shared" si="678"/>
        <v>0</v>
      </c>
      <c r="AL672" s="15">
        <f t="shared" si="679"/>
        <v>0</v>
      </c>
      <c r="AN672" s="29">
        <v>15</v>
      </c>
      <c r="AO672" s="29">
        <f t="shared" si="690"/>
        <v>0</v>
      </c>
      <c r="AP672" s="29">
        <f t="shared" si="691"/>
        <v>0</v>
      </c>
      <c r="AQ672" s="30" t="s">
        <v>7</v>
      </c>
      <c r="AV672" s="29">
        <f t="shared" si="682"/>
        <v>0</v>
      </c>
      <c r="AW672" s="29">
        <f t="shared" si="683"/>
        <v>0</v>
      </c>
      <c r="AX672" s="29">
        <f t="shared" si="684"/>
        <v>0</v>
      </c>
      <c r="AY672" s="32" t="s">
        <v>2927</v>
      </c>
      <c r="AZ672" s="32" t="s">
        <v>2941</v>
      </c>
      <c r="BA672" s="28" t="s">
        <v>2957</v>
      </c>
      <c r="BC672" s="29">
        <f t="shared" si="685"/>
        <v>0</v>
      </c>
      <c r="BD672" s="29">
        <f t="shared" si="686"/>
        <v>0</v>
      </c>
      <c r="BE672" s="29">
        <v>0</v>
      </c>
      <c r="BF672" s="29">
        <f>672</f>
        <v>672</v>
      </c>
      <c r="BH672" s="15">
        <f t="shared" si="687"/>
        <v>0</v>
      </c>
      <c r="BI672" s="15">
        <f t="shared" si="688"/>
        <v>0</v>
      </c>
      <c r="BJ672" s="15">
        <f t="shared" si="689"/>
        <v>0</v>
      </c>
      <c r="BK672" s="15" t="s">
        <v>2969</v>
      </c>
      <c r="BL672" s="29" t="s">
        <v>1585</v>
      </c>
    </row>
    <row r="673" spans="1:64" ht="12.75">
      <c r="A673" s="4" t="s">
        <v>619</v>
      </c>
      <c r="B673" s="94" t="s">
        <v>1610</v>
      </c>
      <c r="C673" s="152" t="s">
        <v>2555</v>
      </c>
      <c r="D673" s="153"/>
      <c r="E673" s="153"/>
      <c r="F673" s="153"/>
      <c r="G673" s="94" t="s">
        <v>2851</v>
      </c>
      <c r="H673" s="73">
        <v>40</v>
      </c>
      <c r="I673" s="105">
        <v>0</v>
      </c>
      <c r="J673" s="15">
        <f t="shared" si="666"/>
        <v>0</v>
      </c>
      <c r="K673" s="15">
        <f t="shared" si="667"/>
        <v>0</v>
      </c>
      <c r="L673" s="15">
        <f t="shared" si="668"/>
        <v>0</v>
      </c>
      <c r="M673" s="25"/>
      <c r="N673" s="5"/>
      <c r="Z673" s="29">
        <f t="shared" si="669"/>
        <v>0</v>
      </c>
      <c r="AB673" s="29">
        <f t="shared" si="670"/>
        <v>0</v>
      </c>
      <c r="AC673" s="29">
        <f t="shared" si="671"/>
        <v>0</v>
      </c>
      <c r="AD673" s="29">
        <f t="shared" si="672"/>
        <v>0</v>
      </c>
      <c r="AE673" s="29">
        <f t="shared" si="673"/>
        <v>0</v>
      </c>
      <c r="AF673" s="29">
        <f t="shared" si="674"/>
        <v>0</v>
      </c>
      <c r="AG673" s="29">
        <f t="shared" si="675"/>
        <v>0</v>
      </c>
      <c r="AH673" s="29">
        <f t="shared" si="676"/>
        <v>0</v>
      </c>
      <c r="AI673" s="28" t="s">
        <v>2882</v>
      </c>
      <c r="AJ673" s="15">
        <f t="shared" si="677"/>
        <v>0</v>
      </c>
      <c r="AK673" s="15">
        <f t="shared" si="678"/>
        <v>0</v>
      </c>
      <c r="AL673" s="15">
        <f t="shared" si="679"/>
        <v>0</v>
      </c>
      <c r="AN673" s="29">
        <v>15</v>
      </c>
      <c r="AO673" s="29">
        <f t="shared" si="690"/>
        <v>0</v>
      </c>
      <c r="AP673" s="29">
        <f t="shared" si="691"/>
        <v>0</v>
      </c>
      <c r="AQ673" s="30" t="s">
        <v>7</v>
      </c>
      <c r="AV673" s="29">
        <f t="shared" si="682"/>
        <v>0</v>
      </c>
      <c r="AW673" s="29">
        <f t="shared" si="683"/>
        <v>0</v>
      </c>
      <c r="AX673" s="29">
        <f t="shared" si="684"/>
        <v>0</v>
      </c>
      <c r="AY673" s="32" t="s">
        <v>2927</v>
      </c>
      <c r="AZ673" s="32" t="s">
        <v>2941</v>
      </c>
      <c r="BA673" s="28" t="s">
        <v>2957</v>
      </c>
      <c r="BC673" s="29">
        <f t="shared" si="685"/>
        <v>0</v>
      </c>
      <c r="BD673" s="29">
        <f t="shared" si="686"/>
        <v>0</v>
      </c>
      <c r="BE673" s="29">
        <v>0</v>
      </c>
      <c r="BF673" s="29">
        <f>673</f>
        <v>673</v>
      </c>
      <c r="BH673" s="15">
        <f t="shared" si="687"/>
        <v>0</v>
      </c>
      <c r="BI673" s="15">
        <f t="shared" si="688"/>
        <v>0</v>
      </c>
      <c r="BJ673" s="15">
        <f t="shared" si="689"/>
        <v>0</v>
      </c>
      <c r="BK673" s="15" t="s">
        <v>2969</v>
      </c>
      <c r="BL673" s="29" t="s">
        <v>1585</v>
      </c>
    </row>
    <row r="674" spans="1:64" ht="12.75">
      <c r="A674" s="4" t="s">
        <v>620</v>
      </c>
      <c r="B674" s="94" t="s">
        <v>1611</v>
      </c>
      <c r="C674" s="152" t="s">
        <v>2556</v>
      </c>
      <c r="D674" s="153"/>
      <c r="E674" s="153"/>
      <c r="F674" s="153"/>
      <c r="G674" s="94" t="s">
        <v>2851</v>
      </c>
      <c r="H674" s="73">
        <v>40</v>
      </c>
      <c r="I674" s="105">
        <v>0</v>
      </c>
      <c r="J674" s="15">
        <f t="shared" si="666"/>
        <v>0</v>
      </c>
      <c r="K674" s="15">
        <f t="shared" si="667"/>
        <v>0</v>
      </c>
      <c r="L674" s="15">
        <f t="shared" si="668"/>
        <v>0</v>
      </c>
      <c r="M674" s="25"/>
      <c r="N674" s="5"/>
      <c r="Z674" s="29">
        <f t="shared" si="669"/>
        <v>0</v>
      </c>
      <c r="AB674" s="29">
        <f t="shared" si="670"/>
        <v>0</v>
      </c>
      <c r="AC674" s="29">
        <f t="shared" si="671"/>
        <v>0</v>
      </c>
      <c r="AD674" s="29">
        <f t="shared" si="672"/>
        <v>0</v>
      </c>
      <c r="AE674" s="29">
        <f t="shared" si="673"/>
        <v>0</v>
      </c>
      <c r="AF674" s="29">
        <f t="shared" si="674"/>
        <v>0</v>
      </c>
      <c r="AG674" s="29">
        <f t="shared" si="675"/>
        <v>0</v>
      </c>
      <c r="AH674" s="29">
        <f t="shared" si="676"/>
        <v>0</v>
      </c>
      <c r="AI674" s="28" t="s">
        <v>2882</v>
      </c>
      <c r="AJ674" s="15">
        <f t="shared" si="677"/>
        <v>0</v>
      </c>
      <c r="AK674" s="15">
        <f t="shared" si="678"/>
        <v>0</v>
      </c>
      <c r="AL674" s="15">
        <f t="shared" si="679"/>
        <v>0</v>
      </c>
      <c r="AN674" s="29">
        <v>15</v>
      </c>
      <c r="AO674" s="29">
        <f t="shared" si="690"/>
        <v>0</v>
      </c>
      <c r="AP674" s="29">
        <f t="shared" si="691"/>
        <v>0</v>
      </c>
      <c r="AQ674" s="30" t="s">
        <v>7</v>
      </c>
      <c r="AV674" s="29">
        <f t="shared" si="682"/>
        <v>0</v>
      </c>
      <c r="AW674" s="29">
        <f t="shared" si="683"/>
        <v>0</v>
      </c>
      <c r="AX674" s="29">
        <f t="shared" si="684"/>
        <v>0</v>
      </c>
      <c r="AY674" s="32" t="s">
        <v>2927</v>
      </c>
      <c r="AZ674" s="32" t="s">
        <v>2941</v>
      </c>
      <c r="BA674" s="28" t="s">
        <v>2957</v>
      </c>
      <c r="BC674" s="29">
        <f t="shared" si="685"/>
        <v>0</v>
      </c>
      <c r="BD674" s="29">
        <f t="shared" si="686"/>
        <v>0</v>
      </c>
      <c r="BE674" s="29">
        <v>0</v>
      </c>
      <c r="BF674" s="29">
        <f>674</f>
        <v>674</v>
      </c>
      <c r="BH674" s="15">
        <f t="shared" si="687"/>
        <v>0</v>
      </c>
      <c r="BI674" s="15">
        <f t="shared" si="688"/>
        <v>0</v>
      </c>
      <c r="BJ674" s="15">
        <f t="shared" si="689"/>
        <v>0</v>
      </c>
      <c r="BK674" s="15" t="s">
        <v>2969</v>
      </c>
      <c r="BL674" s="29" t="s">
        <v>1585</v>
      </c>
    </row>
    <row r="675" spans="1:64" ht="12.75">
      <c r="A675" s="4" t="s">
        <v>621</v>
      </c>
      <c r="B675" s="94" t="s">
        <v>1612</v>
      </c>
      <c r="C675" s="152" t="s">
        <v>2557</v>
      </c>
      <c r="D675" s="153"/>
      <c r="E675" s="153"/>
      <c r="F675" s="153"/>
      <c r="G675" s="94" t="s">
        <v>2851</v>
      </c>
      <c r="H675" s="73">
        <v>4</v>
      </c>
      <c r="I675" s="105">
        <v>0</v>
      </c>
      <c r="J675" s="15">
        <f t="shared" si="666"/>
        <v>0</v>
      </c>
      <c r="K675" s="15">
        <f t="shared" si="667"/>
        <v>0</v>
      </c>
      <c r="L675" s="15">
        <f t="shared" si="668"/>
        <v>0</v>
      </c>
      <c r="M675" s="25"/>
      <c r="N675" s="5"/>
      <c r="Z675" s="29">
        <f t="shared" si="669"/>
        <v>0</v>
      </c>
      <c r="AB675" s="29">
        <f t="shared" si="670"/>
        <v>0</v>
      </c>
      <c r="AC675" s="29">
        <f t="shared" si="671"/>
        <v>0</v>
      </c>
      <c r="AD675" s="29">
        <f t="shared" si="672"/>
        <v>0</v>
      </c>
      <c r="AE675" s="29">
        <f t="shared" si="673"/>
        <v>0</v>
      </c>
      <c r="AF675" s="29">
        <f t="shared" si="674"/>
        <v>0</v>
      </c>
      <c r="AG675" s="29">
        <f t="shared" si="675"/>
        <v>0</v>
      </c>
      <c r="AH675" s="29">
        <f t="shared" si="676"/>
        <v>0</v>
      </c>
      <c r="AI675" s="28" t="s">
        <v>2882</v>
      </c>
      <c r="AJ675" s="15">
        <f t="shared" si="677"/>
        <v>0</v>
      </c>
      <c r="AK675" s="15">
        <f t="shared" si="678"/>
        <v>0</v>
      </c>
      <c r="AL675" s="15">
        <f t="shared" si="679"/>
        <v>0</v>
      </c>
      <c r="AN675" s="29">
        <v>15</v>
      </c>
      <c r="AO675" s="29">
        <f t="shared" si="690"/>
        <v>0</v>
      </c>
      <c r="AP675" s="29">
        <f t="shared" si="691"/>
        <v>0</v>
      </c>
      <c r="AQ675" s="30" t="s">
        <v>7</v>
      </c>
      <c r="AV675" s="29">
        <f t="shared" si="682"/>
        <v>0</v>
      </c>
      <c r="AW675" s="29">
        <f t="shared" si="683"/>
        <v>0</v>
      </c>
      <c r="AX675" s="29">
        <f t="shared" si="684"/>
        <v>0</v>
      </c>
      <c r="AY675" s="32" t="s">
        <v>2927</v>
      </c>
      <c r="AZ675" s="32" t="s">
        <v>2941</v>
      </c>
      <c r="BA675" s="28" t="s">
        <v>2957</v>
      </c>
      <c r="BC675" s="29">
        <f t="shared" si="685"/>
        <v>0</v>
      </c>
      <c r="BD675" s="29">
        <f t="shared" si="686"/>
        <v>0</v>
      </c>
      <c r="BE675" s="29">
        <v>0</v>
      </c>
      <c r="BF675" s="29">
        <f>675</f>
        <v>675</v>
      </c>
      <c r="BH675" s="15">
        <f t="shared" si="687"/>
        <v>0</v>
      </c>
      <c r="BI675" s="15">
        <f t="shared" si="688"/>
        <v>0</v>
      </c>
      <c r="BJ675" s="15">
        <f t="shared" si="689"/>
        <v>0</v>
      </c>
      <c r="BK675" s="15" t="s">
        <v>2969</v>
      </c>
      <c r="BL675" s="29" t="s">
        <v>1585</v>
      </c>
    </row>
    <row r="676" spans="1:64" ht="12.75">
      <c r="A676" s="4" t="s">
        <v>622</v>
      </c>
      <c r="B676" s="94" t="s">
        <v>1613</v>
      </c>
      <c r="C676" s="152" t="s">
        <v>2558</v>
      </c>
      <c r="D676" s="153"/>
      <c r="E676" s="153"/>
      <c r="F676" s="153"/>
      <c r="G676" s="94" t="s">
        <v>2851</v>
      </c>
      <c r="H676" s="73">
        <v>4</v>
      </c>
      <c r="I676" s="105">
        <v>0</v>
      </c>
      <c r="J676" s="15">
        <f t="shared" si="666"/>
        <v>0</v>
      </c>
      <c r="K676" s="15">
        <f t="shared" si="667"/>
        <v>0</v>
      </c>
      <c r="L676" s="15">
        <f t="shared" si="668"/>
        <v>0</v>
      </c>
      <c r="M676" s="25"/>
      <c r="N676" s="5"/>
      <c r="Z676" s="29">
        <f t="shared" si="669"/>
        <v>0</v>
      </c>
      <c r="AB676" s="29">
        <f t="shared" si="670"/>
        <v>0</v>
      </c>
      <c r="AC676" s="29">
        <f t="shared" si="671"/>
        <v>0</v>
      </c>
      <c r="AD676" s="29">
        <f t="shared" si="672"/>
        <v>0</v>
      </c>
      <c r="AE676" s="29">
        <f t="shared" si="673"/>
        <v>0</v>
      </c>
      <c r="AF676" s="29">
        <f t="shared" si="674"/>
        <v>0</v>
      </c>
      <c r="AG676" s="29">
        <f t="shared" si="675"/>
        <v>0</v>
      </c>
      <c r="AH676" s="29">
        <f t="shared" si="676"/>
        <v>0</v>
      </c>
      <c r="AI676" s="28" t="s">
        <v>2882</v>
      </c>
      <c r="AJ676" s="15">
        <f t="shared" si="677"/>
        <v>0</v>
      </c>
      <c r="AK676" s="15">
        <f t="shared" si="678"/>
        <v>0</v>
      </c>
      <c r="AL676" s="15">
        <f t="shared" si="679"/>
        <v>0</v>
      </c>
      <c r="AN676" s="29">
        <v>15</v>
      </c>
      <c r="AO676" s="29">
        <f t="shared" si="690"/>
        <v>0</v>
      </c>
      <c r="AP676" s="29">
        <f t="shared" si="691"/>
        <v>0</v>
      </c>
      <c r="AQ676" s="30" t="s">
        <v>7</v>
      </c>
      <c r="AV676" s="29">
        <f t="shared" si="682"/>
        <v>0</v>
      </c>
      <c r="AW676" s="29">
        <f t="shared" si="683"/>
        <v>0</v>
      </c>
      <c r="AX676" s="29">
        <f t="shared" si="684"/>
        <v>0</v>
      </c>
      <c r="AY676" s="32" t="s">
        <v>2927</v>
      </c>
      <c r="AZ676" s="32" t="s">
        <v>2941</v>
      </c>
      <c r="BA676" s="28" t="s">
        <v>2957</v>
      </c>
      <c r="BC676" s="29">
        <f t="shared" si="685"/>
        <v>0</v>
      </c>
      <c r="BD676" s="29">
        <f t="shared" si="686"/>
        <v>0</v>
      </c>
      <c r="BE676" s="29">
        <v>0</v>
      </c>
      <c r="BF676" s="29">
        <f>676</f>
        <v>676</v>
      </c>
      <c r="BH676" s="15">
        <f t="shared" si="687"/>
        <v>0</v>
      </c>
      <c r="BI676" s="15">
        <f t="shared" si="688"/>
        <v>0</v>
      </c>
      <c r="BJ676" s="15">
        <f t="shared" si="689"/>
        <v>0</v>
      </c>
      <c r="BK676" s="15" t="s">
        <v>2969</v>
      </c>
      <c r="BL676" s="29" t="s">
        <v>1585</v>
      </c>
    </row>
    <row r="677" spans="1:64" ht="12.75">
      <c r="A677" s="4" t="s">
        <v>623</v>
      </c>
      <c r="B677" s="94" t="s">
        <v>1614</v>
      </c>
      <c r="C677" s="152" t="s">
        <v>2559</v>
      </c>
      <c r="D677" s="153"/>
      <c r="E677" s="153"/>
      <c r="F677" s="153"/>
      <c r="G677" s="94" t="s">
        <v>2851</v>
      </c>
      <c r="H677" s="73">
        <v>6</v>
      </c>
      <c r="I677" s="105">
        <v>0</v>
      </c>
      <c r="J677" s="15">
        <f t="shared" si="666"/>
        <v>0</v>
      </c>
      <c r="K677" s="15">
        <f t="shared" si="667"/>
        <v>0</v>
      </c>
      <c r="L677" s="15">
        <f t="shared" si="668"/>
        <v>0</v>
      </c>
      <c r="M677" s="25"/>
      <c r="N677" s="5"/>
      <c r="Z677" s="29">
        <f t="shared" si="669"/>
        <v>0</v>
      </c>
      <c r="AB677" s="29">
        <f t="shared" si="670"/>
        <v>0</v>
      </c>
      <c r="AC677" s="29">
        <f t="shared" si="671"/>
        <v>0</v>
      </c>
      <c r="AD677" s="29">
        <f t="shared" si="672"/>
        <v>0</v>
      </c>
      <c r="AE677" s="29">
        <f t="shared" si="673"/>
        <v>0</v>
      </c>
      <c r="AF677" s="29">
        <f t="shared" si="674"/>
        <v>0</v>
      </c>
      <c r="AG677" s="29">
        <f t="shared" si="675"/>
        <v>0</v>
      </c>
      <c r="AH677" s="29">
        <f t="shared" si="676"/>
        <v>0</v>
      </c>
      <c r="AI677" s="28" t="s">
        <v>2882</v>
      </c>
      <c r="AJ677" s="15">
        <f t="shared" si="677"/>
        <v>0</v>
      </c>
      <c r="AK677" s="15">
        <f t="shared" si="678"/>
        <v>0</v>
      </c>
      <c r="AL677" s="15">
        <f t="shared" si="679"/>
        <v>0</v>
      </c>
      <c r="AN677" s="29">
        <v>15</v>
      </c>
      <c r="AO677" s="29">
        <f t="shared" si="690"/>
        <v>0</v>
      </c>
      <c r="AP677" s="29">
        <f t="shared" si="691"/>
        <v>0</v>
      </c>
      <c r="AQ677" s="30" t="s">
        <v>7</v>
      </c>
      <c r="AV677" s="29">
        <f t="shared" si="682"/>
        <v>0</v>
      </c>
      <c r="AW677" s="29">
        <f t="shared" si="683"/>
        <v>0</v>
      </c>
      <c r="AX677" s="29">
        <f t="shared" si="684"/>
        <v>0</v>
      </c>
      <c r="AY677" s="32" t="s">
        <v>2927</v>
      </c>
      <c r="AZ677" s="32" t="s">
        <v>2941</v>
      </c>
      <c r="BA677" s="28" t="s">
        <v>2957</v>
      </c>
      <c r="BC677" s="29">
        <f t="shared" si="685"/>
        <v>0</v>
      </c>
      <c r="BD677" s="29">
        <f t="shared" si="686"/>
        <v>0</v>
      </c>
      <c r="BE677" s="29">
        <v>0</v>
      </c>
      <c r="BF677" s="29">
        <f>677</f>
        <v>677</v>
      </c>
      <c r="BH677" s="15">
        <f t="shared" si="687"/>
        <v>0</v>
      </c>
      <c r="BI677" s="15">
        <f t="shared" si="688"/>
        <v>0</v>
      </c>
      <c r="BJ677" s="15">
        <f t="shared" si="689"/>
        <v>0</v>
      </c>
      <c r="BK677" s="15" t="s">
        <v>2969</v>
      </c>
      <c r="BL677" s="29" t="s">
        <v>1585</v>
      </c>
    </row>
    <row r="678" spans="1:64" ht="12.75">
      <c r="A678" s="4" t="s">
        <v>624</v>
      </c>
      <c r="B678" s="94" t="s">
        <v>1615</v>
      </c>
      <c r="C678" s="152" t="s">
        <v>2559</v>
      </c>
      <c r="D678" s="153"/>
      <c r="E678" s="153"/>
      <c r="F678" s="153"/>
      <c r="G678" s="94" t="s">
        <v>2851</v>
      </c>
      <c r="H678" s="73">
        <v>6</v>
      </c>
      <c r="I678" s="105">
        <v>0</v>
      </c>
      <c r="J678" s="15">
        <f t="shared" si="666"/>
        <v>0</v>
      </c>
      <c r="K678" s="15">
        <f t="shared" si="667"/>
        <v>0</v>
      </c>
      <c r="L678" s="15">
        <f t="shared" si="668"/>
        <v>0</v>
      </c>
      <c r="M678" s="25"/>
      <c r="N678" s="5"/>
      <c r="Z678" s="29">
        <f t="shared" si="669"/>
        <v>0</v>
      </c>
      <c r="AB678" s="29">
        <f t="shared" si="670"/>
        <v>0</v>
      </c>
      <c r="AC678" s="29">
        <f t="shared" si="671"/>
        <v>0</v>
      </c>
      <c r="AD678" s="29">
        <f t="shared" si="672"/>
        <v>0</v>
      </c>
      <c r="AE678" s="29">
        <f t="shared" si="673"/>
        <v>0</v>
      </c>
      <c r="AF678" s="29">
        <f t="shared" si="674"/>
        <v>0</v>
      </c>
      <c r="AG678" s="29">
        <f t="shared" si="675"/>
        <v>0</v>
      </c>
      <c r="AH678" s="29">
        <f t="shared" si="676"/>
        <v>0</v>
      </c>
      <c r="AI678" s="28" t="s">
        <v>2882</v>
      </c>
      <c r="AJ678" s="15">
        <f t="shared" si="677"/>
        <v>0</v>
      </c>
      <c r="AK678" s="15">
        <f t="shared" si="678"/>
        <v>0</v>
      </c>
      <c r="AL678" s="15">
        <f t="shared" si="679"/>
        <v>0</v>
      </c>
      <c r="AN678" s="29">
        <v>15</v>
      </c>
      <c r="AO678" s="29">
        <f t="shared" si="690"/>
        <v>0</v>
      </c>
      <c r="AP678" s="29">
        <f t="shared" si="691"/>
        <v>0</v>
      </c>
      <c r="AQ678" s="30" t="s">
        <v>7</v>
      </c>
      <c r="AV678" s="29">
        <f t="shared" si="682"/>
        <v>0</v>
      </c>
      <c r="AW678" s="29">
        <f t="shared" si="683"/>
        <v>0</v>
      </c>
      <c r="AX678" s="29">
        <f t="shared" si="684"/>
        <v>0</v>
      </c>
      <c r="AY678" s="32" t="s">
        <v>2927</v>
      </c>
      <c r="AZ678" s="32" t="s">
        <v>2941</v>
      </c>
      <c r="BA678" s="28" t="s">
        <v>2957</v>
      </c>
      <c r="BC678" s="29">
        <f t="shared" si="685"/>
        <v>0</v>
      </c>
      <c r="BD678" s="29">
        <f t="shared" si="686"/>
        <v>0</v>
      </c>
      <c r="BE678" s="29">
        <v>0</v>
      </c>
      <c r="BF678" s="29">
        <f>678</f>
        <v>678</v>
      </c>
      <c r="BH678" s="15">
        <f t="shared" si="687"/>
        <v>0</v>
      </c>
      <c r="BI678" s="15">
        <f t="shared" si="688"/>
        <v>0</v>
      </c>
      <c r="BJ678" s="15">
        <f t="shared" si="689"/>
        <v>0</v>
      </c>
      <c r="BK678" s="15" t="s">
        <v>2969</v>
      </c>
      <c r="BL678" s="29" t="s">
        <v>1585</v>
      </c>
    </row>
    <row r="679" spans="1:64" ht="12.75">
      <c r="A679" s="4" t="s">
        <v>625</v>
      </c>
      <c r="B679" s="94" t="s">
        <v>1616</v>
      </c>
      <c r="C679" s="152" t="s">
        <v>2560</v>
      </c>
      <c r="D679" s="153"/>
      <c r="E679" s="153"/>
      <c r="F679" s="153"/>
      <c r="G679" s="94" t="s">
        <v>2851</v>
      </c>
      <c r="H679" s="73">
        <v>20</v>
      </c>
      <c r="I679" s="105">
        <v>0</v>
      </c>
      <c r="J679" s="15">
        <f t="shared" si="666"/>
        <v>0</v>
      </c>
      <c r="K679" s="15">
        <f t="shared" si="667"/>
        <v>0</v>
      </c>
      <c r="L679" s="15">
        <f t="shared" si="668"/>
        <v>0</v>
      </c>
      <c r="M679" s="25"/>
      <c r="N679" s="5"/>
      <c r="Z679" s="29">
        <f t="shared" si="669"/>
        <v>0</v>
      </c>
      <c r="AB679" s="29">
        <f t="shared" si="670"/>
        <v>0</v>
      </c>
      <c r="AC679" s="29">
        <f t="shared" si="671"/>
        <v>0</v>
      </c>
      <c r="AD679" s="29">
        <f t="shared" si="672"/>
        <v>0</v>
      </c>
      <c r="AE679" s="29">
        <f t="shared" si="673"/>
        <v>0</v>
      </c>
      <c r="AF679" s="29">
        <f t="shared" si="674"/>
        <v>0</v>
      </c>
      <c r="AG679" s="29">
        <f t="shared" si="675"/>
        <v>0</v>
      </c>
      <c r="AH679" s="29">
        <f t="shared" si="676"/>
        <v>0</v>
      </c>
      <c r="AI679" s="28" t="s">
        <v>2882</v>
      </c>
      <c r="AJ679" s="15">
        <f t="shared" si="677"/>
        <v>0</v>
      </c>
      <c r="AK679" s="15">
        <f t="shared" si="678"/>
        <v>0</v>
      </c>
      <c r="AL679" s="15">
        <f t="shared" si="679"/>
        <v>0</v>
      </c>
      <c r="AN679" s="29">
        <v>15</v>
      </c>
      <c r="AO679" s="29">
        <f t="shared" si="690"/>
        <v>0</v>
      </c>
      <c r="AP679" s="29">
        <f t="shared" si="691"/>
        <v>0</v>
      </c>
      <c r="AQ679" s="30" t="s">
        <v>7</v>
      </c>
      <c r="AV679" s="29">
        <f t="shared" si="682"/>
        <v>0</v>
      </c>
      <c r="AW679" s="29">
        <f t="shared" si="683"/>
        <v>0</v>
      </c>
      <c r="AX679" s="29">
        <f t="shared" si="684"/>
        <v>0</v>
      </c>
      <c r="AY679" s="32" t="s">
        <v>2927</v>
      </c>
      <c r="AZ679" s="32" t="s">
        <v>2941</v>
      </c>
      <c r="BA679" s="28" t="s">
        <v>2957</v>
      </c>
      <c r="BC679" s="29">
        <f t="shared" si="685"/>
        <v>0</v>
      </c>
      <c r="BD679" s="29">
        <f t="shared" si="686"/>
        <v>0</v>
      </c>
      <c r="BE679" s="29">
        <v>0</v>
      </c>
      <c r="BF679" s="29">
        <f>679</f>
        <v>679</v>
      </c>
      <c r="BH679" s="15">
        <f t="shared" si="687"/>
        <v>0</v>
      </c>
      <c r="BI679" s="15">
        <f t="shared" si="688"/>
        <v>0</v>
      </c>
      <c r="BJ679" s="15">
        <f t="shared" si="689"/>
        <v>0</v>
      </c>
      <c r="BK679" s="15" t="s">
        <v>2969</v>
      </c>
      <c r="BL679" s="29" t="s">
        <v>1585</v>
      </c>
    </row>
    <row r="680" spans="1:64" ht="12.75">
      <c r="A680" s="4" t="s">
        <v>626</v>
      </c>
      <c r="B680" s="94" t="s">
        <v>1617</v>
      </c>
      <c r="C680" s="152" t="s">
        <v>2560</v>
      </c>
      <c r="D680" s="153"/>
      <c r="E680" s="153"/>
      <c r="F680" s="153"/>
      <c r="G680" s="94" t="s">
        <v>2851</v>
      </c>
      <c r="H680" s="73">
        <v>20</v>
      </c>
      <c r="I680" s="105">
        <v>0</v>
      </c>
      <c r="J680" s="15">
        <f t="shared" si="666"/>
        <v>0</v>
      </c>
      <c r="K680" s="15">
        <f t="shared" si="667"/>
        <v>0</v>
      </c>
      <c r="L680" s="15">
        <f t="shared" si="668"/>
        <v>0</v>
      </c>
      <c r="M680" s="25"/>
      <c r="N680" s="5"/>
      <c r="Z680" s="29">
        <f t="shared" si="669"/>
        <v>0</v>
      </c>
      <c r="AB680" s="29">
        <f t="shared" si="670"/>
        <v>0</v>
      </c>
      <c r="AC680" s="29">
        <f t="shared" si="671"/>
        <v>0</v>
      </c>
      <c r="AD680" s="29">
        <f t="shared" si="672"/>
        <v>0</v>
      </c>
      <c r="AE680" s="29">
        <f t="shared" si="673"/>
        <v>0</v>
      </c>
      <c r="AF680" s="29">
        <f t="shared" si="674"/>
        <v>0</v>
      </c>
      <c r="AG680" s="29">
        <f t="shared" si="675"/>
        <v>0</v>
      </c>
      <c r="AH680" s="29">
        <f t="shared" si="676"/>
        <v>0</v>
      </c>
      <c r="AI680" s="28" t="s">
        <v>2882</v>
      </c>
      <c r="AJ680" s="15">
        <f t="shared" si="677"/>
        <v>0</v>
      </c>
      <c r="AK680" s="15">
        <f t="shared" si="678"/>
        <v>0</v>
      </c>
      <c r="AL680" s="15">
        <f t="shared" si="679"/>
        <v>0</v>
      </c>
      <c r="AN680" s="29">
        <v>15</v>
      </c>
      <c r="AO680" s="29">
        <f t="shared" si="690"/>
        <v>0</v>
      </c>
      <c r="AP680" s="29">
        <f t="shared" si="691"/>
        <v>0</v>
      </c>
      <c r="AQ680" s="30" t="s">
        <v>7</v>
      </c>
      <c r="AV680" s="29">
        <f t="shared" si="682"/>
        <v>0</v>
      </c>
      <c r="AW680" s="29">
        <f t="shared" si="683"/>
        <v>0</v>
      </c>
      <c r="AX680" s="29">
        <f t="shared" si="684"/>
        <v>0</v>
      </c>
      <c r="AY680" s="32" t="s">
        <v>2927</v>
      </c>
      <c r="AZ680" s="32" t="s">
        <v>2941</v>
      </c>
      <c r="BA680" s="28" t="s">
        <v>2957</v>
      </c>
      <c r="BC680" s="29">
        <f t="shared" si="685"/>
        <v>0</v>
      </c>
      <c r="BD680" s="29">
        <f t="shared" si="686"/>
        <v>0</v>
      </c>
      <c r="BE680" s="29">
        <v>0</v>
      </c>
      <c r="BF680" s="29">
        <f>680</f>
        <v>680</v>
      </c>
      <c r="BH680" s="15">
        <f t="shared" si="687"/>
        <v>0</v>
      </c>
      <c r="BI680" s="15">
        <f t="shared" si="688"/>
        <v>0</v>
      </c>
      <c r="BJ680" s="15">
        <f t="shared" si="689"/>
        <v>0</v>
      </c>
      <c r="BK680" s="15" t="s">
        <v>2969</v>
      </c>
      <c r="BL680" s="29" t="s">
        <v>1585</v>
      </c>
    </row>
    <row r="681" spans="1:64" ht="12.75">
      <c r="A681" s="4" t="s">
        <v>627</v>
      </c>
      <c r="B681" s="94" t="s">
        <v>1618</v>
      </c>
      <c r="C681" s="152" t="s">
        <v>2561</v>
      </c>
      <c r="D681" s="153"/>
      <c r="E681" s="153"/>
      <c r="F681" s="153"/>
      <c r="G681" s="94" t="s">
        <v>2851</v>
      </c>
      <c r="H681" s="73">
        <v>20</v>
      </c>
      <c r="I681" s="105">
        <v>0</v>
      </c>
      <c r="J681" s="15">
        <f aca="true" t="shared" si="692" ref="J681:J712">H681*AO681</f>
        <v>0</v>
      </c>
      <c r="K681" s="15">
        <f aca="true" t="shared" si="693" ref="K681:K712">H681*AP681</f>
        <v>0</v>
      </c>
      <c r="L681" s="15">
        <f aca="true" t="shared" si="694" ref="L681:L712">H681*I681</f>
        <v>0</v>
      </c>
      <c r="M681" s="25"/>
      <c r="N681" s="5"/>
      <c r="Z681" s="29">
        <f aca="true" t="shared" si="695" ref="Z681:Z712">IF(AQ681="5",BJ681,0)</f>
        <v>0</v>
      </c>
      <c r="AB681" s="29">
        <f aca="true" t="shared" si="696" ref="AB681:AB712">IF(AQ681="1",BH681,0)</f>
        <v>0</v>
      </c>
      <c r="AC681" s="29">
        <f aca="true" t="shared" si="697" ref="AC681:AC712">IF(AQ681="1",BI681,0)</f>
        <v>0</v>
      </c>
      <c r="AD681" s="29">
        <f aca="true" t="shared" si="698" ref="AD681:AD712">IF(AQ681="7",BH681,0)</f>
        <v>0</v>
      </c>
      <c r="AE681" s="29">
        <f aca="true" t="shared" si="699" ref="AE681:AE712">IF(AQ681="7",BI681,0)</f>
        <v>0</v>
      </c>
      <c r="AF681" s="29">
        <f aca="true" t="shared" si="700" ref="AF681:AF712">IF(AQ681="2",BH681,0)</f>
        <v>0</v>
      </c>
      <c r="AG681" s="29">
        <f aca="true" t="shared" si="701" ref="AG681:AG712">IF(AQ681="2",BI681,0)</f>
        <v>0</v>
      </c>
      <c r="AH681" s="29">
        <f aca="true" t="shared" si="702" ref="AH681:AH712">IF(AQ681="0",BJ681,0)</f>
        <v>0</v>
      </c>
      <c r="AI681" s="28" t="s">
        <v>2882</v>
      </c>
      <c r="AJ681" s="15">
        <f aca="true" t="shared" si="703" ref="AJ681:AJ712">IF(AN681=0,L681,0)</f>
        <v>0</v>
      </c>
      <c r="AK681" s="15">
        <f aca="true" t="shared" si="704" ref="AK681:AK712">IF(AN681=15,L681,0)</f>
        <v>0</v>
      </c>
      <c r="AL681" s="15">
        <f aca="true" t="shared" si="705" ref="AL681:AL712">IF(AN681=21,L681,0)</f>
        <v>0</v>
      </c>
      <c r="AN681" s="29">
        <v>15</v>
      </c>
      <c r="AO681" s="29">
        <f t="shared" si="690"/>
        <v>0</v>
      </c>
      <c r="AP681" s="29">
        <f t="shared" si="691"/>
        <v>0</v>
      </c>
      <c r="AQ681" s="30" t="s">
        <v>7</v>
      </c>
      <c r="AV681" s="29">
        <f aca="true" t="shared" si="706" ref="AV681:AV712">AW681+AX681</f>
        <v>0</v>
      </c>
      <c r="AW681" s="29">
        <f aca="true" t="shared" si="707" ref="AW681:AW712">H681*AO681</f>
        <v>0</v>
      </c>
      <c r="AX681" s="29">
        <f aca="true" t="shared" si="708" ref="AX681:AX712">H681*AP681</f>
        <v>0</v>
      </c>
      <c r="AY681" s="32" t="s">
        <v>2927</v>
      </c>
      <c r="AZ681" s="32" t="s">
        <v>2941</v>
      </c>
      <c r="BA681" s="28" t="s">
        <v>2957</v>
      </c>
      <c r="BC681" s="29">
        <f aca="true" t="shared" si="709" ref="BC681:BC712">AW681+AX681</f>
        <v>0</v>
      </c>
      <c r="BD681" s="29">
        <f aca="true" t="shared" si="710" ref="BD681:BD712">I681/(100-BE681)*100</f>
        <v>0</v>
      </c>
      <c r="BE681" s="29">
        <v>0</v>
      </c>
      <c r="BF681" s="29">
        <f>681</f>
        <v>681</v>
      </c>
      <c r="BH681" s="15">
        <f aca="true" t="shared" si="711" ref="BH681:BH712">H681*AO681</f>
        <v>0</v>
      </c>
      <c r="BI681" s="15">
        <f aca="true" t="shared" si="712" ref="BI681:BI712">H681*AP681</f>
        <v>0</v>
      </c>
      <c r="BJ681" s="15">
        <f aca="true" t="shared" si="713" ref="BJ681:BJ712">H681*I681</f>
        <v>0</v>
      </c>
      <c r="BK681" s="15" t="s">
        <v>2969</v>
      </c>
      <c r="BL681" s="29" t="s">
        <v>1585</v>
      </c>
    </row>
    <row r="682" spans="1:64" ht="12.75">
      <c r="A682" s="4" t="s">
        <v>628</v>
      </c>
      <c r="B682" s="94" t="s">
        <v>1619</v>
      </c>
      <c r="C682" s="152" t="s">
        <v>2561</v>
      </c>
      <c r="D682" s="153"/>
      <c r="E682" s="153"/>
      <c r="F682" s="153"/>
      <c r="G682" s="94" t="s">
        <v>2851</v>
      </c>
      <c r="H682" s="73">
        <v>20</v>
      </c>
      <c r="I682" s="105">
        <v>0</v>
      </c>
      <c r="J682" s="15">
        <f t="shared" si="692"/>
        <v>0</v>
      </c>
      <c r="K682" s="15">
        <f t="shared" si="693"/>
        <v>0</v>
      </c>
      <c r="L682" s="15">
        <f t="shared" si="694"/>
        <v>0</v>
      </c>
      <c r="M682" s="25"/>
      <c r="N682" s="5"/>
      <c r="Z682" s="29">
        <f t="shared" si="695"/>
        <v>0</v>
      </c>
      <c r="AB682" s="29">
        <f t="shared" si="696"/>
        <v>0</v>
      </c>
      <c r="AC682" s="29">
        <f t="shared" si="697"/>
        <v>0</v>
      </c>
      <c r="AD682" s="29">
        <f t="shared" si="698"/>
        <v>0</v>
      </c>
      <c r="AE682" s="29">
        <f t="shared" si="699"/>
        <v>0</v>
      </c>
      <c r="AF682" s="29">
        <f t="shared" si="700"/>
        <v>0</v>
      </c>
      <c r="AG682" s="29">
        <f t="shared" si="701"/>
        <v>0</v>
      </c>
      <c r="AH682" s="29">
        <f t="shared" si="702"/>
        <v>0</v>
      </c>
      <c r="AI682" s="28" t="s">
        <v>2882</v>
      </c>
      <c r="AJ682" s="15">
        <f t="shared" si="703"/>
        <v>0</v>
      </c>
      <c r="AK682" s="15">
        <f t="shared" si="704"/>
        <v>0</v>
      </c>
      <c r="AL682" s="15">
        <f t="shared" si="705"/>
        <v>0</v>
      </c>
      <c r="AN682" s="29">
        <v>15</v>
      </c>
      <c r="AO682" s="29">
        <f t="shared" si="690"/>
        <v>0</v>
      </c>
      <c r="AP682" s="29">
        <f t="shared" si="691"/>
        <v>0</v>
      </c>
      <c r="AQ682" s="30" t="s">
        <v>7</v>
      </c>
      <c r="AV682" s="29">
        <f t="shared" si="706"/>
        <v>0</v>
      </c>
      <c r="AW682" s="29">
        <f t="shared" si="707"/>
        <v>0</v>
      </c>
      <c r="AX682" s="29">
        <f t="shared" si="708"/>
        <v>0</v>
      </c>
      <c r="AY682" s="32" t="s">
        <v>2927</v>
      </c>
      <c r="AZ682" s="32" t="s">
        <v>2941</v>
      </c>
      <c r="BA682" s="28" t="s">
        <v>2957</v>
      </c>
      <c r="BC682" s="29">
        <f t="shared" si="709"/>
        <v>0</v>
      </c>
      <c r="BD682" s="29">
        <f t="shared" si="710"/>
        <v>0</v>
      </c>
      <c r="BE682" s="29">
        <v>0</v>
      </c>
      <c r="BF682" s="29">
        <f>682</f>
        <v>682</v>
      </c>
      <c r="BH682" s="15">
        <f t="shared" si="711"/>
        <v>0</v>
      </c>
      <c r="BI682" s="15">
        <f t="shared" si="712"/>
        <v>0</v>
      </c>
      <c r="BJ682" s="15">
        <f t="shared" si="713"/>
        <v>0</v>
      </c>
      <c r="BK682" s="15" t="s">
        <v>2969</v>
      </c>
      <c r="BL682" s="29" t="s">
        <v>1585</v>
      </c>
    </row>
    <row r="683" spans="1:64" ht="12.75">
      <c r="A683" s="4" t="s">
        <v>629</v>
      </c>
      <c r="B683" s="94" t="s">
        <v>1620</v>
      </c>
      <c r="C683" s="152" t="s">
        <v>2562</v>
      </c>
      <c r="D683" s="153"/>
      <c r="E683" s="153"/>
      <c r="F683" s="153"/>
      <c r="G683" s="94" t="s">
        <v>2851</v>
      </c>
      <c r="H683" s="73">
        <v>10</v>
      </c>
      <c r="I683" s="105">
        <v>0</v>
      </c>
      <c r="J683" s="15">
        <f t="shared" si="692"/>
        <v>0</v>
      </c>
      <c r="K683" s="15">
        <f t="shared" si="693"/>
        <v>0</v>
      </c>
      <c r="L683" s="15">
        <f t="shared" si="694"/>
        <v>0</v>
      </c>
      <c r="M683" s="25"/>
      <c r="N683" s="5"/>
      <c r="Z683" s="29">
        <f t="shared" si="695"/>
        <v>0</v>
      </c>
      <c r="AB683" s="29">
        <f t="shared" si="696"/>
        <v>0</v>
      </c>
      <c r="AC683" s="29">
        <f t="shared" si="697"/>
        <v>0</v>
      </c>
      <c r="AD683" s="29">
        <f t="shared" si="698"/>
        <v>0</v>
      </c>
      <c r="AE683" s="29">
        <f t="shared" si="699"/>
        <v>0</v>
      </c>
      <c r="AF683" s="29">
        <f t="shared" si="700"/>
        <v>0</v>
      </c>
      <c r="AG683" s="29">
        <f t="shared" si="701"/>
        <v>0</v>
      </c>
      <c r="AH683" s="29">
        <f t="shared" si="702"/>
        <v>0</v>
      </c>
      <c r="AI683" s="28" t="s">
        <v>2882</v>
      </c>
      <c r="AJ683" s="15">
        <f t="shared" si="703"/>
        <v>0</v>
      </c>
      <c r="AK683" s="15">
        <f t="shared" si="704"/>
        <v>0</v>
      </c>
      <c r="AL683" s="15">
        <f t="shared" si="705"/>
        <v>0</v>
      </c>
      <c r="AN683" s="29">
        <v>15</v>
      </c>
      <c r="AO683" s="29">
        <f t="shared" si="690"/>
        <v>0</v>
      </c>
      <c r="AP683" s="29">
        <f t="shared" si="691"/>
        <v>0</v>
      </c>
      <c r="AQ683" s="30" t="s">
        <v>7</v>
      </c>
      <c r="AV683" s="29">
        <f t="shared" si="706"/>
        <v>0</v>
      </c>
      <c r="AW683" s="29">
        <f t="shared" si="707"/>
        <v>0</v>
      </c>
      <c r="AX683" s="29">
        <f t="shared" si="708"/>
        <v>0</v>
      </c>
      <c r="AY683" s="32" t="s">
        <v>2927</v>
      </c>
      <c r="AZ683" s="32" t="s">
        <v>2941</v>
      </c>
      <c r="BA683" s="28" t="s">
        <v>2957</v>
      </c>
      <c r="BC683" s="29">
        <f t="shared" si="709"/>
        <v>0</v>
      </c>
      <c r="BD683" s="29">
        <f t="shared" si="710"/>
        <v>0</v>
      </c>
      <c r="BE683" s="29">
        <v>0</v>
      </c>
      <c r="BF683" s="29">
        <f>683</f>
        <v>683</v>
      </c>
      <c r="BH683" s="15">
        <f t="shared" si="711"/>
        <v>0</v>
      </c>
      <c r="BI683" s="15">
        <f t="shared" si="712"/>
        <v>0</v>
      </c>
      <c r="BJ683" s="15">
        <f t="shared" si="713"/>
        <v>0</v>
      </c>
      <c r="BK683" s="15" t="s">
        <v>2969</v>
      </c>
      <c r="BL683" s="29" t="s">
        <v>1585</v>
      </c>
    </row>
    <row r="684" spans="1:64" ht="12.75">
      <c r="A684" s="4" t="s">
        <v>630</v>
      </c>
      <c r="B684" s="94" t="s">
        <v>1621</v>
      </c>
      <c r="C684" s="152" t="s">
        <v>2562</v>
      </c>
      <c r="D684" s="153"/>
      <c r="E684" s="153"/>
      <c r="F684" s="153"/>
      <c r="G684" s="94" t="s">
        <v>2851</v>
      </c>
      <c r="H684" s="73">
        <v>10</v>
      </c>
      <c r="I684" s="105">
        <v>0</v>
      </c>
      <c r="J684" s="15">
        <f t="shared" si="692"/>
        <v>0</v>
      </c>
      <c r="K684" s="15">
        <f t="shared" si="693"/>
        <v>0</v>
      </c>
      <c r="L684" s="15">
        <f t="shared" si="694"/>
        <v>0</v>
      </c>
      <c r="M684" s="25"/>
      <c r="N684" s="5"/>
      <c r="Z684" s="29">
        <f t="shared" si="695"/>
        <v>0</v>
      </c>
      <c r="AB684" s="29">
        <f t="shared" si="696"/>
        <v>0</v>
      </c>
      <c r="AC684" s="29">
        <f t="shared" si="697"/>
        <v>0</v>
      </c>
      <c r="AD684" s="29">
        <f t="shared" si="698"/>
        <v>0</v>
      </c>
      <c r="AE684" s="29">
        <f t="shared" si="699"/>
        <v>0</v>
      </c>
      <c r="AF684" s="29">
        <f t="shared" si="700"/>
        <v>0</v>
      </c>
      <c r="AG684" s="29">
        <f t="shared" si="701"/>
        <v>0</v>
      </c>
      <c r="AH684" s="29">
        <f t="shared" si="702"/>
        <v>0</v>
      </c>
      <c r="AI684" s="28" t="s">
        <v>2882</v>
      </c>
      <c r="AJ684" s="15">
        <f t="shared" si="703"/>
        <v>0</v>
      </c>
      <c r="AK684" s="15">
        <f t="shared" si="704"/>
        <v>0</v>
      </c>
      <c r="AL684" s="15">
        <f t="shared" si="705"/>
        <v>0</v>
      </c>
      <c r="AN684" s="29">
        <v>15</v>
      </c>
      <c r="AO684" s="29">
        <f t="shared" si="690"/>
        <v>0</v>
      </c>
      <c r="AP684" s="29">
        <f t="shared" si="691"/>
        <v>0</v>
      </c>
      <c r="AQ684" s="30" t="s">
        <v>7</v>
      </c>
      <c r="AV684" s="29">
        <f t="shared" si="706"/>
        <v>0</v>
      </c>
      <c r="AW684" s="29">
        <f t="shared" si="707"/>
        <v>0</v>
      </c>
      <c r="AX684" s="29">
        <f t="shared" si="708"/>
        <v>0</v>
      </c>
      <c r="AY684" s="32" t="s">
        <v>2927</v>
      </c>
      <c r="AZ684" s="32" t="s">
        <v>2941</v>
      </c>
      <c r="BA684" s="28" t="s">
        <v>2957</v>
      </c>
      <c r="BC684" s="29">
        <f t="shared" si="709"/>
        <v>0</v>
      </c>
      <c r="BD684" s="29">
        <f t="shared" si="710"/>
        <v>0</v>
      </c>
      <c r="BE684" s="29">
        <v>0</v>
      </c>
      <c r="BF684" s="29">
        <f>684</f>
        <v>684</v>
      </c>
      <c r="BH684" s="15">
        <f t="shared" si="711"/>
        <v>0</v>
      </c>
      <c r="BI684" s="15">
        <f t="shared" si="712"/>
        <v>0</v>
      </c>
      <c r="BJ684" s="15">
        <f t="shared" si="713"/>
        <v>0</v>
      </c>
      <c r="BK684" s="15" t="s">
        <v>2969</v>
      </c>
      <c r="BL684" s="29" t="s">
        <v>1585</v>
      </c>
    </row>
    <row r="685" spans="1:64" ht="12.75">
      <c r="A685" s="4" t="s">
        <v>631</v>
      </c>
      <c r="B685" s="94" t="s">
        <v>1622</v>
      </c>
      <c r="C685" s="152" t="s">
        <v>2563</v>
      </c>
      <c r="D685" s="153"/>
      <c r="E685" s="153"/>
      <c r="F685" s="153"/>
      <c r="G685" s="94" t="s">
        <v>2851</v>
      </c>
      <c r="H685" s="73">
        <v>540</v>
      </c>
      <c r="I685" s="105">
        <v>0</v>
      </c>
      <c r="J685" s="15">
        <f t="shared" si="692"/>
        <v>0</v>
      </c>
      <c r="K685" s="15">
        <f t="shared" si="693"/>
        <v>0</v>
      </c>
      <c r="L685" s="15">
        <f t="shared" si="694"/>
        <v>0</v>
      </c>
      <c r="M685" s="25"/>
      <c r="N685" s="5"/>
      <c r="Z685" s="29">
        <f t="shared" si="695"/>
        <v>0</v>
      </c>
      <c r="AB685" s="29">
        <f t="shared" si="696"/>
        <v>0</v>
      </c>
      <c r="AC685" s="29">
        <f t="shared" si="697"/>
        <v>0</v>
      </c>
      <c r="AD685" s="29">
        <f t="shared" si="698"/>
        <v>0</v>
      </c>
      <c r="AE685" s="29">
        <f t="shared" si="699"/>
        <v>0</v>
      </c>
      <c r="AF685" s="29">
        <f t="shared" si="700"/>
        <v>0</v>
      </c>
      <c r="AG685" s="29">
        <f t="shared" si="701"/>
        <v>0</v>
      </c>
      <c r="AH685" s="29">
        <f t="shared" si="702"/>
        <v>0</v>
      </c>
      <c r="AI685" s="28" t="s">
        <v>2882</v>
      </c>
      <c r="AJ685" s="15">
        <f t="shared" si="703"/>
        <v>0</v>
      </c>
      <c r="AK685" s="15">
        <f t="shared" si="704"/>
        <v>0</v>
      </c>
      <c r="AL685" s="15">
        <f t="shared" si="705"/>
        <v>0</v>
      </c>
      <c r="AN685" s="29">
        <v>15</v>
      </c>
      <c r="AO685" s="29">
        <f t="shared" si="690"/>
        <v>0</v>
      </c>
      <c r="AP685" s="29">
        <f t="shared" si="691"/>
        <v>0</v>
      </c>
      <c r="AQ685" s="30" t="s">
        <v>7</v>
      </c>
      <c r="AV685" s="29">
        <f t="shared" si="706"/>
        <v>0</v>
      </c>
      <c r="AW685" s="29">
        <f t="shared" si="707"/>
        <v>0</v>
      </c>
      <c r="AX685" s="29">
        <f t="shared" si="708"/>
        <v>0</v>
      </c>
      <c r="AY685" s="32" t="s">
        <v>2927</v>
      </c>
      <c r="AZ685" s="32" t="s">
        <v>2941</v>
      </c>
      <c r="BA685" s="28" t="s">
        <v>2957</v>
      </c>
      <c r="BC685" s="29">
        <f t="shared" si="709"/>
        <v>0</v>
      </c>
      <c r="BD685" s="29">
        <f t="shared" si="710"/>
        <v>0</v>
      </c>
      <c r="BE685" s="29">
        <v>0</v>
      </c>
      <c r="BF685" s="29">
        <f>685</f>
        <v>685</v>
      </c>
      <c r="BH685" s="15">
        <f t="shared" si="711"/>
        <v>0</v>
      </c>
      <c r="BI685" s="15">
        <f t="shared" si="712"/>
        <v>0</v>
      </c>
      <c r="BJ685" s="15">
        <f t="shared" si="713"/>
        <v>0</v>
      </c>
      <c r="BK685" s="15" t="s">
        <v>2969</v>
      </c>
      <c r="BL685" s="29" t="s">
        <v>1585</v>
      </c>
    </row>
    <row r="686" spans="1:64" ht="12.75">
      <c r="A686" s="4" t="s">
        <v>632</v>
      </c>
      <c r="B686" s="94" t="s">
        <v>1623</v>
      </c>
      <c r="C686" s="152" t="s">
        <v>2564</v>
      </c>
      <c r="D686" s="153"/>
      <c r="E686" s="153"/>
      <c r="F686" s="153"/>
      <c r="G686" s="94" t="s">
        <v>2851</v>
      </c>
      <c r="H686" s="73">
        <v>240</v>
      </c>
      <c r="I686" s="105">
        <v>0</v>
      </c>
      <c r="J686" s="15">
        <f t="shared" si="692"/>
        <v>0</v>
      </c>
      <c r="K686" s="15">
        <f t="shared" si="693"/>
        <v>0</v>
      </c>
      <c r="L686" s="15">
        <f t="shared" si="694"/>
        <v>0</v>
      </c>
      <c r="M686" s="25"/>
      <c r="N686" s="5"/>
      <c r="Z686" s="29">
        <f t="shared" si="695"/>
        <v>0</v>
      </c>
      <c r="AB686" s="29">
        <f t="shared" si="696"/>
        <v>0</v>
      </c>
      <c r="AC686" s="29">
        <f t="shared" si="697"/>
        <v>0</v>
      </c>
      <c r="AD686" s="29">
        <f t="shared" si="698"/>
        <v>0</v>
      </c>
      <c r="AE686" s="29">
        <f t="shared" si="699"/>
        <v>0</v>
      </c>
      <c r="AF686" s="29">
        <f t="shared" si="700"/>
        <v>0</v>
      </c>
      <c r="AG686" s="29">
        <f t="shared" si="701"/>
        <v>0</v>
      </c>
      <c r="AH686" s="29">
        <f t="shared" si="702"/>
        <v>0</v>
      </c>
      <c r="AI686" s="28" t="s">
        <v>2882</v>
      </c>
      <c r="AJ686" s="15">
        <f t="shared" si="703"/>
        <v>0</v>
      </c>
      <c r="AK686" s="15">
        <f t="shared" si="704"/>
        <v>0</v>
      </c>
      <c r="AL686" s="15">
        <f t="shared" si="705"/>
        <v>0</v>
      </c>
      <c r="AN686" s="29">
        <v>15</v>
      </c>
      <c r="AO686" s="29">
        <f t="shared" si="690"/>
        <v>0</v>
      </c>
      <c r="AP686" s="29">
        <f t="shared" si="691"/>
        <v>0</v>
      </c>
      <c r="AQ686" s="30" t="s">
        <v>7</v>
      </c>
      <c r="AV686" s="29">
        <f t="shared" si="706"/>
        <v>0</v>
      </c>
      <c r="AW686" s="29">
        <f t="shared" si="707"/>
        <v>0</v>
      </c>
      <c r="AX686" s="29">
        <f t="shared" si="708"/>
        <v>0</v>
      </c>
      <c r="AY686" s="32" t="s">
        <v>2927</v>
      </c>
      <c r="AZ686" s="32" t="s">
        <v>2941</v>
      </c>
      <c r="BA686" s="28" t="s">
        <v>2957</v>
      </c>
      <c r="BC686" s="29">
        <f t="shared" si="709"/>
        <v>0</v>
      </c>
      <c r="BD686" s="29">
        <f t="shared" si="710"/>
        <v>0</v>
      </c>
      <c r="BE686" s="29">
        <v>0</v>
      </c>
      <c r="BF686" s="29">
        <f>686</f>
        <v>686</v>
      </c>
      <c r="BH686" s="15">
        <f t="shared" si="711"/>
        <v>0</v>
      </c>
      <c r="BI686" s="15">
        <f t="shared" si="712"/>
        <v>0</v>
      </c>
      <c r="BJ686" s="15">
        <f t="shared" si="713"/>
        <v>0</v>
      </c>
      <c r="BK686" s="15" t="s">
        <v>2969</v>
      </c>
      <c r="BL686" s="29" t="s">
        <v>1585</v>
      </c>
    </row>
    <row r="687" spans="1:64" ht="12.75">
      <c r="A687" s="4" t="s">
        <v>633</v>
      </c>
      <c r="B687" s="94" t="s">
        <v>1624</v>
      </c>
      <c r="C687" s="152" t="s">
        <v>2565</v>
      </c>
      <c r="D687" s="153"/>
      <c r="E687" s="153"/>
      <c r="F687" s="153"/>
      <c r="G687" s="94" t="s">
        <v>2851</v>
      </c>
      <c r="H687" s="73">
        <v>100</v>
      </c>
      <c r="I687" s="105">
        <v>0</v>
      </c>
      <c r="J687" s="15">
        <f t="shared" si="692"/>
        <v>0</v>
      </c>
      <c r="K687" s="15">
        <f t="shared" si="693"/>
        <v>0</v>
      </c>
      <c r="L687" s="15">
        <f t="shared" si="694"/>
        <v>0</v>
      </c>
      <c r="M687" s="25"/>
      <c r="N687" s="5"/>
      <c r="Z687" s="29">
        <f t="shared" si="695"/>
        <v>0</v>
      </c>
      <c r="AB687" s="29">
        <f t="shared" si="696"/>
        <v>0</v>
      </c>
      <c r="AC687" s="29">
        <f t="shared" si="697"/>
        <v>0</v>
      </c>
      <c r="AD687" s="29">
        <f t="shared" si="698"/>
        <v>0</v>
      </c>
      <c r="AE687" s="29">
        <f t="shared" si="699"/>
        <v>0</v>
      </c>
      <c r="AF687" s="29">
        <f t="shared" si="700"/>
        <v>0</v>
      </c>
      <c r="AG687" s="29">
        <f t="shared" si="701"/>
        <v>0</v>
      </c>
      <c r="AH687" s="29">
        <f t="shared" si="702"/>
        <v>0</v>
      </c>
      <c r="AI687" s="28" t="s">
        <v>2882</v>
      </c>
      <c r="AJ687" s="15">
        <f t="shared" si="703"/>
        <v>0</v>
      </c>
      <c r="AK687" s="15">
        <f t="shared" si="704"/>
        <v>0</v>
      </c>
      <c r="AL687" s="15">
        <f t="shared" si="705"/>
        <v>0</v>
      </c>
      <c r="AN687" s="29">
        <v>15</v>
      </c>
      <c r="AO687" s="29">
        <f t="shared" si="690"/>
        <v>0</v>
      </c>
      <c r="AP687" s="29">
        <f t="shared" si="691"/>
        <v>0</v>
      </c>
      <c r="AQ687" s="30" t="s">
        <v>7</v>
      </c>
      <c r="AV687" s="29">
        <f t="shared" si="706"/>
        <v>0</v>
      </c>
      <c r="AW687" s="29">
        <f t="shared" si="707"/>
        <v>0</v>
      </c>
      <c r="AX687" s="29">
        <f t="shared" si="708"/>
        <v>0</v>
      </c>
      <c r="AY687" s="32" t="s">
        <v>2927</v>
      </c>
      <c r="AZ687" s="32" t="s">
        <v>2941</v>
      </c>
      <c r="BA687" s="28" t="s">
        <v>2957</v>
      </c>
      <c r="BC687" s="29">
        <f t="shared" si="709"/>
        <v>0</v>
      </c>
      <c r="BD687" s="29">
        <f t="shared" si="710"/>
        <v>0</v>
      </c>
      <c r="BE687" s="29">
        <v>0</v>
      </c>
      <c r="BF687" s="29">
        <f>687</f>
        <v>687</v>
      </c>
      <c r="BH687" s="15">
        <f t="shared" si="711"/>
        <v>0</v>
      </c>
      <c r="BI687" s="15">
        <f t="shared" si="712"/>
        <v>0</v>
      </c>
      <c r="BJ687" s="15">
        <f t="shared" si="713"/>
        <v>0</v>
      </c>
      <c r="BK687" s="15" t="s">
        <v>2969</v>
      </c>
      <c r="BL687" s="29" t="s">
        <v>1585</v>
      </c>
    </row>
    <row r="688" spans="1:64" ht="12.75">
      <c r="A688" s="4" t="s">
        <v>634</v>
      </c>
      <c r="B688" s="94" t="s">
        <v>1625</v>
      </c>
      <c r="C688" s="152" t="s">
        <v>2566</v>
      </c>
      <c r="D688" s="153"/>
      <c r="E688" s="153"/>
      <c r="F688" s="153"/>
      <c r="G688" s="94" t="s">
        <v>2851</v>
      </c>
      <c r="H688" s="73">
        <v>200</v>
      </c>
      <c r="I688" s="105">
        <v>0</v>
      </c>
      <c r="J688" s="15">
        <f t="shared" si="692"/>
        <v>0</v>
      </c>
      <c r="K688" s="15">
        <f t="shared" si="693"/>
        <v>0</v>
      </c>
      <c r="L688" s="15">
        <f t="shared" si="694"/>
        <v>0</v>
      </c>
      <c r="M688" s="25"/>
      <c r="N688" s="5"/>
      <c r="Z688" s="29">
        <f t="shared" si="695"/>
        <v>0</v>
      </c>
      <c r="AB688" s="29">
        <f t="shared" si="696"/>
        <v>0</v>
      </c>
      <c r="AC688" s="29">
        <f t="shared" si="697"/>
        <v>0</v>
      </c>
      <c r="AD688" s="29">
        <f t="shared" si="698"/>
        <v>0</v>
      </c>
      <c r="AE688" s="29">
        <f t="shared" si="699"/>
        <v>0</v>
      </c>
      <c r="AF688" s="29">
        <f t="shared" si="700"/>
        <v>0</v>
      </c>
      <c r="AG688" s="29">
        <f t="shared" si="701"/>
        <v>0</v>
      </c>
      <c r="AH688" s="29">
        <f t="shared" si="702"/>
        <v>0</v>
      </c>
      <c r="AI688" s="28" t="s">
        <v>2882</v>
      </c>
      <c r="AJ688" s="15">
        <f t="shared" si="703"/>
        <v>0</v>
      </c>
      <c r="AK688" s="15">
        <f t="shared" si="704"/>
        <v>0</v>
      </c>
      <c r="AL688" s="15">
        <f t="shared" si="705"/>
        <v>0</v>
      </c>
      <c r="AN688" s="29">
        <v>15</v>
      </c>
      <c r="AO688" s="29">
        <f t="shared" si="690"/>
        <v>0</v>
      </c>
      <c r="AP688" s="29">
        <f t="shared" si="691"/>
        <v>0</v>
      </c>
      <c r="AQ688" s="30" t="s">
        <v>7</v>
      </c>
      <c r="AV688" s="29">
        <f t="shared" si="706"/>
        <v>0</v>
      </c>
      <c r="AW688" s="29">
        <f t="shared" si="707"/>
        <v>0</v>
      </c>
      <c r="AX688" s="29">
        <f t="shared" si="708"/>
        <v>0</v>
      </c>
      <c r="AY688" s="32" t="s">
        <v>2927</v>
      </c>
      <c r="AZ688" s="32" t="s">
        <v>2941</v>
      </c>
      <c r="BA688" s="28" t="s">
        <v>2957</v>
      </c>
      <c r="BC688" s="29">
        <f t="shared" si="709"/>
        <v>0</v>
      </c>
      <c r="BD688" s="29">
        <f t="shared" si="710"/>
        <v>0</v>
      </c>
      <c r="BE688" s="29">
        <v>0</v>
      </c>
      <c r="BF688" s="29">
        <f>688</f>
        <v>688</v>
      </c>
      <c r="BH688" s="15">
        <f t="shared" si="711"/>
        <v>0</v>
      </c>
      <c r="BI688" s="15">
        <f t="shared" si="712"/>
        <v>0</v>
      </c>
      <c r="BJ688" s="15">
        <f t="shared" si="713"/>
        <v>0</v>
      </c>
      <c r="BK688" s="15" t="s">
        <v>2969</v>
      </c>
      <c r="BL688" s="29" t="s">
        <v>1585</v>
      </c>
    </row>
    <row r="689" spans="1:64" ht="12.75">
      <c r="A689" s="4" t="s">
        <v>635</v>
      </c>
      <c r="B689" s="94" t="s">
        <v>1626</v>
      </c>
      <c r="C689" s="152" t="s">
        <v>2567</v>
      </c>
      <c r="D689" s="153"/>
      <c r="E689" s="153"/>
      <c r="F689" s="153"/>
      <c r="G689" s="94" t="s">
        <v>2851</v>
      </c>
      <c r="H689" s="73">
        <v>20</v>
      </c>
      <c r="I689" s="105">
        <v>0</v>
      </c>
      <c r="J689" s="15">
        <f t="shared" si="692"/>
        <v>0</v>
      </c>
      <c r="K689" s="15">
        <f t="shared" si="693"/>
        <v>0</v>
      </c>
      <c r="L689" s="15">
        <f t="shared" si="694"/>
        <v>0</v>
      </c>
      <c r="M689" s="25"/>
      <c r="N689" s="5"/>
      <c r="Z689" s="29">
        <f t="shared" si="695"/>
        <v>0</v>
      </c>
      <c r="AB689" s="29">
        <f t="shared" si="696"/>
        <v>0</v>
      </c>
      <c r="AC689" s="29">
        <f t="shared" si="697"/>
        <v>0</v>
      </c>
      <c r="AD689" s="29">
        <f t="shared" si="698"/>
        <v>0</v>
      </c>
      <c r="AE689" s="29">
        <f t="shared" si="699"/>
        <v>0</v>
      </c>
      <c r="AF689" s="29">
        <f t="shared" si="700"/>
        <v>0</v>
      </c>
      <c r="AG689" s="29">
        <f t="shared" si="701"/>
        <v>0</v>
      </c>
      <c r="AH689" s="29">
        <f t="shared" si="702"/>
        <v>0</v>
      </c>
      <c r="AI689" s="28" t="s">
        <v>2882</v>
      </c>
      <c r="AJ689" s="15">
        <f t="shared" si="703"/>
        <v>0</v>
      </c>
      <c r="AK689" s="15">
        <f t="shared" si="704"/>
        <v>0</v>
      </c>
      <c r="AL689" s="15">
        <f t="shared" si="705"/>
        <v>0</v>
      </c>
      <c r="AN689" s="29">
        <v>15</v>
      </c>
      <c r="AO689" s="29">
        <f t="shared" si="690"/>
        <v>0</v>
      </c>
      <c r="AP689" s="29">
        <f t="shared" si="691"/>
        <v>0</v>
      </c>
      <c r="AQ689" s="30" t="s">
        <v>7</v>
      </c>
      <c r="AV689" s="29">
        <f t="shared" si="706"/>
        <v>0</v>
      </c>
      <c r="AW689" s="29">
        <f t="shared" si="707"/>
        <v>0</v>
      </c>
      <c r="AX689" s="29">
        <f t="shared" si="708"/>
        <v>0</v>
      </c>
      <c r="AY689" s="32" t="s">
        <v>2927</v>
      </c>
      <c r="AZ689" s="32" t="s">
        <v>2941</v>
      </c>
      <c r="BA689" s="28" t="s">
        <v>2957</v>
      </c>
      <c r="BC689" s="29">
        <f t="shared" si="709"/>
        <v>0</v>
      </c>
      <c r="BD689" s="29">
        <f t="shared" si="710"/>
        <v>0</v>
      </c>
      <c r="BE689" s="29">
        <v>0</v>
      </c>
      <c r="BF689" s="29">
        <f>689</f>
        <v>689</v>
      </c>
      <c r="BH689" s="15">
        <f t="shared" si="711"/>
        <v>0</v>
      </c>
      <c r="BI689" s="15">
        <f t="shared" si="712"/>
        <v>0</v>
      </c>
      <c r="BJ689" s="15">
        <f t="shared" si="713"/>
        <v>0</v>
      </c>
      <c r="BK689" s="15" t="s">
        <v>2969</v>
      </c>
      <c r="BL689" s="29" t="s">
        <v>1585</v>
      </c>
    </row>
    <row r="690" spans="1:64" ht="12.75">
      <c r="A690" s="4" t="s">
        <v>636</v>
      </c>
      <c r="B690" s="94" t="s">
        <v>1627</v>
      </c>
      <c r="C690" s="152" t="s">
        <v>2568</v>
      </c>
      <c r="D690" s="153"/>
      <c r="E690" s="153"/>
      <c r="F690" s="153"/>
      <c r="G690" s="94" t="s">
        <v>2851</v>
      </c>
      <c r="H690" s="73">
        <v>10</v>
      </c>
      <c r="I690" s="105">
        <v>0</v>
      </c>
      <c r="J690" s="15">
        <f t="shared" si="692"/>
        <v>0</v>
      </c>
      <c r="K690" s="15">
        <f t="shared" si="693"/>
        <v>0</v>
      </c>
      <c r="L690" s="15">
        <f t="shared" si="694"/>
        <v>0</v>
      </c>
      <c r="M690" s="25"/>
      <c r="N690" s="5"/>
      <c r="Z690" s="29">
        <f t="shared" si="695"/>
        <v>0</v>
      </c>
      <c r="AB690" s="29">
        <f t="shared" si="696"/>
        <v>0</v>
      </c>
      <c r="AC690" s="29">
        <f t="shared" si="697"/>
        <v>0</v>
      </c>
      <c r="AD690" s="29">
        <f t="shared" si="698"/>
        <v>0</v>
      </c>
      <c r="AE690" s="29">
        <f t="shared" si="699"/>
        <v>0</v>
      </c>
      <c r="AF690" s="29">
        <f t="shared" si="700"/>
        <v>0</v>
      </c>
      <c r="AG690" s="29">
        <f t="shared" si="701"/>
        <v>0</v>
      </c>
      <c r="AH690" s="29">
        <f t="shared" si="702"/>
        <v>0</v>
      </c>
      <c r="AI690" s="28" t="s">
        <v>2882</v>
      </c>
      <c r="AJ690" s="15">
        <f t="shared" si="703"/>
        <v>0</v>
      </c>
      <c r="AK690" s="15">
        <f t="shared" si="704"/>
        <v>0</v>
      </c>
      <c r="AL690" s="15">
        <f t="shared" si="705"/>
        <v>0</v>
      </c>
      <c r="AN690" s="29">
        <v>15</v>
      </c>
      <c r="AO690" s="29">
        <f t="shared" si="690"/>
        <v>0</v>
      </c>
      <c r="AP690" s="29">
        <f t="shared" si="691"/>
        <v>0</v>
      </c>
      <c r="AQ690" s="30" t="s">
        <v>7</v>
      </c>
      <c r="AV690" s="29">
        <f t="shared" si="706"/>
        <v>0</v>
      </c>
      <c r="AW690" s="29">
        <f t="shared" si="707"/>
        <v>0</v>
      </c>
      <c r="AX690" s="29">
        <f t="shared" si="708"/>
        <v>0</v>
      </c>
      <c r="AY690" s="32" t="s">
        <v>2927</v>
      </c>
      <c r="AZ690" s="32" t="s">
        <v>2941</v>
      </c>
      <c r="BA690" s="28" t="s">
        <v>2957</v>
      </c>
      <c r="BC690" s="29">
        <f t="shared" si="709"/>
        <v>0</v>
      </c>
      <c r="BD690" s="29">
        <f t="shared" si="710"/>
        <v>0</v>
      </c>
      <c r="BE690" s="29">
        <v>0</v>
      </c>
      <c r="BF690" s="29">
        <f>690</f>
        <v>690</v>
      </c>
      <c r="BH690" s="15">
        <f t="shared" si="711"/>
        <v>0</v>
      </c>
      <c r="BI690" s="15">
        <f t="shared" si="712"/>
        <v>0</v>
      </c>
      <c r="BJ690" s="15">
        <f t="shared" si="713"/>
        <v>0</v>
      </c>
      <c r="BK690" s="15" t="s">
        <v>2969</v>
      </c>
      <c r="BL690" s="29" t="s">
        <v>1585</v>
      </c>
    </row>
    <row r="691" spans="1:64" ht="12.75">
      <c r="A691" s="4" t="s">
        <v>637</v>
      </c>
      <c r="B691" s="94" t="s">
        <v>1628</v>
      </c>
      <c r="C691" s="152" t="s">
        <v>2569</v>
      </c>
      <c r="D691" s="153"/>
      <c r="E691" s="153"/>
      <c r="F691" s="153"/>
      <c r="G691" s="94" t="s">
        <v>2851</v>
      </c>
      <c r="H691" s="73">
        <v>10</v>
      </c>
      <c r="I691" s="105">
        <v>0</v>
      </c>
      <c r="J691" s="15">
        <f t="shared" si="692"/>
        <v>0</v>
      </c>
      <c r="K691" s="15">
        <f t="shared" si="693"/>
        <v>0</v>
      </c>
      <c r="L691" s="15">
        <f t="shared" si="694"/>
        <v>0</v>
      </c>
      <c r="M691" s="25"/>
      <c r="N691" s="5"/>
      <c r="Z691" s="29">
        <f t="shared" si="695"/>
        <v>0</v>
      </c>
      <c r="AB691" s="29">
        <f t="shared" si="696"/>
        <v>0</v>
      </c>
      <c r="AC691" s="29">
        <f t="shared" si="697"/>
        <v>0</v>
      </c>
      <c r="AD691" s="29">
        <f t="shared" si="698"/>
        <v>0</v>
      </c>
      <c r="AE691" s="29">
        <f t="shared" si="699"/>
        <v>0</v>
      </c>
      <c r="AF691" s="29">
        <f t="shared" si="700"/>
        <v>0</v>
      </c>
      <c r="AG691" s="29">
        <f t="shared" si="701"/>
        <v>0</v>
      </c>
      <c r="AH691" s="29">
        <f t="shared" si="702"/>
        <v>0</v>
      </c>
      <c r="AI691" s="28" t="s">
        <v>2882</v>
      </c>
      <c r="AJ691" s="15">
        <f t="shared" si="703"/>
        <v>0</v>
      </c>
      <c r="AK691" s="15">
        <f t="shared" si="704"/>
        <v>0</v>
      </c>
      <c r="AL691" s="15">
        <f t="shared" si="705"/>
        <v>0</v>
      </c>
      <c r="AN691" s="29">
        <v>15</v>
      </c>
      <c r="AO691" s="29">
        <f t="shared" si="690"/>
        <v>0</v>
      </c>
      <c r="AP691" s="29">
        <f t="shared" si="691"/>
        <v>0</v>
      </c>
      <c r="AQ691" s="30" t="s">
        <v>7</v>
      </c>
      <c r="AV691" s="29">
        <f t="shared" si="706"/>
        <v>0</v>
      </c>
      <c r="AW691" s="29">
        <f t="shared" si="707"/>
        <v>0</v>
      </c>
      <c r="AX691" s="29">
        <f t="shared" si="708"/>
        <v>0</v>
      </c>
      <c r="AY691" s="32" t="s">
        <v>2927</v>
      </c>
      <c r="AZ691" s="32" t="s">
        <v>2941</v>
      </c>
      <c r="BA691" s="28" t="s">
        <v>2957</v>
      </c>
      <c r="BC691" s="29">
        <f t="shared" si="709"/>
        <v>0</v>
      </c>
      <c r="BD691" s="29">
        <f t="shared" si="710"/>
        <v>0</v>
      </c>
      <c r="BE691" s="29">
        <v>0</v>
      </c>
      <c r="BF691" s="29">
        <f>691</f>
        <v>691</v>
      </c>
      <c r="BH691" s="15">
        <f t="shared" si="711"/>
        <v>0</v>
      </c>
      <c r="BI691" s="15">
        <f t="shared" si="712"/>
        <v>0</v>
      </c>
      <c r="BJ691" s="15">
        <f t="shared" si="713"/>
        <v>0</v>
      </c>
      <c r="BK691" s="15" t="s">
        <v>2969</v>
      </c>
      <c r="BL691" s="29" t="s">
        <v>1585</v>
      </c>
    </row>
    <row r="692" spans="1:64" ht="12.75">
      <c r="A692" s="4" t="s">
        <v>638</v>
      </c>
      <c r="B692" s="94" t="s">
        <v>1629</v>
      </c>
      <c r="C692" s="152" t="s">
        <v>2570</v>
      </c>
      <c r="D692" s="153"/>
      <c r="E692" s="153"/>
      <c r="F692" s="153"/>
      <c r="G692" s="94" t="s">
        <v>2851</v>
      </c>
      <c r="H692" s="73">
        <v>2600</v>
      </c>
      <c r="I692" s="105">
        <v>0</v>
      </c>
      <c r="J692" s="15">
        <f t="shared" si="692"/>
        <v>0</v>
      </c>
      <c r="K692" s="15">
        <f t="shared" si="693"/>
        <v>0</v>
      </c>
      <c r="L692" s="15">
        <f t="shared" si="694"/>
        <v>0</v>
      </c>
      <c r="M692" s="25"/>
      <c r="N692" s="5"/>
      <c r="Z692" s="29">
        <f t="shared" si="695"/>
        <v>0</v>
      </c>
      <c r="AB692" s="29">
        <f t="shared" si="696"/>
        <v>0</v>
      </c>
      <c r="AC692" s="29">
        <f t="shared" si="697"/>
        <v>0</v>
      </c>
      <c r="AD692" s="29">
        <f t="shared" si="698"/>
        <v>0</v>
      </c>
      <c r="AE692" s="29">
        <f t="shared" si="699"/>
        <v>0</v>
      </c>
      <c r="AF692" s="29">
        <f t="shared" si="700"/>
        <v>0</v>
      </c>
      <c r="AG692" s="29">
        <f t="shared" si="701"/>
        <v>0</v>
      </c>
      <c r="AH692" s="29">
        <f t="shared" si="702"/>
        <v>0</v>
      </c>
      <c r="AI692" s="28" t="s">
        <v>2882</v>
      </c>
      <c r="AJ692" s="15">
        <f t="shared" si="703"/>
        <v>0</v>
      </c>
      <c r="AK692" s="15">
        <f t="shared" si="704"/>
        <v>0</v>
      </c>
      <c r="AL692" s="15">
        <f t="shared" si="705"/>
        <v>0</v>
      </c>
      <c r="AN692" s="29">
        <v>15</v>
      </c>
      <c r="AO692" s="29">
        <f t="shared" si="690"/>
        <v>0</v>
      </c>
      <c r="AP692" s="29">
        <f t="shared" si="691"/>
        <v>0</v>
      </c>
      <c r="AQ692" s="30" t="s">
        <v>7</v>
      </c>
      <c r="AV692" s="29">
        <f t="shared" si="706"/>
        <v>0</v>
      </c>
      <c r="AW692" s="29">
        <f t="shared" si="707"/>
        <v>0</v>
      </c>
      <c r="AX692" s="29">
        <f t="shared" si="708"/>
        <v>0</v>
      </c>
      <c r="AY692" s="32" t="s">
        <v>2927</v>
      </c>
      <c r="AZ692" s="32" t="s">
        <v>2941</v>
      </c>
      <c r="BA692" s="28" t="s">
        <v>2957</v>
      </c>
      <c r="BC692" s="29">
        <f t="shared" si="709"/>
        <v>0</v>
      </c>
      <c r="BD692" s="29">
        <f t="shared" si="710"/>
        <v>0</v>
      </c>
      <c r="BE692" s="29">
        <v>0</v>
      </c>
      <c r="BF692" s="29">
        <f>692</f>
        <v>692</v>
      </c>
      <c r="BH692" s="15">
        <f t="shared" si="711"/>
        <v>0</v>
      </c>
      <c r="BI692" s="15">
        <f t="shared" si="712"/>
        <v>0</v>
      </c>
      <c r="BJ692" s="15">
        <f t="shared" si="713"/>
        <v>0</v>
      </c>
      <c r="BK692" s="15" t="s">
        <v>2969</v>
      </c>
      <c r="BL692" s="29" t="s">
        <v>1585</v>
      </c>
    </row>
    <row r="693" spans="1:64" ht="12.75">
      <c r="A693" s="4" t="s">
        <v>639</v>
      </c>
      <c r="B693" s="94" t="s">
        <v>1630</v>
      </c>
      <c r="C693" s="152" t="s">
        <v>2571</v>
      </c>
      <c r="D693" s="153"/>
      <c r="E693" s="153"/>
      <c r="F693" s="153"/>
      <c r="G693" s="94" t="s">
        <v>2851</v>
      </c>
      <c r="H693" s="73">
        <v>1680</v>
      </c>
      <c r="I693" s="105">
        <v>0</v>
      </c>
      <c r="J693" s="15">
        <f t="shared" si="692"/>
        <v>0</v>
      </c>
      <c r="K693" s="15">
        <f t="shared" si="693"/>
        <v>0</v>
      </c>
      <c r="L693" s="15">
        <f t="shared" si="694"/>
        <v>0</v>
      </c>
      <c r="M693" s="25"/>
      <c r="N693" s="5"/>
      <c r="Z693" s="29">
        <f t="shared" si="695"/>
        <v>0</v>
      </c>
      <c r="AB693" s="29">
        <f t="shared" si="696"/>
        <v>0</v>
      </c>
      <c r="AC693" s="29">
        <f t="shared" si="697"/>
        <v>0</v>
      </c>
      <c r="AD693" s="29">
        <f t="shared" si="698"/>
        <v>0</v>
      </c>
      <c r="AE693" s="29">
        <f t="shared" si="699"/>
        <v>0</v>
      </c>
      <c r="AF693" s="29">
        <f t="shared" si="700"/>
        <v>0</v>
      </c>
      <c r="AG693" s="29">
        <f t="shared" si="701"/>
        <v>0</v>
      </c>
      <c r="AH693" s="29">
        <f t="shared" si="702"/>
        <v>0</v>
      </c>
      <c r="AI693" s="28" t="s">
        <v>2882</v>
      </c>
      <c r="AJ693" s="15">
        <f t="shared" si="703"/>
        <v>0</v>
      </c>
      <c r="AK693" s="15">
        <f t="shared" si="704"/>
        <v>0</v>
      </c>
      <c r="AL693" s="15">
        <f t="shared" si="705"/>
        <v>0</v>
      </c>
      <c r="AN693" s="29">
        <v>15</v>
      </c>
      <c r="AO693" s="29">
        <f t="shared" si="690"/>
        <v>0</v>
      </c>
      <c r="AP693" s="29">
        <f t="shared" si="691"/>
        <v>0</v>
      </c>
      <c r="AQ693" s="30" t="s">
        <v>7</v>
      </c>
      <c r="AV693" s="29">
        <f t="shared" si="706"/>
        <v>0</v>
      </c>
      <c r="AW693" s="29">
        <f t="shared" si="707"/>
        <v>0</v>
      </c>
      <c r="AX693" s="29">
        <f t="shared" si="708"/>
        <v>0</v>
      </c>
      <c r="AY693" s="32" t="s">
        <v>2927</v>
      </c>
      <c r="AZ693" s="32" t="s">
        <v>2941</v>
      </c>
      <c r="BA693" s="28" t="s">
        <v>2957</v>
      </c>
      <c r="BC693" s="29">
        <f t="shared" si="709"/>
        <v>0</v>
      </c>
      <c r="BD693" s="29">
        <f t="shared" si="710"/>
        <v>0</v>
      </c>
      <c r="BE693" s="29">
        <v>0</v>
      </c>
      <c r="BF693" s="29">
        <f>693</f>
        <v>693</v>
      </c>
      <c r="BH693" s="15">
        <f t="shared" si="711"/>
        <v>0</v>
      </c>
      <c r="BI693" s="15">
        <f t="shared" si="712"/>
        <v>0</v>
      </c>
      <c r="BJ693" s="15">
        <f t="shared" si="713"/>
        <v>0</v>
      </c>
      <c r="BK693" s="15" t="s">
        <v>2969</v>
      </c>
      <c r="BL693" s="29" t="s">
        <v>1585</v>
      </c>
    </row>
    <row r="694" spans="1:64" ht="12.75">
      <c r="A694" s="4" t="s">
        <v>640</v>
      </c>
      <c r="B694" s="94" t="s">
        <v>1631</v>
      </c>
      <c r="C694" s="152" t="s">
        <v>2572</v>
      </c>
      <c r="D694" s="153"/>
      <c r="E694" s="153"/>
      <c r="F694" s="153"/>
      <c r="G694" s="94" t="s">
        <v>2851</v>
      </c>
      <c r="H694" s="73">
        <v>810</v>
      </c>
      <c r="I694" s="105">
        <v>0</v>
      </c>
      <c r="J694" s="15">
        <f t="shared" si="692"/>
        <v>0</v>
      </c>
      <c r="K694" s="15">
        <f t="shared" si="693"/>
        <v>0</v>
      </c>
      <c r="L694" s="15">
        <f t="shared" si="694"/>
        <v>0</v>
      </c>
      <c r="M694" s="25"/>
      <c r="N694" s="5"/>
      <c r="Z694" s="29">
        <f t="shared" si="695"/>
        <v>0</v>
      </c>
      <c r="AB694" s="29">
        <f t="shared" si="696"/>
        <v>0</v>
      </c>
      <c r="AC694" s="29">
        <f t="shared" si="697"/>
        <v>0</v>
      </c>
      <c r="AD694" s="29">
        <f t="shared" si="698"/>
        <v>0</v>
      </c>
      <c r="AE694" s="29">
        <f t="shared" si="699"/>
        <v>0</v>
      </c>
      <c r="AF694" s="29">
        <f t="shared" si="700"/>
        <v>0</v>
      </c>
      <c r="AG694" s="29">
        <f t="shared" si="701"/>
        <v>0</v>
      </c>
      <c r="AH694" s="29">
        <f t="shared" si="702"/>
        <v>0</v>
      </c>
      <c r="AI694" s="28" t="s">
        <v>2882</v>
      </c>
      <c r="AJ694" s="15">
        <f t="shared" si="703"/>
        <v>0</v>
      </c>
      <c r="AK694" s="15">
        <f t="shared" si="704"/>
        <v>0</v>
      </c>
      <c r="AL694" s="15">
        <f t="shared" si="705"/>
        <v>0</v>
      </c>
      <c r="AN694" s="29">
        <v>15</v>
      </c>
      <c r="AO694" s="29">
        <f t="shared" si="690"/>
        <v>0</v>
      </c>
      <c r="AP694" s="29">
        <f t="shared" si="691"/>
        <v>0</v>
      </c>
      <c r="AQ694" s="30" t="s">
        <v>7</v>
      </c>
      <c r="AV694" s="29">
        <f t="shared" si="706"/>
        <v>0</v>
      </c>
      <c r="AW694" s="29">
        <f t="shared" si="707"/>
        <v>0</v>
      </c>
      <c r="AX694" s="29">
        <f t="shared" si="708"/>
        <v>0</v>
      </c>
      <c r="AY694" s="32" t="s">
        <v>2927</v>
      </c>
      <c r="AZ694" s="32" t="s">
        <v>2941</v>
      </c>
      <c r="BA694" s="28" t="s">
        <v>2957</v>
      </c>
      <c r="BC694" s="29">
        <f t="shared" si="709"/>
        <v>0</v>
      </c>
      <c r="BD694" s="29">
        <f t="shared" si="710"/>
        <v>0</v>
      </c>
      <c r="BE694" s="29">
        <v>0</v>
      </c>
      <c r="BF694" s="29">
        <f>694</f>
        <v>694</v>
      </c>
      <c r="BH694" s="15">
        <f t="shared" si="711"/>
        <v>0</v>
      </c>
      <c r="BI694" s="15">
        <f t="shared" si="712"/>
        <v>0</v>
      </c>
      <c r="BJ694" s="15">
        <f t="shared" si="713"/>
        <v>0</v>
      </c>
      <c r="BK694" s="15" t="s">
        <v>2969</v>
      </c>
      <c r="BL694" s="29" t="s">
        <v>1585</v>
      </c>
    </row>
    <row r="695" spans="1:64" ht="12.75">
      <c r="A695" s="4" t="s">
        <v>641</v>
      </c>
      <c r="B695" s="94" t="s">
        <v>1632</v>
      </c>
      <c r="C695" s="152" t="s">
        <v>2573</v>
      </c>
      <c r="D695" s="153"/>
      <c r="E695" s="153"/>
      <c r="F695" s="153"/>
      <c r="G695" s="94" t="s">
        <v>2851</v>
      </c>
      <c r="H695" s="73">
        <v>110</v>
      </c>
      <c r="I695" s="105">
        <v>0</v>
      </c>
      <c r="J695" s="15">
        <f t="shared" si="692"/>
        <v>0</v>
      </c>
      <c r="K695" s="15">
        <f t="shared" si="693"/>
        <v>0</v>
      </c>
      <c r="L695" s="15">
        <f t="shared" si="694"/>
        <v>0</v>
      </c>
      <c r="M695" s="25"/>
      <c r="N695" s="5"/>
      <c r="Z695" s="29">
        <f t="shared" si="695"/>
        <v>0</v>
      </c>
      <c r="AB695" s="29">
        <f t="shared" si="696"/>
        <v>0</v>
      </c>
      <c r="AC695" s="29">
        <f t="shared" si="697"/>
        <v>0</v>
      </c>
      <c r="AD695" s="29">
        <f t="shared" si="698"/>
        <v>0</v>
      </c>
      <c r="AE695" s="29">
        <f t="shared" si="699"/>
        <v>0</v>
      </c>
      <c r="AF695" s="29">
        <f t="shared" si="700"/>
        <v>0</v>
      </c>
      <c r="AG695" s="29">
        <f t="shared" si="701"/>
        <v>0</v>
      </c>
      <c r="AH695" s="29">
        <f t="shared" si="702"/>
        <v>0</v>
      </c>
      <c r="AI695" s="28" t="s">
        <v>2882</v>
      </c>
      <c r="AJ695" s="15">
        <f t="shared" si="703"/>
        <v>0</v>
      </c>
      <c r="AK695" s="15">
        <f t="shared" si="704"/>
        <v>0</v>
      </c>
      <c r="AL695" s="15">
        <f t="shared" si="705"/>
        <v>0</v>
      </c>
      <c r="AN695" s="29">
        <v>15</v>
      </c>
      <c r="AO695" s="29">
        <f t="shared" si="690"/>
        <v>0</v>
      </c>
      <c r="AP695" s="29">
        <f t="shared" si="691"/>
        <v>0</v>
      </c>
      <c r="AQ695" s="30" t="s">
        <v>7</v>
      </c>
      <c r="AV695" s="29">
        <f t="shared" si="706"/>
        <v>0</v>
      </c>
      <c r="AW695" s="29">
        <f t="shared" si="707"/>
        <v>0</v>
      </c>
      <c r="AX695" s="29">
        <f t="shared" si="708"/>
        <v>0</v>
      </c>
      <c r="AY695" s="32" t="s">
        <v>2927</v>
      </c>
      <c r="AZ695" s="32" t="s">
        <v>2941</v>
      </c>
      <c r="BA695" s="28" t="s">
        <v>2957</v>
      </c>
      <c r="BC695" s="29">
        <f t="shared" si="709"/>
        <v>0</v>
      </c>
      <c r="BD695" s="29">
        <f t="shared" si="710"/>
        <v>0</v>
      </c>
      <c r="BE695" s="29">
        <v>0</v>
      </c>
      <c r="BF695" s="29">
        <f>695</f>
        <v>695</v>
      </c>
      <c r="BH695" s="15">
        <f t="shared" si="711"/>
        <v>0</v>
      </c>
      <c r="BI695" s="15">
        <f t="shared" si="712"/>
        <v>0</v>
      </c>
      <c r="BJ695" s="15">
        <f t="shared" si="713"/>
        <v>0</v>
      </c>
      <c r="BK695" s="15" t="s">
        <v>2969</v>
      </c>
      <c r="BL695" s="29" t="s">
        <v>1585</v>
      </c>
    </row>
    <row r="696" spans="1:64" ht="12.75">
      <c r="A696" s="4" t="s">
        <v>642</v>
      </c>
      <c r="B696" s="94" t="s">
        <v>1633</v>
      </c>
      <c r="C696" s="152" t="s">
        <v>2574</v>
      </c>
      <c r="D696" s="153"/>
      <c r="E696" s="153"/>
      <c r="F696" s="153"/>
      <c r="G696" s="94" t="s">
        <v>2851</v>
      </c>
      <c r="H696" s="73">
        <v>2420</v>
      </c>
      <c r="I696" s="105">
        <v>0</v>
      </c>
      <c r="J696" s="15">
        <f t="shared" si="692"/>
        <v>0</v>
      </c>
      <c r="K696" s="15">
        <f t="shared" si="693"/>
        <v>0</v>
      </c>
      <c r="L696" s="15">
        <f t="shared" si="694"/>
        <v>0</v>
      </c>
      <c r="M696" s="25"/>
      <c r="N696" s="5"/>
      <c r="Z696" s="29">
        <f t="shared" si="695"/>
        <v>0</v>
      </c>
      <c r="AB696" s="29">
        <f t="shared" si="696"/>
        <v>0</v>
      </c>
      <c r="AC696" s="29">
        <f t="shared" si="697"/>
        <v>0</v>
      </c>
      <c r="AD696" s="29">
        <f t="shared" si="698"/>
        <v>0</v>
      </c>
      <c r="AE696" s="29">
        <f t="shared" si="699"/>
        <v>0</v>
      </c>
      <c r="AF696" s="29">
        <f t="shared" si="700"/>
        <v>0</v>
      </c>
      <c r="AG696" s="29">
        <f t="shared" si="701"/>
        <v>0</v>
      </c>
      <c r="AH696" s="29">
        <f t="shared" si="702"/>
        <v>0</v>
      </c>
      <c r="AI696" s="28" t="s">
        <v>2882</v>
      </c>
      <c r="AJ696" s="15">
        <f t="shared" si="703"/>
        <v>0</v>
      </c>
      <c r="AK696" s="15">
        <f t="shared" si="704"/>
        <v>0</v>
      </c>
      <c r="AL696" s="15">
        <f t="shared" si="705"/>
        <v>0</v>
      </c>
      <c r="AN696" s="29">
        <v>15</v>
      </c>
      <c r="AO696" s="29">
        <f t="shared" si="690"/>
        <v>0</v>
      </c>
      <c r="AP696" s="29">
        <f t="shared" si="691"/>
        <v>0</v>
      </c>
      <c r="AQ696" s="30" t="s">
        <v>7</v>
      </c>
      <c r="AV696" s="29">
        <f t="shared" si="706"/>
        <v>0</v>
      </c>
      <c r="AW696" s="29">
        <f t="shared" si="707"/>
        <v>0</v>
      </c>
      <c r="AX696" s="29">
        <f t="shared" si="708"/>
        <v>0</v>
      </c>
      <c r="AY696" s="32" t="s">
        <v>2927</v>
      </c>
      <c r="AZ696" s="32" t="s">
        <v>2941</v>
      </c>
      <c r="BA696" s="28" t="s">
        <v>2957</v>
      </c>
      <c r="BC696" s="29">
        <f t="shared" si="709"/>
        <v>0</v>
      </c>
      <c r="BD696" s="29">
        <f t="shared" si="710"/>
        <v>0</v>
      </c>
      <c r="BE696" s="29">
        <v>0</v>
      </c>
      <c r="BF696" s="29">
        <f>696</f>
        <v>696</v>
      </c>
      <c r="BH696" s="15">
        <f t="shared" si="711"/>
        <v>0</v>
      </c>
      <c r="BI696" s="15">
        <f t="shared" si="712"/>
        <v>0</v>
      </c>
      <c r="BJ696" s="15">
        <f t="shared" si="713"/>
        <v>0</v>
      </c>
      <c r="BK696" s="15" t="s">
        <v>2969</v>
      </c>
      <c r="BL696" s="29" t="s">
        <v>1585</v>
      </c>
    </row>
    <row r="697" spans="1:64" ht="12.75">
      <c r="A697" s="4" t="s">
        <v>643</v>
      </c>
      <c r="B697" s="94" t="s">
        <v>1634</v>
      </c>
      <c r="C697" s="152" t="s">
        <v>2575</v>
      </c>
      <c r="D697" s="153"/>
      <c r="E697" s="153"/>
      <c r="F697" s="153"/>
      <c r="G697" s="94" t="s">
        <v>2851</v>
      </c>
      <c r="H697" s="73">
        <v>510</v>
      </c>
      <c r="I697" s="105">
        <v>0</v>
      </c>
      <c r="J697" s="15">
        <f t="shared" si="692"/>
        <v>0</v>
      </c>
      <c r="K697" s="15">
        <f t="shared" si="693"/>
        <v>0</v>
      </c>
      <c r="L697" s="15">
        <f t="shared" si="694"/>
        <v>0</v>
      </c>
      <c r="M697" s="25"/>
      <c r="N697" s="5"/>
      <c r="Z697" s="29">
        <f t="shared" si="695"/>
        <v>0</v>
      </c>
      <c r="AB697" s="29">
        <f t="shared" si="696"/>
        <v>0</v>
      </c>
      <c r="AC697" s="29">
        <f t="shared" si="697"/>
        <v>0</v>
      </c>
      <c r="AD697" s="29">
        <f t="shared" si="698"/>
        <v>0</v>
      </c>
      <c r="AE697" s="29">
        <f t="shared" si="699"/>
        <v>0</v>
      </c>
      <c r="AF697" s="29">
        <f t="shared" si="700"/>
        <v>0</v>
      </c>
      <c r="AG697" s="29">
        <f t="shared" si="701"/>
        <v>0</v>
      </c>
      <c r="AH697" s="29">
        <f t="shared" si="702"/>
        <v>0</v>
      </c>
      <c r="AI697" s="28" t="s">
        <v>2882</v>
      </c>
      <c r="AJ697" s="15">
        <f t="shared" si="703"/>
        <v>0</v>
      </c>
      <c r="AK697" s="15">
        <f t="shared" si="704"/>
        <v>0</v>
      </c>
      <c r="AL697" s="15">
        <f t="shared" si="705"/>
        <v>0</v>
      </c>
      <c r="AN697" s="29">
        <v>15</v>
      </c>
      <c r="AO697" s="29">
        <f t="shared" si="690"/>
        <v>0</v>
      </c>
      <c r="AP697" s="29">
        <f t="shared" si="691"/>
        <v>0</v>
      </c>
      <c r="AQ697" s="30" t="s">
        <v>7</v>
      </c>
      <c r="AV697" s="29">
        <f t="shared" si="706"/>
        <v>0</v>
      </c>
      <c r="AW697" s="29">
        <f t="shared" si="707"/>
        <v>0</v>
      </c>
      <c r="AX697" s="29">
        <f t="shared" si="708"/>
        <v>0</v>
      </c>
      <c r="AY697" s="32" t="s">
        <v>2927</v>
      </c>
      <c r="AZ697" s="32" t="s">
        <v>2941</v>
      </c>
      <c r="BA697" s="28" t="s">
        <v>2957</v>
      </c>
      <c r="BC697" s="29">
        <f t="shared" si="709"/>
        <v>0</v>
      </c>
      <c r="BD697" s="29">
        <f t="shared" si="710"/>
        <v>0</v>
      </c>
      <c r="BE697" s="29">
        <v>0</v>
      </c>
      <c r="BF697" s="29">
        <f>697</f>
        <v>697</v>
      </c>
      <c r="BH697" s="15">
        <f t="shared" si="711"/>
        <v>0</v>
      </c>
      <c r="BI697" s="15">
        <f t="shared" si="712"/>
        <v>0</v>
      </c>
      <c r="BJ697" s="15">
        <f t="shared" si="713"/>
        <v>0</v>
      </c>
      <c r="BK697" s="15" t="s">
        <v>2969</v>
      </c>
      <c r="BL697" s="29" t="s">
        <v>1585</v>
      </c>
    </row>
    <row r="698" spans="1:64" ht="12.75">
      <c r="A698" s="4" t="s">
        <v>644</v>
      </c>
      <c r="B698" s="94" t="s">
        <v>1635</v>
      </c>
      <c r="C698" s="152" t="s">
        <v>2576</v>
      </c>
      <c r="D698" s="153"/>
      <c r="E698" s="153"/>
      <c r="F698" s="153"/>
      <c r="G698" s="94" t="s">
        <v>2851</v>
      </c>
      <c r="H698" s="73">
        <v>30</v>
      </c>
      <c r="I698" s="105">
        <v>0</v>
      </c>
      <c r="J698" s="15">
        <f t="shared" si="692"/>
        <v>0</v>
      </c>
      <c r="K698" s="15">
        <f t="shared" si="693"/>
        <v>0</v>
      </c>
      <c r="L698" s="15">
        <f t="shared" si="694"/>
        <v>0</v>
      </c>
      <c r="M698" s="25"/>
      <c r="N698" s="5"/>
      <c r="Z698" s="29">
        <f t="shared" si="695"/>
        <v>0</v>
      </c>
      <c r="AB698" s="29">
        <f t="shared" si="696"/>
        <v>0</v>
      </c>
      <c r="AC698" s="29">
        <f t="shared" si="697"/>
        <v>0</v>
      </c>
      <c r="AD698" s="29">
        <f t="shared" si="698"/>
        <v>0</v>
      </c>
      <c r="AE698" s="29">
        <f t="shared" si="699"/>
        <v>0</v>
      </c>
      <c r="AF698" s="29">
        <f t="shared" si="700"/>
        <v>0</v>
      </c>
      <c r="AG698" s="29">
        <f t="shared" si="701"/>
        <v>0</v>
      </c>
      <c r="AH698" s="29">
        <f t="shared" si="702"/>
        <v>0</v>
      </c>
      <c r="AI698" s="28" t="s">
        <v>2882</v>
      </c>
      <c r="AJ698" s="15">
        <f t="shared" si="703"/>
        <v>0</v>
      </c>
      <c r="AK698" s="15">
        <f t="shared" si="704"/>
        <v>0</v>
      </c>
      <c r="AL698" s="15">
        <f t="shared" si="705"/>
        <v>0</v>
      </c>
      <c r="AN698" s="29">
        <v>15</v>
      </c>
      <c r="AO698" s="29">
        <f t="shared" si="690"/>
        <v>0</v>
      </c>
      <c r="AP698" s="29">
        <f t="shared" si="691"/>
        <v>0</v>
      </c>
      <c r="AQ698" s="30" t="s">
        <v>7</v>
      </c>
      <c r="AV698" s="29">
        <f t="shared" si="706"/>
        <v>0</v>
      </c>
      <c r="AW698" s="29">
        <f t="shared" si="707"/>
        <v>0</v>
      </c>
      <c r="AX698" s="29">
        <f t="shared" si="708"/>
        <v>0</v>
      </c>
      <c r="AY698" s="32" t="s">
        <v>2927</v>
      </c>
      <c r="AZ698" s="32" t="s">
        <v>2941</v>
      </c>
      <c r="BA698" s="28" t="s">
        <v>2957</v>
      </c>
      <c r="BC698" s="29">
        <f t="shared" si="709"/>
        <v>0</v>
      </c>
      <c r="BD698" s="29">
        <f t="shared" si="710"/>
        <v>0</v>
      </c>
      <c r="BE698" s="29">
        <v>0</v>
      </c>
      <c r="BF698" s="29">
        <f>698</f>
        <v>698</v>
      </c>
      <c r="BH698" s="15">
        <f t="shared" si="711"/>
        <v>0</v>
      </c>
      <c r="BI698" s="15">
        <f t="shared" si="712"/>
        <v>0</v>
      </c>
      <c r="BJ698" s="15">
        <f t="shared" si="713"/>
        <v>0</v>
      </c>
      <c r="BK698" s="15" t="s">
        <v>2969</v>
      </c>
      <c r="BL698" s="29" t="s">
        <v>1585</v>
      </c>
    </row>
    <row r="699" spans="1:64" ht="12.75">
      <c r="A699" s="4" t="s">
        <v>645</v>
      </c>
      <c r="B699" s="94" t="s">
        <v>1636</v>
      </c>
      <c r="C699" s="152" t="s">
        <v>2577</v>
      </c>
      <c r="D699" s="153"/>
      <c r="E699" s="153"/>
      <c r="F699" s="153"/>
      <c r="G699" s="94" t="s">
        <v>2851</v>
      </c>
      <c r="H699" s="73">
        <v>40</v>
      </c>
      <c r="I699" s="105">
        <v>0</v>
      </c>
      <c r="J699" s="15">
        <f t="shared" si="692"/>
        <v>0</v>
      </c>
      <c r="K699" s="15">
        <f t="shared" si="693"/>
        <v>0</v>
      </c>
      <c r="L699" s="15">
        <f t="shared" si="694"/>
        <v>0</v>
      </c>
      <c r="M699" s="25"/>
      <c r="N699" s="5"/>
      <c r="Z699" s="29">
        <f t="shared" si="695"/>
        <v>0</v>
      </c>
      <c r="AB699" s="29">
        <f t="shared" si="696"/>
        <v>0</v>
      </c>
      <c r="AC699" s="29">
        <f t="shared" si="697"/>
        <v>0</v>
      </c>
      <c r="AD699" s="29">
        <f t="shared" si="698"/>
        <v>0</v>
      </c>
      <c r="AE699" s="29">
        <f t="shared" si="699"/>
        <v>0</v>
      </c>
      <c r="AF699" s="29">
        <f t="shared" si="700"/>
        <v>0</v>
      </c>
      <c r="AG699" s="29">
        <f t="shared" si="701"/>
        <v>0</v>
      </c>
      <c r="AH699" s="29">
        <f t="shared" si="702"/>
        <v>0</v>
      </c>
      <c r="AI699" s="28" t="s">
        <v>2882</v>
      </c>
      <c r="AJ699" s="15">
        <f t="shared" si="703"/>
        <v>0</v>
      </c>
      <c r="AK699" s="15">
        <f t="shared" si="704"/>
        <v>0</v>
      </c>
      <c r="AL699" s="15">
        <f t="shared" si="705"/>
        <v>0</v>
      </c>
      <c r="AN699" s="29">
        <v>15</v>
      </c>
      <c r="AO699" s="29">
        <f t="shared" si="690"/>
        <v>0</v>
      </c>
      <c r="AP699" s="29">
        <f t="shared" si="691"/>
        <v>0</v>
      </c>
      <c r="AQ699" s="30" t="s">
        <v>7</v>
      </c>
      <c r="AV699" s="29">
        <f t="shared" si="706"/>
        <v>0</v>
      </c>
      <c r="AW699" s="29">
        <f t="shared" si="707"/>
        <v>0</v>
      </c>
      <c r="AX699" s="29">
        <f t="shared" si="708"/>
        <v>0</v>
      </c>
      <c r="AY699" s="32" t="s">
        <v>2927</v>
      </c>
      <c r="AZ699" s="32" t="s">
        <v>2941</v>
      </c>
      <c r="BA699" s="28" t="s">
        <v>2957</v>
      </c>
      <c r="BC699" s="29">
        <f t="shared" si="709"/>
        <v>0</v>
      </c>
      <c r="BD699" s="29">
        <f t="shared" si="710"/>
        <v>0</v>
      </c>
      <c r="BE699" s="29">
        <v>0</v>
      </c>
      <c r="BF699" s="29">
        <f>699</f>
        <v>699</v>
      </c>
      <c r="BH699" s="15">
        <f t="shared" si="711"/>
        <v>0</v>
      </c>
      <c r="BI699" s="15">
        <f t="shared" si="712"/>
        <v>0</v>
      </c>
      <c r="BJ699" s="15">
        <f t="shared" si="713"/>
        <v>0</v>
      </c>
      <c r="BK699" s="15" t="s">
        <v>2969</v>
      </c>
      <c r="BL699" s="29" t="s">
        <v>1585</v>
      </c>
    </row>
    <row r="700" spans="1:64" ht="12.75">
      <c r="A700" s="4" t="s">
        <v>646</v>
      </c>
      <c r="B700" s="94" t="s">
        <v>1637</v>
      </c>
      <c r="C700" s="152" t="s">
        <v>2578</v>
      </c>
      <c r="D700" s="153"/>
      <c r="E700" s="153"/>
      <c r="F700" s="153"/>
      <c r="G700" s="94" t="s">
        <v>2851</v>
      </c>
      <c r="H700" s="73">
        <v>1840</v>
      </c>
      <c r="I700" s="105">
        <v>0</v>
      </c>
      <c r="J700" s="15">
        <f t="shared" si="692"/>
        <v>0</v>
      </c>
      <c r="K700" s="15">
        <f t="shared" si="693"/>
        <v>0</v>
      </c>
      <c r="L700" s="15">
        <f t="shared" si="694"/>
        <v>0</v>
      </c>
      <c r="M700" s="25"/>
      <c r="N700" s="5"/>
      <c r="Z700" s="29">
        <f t="shared" si="695"/>
        <v>0</v>
      </c>
      <c r="AB700" s="29">
        <f t="shared" si="696"/>
        <v>0</v>
      </c>
      <c r="AC700" s="29">
        <f t="shared" si="697"/>
        <v>0</v>
      </c>
      <c r="AD700" s="29">
        <f t="shared" si="698"/>
        <v>0</v>
      </c>
      <c r="AE700" s="29">
        <f t="shared" si="699"/>
        <v>0</v>
      </c>
      <c r="AF700" s="29">
        <f t="shared" si="700"/>
        <v>0</v>
      </c>
      <c r="AG700" s="29">
        <f t="shared" si="701"/>
        <v>0</v>
      </c>
      <c r="AH700" s="29">
        <f t="shared" si="702"/>
        <v>0</v>
      </c>
      <c r="AI700" s="28" t="s">
        <v>2882</v>
      </c>
      <c r="AJ700" s="15">
        <f t="shared" si="703"/>
        <v>0</v>
      </c>
      <c r="AK700" s="15">
        <f t="shared" si="704"/>
        <v>0</v>
      </c>
      <c r="AL700" s="15">
        <f t="shared" si="705"/>
        <v>0</v>
      </c>
      <c r="AN700" s="29">
        <v>15</v>
      </c>
      <c r="AO700" s="29">
        <f t="shared" si="690"/>
        <v>0</v>
      </c>
      <c r="AP700" s="29">
        <f t="shared" si="691"/>
        <v>0</v>
      </c>
      <c r="AQ700" s="30" t="s">
        <v>7</v>
      </c>
      <c r="AV700" s="29">
        <f t="shared" si="706"/>
        <v>0</v>
      </c>
      <c r="AW700" s="29">
        <f t="shared" si="707"/>
        <v>0</v>
      </c>
      <c r="AX700" s="29">
        <f t="shared" si="708"/>
        <v>0</v>
      </c>
      <c r="AY700" s="32" t="s">
        <v>2927</v>
      </c>
      <c r="AZ700" s="32" t="s">
        <v>2941</v>
      </c>
      <c r="BA700" s="28" t="s">
        <v>2957</v>
      </c>
      <c r="BC700" s="29">
        <f t="shared" si="709"/>
        <v>0</v>
      </c>
      <c r="BD700" s="29">
        <f t="shared" si="710"/>
        <v>0</v>
      </c>
      <c r="BE700" s="29">
        <v>0</v>
      </c>
      <c r="BF700" s="29">
        <f>700</f>
        <v>700</v>
      </c>
      <c r="BH700" s="15">
        <f t="shared" si="711"/>
        <v>0</v>
      </c>
      <c r="BI700" s="15">
        <f t="shared" si="712"/>
        <v>0</v>
      </c>
      <c r="BJ700" s="15">
        <f t="shared" si="713"/>
        <v>0</v>
      </c>
      <c r="BK700" s="15" t="s">
        <v>2969</v>
      </c>
      <c r="BL700" s="29" t="s">
        <v>1585</v>
      </c>
    </row>
    <row r="701" spans="1:64" ht="12.75">
      <c r="A701" s="4" t="s">
        <v>647</v>
      </c>
      <c r="B701" s="94" t="s">
        <v>1638</v>
      </c>
      <c r="C701" s="152" t="s">
        <v>2579</v>
      </c>
      <c r="D701" s="153"/>
      <c r="E701" s="153"/>
      <c r="F701" s="153"/>
      <c r="G701" s="94" t="s">
        <v>2850</v>
      </c>
      <c r="H701" s="73">
        <v>542</v>
      </c>
      <c r="I701" s="105">
        <v>0</v>
      </c>
      <c r="J701" s="15">
        <f t="shared" si="692"/>
        <v>0</v>
      </c>
      <c r="K701" s="15">
        <f t="shared" si="693"/>
        <v>0</v>
      </c>
      <c r="L701" s="15">
        <f t="shared" si="694"/>
        <v>0</v>
      </c>
      <c r="M701" s="25"/>
      <c r="N701" s="5"/>
      <c r="Z701" s="29">
        <f t="shared" si="695"/>
        <v>0</v>
      </c>
      <c r="AB701" s="29">
        <f t="shared" si="696"/>
        <v>0</v>
      </c>
      <c r="AC701" s="29">
        <f t="shared" si="697"/>
        <v>0</v>
      </c>
      <c r="AD701" s="29">
        <f t="shared" si="698"/>
        <v>0</v>
      </c>
      <c r="AE701" s="29">
        <f t="shared" si="699"/>
        <v>0</v>
      </c>
      <c r="AF701" s="29">
        <f t="shared" si="700"/>
        <v>0</v>
      </c>
      <c r="AG701" s="29">
        <f t="shared" si="701"/>
        <v>0</v>
      </c>
      <c r="AH701" s="29">
        <f t="shared" si="702"/>
        <v>0</v>
      </c>
      <c r="AI701" s="28" t="s">
        <v>2882</v>
      </c>
      <c r="AJ701" s="15">
        <f t="shared" si="703"/>
        <v>0</v>
      </c>
      <c r="AK701" s="15">
        <f t="shared" si="704"/>
        <v>0</v>
      </c>
      <c r="AL701" s="15">
        <f t="shared" si="705"/>
        <v>0</v>
      </c>
      <c r="AN701" s="29">
        <v>15</v>
      </c>
      <c r="AO701" s="29">
        <f aca="true" t="shared" si="714" ref="AO701:AO732">I701*0</f>
        <v>0</v>
      </c>
      <c r="AP701" s="29">
        <f aca="true" t="shared" si="715" ref="AP701:AP732">I701*(1-0)</f>
        <v>0</v>
      </c>
      <c r="AQ701" s="30" t="s">
        <v>7</v>
      </c>
      <c r="AV701" s="29">
        <f t="shared" si="706"/>
        <v>0</v>
      </c>
      <c r="AW701" s="29">
        <f t="shared" si="707"/>
        <v>0</v>
      </c>
      <c r="AX701" s="29">
        <f t="shared" si="708"/>
        <v>0</v>
      </c>
      <c r="AY701" s="32" t="s">
        <v>2927</v>
      </c>
      <c r="AZ701" s="32" t="s">
        <v>2941</v>
      </c>
      <c r="BA701" s="28" t="s">
        <v>2957</v>
      </c>
      <c r="BC701" s="29">
        <f t="shared" si="709"/>
        <v>0</v>
      </c>
      <c r="BD701" s="29">
        <f t="shared" si="710"/>
        <v>0</v>
      </c>
      <c r="BE701" s="29">
        <v>0</v>
      </c>
      <c r="BF701" s="29">
        <f>701</f>
        <v>701</v>
      </c>
      <c r="BH701" s="15">
        <f t="shared" si="711"/>
        <v>0</v>
      </c>
      <c r="BI701" s="15">
        <f t="shared" si="712"/>
        <v>0</v>
      </c>
      <c r="BJ701" s="15">
        <f t="shared" si="713"/>
        <v>0</v>
      </c>
      <c r="BK701" s="15" t="s">
        <v>2969</v>
      </c>
      <c r="BL701" s="29" t="s">
        <v>1585</v>
      </c>
    </row>
    <row r="702" spans="1:64" ht="12.75">
      <c r="A702" s="4" t="s">
        <v>648</v>
      </c>
      <c r="B702" s="94" t="s">
        <v>1639</v>
      </c>
      <c r="C702" s="152" t="s">
        <v>2580</v>
      </c>
      <c r="D702" s="153"/>
      <c r="E702" s="153"/>
      <c r="F702" s="153"/>
      <c r="G702" s="94" t="s">
        <v>2850</v>
      </c>
      <c r="H702" s="73">
        <v>132</v>
      </c>
      <c r="I702" s="105">
        <v>0</v>
      </c>
      <c r="J702" s="15">
        <f t="shared" si="692"/>
        <v>0</v>
      </c>
      <c r="K702" s="15">
        <f t="shared" si="693"/>
        <v>0</v>
      </c>
      <c r="L702" s="15">
        <f t="shared" si="694"/>
        <v>0</v>
      </c>
      <c r="M702" s="25"/>
      <c r="N702" s="5"/>
      <c r="Z702" s="29">
        <f t="shared" si="695"/>
        <v>0</v>
      </c>
      <c r="AB702" s="29">
        <f t="shared" si="696"/>
        <v>0</v>
      </c>
      <c r="AC702" s="29">
        <f t="shared" si="697"/>
        <v>0</v>
      </c>
      <c r="AD702" s="29">
        <f t="shared" si="698"/>
        <v>0</v>
      </c>
      <c r="AE702" s="29">
        <f t="shared" si="699"/>
        <v>0</v>
      </c>
      <c r="AF702" s="29">
        <f t="shared" si="700"/>
        <v>0</v>
      </c>
      <c r="AG702" s="29">
        <f t="shared" si="701"/>
        <v>0</v>
      </c>
      <c r="AH702" s="29">
        <f t="shared" si="702"/>
        <v>0</v>
      </c>
      <c r="AI702" s="28" t="s">
        <v>2882</v>
      </c>
      <c r="AJ702" s="15">
        <f t="shared" si="703"/>
        <v>0</v>
      </c>
      <c r="AK702" s="15">
        <f t="shared" si="704"/>
        <v>0</v>
      </c>
      <c r="AL702" s="15">
        <f t="shared" si="705"/>
        <v>0</v>
      </c>
      <c r="AN702" s="29">
        <v>15</v>
      </c>
      <c r="AO702" s="29">
        <f t="shared" si="714"/>
        <v>0</v>
      </c>
      <c r="AP702" s="29">
        <f t="shared" si="715"/>
        <v>0</v>
      </c>
      <c r="AQ702" s="30" t="s">
        <v>7</v>
      </c>
      <c r="AV702" s="29">
        <f t="shared" si="706"/>
        <v>0</v>
      </c>
      <c r="AW702" s="29">
        <f t="shared" si="707"/>
        <v>0</v>
      </c>
      <c r="AX702" s="29">
        <f t="shared" si="708"/>
        <v>0</v>
      </c>
      <c r="AY702" s="32" t="s">
        <v>2927</v>
      </c>
      <c r="AZ702" s="32" t="s">
        <v>2941</v>
      </c>
      <c r="BA702" s="28" t="s">
        <v>2957</v>
      </c>
      <c r="BC702" s="29">
        <f t="shared" si="709"/>
        <v>0</v>
      </c>
      <c r="BD702" s="29">
        <f t="shared" si="710"/>
        <v>0</v>
      </c>
      <c r="BE702" s="29">
        <v>0</v>
      </c>
      <c r="BF702" s="29">
        <f>702</f>
        <v>702</v>
      </c>
      <c r="BH702" s="15">
        <f t="shared" si="711"/>
        <v>0</v>
      </c>
      <c r="BI702" s="15">
        <f t="shared" si="712"/>
        <v>0</v>
      </c>
      <c r="BJ702" s="15">
        <f t="shared" si="713"/>
        <v>0</v>
      </c>
      <c r="BK702" s="15" t="s">
        <v>2969</v>
      </c>
      <c r="BL702" s="29" t="s">
        <v>1585</v>
      </c>
    </row>
    <row r="703" spans="1:64" ht="12.75">
      <c r="A703" s="4" t="s">
        <v>649</v>
      </c>
      <c r="B703" s="94" t="s">
        <v>1640</v>
      </c>
      <c r="C703" s="152" t="s">
        <v>2581</v>
      </c>
      <c r="D703" s="153"/>
      <c r="E703" s="153"/>
      <c r="F703" s="153"/>
      <c r="G703" s="94" t="s">
        <v>2850</v>
      </c>
      <c r="H703" s="73">
        <v>4</v>
      </c>
      <c r="I703" s="105">
        <v>0</v>
      </c>
      <c r="J703" s="15">
        <f t="shared" si="692"/>
        <v>0</v>
      </c>
      <c r="K703" s="15">
        <f t="shared" si="693"/>
        <v>0</v>
      </c>
      <c r="L703" s="15">
        <f t="shared" si="694"/>
        <v>0</v>
      </c>
      <c r="M703" s="25"/>
      <c r="N703" s="5"/>
      <c r="Z703" s="29">
        <f t="shared" si="695"/>
        <v>0</v>
      </c>
      <c r="AB703" s="29">
        <f t="shared" si="696"/>
        <v>0</v>
      </c>
      <c r="AC703" s="29">
        <f t="shared" si="697"/>
        <v>0</v>
      </c>
      <c r="AD703" s="29">
        <f t="shared" si="698"/>
        <v>0</v>
      </c>
      <c r="AE703" s="29">
        <f t="shared" si="699"/>
        <v>0</v>
      </c>
      <c r="AF703" s="29">
        <f t="shared" si="700"/>
        <v>0</v>
      </c>
      <c r="AG703" s="29">
        <f t="shared" si="701"/>
        <v>0</v>
      </c>
      <c r="AH703" s="29">
        <f t="shared" si="702"/>
        <v>0</v>
      </c>
      <c r="AI703" s="28" t="s">
        <v>2882</v>
      </c>
      <c r="AJ703" s="15">
        <f t="shared" si="703"/>
        <v>0</v>
      </c>
      <c r="AK703" s="15">
        <f t="shared" si="704"/>
        <v>0</v>
      </c>
      <c r="AL703" s="15">
        <f t="shared" si="705"/>
        <v>0</v>
      </c>
      <c r="AN703" s="29">
        <v>15</v>
      </c>
      <c r="AO703" s="29">
        <f t="shared" si="714"/>
        <v>0</v>
      </c>
      <c r="AP703" s="29">
        <f t="shared" si="715"/>
        <v>0</v>
      </c>
      <c r="AQ703" s="30" t="s">
        <v>7</v>
      </c>
      <c r="AV703" s="29">
        <f t="shared" si="706"/>
        <v>0</v>
      </c>
      <c r="AW703" s="29">
        <f t="shared" si="707"/>
        <v>0</v>
      </c>
      <c r="AX703" s="29">
        <f t="shared" si="708"/>
        <v>0</v>
      </c>
      <c r="AY703" s="32" t="s">
        <v>2927</v>
      </c>
      <c r="AZ703" s="32" t="s">
        <v>2941</v>
      </c>
      <c r="BA703" s="28" t="s">
        <v>2957</v>
      </c>
      <c r="BC703" s="29">
        <f t="shared" si="709"/>
        <v>0</v>
      </c>
      <c r="BD703" s="29">
        <f t="shared" si="710"/>
        <v>0</v>
      </c>
      <c r="BE703" s="29">
        <v>0</v>
      </c>
      <c r="BF703" s="29">
        <f>703</f>
        <v>703</v>
      </c>
      <c r="BH703" s="15">
        <f t="shared" si="711"/>
        <v>0</v>
      </c>
      <c r="BI703" s="15">
        <f t="shared" si="712"/>
        <v>0</v>
      </c>
      <c r="BJ703" s="15">
        <f t="shared" si="713"/>
        <v>0</v>
      </c>
      <c r="BK703" s="15" t="s">
        <v>2969</v>
      </c>
      <c r="BL703" s="29" t="s">
        <v>1585</v>
      </c>
    </row>
    <row r="704" spans="1:64" ht="12.75">
      <c r="A704" s="4" t="s">
        <v>650</v>
      </c>
      <c r="B704" s="94" t="s">
        <v>1641</v>
      </c>
      <c r="C704" s="152" t="s">
        <v>2582</v>
      </c>
      <c r="D704" s="153"/>
      <c r="E704" s="153"/>
      <c r="F704" s="153"/>
      <c r="G704" s="94" t="s">
        <v>2850</v>
      </c>
      <c r="H704" s="73">
        <v>98</v>
      </c>
      <c r="I704" s="105">
        <v>0</v>
      </c>
      <c r="J704" s="15">
        <f t="shared" si="692"/>
        <v>0</v>
      </c>
      <c r="K704" s="15">
        <f t="shared" si="693"/>
        <v>0</v>
      </c>
      <c r="L704" s="15">
        <f t="shared" si="694"/>
        <v>0</v>
      </c>
      <c r="M704" s="25"/>
      <c r="N704" s="5"/>
      <c r="Z704" s="29">
        <f t="shared" si="695"/>
        <v>0</v>
      </c>
      <c r="AB704" s="29">
        <f t="shared" si="696"/>
        <v>0</v>
      </c>
      <c r="AC704" s="29">
        <f t="shared" si="697"/>
        <v>0</v>
      </c>
      <c r="AD704" s="29">
        <f t="shared" si="698"/>
        <v>0</v>
      </c>
      <c r="AE704" s="29">
        <f t="shared" si="699"/>
        <v>0</v>
      </c>
      <c r="AF704" s="29">
        <f t="shared" si="700"/>
        <v>0</v>
      </c>
      <c r="AG704" s="29">
        <f t="shared" si="701"/>
        <v>0</v>
      </c>
      <c r="AH704" s="29">
        <f t="shared" si="702"/>
        <v>0</v>
      </c>
      <c r="AI704" s="28" t="s">
        <v>2882</v>
      </c>
      <c r="AJ704" s="15">
        <f t="shared" si="703"/>
        <v>0</v>
      </c>
      <c r="AK704" s="15">
        <f t="shared" si="704"/>
        <v>0</v>
      </c>
      <c r="AL704" s="15">
        <f t="shared" si="705"/>
        <v>0</v>
      </c>
      <c r="AN704" s="29">
        <v>15</v>
      </c>
      <c r="AO704" s="29">
        <f t="shared" si="714"/>
        <v>0</v>
      </c>
      <c r="AP704" s="29">
        <f t="shared" si="715"/>
        <v>0</v>
      </c>
      <c r="AQ704" s="30" t="s">
        <v>7</v>
      </c>
      <c r="AV704" s="29">
        <f t="shared" si="706"/>
        <v>0</v>
      </c>
      <c r="AW704" s="29">
        <f t="shared" si="707"/>
        <v>0</v>
      </c>
      <c r="AX704" s="29">
        <f t="shared" si="708"/>
        <v>0</v>
      </c>
      <c r="AY704" s="32" t="s">
        <v>2927</v>
      </c>
      <c r="AZ704" s="32" t="s">
        <v>2941</v>
      </c>
      <c r="BA704" s="28" t="s">
        <v>2957</v>
      </c>
      <c r="BC704" s="29">
        <f t="shared" si="709"/>
        <v>0</v>
      </c>
      <c r="BD704" s="29">
        <f t="shared" si="710"/>
        <v>0</v>
      </c>
      <c r="BE704" s="29">
        <v>0</v>
      </c>
      <c r="BF704" s="29">
        <f>704</f>
        <v>704</v>
      </c>
      <c r="BH704" s="15">
        <f t="shared" si="711"/>
        <v>0</v>
      </c>
      <c r="BI704" s="15">
        <f t="shared" si="712"/>
        <v>0</v>
      </c>
      <c r="BJ704" s="15">
        <f t="shared" si="713"/>
        <v>0</v>
      </c>
      <c r="BK704" s="15" t="s">
        <v>2969</v>
      </c>
      <c r="BL704" s="29" t="s">
        <v>1585</v>
      </c>
    </row>
    <row r="705" spans="1:64" ht="12.75">
      <c r="A705" s="4" t="s">
        <v>651</v>
      </c>
      <c r="B705" s="94" t="s">
        <v>1642</v>
      </c>
      <c r="C705" s="152" t="s">
        <v>2583</v>
      </c>
      <c r="D705" s="153"/>
      <c r="E705" s="153"/>
      <c r="F705" s="153"/>
      <c r="G705" s="94" t="s">
        <v>2855</v>
      </c>
      <c r="H705" s="73">
        <v>120</v>
      </c>
      <c r="I705" s="105">
        <v>0</v>
      </c>
      <c r="J705" s="15">
        <f t="shared" si="692"/>
        <v>0</v>
      </c>
      <c r="K705" s="15">
        <f t="shared" si="693"/>
        <v>0</v>
      </c>
      <c r="L705" s="15">
        <f t="shared" si="694"/>
        <v>0</v>
      </c>
      <c r="M705" s="25"/>
      <c r="N705" s="5"/>
      <c r="Z705" s="29">
        <f t="shared" si="695"/>
        <v>0</v>
      </c>
      <c r="AB705" s="29">
        <f t="shared" si="696"/>
        <v>0</v>
      </c>
      <c r="AC705" s="29">
        <f t="shared" si="697"/>
        <v>0</v>
      </c>
      <c r="AD705" s="29">
        <f t="shared" si="698"/>
        <v>0</v>
      </c>
      <c r="AE705" s="29">
        <f t="shared" si="699"/>
        <v>0</v>
      </c>
      <c r="AF705" s="29">
        <f t="shared" si="700"/>
        <v>0</v>
      </c>
      <c r="AG705" s="29">
        <f t="shared" si="701"/>
        <v>0</v>
      </c>
      <c r="AH705" s="29">
        <f t="shared" si="702"/>
        <v>0</v>
      </c>
      <c r="AI705" s="28" t="s">
        <v>2882</v>
      </c>
      <c r="AJ705" s="15">
        <f t="shared" si="703"/>
        <v>0</v>
      </c>
      <c r="AK705" s="15">
        <f t="shared" si="704"/>
        <v>0</v>
      </c>
      <c r="AL705" s="15">
        <f t="shared" si="705"/>
        <v>0</v>
      </c>
      <c r="AN705" s="29">
        <v>15</v>
      </c>
      <c r="AO705" s="29">
        <f t="shared" si="714"/>
        <v>0</v>
      </c>
      <c r="AP705" s="29">
        <f t="shared" si="715"/>
        <v>0</v>
      </c>
      <c r="AQ705" s="30" t="s">
        <v>7</v>
      </c>
      <c r="AV705" s="29">
        <f t="shared" si="706"/>
        <v>0</v>
      </c>
      <c r="AW705" s="29">
        <f t="shared" si="707"/>
        <v>0</v>
      </c>
      <c r="AX705" s="29">
        <f t="shared" si="708"/>
        <v>0</v>
      </c>
      <c r="AY705" s="32" t="s">
        <v>2927</v>
      </c>
      <c r="AZ705" s="32" t="s">
        <v>2941</v>
      </c>
      <c r="BA705" s="28" t="s">
        <v>2957</v>
      </c>
      <c r="BC705" s="29">
        <f t="shared" si="709"/>
        <v>0</v>
      </c>
      <c r="BD705" s="29">
        <f t="shared" si="710"/>
        <v>0</v>
      </c>
      <c r="BE705" s="29">
        <v>0</v>
      </c>
      <c r="BF705" s="29">
        <f>705</f>
        <v>705</v>
      </c>
      <c r="BH705" s="15">
        <f t="shared" si="711"/>
        <v>0</v>
      </c>
      <c r="BI705" s="15">
        <f t="shared" si="712"/>
        <v>0</v>
      </c>
      <c r="BJ705" s="15">
        <f t="shared" si="713"/>
        <v>0</v>
      </c>
      <c r="BK705" s="15" t="s">
        <v>2969</v>
      </c>
      <c r="BL705" s="29" t="s">
        <v>1585</v>
      </c>
    </row>
    <row r="706" spans="1:64" ht="12.75">
      <c r="A706" s="4" t="s">
        <v>652</v>
      </c>
      <c r="B706" s="94" t="s">
        <v>1643</v>
      </c>
      <c r="C706" s="152" t="s">
        <v>2584</v>
      </c>
      <c r="D706" s="153"/>
      <c r="E706" s="153"/>
      <c r="F706" s="153"/>
      <c r="G706" s="94" t="s">
        <v>2850</v>
      </c>
      <c r="H706" s="73">
        <v>10</v>
      </c>
      <c r="I706" s="105">
        <v>0</v>
      </c>
      <c r="J706" s="15">
        <f t="shared" si="692"/>
        <v>0</v>
      </c>
      <c r="K706" s="15">
        <f t="shared" si="693"/>
        <v>0</v>
      </c>
      <c r="L706" s="15">
        <f t="shared" si="694"/>
        <v>0</v>
      </c>
      <c r="M706" s="25"/>
      <c r="N706" s="5"/>
      <c r="Z706" s="29">
        <f t="shared" si="695"/>
        <v>0</v>
      </c>
      <c r="AB706" s="29">
        <f t="shared" si="696"/>
        <v>0</v>
      </c>
      <c r="AC706" s="29">
        <f t="shared" si="697"/>
        <v>0</v>
      </c>
      <c r="AD706" s="29">
        <f t="shared" si="698"/>
        <v>0</v>
      </c>
      <c r="AE706" s="29">
        <f t="shared" si="699"/>
        <v>0</v>
      </c>
      <c r="AF706" s="29">
        <f t="shared" si="700"/>
        <v>0</v>
      </c>
      <c r="AG706" s="29">
        <f t="shared" si="701"/>
        <v>0</v>
      </c>
      <c r="AH706" s="29">
        <f t="shared" si="702"/>
        <v>0</v>
      </c>
      <c r="AI706" s="28" t="s">
        <v>2882</v>
      </c>
      <c r="AJ706" s="15">
        <f t="shared" si="703"/>
        <v>0</v>
      </c>
      <c r="AK706" s="15">
        <f t="shared" si="704"/>
        <v>0</v>
      </c>
      <c r="AL706" s="15">
        <f t="shared" si="705"/>
        <v>0</v>
      </c>
      <c r="AN706" s="29">
        <v>15</v>
      </c>
      <c r="AO706" s="29">
        <f t="shared" si="714"/>
        <v>0</v>
      </c>
      <c r="AP706" s="29">
        <f t="shared" si="715"/>
        <v>0</v>
      </c>
      <c r="AQ706" s="30" t="s">
        <v>7</v>
      </c>
      <c r="AV706" s="29">
        <f t="shared" si="706"/>
        <v>0</v>
      </c>
      <c r="AW706" s="29">
        <f t="shared" si="707"/>
        <v>0</v>
      </c>
      <c r="AX706" s="29">
        <f t="shared" si="708"/>
        <v>0</v>
      </c>
      <c r="AY706" s="32" t="s">
        <v>2927</v>
      </c>
      <c r="AZ706" s="32" t="s">
        <v>2941</v>
      </c>
      <c r="BA706" s="28" t="s">
        <v>2957</v>
      </c>
      <c r="BC706" s="29">
        <f t="shared" si="709"/>
        <v>0</v>
      </c>
      <c r="BD706" s="29">
        <f t="shared" si="710"/>
        <v>0</v>
      </c>
      <c r="BE706" s="29">
        <v>0</v>
      </c>
      <c r="BF706" s="29">
        <f>706</f>
        <v>706</v>
      </c>
      <c r="BH706" s="15">
        <f t="shared" si="711"/>
        <v>0</v>
      </c>
      <c r="BI706" s="15">
        <f t="shared" si="712"/>
        <v>0</v>
      </c>
      <c r="BJ706" s="15">
        <f t="shared" si="713"/>
        <v>0</v>
      </c>
      <c r="BK706" s="15" t="s">
        <v>2969</v>
      </c>
      <c r="BL706" s="29" t="s">
        <v>1585</v>
      </c>
    </row>
    <row r="707" spans="1:64" ht="12.75">
      <c r="A707" s="4" t="s">
        <v>653</v>
      </c>
      <c r="B707" s="94" t="s">
        <v>1644</v>
      </c>
      <c r="C707" s="152" t="s">
        <v>2585</v>
      </c>
      <c r="D707" s="153"/>
      <c r="E707" s="153"/>
      <c r="F707" s="153"/>
      <c r="G707" s="94" t="s">
        <v>2850</v>
      </c>
      <c r="H707" s="73">
        <v>1</v>
      </c>
      <c r="I707" s="105">
        <v>0</v>
      </c>
      <c r="J707" s="15">
        <f t="shared" si="692"/>
        <v>0</v>
      </c>
      <c r="K707" s="15">
        <f t="shared" si="693"/>
        <v>0</v>
      </c>
      <c r="L707" s="15">
        <f t="shared" si="694"/>
        <v>0</v>
      </c>
      <c r="M707" s="25"/>
      <c r="N707" s="5"/>
      <c r="Z707" s="29">
        <f t="shared" si="695"/>
        <v>0</v>
      </c>
      <c r="AB707" s="29">
        <f t="shared" si="696"/>
        <v>0</v>
      </c>
      <c r="AC707" s="29">
        <f t="shared" si="697"/>
        <v>0</v>
      </c>
      <c r="AD707" s="29">
        <f t="shared" si="698"/>
        <v>0</v>
      </c>
      <c r="AE707" s="29">
        <f t="shared" si="699"/>
        <v>0</v>
      </c>
      <c r="AF707" s="29">
        <f t="shared" si="700"/>
        <v>0</v>
      </c>
      <c r="AG707" s="29">
        <f t="shared" si="701"/>
        <v>0</v>
      </c>
      <c r="AH707" s="29">
        <f t="shared" si="702"/>
        <v>0</v>
      </c>
      <c r="AI707" s="28" t="s">
        <v>2882</v>
      </c>
      <c r="AJ707" s="15">
        <f t="shared" si="703"/>
        <v>0</v>
      </c>
      <c r="AK707" s="15">
        <f t="shared" si="704"/>
        <v>0</v>
      </c>
      <c r="AL707" s="15">
        <f t="shared" si="705"/>
        <v>0</v>
      </c>
      <c r="AN707" s="29">
        <v>15</v>
      </c>
      <c r="AO707" s="29">
        <f t="shared" si="714"/>
        <v>0</v>
      </c>
      <c r="AP707" s="29">
        <f t="shared" si="715"/>
        <v>0</v>
      </c>
      <c r="AQ707" s="30" t="s">
        <v>7</v>
      </c>
      <c r="AV707" s="29">
        <f t="shared" si="706"/>
        <v>0</v>
      </c>
      <c r="AW707" s="29">
        <f t="shared" si="707"/>
        <v>0</v>
      </c>
      <c r="AX707" s="29">
        <f t="shared" si="708"/>
        <v>0</v>
      </c>
      <c r="AY707" s="32" t="s">
        <v>2927</v>
      </c>
      <c r="AZ707" s="32" t="s">
        <v>2941</v>
      </c>
      <c r="BA707" s="28" t="s">
        <v>2957</v>
      </c>
      <c r="BC707" s="29">
        <f t="shared" si="709"/>
        <v>0</v>
      </c>
      <c r="BD707" s="29">
        <f t="shared" si="710"/>
        <v>0</v>
      </c>
      <c r="BE707" s="29">
        <v>0</v>
      </c>
      <c r="BF707" s="29">
        <f>707</f>
        <v>707</v>
      </c>
      <c r="BH707" s="15">
        <f t="shared" si="711"/>
        <v>0</v>
      </c>
      <c r="BI707" s="15">
        <f t="shared" si="712"/>
        <v>0</v>
      </c>
      <c r="BJ707" s="15">
        <f t="shared" si="713"/>
        <v>0</v>
      </c>
      <c r="BK707" s="15" t="s">
        <v>2969</v>
      </c>
      <c r="BL707" s="29" t="s">
        <v>1585</v>
      </c>
    </row>
    <row r="708" spans="1:64" ht="12.75">
      <c r="A708" s="4" t="s">
        <v>654</v>
      </c>
      <c r="B708" s="94" t="s">
        <v>1645</v>
      </c>
      <c r="C708" s="152" t="s">
        <v>2586</v>
      </c>
      <c r="D708" s="153"/>
      <c r="E708" s="153"/>
      <c r="F708" s="153"/>
      <c r="G708" s="94" t="s">
        <v>2850</v>
      </c>
      <c r="H708" s="73">
        <v>1</v>
      </c>
      <c r="I708" s="105">
        <v>0</v>
      </c>
      <c r="J708" s="15">
        <f t="shared" si="692"/>
        <v>0</v>
      </c>
      <c r="K708" s="15">
        <f t="shared" si="693"/>
        <v>0</v>
      </c>
      <c r="L708" s="15">
        <f t="shared" si="694"/>
        <v>0</v>
      </c>
      <c r="M708" s="25"/>
      <c r="N708" s="5"/>
      <c r="Z708" s="29">
        <f t="shared" si="695"/>
        <v>0</v>
      </c>
      <c r="AB708" s="29">
        <f t="shared" si="696"/>
        <v>0</v>
      </c>
      <c r="AC708" s="29">
        <f t="shared" si="697"/>
        <v>0</v>
      </c>
      <c r="AD708" s="29">
        <f t="shared" si="698"/>
        <v>0</v>
      </c>
      <c r="AE708" s="29">
        <f t="shared" si="699"/>
        <v>0</v>
      </c>
      <c r="AF708" s="29">
        <f t="shared" si="700"/>
        <v>0</v>
      </c>
      <c r="AG708" s="29">
        <f t="shared" si="701"/>
        <v>0</v>
      </c>
      <c r="AH708" s="29">
        <f t="shared" si="702"/>
        <v>0</v>
      </c>
      <c r="AI708" s="28" t="s">
        <v>2882</v>
      </c>
      <c r="AJ708" s="15">
        <f t="shared" si="703"/>
        <v>0</v>
      </c>
      <c r="AK708" s="15">
        <f t="shared" si="704"/>
        <v>0</v>
      </c>
      <c r="AL708" s="15">
        <f t="shared" si="705"/>
        <v>0</v>
      </c>
      <c r="AN708" s="29">
        <v>15</v>
      </c>
      <c r="AO708" s="29">
        <f t="shared" si="714"/>
        <v>0</v>
      </c>
      <c r="AP708" s="29">
        <f t="shared" si="715"/>
        <v>0</v>
      </c>
      <c r="AQ708" s="30" t="s">
        <v>7</v>
      </c>
      <c r="AV708" s="29">
        <f t="shared" si="706"/>
        <v>0</v>
      </c>
      <c r="AW708" s="29">
        <f t="shared" si="707"/>
        <v>0</v>
      </c>
      <c r="AX708" s="29">
        <f t="shared" si="708"/>
        <v>0</v>
      </c>
      <c r="AY708" s="32" t="s">
        <v>2927</v>
      </c>
      <c r="AZ708" s="32" t="s">
        <v>2941</v>
      </c>
      <c r="BA708" s="28" t="s">
        <v>2957</v>
      </c>
      <c r="BC708" s="29">
        <f t="shared" si="709"/>
        <v>0</v>
      </c>
      <c r="BD708" s="29">
        <f t="shared" si="710"/>
        <v>0</v>
      </c>
      <c r="BE708" s="29">
        <v>0</v>
      </c>
      <c r="BF708" s="29">
        <f>708</f>
        <v>708</v>
      </c>
      <c r="BH708" s="15">
        <f t="shared" si="711"/>
        <v>0</v>
      </c>
      <c r="BI708" s="15">
        <f t="shared" si="712"/>
        <v>0</v>
      </c>
      <c r="BJ708" s="15">
        <f t="shared" si="713"/>
        <v>0</v>
      </c>
      <c r="BK708" s="15" t="s">
        <v>2969</v>
      </c>
      <c r="BL708" s="29" t="s">
        <v>1585</v>
      </c>
    </row>
    <row r="709" spans="1:64" ht="12.75">
      <c r="A709" s="4" t="s">
        <v>655</v>
      </c>
      <c r="B709" s="94" t="s">
        <v>1646</v>
      </c>
      <c r="C709" s="152" t="s">
        <v>2587</v>
      </c>
      <c r="D709" s="153"/>
      <c r="E709" s="153"/>
      <c r="F709" s="153"/>
      <c r="G709" s="94" t="s">
        <v>2850</v>
      </c>
      <c r="H709" s="73">
        <v>7</v>
      </c>
      <c r="I709" s="105">
        <v>0</v>
      </c>
      <c r="J709" s="15">
        <f t="shared" si="692"/>
        <v>0</v>
      </c>
      <c r="K709" s="15">
        <f t="shared" si="693"/>
        <v>0</v>
      </c>
      <c r="L709" s="15">
        <f t="shared" si="694"/>
        <v>0</v>
      </c>
      <c r="M709" s="25"/>
      <c r="N709" s="5"/>
      <c r="Z709" s="29">
        <f t="shared" si="695"/>
        <v>0</v>
      </c>
      <c r="AB709" s="29">
        <f t="shared" si="696"/>
        <v>0</v>
      </c>
      <c r="AC709" s="29">
        <f t="shared" si="697"/>
        <v>0</v>
      </c>
      <c r="AD709" s="29">
        <f t="shared" si="698"/>
        <v>0</v>
      </c>
      <c r="AE709" s="29">
        <f t="shared" si="699"/>
        <v>0</v>
      </c>
      <c r="AF709" s="29">
        <f t="shared" si="700"/>
        <v>0</v>
      </c>
      <c r="AG709" s="29">
        <f t="shared" si="701"/>
        <v>0</v>
      </c>
      <c r="AH709" s="29">
        <f t="shared" si="702"/>
        <v>0</v>
      </c>
      <c r="AI709" s="28" t="s">
        <v>2882</v>
      </c>
      <c r="AJ709" s="15">
        <f t="shared" si="703"/>
        <v>0</v>
      </c>
      <c r="AK709" s="15">
        <f t="shared" si="704"/>
        <v>0</v>
      </c>
      <c r="AL709" s="15">
        <f t="shared" si="705"/>
        <v>0</v>
      </c>
      <c r="AN709" s="29">
        <v>15</v>
      </c>
      <c r="AO709" s="29">
        <f t="shared" si="714"/>
        <v>0</v>
      </c>
      <c r="AP709" s="29">
        <f t="shared" si="715"/>
        <v>0</v>
      </c>
      <c r="AQ709" s="30" t="s">
        <v>7</v>
      </c>
      <c r="AV709" s="29">
        <f t="shared" si="706"/>
        <v>0</v>
      </c>
      <c r="AW709" s="29">
        <f t="shared" si="707"/>
        <v>0</v>
      </c>
      <c r="AX709" s="29">
        <f t="shared" si="708"/>
        <v>0</v>
      </c>
      <c r="AY709" s="32" t="s">
        <v>2927</v>
      </c>
      <c r="AZ709" s="32" t="s">
        <v>2941</v>
      </c>
      <c r="BA709" s="28" t="s">
        <v>2957</v>
      </c>
      <c r="BC709" s="29">
        <f t="shared" si="709"/>
        <v>0</v>
      </c>
      <c r="BD709" s="29">
        <f t="shared" si="710"/>
        <v>0</v>
      </c>
      <c r="BE709" s="29">
        <v>0</v>
      </c>
      <c r="BF709" s="29">
        <f>709</f>
        <v>709</v>
      </c>
      <c r="BH709" s="15">
        <f t="shared" si="711"/>
        <v>0</v>
      </c>
      <c r="BI709" s="15">
        <f t="shared" si="712"/>
        <v>0</v>
      </c>
      <c r="BJ709" s="15">
        <f t="shared" si="713"/>
        <v>0</v>
      </c>
      <c r="BK709" s="15" t="s">
        <v>2969</v>
      </c>
      <c r="BL709" s="29" t="s">
        <v>1585</v>
      </c>
    </row>
    <row r="710" spans="1:64" ht="12.75">
      <c r="A710" s="4" t="s">
        <v>656</v>
      </c>
      <c r="B710" s="94" t="s">
        <v>1647</v>
      </c>
      <c r="C710" s="152" t="s">
        <v>2588</v>
      </c>
      <c r="D710" s="153"/>
      <c r="E710" s="153"/>
      <c r="F710" s="153"/>
      <c r="G710" s="94" t="s">
        <v>2850</v>
      </c>
      <c r="H710" s="73">
        <v>4</v>
      </c>
      <c r="I710" s="105">
        <v>0</v>
      </c>
      <c r="J710" s="15">
        <f t="shared" si="692"/>
        <v>0</v>
      </c>
      <c r="K710" s="15">
        <f t="shared" si="693"/>
        <v>0</v>
      </c>
      <c r="L710" s="15">
        <f t="shared" si="694"/>
        <v>0</v>
      </c>
      <c r="M710" s="25"/>
      <c r="N710" s="5"/>
      <c r="Z710" s="29">
        <f t="shared" si="695"/>
        <v>0</v>
      </c>
      <c r="AB710" s="29">
        <f t="shared" si="696"/>
        <v>0</v>
      </c>
      <c r="AC710" s="29">
        <f t="shared" si="697"/>
        <v>0</v>
      </c>
      <c r="AD710" s="29">
        <f t="shared" si="698"/>
        <v>0</v>
      </c>
      <c r="AE710" s="29">
        <f t="shared" si="699"/>
        <v>0</v>
      </c>
      <c r="AF710" s="29">
        <f t="shared" si="700"/>
        <v>0</v>
      </c>
      <c r="AG710" s="29">
        <f t="shared" si="701"/>
        <v>0</v>
      </c>
      <c r="AH710" s="29">
        <f t="shared" si="702"/>
        <v>0</v>
      </c>
      <c r="AI710" s="28" t="s">
        <v>2882</v>
      </c>
      <c r="AJ710" s="15">
        <f t="shared" si="703"/>
        <v>0</v>
      </c>
      <c r="AK710" s="15">
        <f t="shared" si="704"/>
        <v>0</v>
      </c>
      <c r="AL710" s="15">
        <f t="shared" si="705"/>
        <v>0</v>
      </c>
      <c r="AN710" s="29">
        <v>15</v>
      </c>
      <c r="AO710" s="29">
        <f t="shared" si="714"/>
        <v>0</v>
      </c>
      <c r="AP710" s="29">
        <f t="shared" si="715"/>
        <v>0</v>
      </c>
      <c r="AQ710" s="30" t="s">
        <v>7</v>
      </c>
      <c r="AV710" s="29">
        <f t="shared" si="706"/>
        <v>0</v>
      </c>
      <c r="AW710" s="29">
        <f t="shared" si="707"/>
        <v>0</v>
      </c>
      <c r="AX710" s="29">
        <f t="shared" si="708"/>
        <v>0</v>
      </c>
      <c r="AY710" s="32" t="s">
        <v>2927</v>
      </c>
      <c r="AZ710" s="32" t="s">
        <v>2941</v>
      </c>
      <c r="BA710" s="28" t="s">
        <v>2957</v>
      </c>
      <c r="BC710" s="29">
        <f t="shared" si="709"/>
        <v>0</v>
      </c>
      <c r="BD710" s="29">
        <f t="shared" si="710"/>
        <v>0</v>
      </c>
      <c r="BE710" s="29">
        <v>0</v>
      </c>
      <c r="BF710" s="29">
        <f>710</f>
        <v>710</v>
      </c>
      <c r="BH710" s="15">
        <f t="shared" si="711"/>
        <v>0</v>
      </c>
      <c r="BI710" s="15">
        <f t="shared" si="712"/>
        <v>0</v>
      </c>
      <c r="BJ710" s="15">
        <f t="shared" si="713"/>
        <v>0</v>
      </c>
      <c r="BK710" s="15" t="s">
        <v>2969</v>
      </c>
      <c r="BL710" s="29" t="s">
        <v>1585</v>
      </c>
    </row>
    <row r="711" spans="1:64" ht="12.75">
      <c r="A711" s="4" t="s">
        <v>657</v>
      </c>
      <c r="B711" s="94" t="s">
        <v>1648</v>
      </c>
      <c r="C711" s="152" t="s">
        <v>2589</v>
      </c>
      <c r="D711" s="153"/>
      <c r="E711" s="153"/>
      <c r="F711" s="153"/>
      <c r="G711" s="94" t="s">
        <v>2850</v>
      </c>
      <c r="H711" s="73">
        <v>3</v>
      </c>
      <c r="I711" s="105">
        <v>0</v>
      </c>
      <c r="J711" s="15">
        <f t="shared" si="692"/>
        <v>0</v>
      </c>
      <c r="K711" s="15">
        <f t="shared" si="693"/>
        <v>0</v>
      </c>
      <c r="L711" s="15">
        <f t="shared" si="694"/>
        <v>0</v>
      </c>
      <c r="M711" s="25"/>
      <c r="N711" s="5"/>
      <c r="Z711" s="29">
        <f t="shared" si="695"/>
        <v>0</v>
      </c>
      <c r="AB711" s="29">
        <f t="shared" si="696"/>
        <v>0</v>
      </c>
      <c r="AC711" s="29">
        <f t="shared" si="697"/>
        <v>0</v>
      </c>
      <c r="AD711" s="29">
        <f t="shared" si="698"/>
        <v>0</v>
      </c>
      <c r="AE711" s="29">
        <f t="shared" si="699"/>
        <v>0</v>
      </c>
      <c r="AF711" s="29">
        <f t="shared" si="700"/>
        <v>0</v>
      </c>
      <c r="AG711" s="29">
        <f t="shared" si="701"/>
        <v>0</v>
      </c>
      <c r="AH711" s="29">
        <f t="shared" si="702"/>
        <v>0</v>
      </c>
      <c r="AI711" s="28" t="s">
        <v>2882</v>
      </c>
      <c r="AJ711" s="15">
        <f t="shared" si="703"/>
        <v>0</v>
      </c>
      <c r="AK711" s="15">
        <f t="shared" si="704"/>
        <v>0</v>
      </c>
      <c r="AL711" s="15">
        <f t="shared" si="705"/>
        <v>0</v>
      </c>
      <c r="AN711" s="29">
        <v>15</v>
      </c>
      <c r="AO711" s="29">
        <f t="shared" si="714"/>
        <v>0</v>
      </c>
      <c r="AP711" s="29">
        <f t="shared" si="715"/>
        <v>0</v>
      </c>
      <c r="AQ711" s="30" t="s">
        <v>7</v>
      </c>
      <c r="AV711" s="29">
        <f t="shared" si="706"/>
        <v>0</v>
      </c>
      <c r="AW711" s="29">
        <f t="shared" si="707"/>
        <v>0</v>
      </c>
      <c r="AX711" s="29">
        <f t="shared" si="708"/>
        <v>0</v>
      </c>
      <c r="AY711" s="32" t="s">
        <v>2927</v>
      </c>
      <c r="AZ711" s="32" t="s">
        <v>2941</v>
      </c>
      <c r="BA711" s="28" t="s">
        <v>2957</v>
      </c>
      <c r="BC711" s="29">
        <f t="shared" si="709"/>
        <v>0</v>
      </c>
      <c r="BD711" s="29">
        <f t="shared" si="710"/>
        <v>0</v>
      </c>
      <c r="BE711" s="29">
        <v>0</v>
      </c>
      <c r="BF711" s="29">
        <f>711</f>
        <v>711</v>
      </c>
      <c r="BH711" s="15">
        <f t="shared" si="711"/>
        <v>0</v>
      </c>
      <c r="BI711" s="15">
        <f t="shared" si="712"/>
        <v>0</v>
      </c>
      <c r="BJ711" s="15">
        <f t="shared" si="713"/>
        <v>0</v>
      </c>
      <c r="BK711" s="15" t="s">
        <v>2969</v>
      </c>
      <c r="BL711" s="29" t="s">
        <v>1585</v>
      </c>
    </row>
    <row r="712" spans="1:64" ht="12.75">
      <c r="A712" s="4" t="s">
        <v>658</v>
      </c>
      <c r="B712" s="94" t="s">
        <v>1649</v>
      </c>
      <c r="C712" s="152" t="s">
        <v>2590</v>
      </c>
      <c r="D712" s="153"/>
      <c r="E712" s="153"/>
      <c r="F712" s="153"/>
      <c r="G712" s="94" t="s">
        <v>2850</v>
      </c>
      <c r="H712" s="73">
        <v>16</v>
      </c>
      <c r="I712" s="105">
        <v>0</v>
      </c>
      <c r="J712" s="15">
        <f t="shared" si="692"/>
        <v>0</v>
      </c>
      <c r="K712" s="15">
        <f t="shared" si="693"/>
        <v>0</v>
      </c>
      <c r="L712" s="15">
        <f t="shared" si="694"/>
        <v>0</v>
      </c>
      <c r="M712" s="25"/>
      <c r="N712" s="5"/>
      <c r="Z712" s="29">
        <f t="shared" si="695"/>
        <v>0</v>
      </c>
      <c r="AB712" s="29">
        <f t="shared" si="696"/>
        <v>0</v>
      </c>
      <c r="AC712" s="29">
        <f t="shared" si="697"/>
        <v>0</v>
      </c>
      <c r="AD712" s="29">
        <f t="shared" si="698"/>
        <v>0</v>
      </c>
      <c r="AE712" s="29">
        <f t="shared" si="699"/>
        <v>0</v>
      </c>
      <c r="AF712" s="29">
        <f t="shared" si="700"/>
        <v>0</v>
      </c>
      <c r="AG712" s="29">
        <f t="shared" si="701"/>
        <v>0</v>
      </c>
      <c r="AH712" s="29">
        <f t="shared" si="702"/>
        <v>0</v>
      </c>
      <c r="AI712" s="28" t="s">
        <v>2882</v>
      </c>
      <c r="AJ712" s="15">
        <f t="shared" si="703"/>
        <v>0</v>
      </c>
      <c r="AK712" s="15">
        <f t="shared" si="704"/>
        <v>0</v>
      </c>
      <c r="AL712" s="15">
        <f t="shared" si="705"/>
        <v>0</v>
      </c>
      <c r="AN712" s="29">
        <v>15</v>
      </c>
      <c r="AO712" s="29">
        <f t="shared" si="714"/>
        <v>0</v>
      </c>
      <c r="AP712" s="29">
        <f t="shared" si="715"/>
        <v>0</v>
      </c>
      <c r="AQ712" s="30" t="s">
        <v>7</v>
      </c>
      <c r="AV712" s="29">
        <f t="shared" si="706"/>
        <v>0</v>
      </c>
      <c r="AW712" s="29">
        <f t="shared" si="707"/>
        <v>0</v>
      </c>
      <c r="AX712" s="29">
        <f t="shared" si="708"/>
        <v>0</v>
      </c>
      <c r="AY712" s="32" t="s">
        <v>2927</v>
      </c>
      <c r="AZ712" s="32" t="s">
        <v>2941</v>
      </c>
      <c r="BA712" s="28" t="s">
        <v>2957</v>
      </c>
      <c r="BC712" s="29">
        <f t="shared" si="709"/>
        <v>0</v>
      </c>
      <c r="BD712" s="29">
        <f t="shared" si="710"/>
        <v>0</v>
      </c>
      <c r="BE712" s="29">
        <v>0</v>
      </c>
      <c r="BF712" s="29">
        <f>712</f>
        <v>712</v>
      </c>
      <c r="BH712" s="15">
        <f t="shared" si="711"/>
        <v>0</v>
      </c>
      <c r="BI712" s="15">
        <f t="shared" si="712"/>
        <v>0</v>
      </c>
      <c r="BJ712" s="15">
        <f t="shared" si="713"/>
        <v>0</v>
      </c>
      <c r="BK712" s="15" t="s">
        <v>2969</v>
      </c>
      <c r="BL712" s="29" t="s">
        <v>1585</v>
      </c>
    </row>
    <row r="713" spans="1:64" ht="12.75">
      <c r="A713" s="4" t="s">
        <v>659</v>
      </c>
      <c r="B713" s="94" t="s">
        <v>1650</v>
      </c>
      <c r="C713" s="152" t="s">
        <v>2591</v>
      </c>
      <c r="D713" s="153"/>
      <c r="E713" s="153"/>
      <c r="F713" s="153"/>
      <c r="G713" s="94" t="s">
        <v>2850</v>
      </c>
      <c r="H713" s="73">
        <v>16</v>
      </c>
      <c r="I713" s="105">
        <v>0</v>
      </c>
      <c r="J713" s="15">
        <f aca="true" t="shared" si="716" ref="J713:J744">H713*AO713</f>
        <v>0</v>
      </c>
      <c r="K713" s="15">
        <f aca="true" t="shared" si="717" ref="K713:K744">H713*AP713</f>
        <v>0</v>
      </c>
      <c r="L713" s="15">
        <f aca="true" t="shared" si="718" ref="L713:L744">H713*I713</f>
        <v>0</v>
      </c>
      <c r="M713" s="25"/>
      <c r="N713" s="5"/>
      <c r="Z713" s="29">
        <f aca="true" t="shared" si="719" ref="Z713:Z744">IF(AQ713="5",BJ713,0)</f>
        <v>0</v>
      </c>
      <c r="AB713" s="29">
        <f aca="true" t="shared" si="720" ref="AB713:AB744">IF(AQ713="1",BH713,0)</f>
        <v>0</v>
      </c>
      <c r="AC713" s="29">
        <f aca="true" t="shared" si="721" ref="AC713:AC744">IF(AQ713="1",BI713,0)</f>
        <v>0</v>
      </c>
      <c r="AD713" s="29">
        <f aca="true" t="shared" si="722" ref="AD713:AD744">IF(AQ713="7",BH713,0)</f>
        <v>0</v>
      </c>
      <c r="AE713" s="29">
        <f aca="true" t="shared" si="723" ref="AE713:AE744">IF(AQ713="7",BI713,0)</f>
        <v>0</v>
      </c>
      <c r="AF713" s="29">
        <f aca="true" t="shared" si="724" ref="AF713:AF744">IF(AQ713="2",BH713,0)</f>
        <v>0</v>
      </c>
      <c r="AG713" s="29">
        <f aca="true" t="shared" si="725" ref="AG713:AG744">IF(AQ713="2",BI713,0)</f>
        <v>0</v>
      </c>
      <c r="AH713" s="29">
        <f aca="true" t="shared" si="726" ref="AH713:AH744">IF(AQ713="0",BJ713,0)</f>
        <v>0</v>
      </c>
      <c r="AI713" s="28" t="s">
        <v>2882</v>
      </c>
      <c r="AJ713" s="15">
        <f aca="true" t="shared" si="727" ref="AJ713:AJ744">IF(AN713=0,L713,0)</f>
        <v>0</v>
      </c>
      <c r="AK713" s="15">
        <f aca="true" t="shared" si="728" ref="AK713:AK744">IF(AN713=15,L713,0)</f>
        <v>0</v>
      </c>
      <c r="AL713" s="15">
        <f aca="true" t="shared" si="729" ref="AL713:AL744">IF(AN713=21,L713,0)</f>
        <v>0</v>
      </c>
      <c r="AN713" s="29">
        <v>15</v>
      </c>
      <c r="AO713" s="29">
        <f t="shared" si="714"/>
        <v>0</v>
      </c>
      <c r="AP713" s="29">
        <f t="shared" si="715"/>
        <v>0</v>
      </c>
      <c r="AQ713" s="30" t="s">
        <v>7</v>
      </c>
      <c r="AV713" s="29">
        <f aca="true" t="shared" si="730" ref="AV713:AV744">AW713+AX713</f>
        <v>0</v>
      </c>
      <c r="AW713" s="29">
        <f aca="true" t="shared" si="731" ref="AW713:AW744">H713*AO713</f>
        <v>0</v>
      </c>
      <c r="AX713" s="29">
        <f aca="true" t="shared" si="732" ref="AX713:AX744">H713*AP713</f>
        <v>0</v>
      </c>
      <c r="AY713" s="32" t="s">
        <v>2927</v>
      </c>
      <c r="AZ713" s="32" t="s">
        <v>2941</v>
      </c>
      <c r="BA713" s="28" t="s">
        <v>2957</v>
      </c>
      <c r="BC713" s="29">
        <f aca="true" t="shared" si="733" ref="BC713:BC744">AW713+AX713</f>
        <v>0</v>
      </c>
      <c r="BD713" s="29">
        <f aca="true" t="shared" si="734" ref="BD713:BD744">I713/(100-BE713)*100</f>
        <v>0</v>
      </c>
      <c r="BE713" s="29">
        <v>0</v>
      </c>
      <c r="BF713" s="29">
        <f>713</f>
        <v>713</v>
      </c>
      <c r="BH713" s="15">
        <f aca="true" t="shared" si="735" ref="BH713:BH744">H713*AO713</f>
        <v>0</v>
      </c>
      <c r="BI713" s="15">
        <f aca="true" t="shared" si="736" ref="BI713:BI744">H713*AP713</f>
        <v>0</v>
      </c>
      <c r="BJ713" s="15">
        <f aca="true" t="shared" si="737" ref="BJ713:BJ744">H713*I713</f>
        <v>0</v>
      </c>
      <c r="BK713" s="15" t="s">
        <v>2969</v>
      </c>
      <c r="BL713" s="29" t="s">
        <v>1585</v>
      </c>
    </row>
    <row r="714" spans="1:64" ht="12.75">
      <c r="A714" s="4" t="s">
        <v>660</v>
      </c>
      <c r="B714" s="94" t="s">
        <v>1651</v>
      </c>
      <c r="C714" s="152" t="s">
        <v>2592</v>
      </c>
      <c r="D714" s="153"/>
      <c r="E714" s="153"/>
      <c r="F714" s="153"/>
      <c r="G714" s="94" t="s">
        <v>2850</v>
      </c>
      <c r="H714" s="73">
        <v>16</v>
      </c>
      <c r="I714" s="105">
        <v>0</v>
      </c>
      <c r="J714" s="15">
        <f t="shared" si="716"/>
        <v>0</v>
      </c>
      <c r="K714" s="15">
        <f t="shared" si="717"/>
        <v>0</v>
      </c>
      <c r="L714" s="15">
        <f t="shared" si="718"/>
        <v>0</v>
      </c>
      <c r="M714" s="25"/>
      <c r="N714" s="5"/>
      <c r="Z714" s="29">
        <f t="shared" si="719"/>
        <v>0</v>
      </c>
      <c r="AB714" s="29">
        <f t="shared" si="720"/>
        <v>0</v>
      </c>
      <c r="AC714" s="29">
        <f t="shared" si="721"/>
        <v>0</v>
      </c>
      <c r="AD714" s="29">
        <f t="shared" si="722"/>
        <v>0</v>
      </c>
      <c r="AE714" s="29">
        <f t="shared" si="723"/>
        <v>0</v>
      </c>
      <c r="AF714" s="29">
        <f t="shared" si="724"/>
        <v>0</v>
      </c>
      <c r="AG714" s="29">
        <f t="shared" si="725"/>
        <v>0</v>
      </c>
      <c r="AH714" s="29">
        <f t="shared" si="726"/>
        <v>0</v>
      </c>
      <c r="AI714" s="28" t="s">
        <v>2882</v>
      </c>
      <c r="AJ714" s="15">
        <f t="shared" si="727"/>
        <v>0</v>
      </c>
      <c r="AK714" s="15">
        <f t="shared" si="728"/>
        <v>0</v>
      </c>
      <c r="AL714" s="15">
        <f t="shared" si="729"/>
        <v>0</v>
      </c>
      <c r="AN714" s="29">
        <v>15</v>
      </c>
      <c r="AO714" s="29">
        <f t="shared" si="714"/>
        <v>0</v>
      </c>
      <c r="AP714" s="29">
        <f t="shared" si="715"/>
        <v>0</v>
      </c>
      <c r="AQ714" s="30" t="s">
        <v>7</v>
      </c>
      <c r="AV714" s="29">
        <f t="shared" si="730"/>
        <v>0</v>
      </c>
      <c r="AW714" s="29">
        <f t="shared" si="731"/>
        <v>0</v>
      </c>
      <c r="AX714" s="29">
        <f t="shared" si="732"/>
        <v>0</v>
      </c>
      <c r="AY714" s="32" t="s">
        <v>2927</v>
      </c>
      <c r="AZ714" s="32" t="s">
        <v>2941</v>
      </c>
      <c r="BA714" s="28" t="s">
        <v>2957</v>
      </c>
      <c r="BC714" s="29">
        <f t="shared" si="733"/>
        <v>0</v>
      </c>
      <c r="BD714" s="29">
        <f t="shared" si="734"/>
        <v>0</v>
      </c>
      <c r="BE714" s="29">
        <v>0</v>
      </c>
      <c r="BF714" s="29">
        <f>714</f>
        <v>714</v>
      </c>
      <c r="BH714" s="15">
        <f t="shared" si="735"/>
        <v>0</v>
      </c>
      <c r="BI714" s="15">
        <f t="shared" si="736"/>
        <v>0</v>
      </c>
      <c r="BJ714" s="15">
        <f t="shared" si="737"/>
        <v>0</v>
      </c>
      <c r="BK714" s="15" t="s">
        <v>2969</v>
      </c>
      <c r="BL714" s="29" t="s">
        <v>1585</v>
      </c>
    </row>
    <row r="715" spans="1:64" ht="12.75">
      <c r="A715" s="4" t="s">
        <v>661</v>
      </c>
      <c r="B715" s="94" t="s">
        <v>1652</v>
      </c>
      <c r="C715" s="152" t="s">
        <v>2593</v>
      </c>
      <c r="D715" s="153"/>
      <c r="E715" s="153"/>
      <c r="F715" s="153"/>
      <c r="G715" s="94" t="s">
        <v>2850</v>
      </c>
      <c r="H715" s="73">
        <v>10</v>
      </c>
      <c r="I715" s="105">
        <v>0</v>
      </c>
      <c r="J715" s="15">
        <f t="shared" si="716"/>
        <v>0</v>
      </c>
      <c r="K715" s="15">
        <f t="shared" si="717"/>
        <v>0</v>
      </c>
      <c r="L715" s="15">
        <f t="shared" si="718"/>
        <v>0</v>
      </c>
      <c r="M715" s="25"/>
      <c r="N715" s="5"/>
      <c r="Z715" s="29">
        <f t="shared" si="719"/>
        <v>0</v>
      </c>
      <c r="AB715" s="29">
        <f t="shared" si="720"/>
        <v>0</v>
      </c>
      <c r="AC715" s="29">
        <f t="shared" si="721"/>
        <v>0</v>
      </c>
      <c r="AD715" s="29">
        <f t="shared" si="722"/>
        <v>0</v>
      </c>
      <c r="AE715" s="29">
        <f t="shared" si="723"/>
        <v>0</v>
      </c>
      <c r="AF715" s="29">
        <f t="shared" si="724"/>
        <v>0</v>
      </c>
      <c r="AG715" s="29">
        <f t="shared" si="725"/>
        <v>0</v>
      </c>
      <c r="AH715" s="29">
        <f t="shared" si="726"/>
        <v>0</v>
      </c>
      <c r="AI715" s="28" t="s">
        <v>2882</v>
      </c>
      <c r="AJ715" s="15">
        <f t="shared" si="727"/>
        <v>0</v>
      </c>
      <c r="AK715" s="15">
        <f t="shared" si="728"/>
        <v>0</v>
      </c>
      <c r="AL715" s="15">
        <f t="shared" si="729"/>
        <v>0</v>
      </c>
      <c r="AN715" s="29">
        <v>15</v>
      </c>
      <c r="AO715" s="29">
        <f t="shared" si="714"/>
        <v>0</v>
      </c>
      <c r="AP715" s="29">
        <f t="shared" si="715"/>
        <v>0</v>
      </c>
      <c r="AQ715" s="30" t="s">
        <v>7</v>
      </c>
      <c r="AV715" s="29">
        <f t="shared" si="730"/>
        <v>0</v>
      </c>
      <c r="AW715" s="29">
        <f t="shared" si="731"/>
        <v>0</v>
      </c>
      <c r="AX715" s="29">
        <f t="shared" si="732"/>
        <v>0</v>
      </c>
      <c r="AY715" s="32" t="s">
        <v>2927</v>
      </c>
      <c r="AZ715" s="32" t="s">
        <v>2941</v>
      </c>
      <c r="BA715" s="28" t="s">
        <v>2957</v>
      </c>
      <c r="BC715" s="29">
        <f t="shared" si="733"/>
        <v>0</v>
      </c>
      <c r="BD715" s="29">
        <f t="shared" si="734"/>
        <v>0</v>
      </c>
      <c r="BE715" s="29">
        <v>0</v>
      </c>
      <c r="BF715" s="29">
        <f>715</f>
        <v>715</v>
      </c>
      <c r="BH715" s="15">
        <f t="shared" si="735"/>
        <v>0</v>
      </c>
      <c r="BI715" s="15">
        <f t="shared" si="736"/>
        <v>0</v>
      </c>
      <c r="BJ715" s="15">
        <f t="shared" si="737"/>
        <v>0</v>
      </c>
      <c r="BK715" s="15" t="s">
        <v>2969</v>
      </c>
      <c r="BL715" s="29" t="s">
        <v>1585</v>
      </c>
    </row>
    <row r="716" spans="1:64" ht="12.75">
      <c r="A716" s="4" t="s">
        <v>662</v>
      </c>
      <c r="B716" s="94" t="s">
        <v>1653</v>
      </c>
      <c r="C716" s="152" t="s">
        <v>2594</v>
      </c>
      <c r="D716" s="153"/>
      <c r="E716" s="153"/>
      <c r="F716" s="153"/>
      <c r="G716" s="94" t="s">
        <v>2850</v>
      </c>
      <c r="H716" s="73">
        <v>6</v>
      </c>
      <c r="I716" s="105">
        <v>0</v>
      </c>
      <c r="J716" s="15">
        <f t="shared" si="716"/>
        <v>0</v>
      </c>
      <c r="K716" s="15">
        <f t="shared" si="717"/>
        <v>0</v>
      </c>
      <c r="L716" s="15">
        <f t="shared" si="718"/>
        <v>0</v>
      </c>
      <c r="M716" s="25"/>
      <c r="N716" s="5"/>
      <c r="Z716" s="29">
        <f t="shared" si="719"/>
        <v>0</v>
      </c>
      <c r="AB716" s="29">
        <f t="shared" si="720"/>
        <v>0</v>
      </c>
      <c r="AC716" s="29">
        <f t="shared" si="721"/>
        <v>0</v>
      </c>
      <c r="AD716" s="29">
        <f t="shared" si="722"/>
        <v>0</v>
      </c>
      <c r="AE716" s="29">
        <f t="shared" si="723"/>
        <v>0</v>
      </c>
      <c r="AF716" s="29">
        <f t="shared" si="724"/>
        <v>0</v>
      </c>
      <c r="AG716" s="29">
        <f t="shared" si="725"/>
        <v>0</v>
      </c>
      <c r="AH716" s="29">
        <f t="shared" si="726"/>
        <v>0</v>
      </c>
      <c r="AI716" s="28" t="s">
        <v>2882</v>
      </c>
      <c r="AJ716" s="15">
        <f t="shared" si="727"/>
        <v>0</v>
      </c>
      <c r="AK716" s="15">
        <f t="shared" si="728"/>
        <v>0</v>
      </c>
      <c r="AL716" s="15">
        <f t="shared" si="729"/>
        <v>0</v>
      </c>
      <c r="AN716" s="29">
        <v>15</v>
      </c>
      <c r="AO716" s="29">
        <f t="shared" si="714"/>
        <v>0</v>
      </c>
      <c r="AP716" s="29">
        <f t="shared" si="715"/>
        <v>0</v>
      </c>
      <c r="AQ716" s="30" t="s">
        <v>7</v>
      </c>
      <c r="AV716" s="29">
        <f t="shared" si="730"/>
        <v>0</v>
      </c>
      <c r="AW716" s="29">
        <f t="shared" si="731"/>
        <v>0</v>
      </c>
      <c r="AX716" s="29">
        <f t="shared" si="732"/>
        <v>0</v>
      </c>
      <c r="AY716" s="32" t="s">
        <v>2927</v>
      </c>
      <c r="AZ716" s="32" t="s">
        <v>2941</v>
      </c>
      <c r="BA716" s="28" t="s">
        <v>2957</v>
      </c>
      <c r="BC716" s="29">
        <f t="shared" si="733"/>
        <v>0</v>
      </c>
      <c r="BD716" s="29">
        <f t="shared" si="734"/>
        <v>0</v>
      </c>
      <c r="BE716" s="29">
        <v>0</v>
      </c>
      <c r="BF716" s="29">
        <f>716</f>
        <v>716</v>
      </c>
      <c r="BH716" s="15">
        <f t="shared" si="735"/>
        <v>0</v>
      </c>
      <c r="BI716" s="15">
        <f t="shared" si="736"/>
        <v>0</v>
      </c>
      <c r="BJ716" s="15">
        <f t="shared" si="737"/>
        <v>0</v>
      </c>
      <c r="BK716" s="15" t="s">
        <v>2969</v>
      </c>
      <c r="BL716" s="29" t="s">
        <v>1585</v>
      </c>
    </row>
    <row r="717" spans="1:64" ht="12.75">
      <c r="A717" s="4" t="s">
        <v>663</v>
      </c>
      <c r="B717" s="94" t="s">
        <v>1654</v>
      </c>
      <c r="C717" s="152" t="s">
        <v>2595</v>
      </c>
      <c r="D717" s="153"/>
      <c r="E717" s="153"/>
      <c r="F717" s="153"/>
      <c r="G717" s="94" t="s">
        <v>2850</v>
      </c>
      <c r="H717" s="73">
        <v>21</v>
      </c>
      <c r="I717" s="105">
        <v>0</v>
      </c>
      <c r="J717" s="15">
        <f t="shared" si="716"/>
        <v>0</v>
      </c>
      <c r="K717" s="15">
        <f t="shared" si="717"/>
        <v>0</v>
      </c>
      <c r="L717" s="15">
        <f t="shared" si="718"/>
        <v>0</v>
      </c>
      <c r="M717" s="25"/>
      <c r="N717" s="5"/>
      <c r="Z717" s="29">
        <f t="shared" si="719"/>
        <v>0</v>
      </c>
      <c r="AB717" s="29">
        <f t="shared" si="720"/>
        <v>0</v>
      </c>
      <c r="AC717" s="29">
        <f t="shared" si="721"/>
        <v>0</v>
      </c>
      <c r="AD717" s="29">
        <f t="shared" si="722"/>
        <v>0</v>
      </c>
      <c r="AE717" s="29">
        <f t="shared" si="723"/>
        <v>0</v>
      </c>
      <c r="AF717" s="29">
        <f t="shared" si="724"/>
        <v>0</v>
      </c>
      <c r="AG717" s="29">
        <f t="shared" si="725"/>
        <v>0</v>
      </c>
      <c r="AH717" s="29">
        <f t="shared" si="726"/>
        <v>0</v>
      </c>
      <c r="AI717" s="28" t="s">
        <v>2882</v>
      </c>
      <c r="AJ717" s="15">
        <f t="shared" si="727"/>
        <v>0</v>
      </c>
      <c r="AK717" s="15">
        <f t="shared" si="728"/>
        <v>0</v>
      </c>
      <c r="AL717" s="15">
        <f t="shared" si="729"/>
        <v>0</v>
      </c>
      <c r="AN717" s="29">
        <v>15</v>
      </c>
      <c r="AO717" s="29">
        <f t="shared" si="714"/>
        <v>0</v>
      </c>
      <c r="AP717" s="29">
        <f t="shared" si="715"/>
        <v>0</v>
      </c>
      <c r="AQ717" s="30" t="s">
        <v>7</v>
      </c>
      <c r="AV717" s="29">
        <f t="shared" si="730"/>
        <v>0</v>
      </c>
      <c r="AW717" s="29">
        <f t="shared" si="731"/>
        <v>0</v>
      </c>
      <c r="AX717" s="29">
        <f t="shared" si="732"/>
        <v>0</v>
      </c>
      <c r="AY717" s="32" t="s">
        <v>2927</v>
      </c>
      <c r="AZ717" s="32" t="s">
        <v>2941</v>
      </c>
      <c r="BA717" s="28" t="s">
        <v>2957</v>
      </c>
      <c r="BC717" s="29">
        <f t="shared" si="733"/>
        <v>0</v>
      </c>
      <c r="BD717" s="29">
        <f t="shared" si="734"/>
        <v>0</v>
      </c>
      <c r="BE717" s="29">
        <v>0</v>
      </c>
      <c r="BF717" s="29">
        <f>717</f>
        <v>717</v>
      </c>
      <c r="BH717" s="15">
        <f t="shared" si="735"/>
        <v>0</v>
      </c>
      <c r="BI717" s="15">
        <f t="shared" si="736"/>
        <v>0</v>
      </c>
      <c r="BJ717" s="15">
        <f t="shared" si="737"/>
        <v>0</v>
      </c>
      <c r="BK717" s="15" t="s">
        <v>2969</v>
      </c>
      <c r="BL717" s="29" t="s">
        <v>1585</v>
      </c>
    </row>
    <row r="718" spans="1:64" ht="12.75">
      <c r="A718" s="4" t="s">
        <v>664</v>
      </c>
      <c r="B718" s="94" t="s">
        <v>1655</v>
      </c>
      <c r="C718" s="152" t="s">
        <v>2596</v>
      </c>
      <c r="D718" s="153"/>
      <c r="E718" s="153"/>
      <c r="F718" s="153"/>
      <c r="G718" s="94" t="s">
        <v>2850</v>
      </c>
      <c r="H718" s="73">
        <v>21</v>
      </c>
      <c r="I718" s="105">
        <v>0</v>
      </c>
      <c r="J718" s="15">
        <f t="shared" si="716"/>
        <v>0</v>
      </c>
      <c r="K718" s="15">
        <f t="shared" si="717"/>
        <v>0</v>
      </c>
      <c r="L718" s="15">
        <f t="shared" si="718"/>
        <v>0</v>
      </c>
      <c r="M718" s="25"/>
      <c r="N718" s="5"/>
      <c r="Z718" s="29">
        <f t="shared" si="719"/>
        <v>0</v>
      </c>
      <c r="AB718" s="29">
        <f t="shared" si="720"/>
        <v>0</v>
      </c>
      <c r="AC718" s="29">
        <f t="shared" si="721"/>
        <v>0</v>
      </c>
      <c r="AD718" s="29">
        <f t="shared" si="722"/>
        <v>0</v>
      </c>
      <c r="AE718" s="29">
        <f t="shared" si="723"/>
        <v>0</v>
      </c>
      <c r="AF718" s="29">
        <f t="shared" si="724"/>
        <v>0</v>
      </c>
      <c r="AG718" s="29">
        <f t="shared" si="725"/>
        <v>0</v>
      </c>
      <c r="AH718" s="29">
        <f t="shared" si="726"/>
        <v>0</v>
      </c>
      <c r="AI718" s="28" t="s">
        <v>2882</v>
      </c>
      <c r="AJ718" s="15">
        <f t="shared" si="727"/>
        <v>0</v>
      </c>
      <c r="AK718" s="15">
        <f t="shared" si="728"/>
        <v>0</v>
      </c>
      <c r="AL718" s="15">
        <f t="shared" si="729"/>
        <v>0</v>
      </c>
      <c r="AN718" s="29">
        <v>15</v>
      </c>
      <c r="AO718" s="29">
        <f t="shared" si="714"/>
        <v>0</v>
      </c>
      <c r="AP718" s="29">
        <f t="shared" si="715"/>
        <v>0</v>
      </c>
      <c r="AQ718" s="30" t="s">
        <v>7</v>
      </c>
      <c r="AV718" s="29">
        <f t="shared" si="730"/>
        <v>0</v>
      </c>
      <c r="AW718" s="29">
        <f t="shared" si="731"/>
        <v>0</v>
      </c>
      <c r="AX718" s="29">
        <f t="shared" si="732"/>
        <v>0</v>
      </c>
      <c r="AY718" s="32" t="s">
        <v>2927</v>
      </c>
      <c r="AZ718" s="32" t="s">
        <v>2941</v>
      </c>
      <c r="BA718" s="28" t="s">
        <v>2957</v>
      </c>
      <c r="BC718" s="29">
        <f t="shared" si="733"/>
        <v>0</v>
      </c>
      <c r="BD718" s="29">
        <f t="shared" si="734"/>
        <v>0</v>
      </c>
      <c r="BE718" s="29">
        <v>0</v>
      </c>
      <c r="BF718" s="29">
        <f>718</f>
        <v>718</v>
      </c>
      <c r="BH718" s="15">
        <f t="shared" si="735"/>
        <v>0</v>
      </c>
      <c r="BI718" s="15">
        <f t="shared" si="736"/>
        <v>0</v>
      </c>
      <c r="BJ718" s="15">
        <f t="shared" si="737"/>
        <v>0</v>
      </c>
      <c r="BK718" s="15" t="s">
        <v>2969</v>
      </c>
      <c r="BL718" s="29" t="s">
        <v>1585</v>
      </c>
    </row>
    <row r="719" spans="1:64" ht="12.75">
      <c r="A719" s="4" t="s">
        <v>665</v>
      </c>
      <c r="B719" s="94" t="s">
        <v>1654</v>
      </c>
      <c r="C719" s="152" t="s">
        <v>2597</v>
      </c>
      <c r="D719" s="153"/>
      <c r="E719" s="153"/>
      <c r="F719" s="153"/>
      <c r="G719" s="94" t="s">
        <v>2850</v>
      </c>
      <c r="H719" s="73">
        <v>13</v>
      </c>
      <c r="I719" s="105">
        <v>0</v>
      </c>
      <c r="J719" s="15">
        <f t="shared" si="716"/>
        <v>0</v>
      </c>
      <c r="K719" s="15">
        <f t="shared" si="717"/>
        <v>0</v>
      </c>
      <c r="L719" s="15">
        <f t="shared" si="718"/>
        <v>0</v>
      </c>
      <c r="M719" s="25"/>
      <c r="N719" s="5"/>
      <c r="Z719" s="29">
        <f t="shared" si="719"/>
        <v>0</v>
      </c>
      <c r="AB719" s="29">
        <f t="shared" si="720"/>
        <v>0</v>
      </c>
      <c r="AC719" s="29">
        <f t="shared" si="721"/>
        <v>0</v>
      </c>
      <c r="AD719" s="29">
        <f t="shared" si="722"/>
        <v>0</v>
      </c>
      <c r="AE719" s="29">
        <f t="shared" si="723"/>
        <v>0</v>
      </c>
      <c r="AF719" s="29">
        <f t="shared" si="724"/>
        <v>0</v>
      </c>
      <c r="AG719" s="29">
        <f t="shared" si="725"/>
        <v>0</v>
      </c>
      <c r="AH719" s="29">
        <f t="shared" si="726"/>
        <v>0</v>
      </c>
      <c r="AI719" s="28" t="s">
        <v>2882</v>
      </c>
      <c r="AJ719" s="15">
        <f t="shared" si="727"/>
        <v>0</v>
      </c>
      <c r="AK719" s="15">
        <f t="shared" si="728"/>
        <v>0</v>
      </c>
      <c r="AL719" s="15">
        <f t="shared" si="729"/>
        <v>0</v>
      </c>
      <c r="AN719" s="29">
        <v>15</v>
      </c>
      <c r="AO719" s="29">
        <f t="shared" si="714"/>
        <v>0</v>
      </c>
      <c r="AP719" s="29">
        <f t="shared" si="715"/>
        <v>0</v>
      </c>
      <c r="AQ719" s="30" t="s">
        <v>7</v>
      </c>
      <c r="AV719" s="29">
        <f t="shared" si="730"/>
        <v>0</v>
      </c>
      <c r="AW719" s="29">
        <f t="shared" si="731"/>
        <v>0</v>
      </c>
      <c r="AX719" s="29">
        <f t="shared" si="732"/>
        <v>0</v>
      </c>
      <c r="AY719" s="32" t="s">
        <v>2927</v>
      </c>
      <c r="AZ719" s="32" t="s">
        <v>2941</v>
      </c>
      <c r="BA719" s="28" t="s">
        <v>2957</v>
      </c>
      <c r="BC719" s="29">
        <f t="shared" si="733"/>
        <v>0</v>
      </c>
      <c r="BD719" s="29">
        <f t="shared" si="734"/>
        <v>0</v>
      </c>
      <c r="BE719" s="29">
        <v>0</v>
      </c>
      <c r="BF719" s="29">
        <f>719</f>
        <v>719</v>
      </c>
      <c r="BH719" s="15">
        <f t="shared" si="735"/>
        <v>0</v>
      </c>
      <c r="BI719" s="15">
        <f t="shared" si="736"/>
        <v>0</v>
      </c>
      <c r="BJ719" s="15">
        <f t="shared" si="737"/>
        <v>0</v>
      </c>
      <c r="BK719" s="15" t="s">
        <v>2969</v>
      </c>
      <c r="BL719" s="29" t="s">
        <v>1585</v>
      </c>
    </row>
    <row r="720" spans="1:64" ht="12.75">
      <c r="A720" s="4" t="s">
        <v>666</v>
      </c>
      <c r="B720" s="94" t="s">
        <v>1655</v>
      </c>
      <c r="C720" s="152" t="s">
        <v>2597</v>
      </c>
      <c r="D720" s="153"/>
      <c r="E720" s="153"/>
      <c r="F720" s="153"/>
      <c r="G720" s="94" t="s">
        <v>2850</v>
      </c>
      <c r="H720" s="73">
        <v>13</v>
      </c>
      <c r="I720" s="105">
        <v>0</v>
      </c>
      <c r="J720" s="15">
        <f t="shared" si="716"/>
        <v>0</v>
      </c>
      <c r="K720" s="15">
        <f t="shared" si="717"/>
        <v>0</v>
      </c>
      <c r="L720" s="15">
        <f t="shared" si="718"/>
        <v>0</v>
      </c>
      <c r="M720" s="25"/>
      <c r="N720" s="5"/>
      <c r="Z720" s="29">
        <f t="shared" si="719"/>
        <v>0</v>
      </c>
      <c r="AB720" s="29">
        <f t="shared" si="720"/>
        <v>0</v>
      </c>
      <c r="AC720" s="29">
        <f t="shared" si="721"/>
        <v>0</v>
      </c>
      <c r="AD720" s="29">
        <f t="shared" si="722"/>
        <v>0</v>
      </c>
      <c r="AE720" s="29">
        <f t="shared" si="723"/>
        <v>0</v>
      </c>
      <c r="AF720" s="29">
        <f t="shared" si="724"/>
        <v>0</v>
      </c>
      <c r="AG720" s="29">
        <f t="shared" si="725"/>
        <v>0</v>
      </c>
      <c r="AH720" s="29">
        <f t="shared" si="726"/>
        <v>0</v>
      </c>
      <c r="AI720" s="28" t="s">
        <v>2882</v>
      </c>
      <c r="AJ720" s="15">
        <f t="shared" si="727"/>
        <v>0</v>
      </c>
      <c r="AK720" s="15">
        <f t="shared" si="728"/>
        <v>0</v>
      </c>
      <c r="AL720" s="15">
        <f t="shared" si="729"/>
        <v>0</v>
      </c>
      <c r="AN720" s="29">
        <v>15</v>
      </c>
      <c r="AO720" s="29">
        <f t="shared" si="714"/>
        <v>0</v>
      </c>
      <c r="AP720" s="29">
        <f t="shared" si="715"/>
        <v>0</v>
      </c>
      <c r="AQ720" s="30" t="s">
        <v>7</v>
      </c>
      <c r="AV720" s="29">
        <f t="shared" si="730"/>
        <v>0</v>
      </c>
      <c r="AW720" s="29">
        <f t="shared" si="731"/>
        <v>0</v>
      </c>
      <c r="AX720" s="29">
        <f t="shared" si="732"/>
        <v>0</v>
      </c>
      <c r="AY720" s="32" t="s">
        <v>2927</v>
      </c>
      <c r="AZ720" s="32" t="s">
        <v>2941</v>
      </c>
      <c r="BA720" s="28" t="s">
        <v>2957</v>
      </c>
      <c r="BC720" s="29">
        <f t="shared" si="733"/>
        <v>0</v>
      </c>
      <c r="BD720" s="29">
        <f t="shared" si="734"/>
        <v>0</v>
      </c>
      <c r="BE720" s="29">
        <v>0</v>
      </c>
      <c r="BF720" s="29">
        <f>720</f>
        <v>720</v>
      </c>
      <c r="BH720" s="15">
        <f t="shared" si="735"/>
        <v>0</v>
      </c>
      <c r="BI720" s="15">
        <f t="shared" si="736"/>
        <v>0</v>
      </c>
      <c r="BJ720" s="15">
        <f t="shared" si="737"/>
        <v>0</v>
      </c>
      <c r="BK720" s="15" t="s">
        <v>2969</v>
      </c>
      <c r="BL720" s="29" t="s">
        <v>1585</v>
      </c>
    </row>
    <row r="721" spans="1:64" ht="12.75">
      <c r="A721" s="4" t="s">
        <v>667</v>
      </c>
      <c r="B721" s="94" t="s">
        <v>1656</v>
      </c>
      <c r="C721" s="152" t="s">
        <v>2598</v>
      </c>
      <c r="D721" s="153"/>
      <c r="E721" s="153"/>
      <c r="F721" s="153"/>
      <c r="G721" s="94" t="s">
        <v>2850</v>
      </c>
      <c r="H721" s="73">
        <v>55</v>
      </c>
      <c r="I721" s="105">
        <v>0</v>
      </c>
      <c r="J721" s="15">
        <f t="shared" si="716"/>
        <v>0</v>
      </c>
      <c r="K721" s="15">
        <f t="shared" si="717"/>
        <v>0</v>
      </c>
      <c r="L721" s="15">
        <f t="shared" si="718"/>
        <v>0</v>
      </c>
      <c r="M721" s="25"/>
      <c r="N721" s="5"/>
      <c r="Z721" s="29">
        <f t="shared" si="719"/>
        <v>0</v>
      </c>
      <c r="AB721" s="29">
        <f t="shared" si="720"/>
        <v>0</v>
      </c>
      <c r="AC721" s="29">
        <f t="shared" si="721"/>
        <v>0</v>
      </c>
      <c r="AD721" s="29">
        <f t="shared" si="722"/>
        <v>0</v>
      </c>
      <c r="AE721" s="29">
        <f t="shared" si="723"/>
        <v>0</v>
      </c>
      <c r="AF721" s="29">
        <f t="shared" si="724"/>
        <v>0</v>
      </c>
      <c r="AG721" s="29">
        <f t="shared" si="725"/>
        <v>0</v>
      </c>
      <c r="AH721" s="29">
        <f t="shared" si="726"/>
        <v>0</v>
      </c>
      <c r="AI721" s="28" t="s">
        <v>2882</v>
      </c>
      <c r="AJ721" s="15">
        <f t="shared" si="727"/>
        <v>0</v>
      </c>
      <c r="AK721" s="15">
        <f t="shared" si="728"/>
        <v>0</v>
      </c>
      <c r="AL721" s="15">
        <f t="shared" si="729"/>
        <v>0</v>
      </c>
      <c r="AN721" s="29">
        <v>15</v>
      </c>
      <c r="AO721" s="29">
        <f t="shared" si="714"/>
        <v>0</v>
      </c>
      <c r="AP721" s="29">
        <f t="shared" si="715"/>
        <v>0</v>
      </c>
      <c r="AQ721" s="30" t="s">
        <v>7</v>
      </c>
      <c r="AV721" s="29">
        <f t="shared" si="730"/>
        <v>0</v>
      </c>
      <c r="AW721" s="29">
        <f t="shared" si="731"/>
        <v>0</v>
      </c>
      <c r="AX721" s="29">
        <f t="shared" si="732"/>
        <v>0</v>
      </c>
      <c r="AY721" s="32" t="s">
        <v>2927</v>
      </c>
      <c r="AZ721" s="32" t="s">
        <v>2941</v>
      </c>
      <c r="BA721" s="28" t="s">
        <v>2957</v>
      </c>
      <c r="BC721" s="29">
        <f t="shared" si="733"/>
        <v>0</v>
      </c>
      <c r="BD721" s="29">
        <f t="shared" si="734"/>
        <v>0</v>
      </c>
      <c r="BE721" s="29">
        <v>0</v>
      </c>
      <c r="BF721" s="29">
        <f>721</f>
        <v>721</v>
      </c>
      <c r="BH721" s="15">
        <f t="shared" si="735"/>
        <v>0</v>
      </c>
      <c r="BI721" s="15">
        <f t="shared" si="736"/>
        <v>0</v>
      </c>
      <c r="BJ721" s="15">
        <f t="shared" si="737"/>
        <v>0</v>
      </c>
      <c r="BK721" s="15" t="s">
        <v>2969</v>
      </c>
      <c r="BL721" s="29" t="s">
        <v>1585</v>
      </c>
    </row>
    <row r="722" spans="1:64" ht="12.75">
      <c r="A722" s="4" t="s">
        <v>668</v>
      </c>
      <c r="B722" s="94" t="s">
        <v>1657</v>
      </c>
      <c r="C722" s="152" t="s">
        <v>2599</v>
      </c>
      <c r="D722" s="153"/>
      <c r="E722" s="153"/>
      <c r="F722" s="153"/>
      <c r="G722" s="94" t="s">
        <v>2850</v>
      </c>
      <c r="H722" s="73">
        <v>46</v>
      </c>
      <c r="I722" s="105">
        <v>0</v>
      </c>
      <c r="J722" s="15">
        <f t="shared" si="716"/>
        <v>0</v>
      </c>
      <c r="K722" s="15">
        <f t="shared" si="717"/>
        <v>0</v>
      </c>
      <c r="L722" s="15">
        <f t="shared" si="718"/>
        <v>0</v>
      </c>
      <c r="M722" s="25"/>
      <c r="N722" s="5"/>
      <c r="Z722" s="29">
        <f t="shared" si="719"/>
        <v>0</v>
      </c>
      <c r="AB722" s="29">
        <f t="shared" si="720"/>
        <v>0</v>
      </c>
      <c r="AC722" s="29">
        <f t="shared" si="721"/>
        <v>0</v>
      </c>
      <c r="AD722" s="29">
        <f t="shared" si="722"/>
        <v>0</v>
      </c>
      <c r="AE722" s="29">
        <f t="shared" si="723"/>
        <v>0</v>
      </c>
      <c r="AF722" s="29">
        <f t="shared" si="724"/>
        <v>0</v>
      </c>
      <c r="AG722" s="29">
        <f t="shared" si="725"/>
        <v>0</v>
      </c>
      <c r="AH722" s="29">
        <f t="shared" si="726"/>
        <v>0</v>
      </c>
      <c r="AI722" s="28" t="s">
        <v>2882</v>
      </c>
      <c r="AJ722" s="15">
        <f t="shared" si="727"/>
        <v>0</v>
      </c>
      <c r="AK722" s="15">
        <f t="shared" si="728"/>
        <v>0</v>
      </c>
      <c r="AL722" s="15">
        <f t="shared" si="729"/>
        <v>0</v>
      </c>
      <c r="AN722" s="29">
        <v>15</v>
      </c>
      <c r="AO722" s="29">
        <f t="shared" si="714"/>
        <v>0</v>
      </c>
      <c r="AP722" s="29">
        <f t="shared" si="715"/>
        <v>0</v>
      </c>
      <c r="AQ722" s="30" t="s">
        <v>7</v>
      </c>
      <c r="AV722" s="29">
        <f t="shared" si="730"/>
        <v>0</v>
      </c>
      <c r="AW722" s="29">
        <f t="shared" si="731"/>
        <v>0</v>
      </c>
      <c r="AX722" s="29">
        <f t="shared" si="732"/>
        <v>0</v>
      </c>
      <c r="AY722" s="32" t="s">
        <v>2927</v>
      </c>
      <c r="AZ722" s="32" t="s">
        <v>2941</v>
      </c>
      <c r="BA722" s="28" t="s">
        <v>2957</v>
      </c>
      <c r="BC722" s="29">
        <f t="shared" si="733"/>
        <v>0</v>
      </c>
      <c r="BD722" s="29">
        <f t="shared" si="734"/>
        <v>0</v>
      </c>
      <c r="BE722" s="29">
        <v>0</v>
      </c>
      <c r="BF722" s="29">
        <f>722</f>
        <v>722</v>
      </c>
      <c r="BH722" s="15">
        <f t="shared" si="735"/>
        <v>0</v>
      </c>
      <c r="BI722" s="15">
        <f t="shared" si="736"/>
        <v>0</v>
      </c>
      <c r="BJ722" s="15">
        <f t="shared" si="737"/>
        <v>0</v>
      </c>
      <c r="BK722" s="15" t="s">
        <v>2969</v>
      </c>
      <c r="BL722" s="29" t="s">
        <v>1585</v>
      </c>
    </row>
    <row r="723" spans="1:64" ht="12.75">
      <c r="A723" s="4" t="s">
        <v>669</v>
      </c>
      <c r="B723" s="94" t="s">
        <v>1658</v>
      </c>
      <c r="C723" s="152" t="s">
        <v>2600</v>
      </c>
      <c r="D723" s="153"/>
      <c r="E723" s="153"/>
      <c r="F723" s="153"/>
      <c r="G723" s="94" t="s">
        <v>2850</v>
      </c>
      <c r="H723" s="73">
        <v>7</v>
      </c>
      <c r="I723" s="105">
        <v>0</v>
      </c>
      <c r="J723" s="15">
        <f t="shared" si="716"/>
        <v>0</v>
      </c>
      <c r="K723" s="15">
        <f t="shared" si="717"/>
        <v>0</v>
      </c>
      <c r="L723" s="15">
        <f t="shared" si="718"/>
        <v>0</v>
      </c>
      <c r="M723" s="25"/>
      <c r="N723" s="5"/>
      <c r="Z723" s="29">
        <f t="shared" si="719"/>
        <v>0</v>
      </c>
      <c r="AB723" s="29">
        <f t="shared" si="720"/>
        <v>0</v>
      </c>
      <c r="AC723" s="29">
        <f t="shared" si="721"/>
        <v>0</v>
      </c>
      <c r="AD723" s="29">
        <f t="shared" si="722"/>
        <v>0</v>
      </c>
      <c r="AE723" s="29">
        <f t="shared" si="723"/>
        <v>0</v>
      </c>
      <c r="AF723" s="29">
        <f t="shared" si="724"/>
        <v>0</v>
      </c>
      <c r="AG723" s="29">
        <f t="shared" si="725"/>
        <v>0</v>
      </c>
      <c r="AH723" s="29">
        <f t="shared" si="726"/>
        <v>0</v>
      </c>
      <c r="AI723" s="28" t="s">
        <v>2882</v>
      </c>
      <c r="AJ723" s="15">
        <f t="shared" si="727"/>
        <v>0</v>
      </c>
      <c r="AK723" s="15">
        <f t="shared" si="728"/>
        <v>0</v>
      </c>
      <c r="AL723" s="15">
        <f t="shared" si="729"/>
        <v>0</v>
      </c>
      <c r="AN723" s="29">
        <v>15</v>
      </c>
      <c r="AO723" s="29">
        <f t="shared" si="714"/>
        <v>0</v>
      </c>
      <c r="AP723" s="29">
        <f t="shared" si="715"/>
        <v>0</v>
      </c>
      <c r="AQ723" s="30" t="s">
        <v>7</v>
      </c>
      <c r="AV723" s="29">
        <f t="shared" si="730"/>
        <v>0</v>
      </c>
      <c r="AW723" s="29">
        <f t="shared" si="731"/>
        <v>0</v>
      </c>
      <c r="AX723" s="29">
        <f t="shared" si="732"/>
        <v>0</v>
      </c>
      <c r="AY723" s="32" t="s">
        <v>2927</v>
      </c>
      <c r="AZ723" s="32" t="s">
        <v>2941</v>
      </c>
      <c r="BA723" s="28" t="s">
        <v>2957</v>
      </c>
      <c r="BC723" s="29">
        <f t="shared" si="733"/>
        <v>0</v>
      </c>
      <c r="BD723" s="29">
        <f t="shared" si="734"/>
        <v>0</v>
      </c>
      <c r="BE723" s="29">
        <v>0</v>
      </c>
      <c r="BF723" s="29">
        <f>723</f>
        <v>723</v>
      </c>
      <c r="BH723" s="15">
        <f t="shared" si="735"/>
        <v>0</v>
      </c>
      <c r="BI723" s="15">
        <f t="shared" si="736"/>
        <v>0</v>
      </c>
      <c r="BJ723" s="15">
        <f t="shared" si="737"/>
        <v>0</v>
      </c>
      <c r="BK723" s="15" t="s">
        <v>2969</v>
      </c>
      <c r="BL723" s="29" t="s">
        <v>1585</v>
      </c>
    </row>
    <row r="724" spans="1:64" ht="12.75">
      <c r="A724" s="4" t="s">
        <v>670</v>
      </c>
      <c r="B724" s="94" t="s">
        <v>1659</v>
      </c>
      <c r="C724" s="152" t="s">
        <v>2601</v>
      </c>
      <c r="D724" s="153"/>
      <c r="E724" s="153"/>
      <c r="F724" s="153"/>
      <c r="G724" s="94" t="s">
        <v>2850</v>
      </c>
      <c r="H724" s="73">
        <v>2</v>
      </c>
      <c r="I724" s="105">
        <v>0</v>
      </c>
      <c r="J724" s="15">
        <f t="shared" si="716"/>
        <v>0</v>
      </c>
      <c r="K724" s="15">
        <f t="shared" si="717"/>
        <v>0</v>
      </c>
      <c r="L724" s="15">
        <f t="shared" si="718"/>
        <v>0</v>
      </c>
      <c r="M724" s="25"/>
      <c r="N724" s="5"/>
      <c r="Z724" s="29">
        <f t="shared" si="719"/>
        <v>0</v>
      </c>
      <c r="AB724" s="29">
        <f t="shared" si="720"/>
        <v>0</v>
      </c>
      <c r="AC724" s="29">
        <f t="shared" si="721"/>
        <v>0</v>
      </c>
      <c r="AD724" s="29">
        <f t="shared" si="722"/>
        <v>0</v>
      </c>
      <c r="AE724" s="29">
        <f t="shared" si="723"/>
        <v>0</v>
      </c>
      <c r="AF724" s="29">
        <f t="shared" si="724"/>
        <v>0</v>
      </c>
      <c r="AG724" s="29">
        <f t="shared" si="725"/>
        <v>0</v>
      </c>
      <c r="AH724" s="29">
        <f t="shared" si="726"/>
        <v>0</v>
      </c>
      <c r="AI724" s="28" t="s">
        <v>2882</v>
      </c>
      <c r="AJ724" s="15">
        <f t="shared" si="727"/>
        <v>0</v>
      </c>
      <c r="AK724" s="15">
        <f t="shared" si="728"/>
        <v>0</v>
      </c>
      <c r="AL724" s="15">
        <f t="shared" si="729"/>
        <v>0</v>
      </c>
      <c r="AN724" s="29">
        <v>15</v>
      </c>
      <c r="AO724" s="29">
        <f t="shared" si="714"/>
        <v>0</v>
      </c>
      <c r="AP724" s="29">
        <f t="shared" si="715"/>
        <v>0</v>
      </c>
      <c r="AQ724" s="30" t="s">
        <v>7</v>
      </c>
      <c r="AV724" s="29">
        <f t="shared" si="730"/>
        <v>0</v>
      </c>
      <c r="AW724" s="29">
        <f t="shared" si="731"/>
        <v>0</v>
      </c>
      <c r="AX724" s="29">
        <f t="shared" si="732"/>
        <v>0</v>
      </c>
      <c r="AY724" s="32" t="s">
        <v>2927</v>
      </c>
      <c r="AZ724" s="32" t="s">
        <v>2941</v>
      </c>
      <c r="BA724" s="28" t="s">
        <v>2957</v>
      </c>
      <c r="BC724" s="29">
        <f t="shared" si="733"/>
        <v>0</v>
      </c>
      <c r="BD724" s="29">
        <f t="shared" si="734"/>
        <v>0</v>
      </c>
      <c r="BE724" s="29">
        <v>0</v>
      </c>
      <c r="BF724" s="29">
        <f>724</f>
        <v>724</v>
      </c>
      <c r="BH724" s="15">
        <f t="shared" si="735"/>
        <v>0</v>
      </c>
      <c r="BI724" s="15">
        <f t="shared" si="736"/>
        <v>0</v>
      </c>
      <c r="BJ724" s="15">
        <f t="shared" si="737"/>
        <v>0</v>
      </c>
      <c r="BK724" s="15" t="s">
        <v>2969</v>
      </c>
      <c r="BL724" s="29" t="s">
        <v>1585</v>
      </c>
    </row>
    <row r="725" spans="1:64" ht="12.75">
      <c r="A725" s="4" t="s">
        <v>671</v>
      </c>
      <c r="B725" s="94" t="s">
        <v>1660</v>
      </c>
      <c r="C725" s="152" t="s">
        <v>2602</v>
      </c>
      <c r="D725" s="153"/>
      <c r="E725" s="153"/>
      <c r="F725" s="153"/>
      <c r="G725" s="94" t="s">
        <v>2850</v>
      </c>
      <c r="H725" s="73">
        <v>4</v>
      </c>
      <c r="I725" s="105">
        <v>0</v>
      </c>
      <c r="J725" s="15">
        <f t="shared" si="716"/>
        <v>0</v>
      </c>
      <c r="K725" s="15">
        <f t="shared" si="717"/>
        <v>0</v>
      </c>
      <c r="L725" s="15">
        <f t="shared" si="718"/>
        <v>0</v>
      </c>
      <c r="M725" s="25"/>
      <c r="N725" s="5"/>
      <c r="Z725" s="29">
        <f t="shared" si="719"/>
        <v>0</v>
      </c>
      <c r="AB725" s="29">
        <f t="shared" si="720"/>
        <v>0</v>
      </c>
      <c r="AC725" s="29">
        <f t="shared" si="721"/>
        <v>0</v>
      </c>
      <c r="AD725" s="29">
        <f t="shared" si="722"/>
        <v>0</v>
      </c>
      <c r="AE725" s="29">
        <f t="shared" si="723"/>
        <v>0</v>
      </c>
      <c r="AF725" s="29">
        <f t="shared" si="724"/>
        <v>0</v>
      </c>
      <c r="AG725" s="29">
        <f t="shared" si="725"/>
        <v>0</v>
      </c>
      <c r="AH725" s="29">
        <f t="shared" si="726"/>
        <v>0</v>
      </c>
      <c r="AI725" s="28" t="s">
        <v>2882</v>
      </c>
      <c r="AJ725" s="15">
        <f t="shared" si="727"/>
        <v>0</v>
      </c>
      <c r="AK725" s="15">
        <f t="shared" si="728"/>
        <v>0</v>
      </c>
      <c r="AL725" s="15">
        <f t="shared" si="729"/>
        <v>0</v>
      </c>
      <c r="AN725" s="29">
        <v>15</v>
      </c>
      <c r="AO725" s="29">
        <f t="shared" si="714"/>
        <v>0</v>
      </c>
      <c r="AP725" s="29">
        <f t="shared" si="715"/>
        <v>0</v>
      </c>
      <c r="AQ725" s="30" t="s">
        <v>7</v>
      </c>
      <c r="AV725" s="29">
        <f t="shared" si="730"/>
        <v>0</v>
      </c>
      <c r="AW725" s="29">
        <f t="shared" si="731"/>
        <v>0</v>
      </c>
      <c r="AX725" s="29">
        <f t="shared" si="732"/>
        <v>0</v>
      </c>
      <c r="AY725" s="32" t="s">
        <v>2927</v>
      </c>
      <c r="AZ725" s="32" t="s">
        <v>2941</v>
      </c>
      <c r="BA725" s="28" t="s">
        <v>2957</v>
      </c>
      <c r="BC725" s="29">
        <f t="shared" si="733"/>
        <v>0</v>
      </c>
      <c r="BD725" s="29">
        <f t="shared" si="734"/>
        <v>0</v>
      </c>
      <c r="BE725" s="29">
        <v>0</v>
      </c>
      <c r="BF725" s="29">
        <f>725</f>
        <v>725</v>
      </c>
      <c r="BH725" s="15">
        <f t="shared" si="735"/>
        <v>0</v>
      </c>
      <c r="BI725" s="15">
        <f t="shared" si="736"/>
        <v>0</v>
      </c>
      <c r="BJ725" s="15">
        <f t="shared" si="737"/>
        <v>0</v>
      </c>
      <c r="BK725" s="15" t="s">
        <v>2969</v>
      </c>
      <c r="BL725" s="29" t="s">
        <v>1585</v>
      </c>
    </row>
    <row r="726" spans="1:64" ht="12.75">
      <c r="A726" s="4" t="s">
        <v>672</v>
      </c>
      <c r="B726" s="94" t="s">
        <v>1661</v>
      </c>
      <c r="C726" s="152" t="s">
        <v>2603</v>
      </c>
      <c r="D726" s="153"/>
      <c r="E726" s="153"/>
      <c r="F726" s="153"/>
      <c r="G726" s="94" t="s">
        <v>2850</v>
      </c>
      <c r="H726" s="73">
        <v>4</v>
      </c>
      <c r="I726" s="105">
        <v>0</v>
      </c>
      <c r="J726" s="15">
        <f t="shared" si="716"/>
        <v>0</v>
      </c>
      <c r="K726" s="15">
        <f t="shared" si="717"/>
        <v>0</v>
      </c>
      <c r="L726" s="15">
        <f t="shared" si="718"/>
        <v>0</v>
      </c>
      <c r="M726" s="25"/>
      <c r="N726" s="5"/>
      <c r="Z726" s="29">
        <f t="shared" si="719"/>
        <v>0</v>
      </c>
      <c r="AB726" s="29">
        <f t="shared" si="720"/>
        <v>0</v>
      </c>
      <c r="AC726" s="29">
        <f t="shared" si="721"/>
        <v>0</v>
      </c>
      <c r="AD726" s="29">
        <f t="shared" si="722"/>
        <v>0</v>
      </c>
      <c r="AE726" s="29">
        <f t="shared" si="723"/>
        <v>0</v>
      </c>
      <c r="AF726" s="29">
        <f t="shared" si="724"/>
        <v>0</v>
      </c>
      <c r="AG726" s="29">
        <f t="shared" si="725"/>
        <v>0</v>
      </c>
      <c r="AH726" s="29">
        <f t="shared" si="726"/>
        <v>0</v>
      </c>
      <c r="AI726" s="28" t="s">
        <v>2882</v>
      </c>
      <c r="AJ726" s="15">
        <f t="shared" si="727"/>
        <v>0</v>
      </c>
      <c r="AK726" s="15">
        <f t="shared" si="728"/>
        <v>0</v>
      </c>
      <c r="AL726" s="15">
        <f t="shared" si="729"/>
        <v>0</v>
      </c>
      <c r="AN726" s="29">
        <v>15</v>
      </c>
      <c r="AO726" s="29">
        <f t="shared" si="714"/>
        <v>0</v>
      </c>
      <c r="AP726" s="29">
        <f t="shared" si="715"/>
        <v>0</v>
      </c>
      <c r="AQ726" s="30" t="s">
        <v>7</v>
      </c>
      <c r="AV726" s="29">
        <f t="shared" si="730"/>
        <v>0</v>
      </c>
      <c r="AW726" s="29">
        <f t="shared" si="731"/>
        <v>0</v>
      </c>
      <c r="AX726" s="29">
        <f t="shared" si="732"/>
        <v>0</v>
      </c>
      <c r="AY726" s="32" t="s">
        <v>2927</v>
      </c>
      <c r="AZ726" s="32" t="s">
        <v>2941</v>
      </c>
      <c r="BA726" s="28" t="s">
        <v>2957</v>
      </c>
      <c r="BC726" s="29">
        <f t="shared" si="733"/>
        <v>0</v>
      </c>
      <c r="BD726" s="29">
        <f t="shared" si="734"/>
        <v>0</v>
      </c>
      <c r="BE726" s="29">
        <v>0</v>
      </c>
      <c r="BF726" s="29">
        <f>726</f>
        <v>726</v>
      </c>
      <c r="BH726" s="15">
        <f t="shared" si="735"/>
        <v>0</v>
      </c>
      <c r="BI726" s="15">
        <f t="shared" si="736"/>
        <v>0</v>
      </c>
      <c r="BJ726" s="15">
        <f t="shared" si="737"/>
        <v>0</v>
      </c>
      <c r="BK726" s="15" t="s">
        <v>2969</v>
      </c>
      <c r="BL726" s="29" t="s">
        <v>1585</v>
      </c>
    </row>
    <row r="727" spans="1:64" ht="12.75">
      <c r="A727" s="4" t="s">
        <v>673</v>
      </c>
      <c r="B727" s="94" t="s">
        <v>1660</v>
      </c>
      <c r="C727" s="152" t="s">
        <v>2604</v>
      </c>
      <c r="D727" s="153"/>
      <c r="E727" s="153"/>
      <c r="F727" s="153"/>
      <c r="G727" s="94" t="s">
        <v>2850</v>
      </c>
      <c r="H727" s="73">
        <v>1</v>
      </c>
      <c r="I727" s="105">
        <v>0</v>
      </c>
      <c r="J727" s="15">
        <f t="shared" si="716"/>
        <v>0</v>
      </c>
      <c r="K727" s="15">
        <f t="shared" si="717"/>
        <v>0</v>
      </c>
      <c r="L727" s="15">
        <f t="shared" si="718"/>
        <v>0</v>
      </c>
      <c r="M727" s="25"/>
      <c r="N727" s="5"/>
      <c r="Z727" s="29">
        <f t="shared" si="719"/>
        <v>0</v>
      </c>
      <c r="AB727" s="29">
        <f t="shared" si="720"/>
        <v>0</v>
      </c>
      <c r="AC727" s="29">
        <f t="shared" si="721"/>
        <v>0</v>
      </c>
      <c r="AD727" s="29">
        <f t="shared" si="722"/>
        <v>0</v>
      </c>
      <c r="AE727" s="29">
        <f t="shared" si="723"/>
        <v>0</v>
      </c>
      <c r="AF727" s="29">
        <f t="shared" si="724"/>
        <v>0</v>
      </c>
      <c r="AG727" s="29">
        <f t="shared" si="725"/>
        <v>0</v>
      </c>
      <c r="AH727" s="29">
        <f t="shared" si="726"/>
        <v>0</v>
      </c>
      <c r="AI727" s="28" t="s">
        <v>2882</v>
      </c>
      <c r="AJ727" s="15">
        <f t="shared" si="727"/>
        <v>0</v>
      </c>
      <c r="AK727" s="15">
        <f t="shared" si="728"/>
        <v>0</v>
      </c>
      <c r="AL727" s="15">
        <f t="shared" si="729"/>
        <v>0</v>
      </c>
      <c r="AN727" s="29">
        <v>15</v>
      </c>
      <c r="AO727" s="29">
        <f t="shared" si="714"/>
        <v>0</v>
      </c>
      <c r="AP727" s="29">
        <f t="shared" si="715"/>
        <v>0</v>
      </c>
      <c r="AQ727" s="30" t="s">
        <v>7</v>
      </c>
      <c r="AV727" s="29">
        <f t="shared" si="730"/>
        <v>0</v>
      </c>
      <c r="AW727" s="29">
        <f t="shared" si="731"/>
        <v>0</v>
      </c>
      <c r="AX727" s="29">
        <f t="shared" si="732"/>
        <v>0</v>
      </c>
      <c r="AY727" s="32" t="s">
        <v>2927</v>
      </c>
      <c r="AZ727" s="32" t="s">
        <v>2941</v>
      </c>
      <c r="BA727" s="28" t="s">
        <v>2957</v>
      </c>
      <c r="BC727" s="29">
        <f t="shared" si="733"/>
        <v>0</v>
      </c>
      <c r="BD727" s="29">
        <f t="shared" si="734"/>
        <v>0</v>
      </c>
      <c r="BE727" s="29">
        <v>0</v>
      </c>
      <c r="BF727" s="29">
        <f>727</f>
        <v>727</v>
      </c>
      <c r="BH727" s="15">
        <f t="shared" si="735"/>
        <v>0</v>
      </c>
      <c r="BI727" s="15">
        <f t="shared" si="736"/>
        <v>0</v>
      </c>
      <c r="BJ727" s="15">
        <f t="shared" si="737"/>
        <v>0</v>
      </c>
      <c r="BK727" s="15" t="s">
        <v>2969</v>
      </c>
      <c r="BL727" s="29" t="s">
        <v>1585</v>
      </c>
    </row>
    <row r="728" spans="1:64" ht="12.75">
      <c r="A728" s="4" t="s">
        <v>674</v>
      </c>
      <c r="B728" s="94" t="s">
        <v>1661</v>
      </c>
      <c r="C728" s="152" t="s">
        <v>2604</v>
      </c>
      <c r="D728" s="153"/>
      <c r="E728" s="153"/>
      <c r="F728" s="153"/>
      <c r="G728" s="94" t="s">
        <v>2850</v>
      </c>
      <c r="H728" s="73">
        <v>1</v>
      </c>
      <c r="I728" s="105">
        <v>0</v>
      </c>
      <c r="J728" s="15">
        <f t="shared" si="716"/>
        <v>0</v>
      </c>
      <c r="K728" s="15">
        <f t="shared" si="717"/>
        <v>0</v>
      </c>
      <c r="L728" s="15">
        <f t="shared" si="718"/>
        <v>0</v>
      </c>
      <c r="M728" s="25"/>
      <c r="N728" s="5"/>
      <c r="Z728" s="29">
        <f t="shared" si="719"/>
        <v>0</v>
      </c>
      <c r="AB728" s="29">
        <f t="shared" si="720"/>
        <v>0</v>
      </c>
      <c r="AC728" s="29">
        <f t="shared" si="721"/>
        <v>0</v>
      </c>
      <c r="AD728" s="29">
        <f t="shared" si="722"/>
        <v>0</v>
      </c>
      <c r="AE728" s="29">
        <f t="shared" si="723"/>
        <v>0</v>
      </c>
      <c r="AF728" s="29">
        <f t="shared" si="724"/>
        <v>0</v>
      </c>
      <c r="AG728" s="29">
        <f t="shared" si="725"/>
        <v>0</v>
      </c>
      <c r="AH728" s="29">
        <f t="shared" si="726"/>
        <v>0</v>
      </c>
      <c r="AI728" s="28" t="s">
        <v>2882</v>
      </c>
      <c r="AJ728" s="15">
        <f t="shared" si="727"/>
        <v>0</v>
      </c>
      <c r="AK728" s="15">
        <f t="shared" si="728"/>
        <v>0</v>
      </c>
      <c r="AL728" s="15">
        <f t="shared" si="729"/>
        <v>0</v>
      </c>
      <c r="AN728" s="29">
        <v>15</v>
      </c>
      <c r="AO728" s="29">
        <f t="shared" si="714"/>
        <v>0</v>
      </c>
      <c r="AP728" s="29">
        <f t="shared" si="715"/>
        <v>0</v>
      </c>
      <c r="AQ728" s="30" t="s">
        <v>7</v>
      </c>
      <c r="AV728" s="29">
        <f t="shared" si="730"/>
        <v>0</v>
      </c>
      <c r="AW728" s="29">
        <f t="shared" si="731"/>
        <v>0</v>
      </c>
      <c r="AX728" s="29">
        <f t="shared" si="732"/>
        <v>0</v>
      </c>
      <c r="AY728" s="32" t="s">
        <v>2927</v>
      </c>
      <c r="AZ728" s="32" t="s">
        <v>2941</v>
      </c>
      <c r="BA728" s="28" t="s">
        <v>2957</v>
      </c>
      <c r="BC728" s="29">
        <f t="shared" si="733"/>
        <v>0</v>
      </c>
      <c r="BD728" s="29">
        <f t="shared" si="734"/>
        <v>0</v>
      </c>
      <c r="BE728" s="29">
        <v>0</v>
      </c>
      <c r="BF728" s="29">
        <f>728</f>
        <v>728</v>
      </c>
      <c r="BH728" s="15">
        <f t="shared" si="735"/>
        <v>0</v>
      </c>
      <c r="BI728" s="15">
        <f t="shared" si="736"/>
        <v>0</v>
      </c>
      <c r="BJ728" s="15">
        <f t="shared" si="737"/>
        <v>0</v>
      </c>
      <c r="BK728" s="15" t="s">
        <v>2969</v>
      </c>
      <c r="BL728" s="29" t="s">
        <v>1585</v>
      </c>
    </row>
    <row r="729" spans="1:64" ht="12.75">
      <c r="A729" s="4" t="s">
        <v>675</v>
      </c>
      <c r="B729" s="94" t="s">
        <v>1662</v>
      </c>
      <c r="C729" s="152" t="s">
        <v>2605</v>
      </c>
      <c r="D729" s="153"/>
      <c r="E729" s="153"/>
      <c r="F729" s="153"/>
      <c r="G729" s="94" t="s">
        <v>2850</v>
      </c>
      <c r="H729" s="73">
        <v>1</v>
      </c>
      <c r="I729" s="105">
        <v>0</v>
      </c>
      <c r="J729" s="15">
        <f t="shared" si="716"/>
        <v>0</v>
      </c>
      <c r="K729" s="15">
        <f t="shared" si="717"/>
        <v>0</v>
      </c>
      <c r="L729" s="15">
        <f t="shared" si="718"/>
        <v>0</v>
      </c>
      <c r="M729" s="25"/>
      <c r="N729" s="5"/>
      <c r="Z729" s="29">
        <f t="shared" si="719"/>
        <v>0</v>
      </c>
      <c r="AB729" s="29">
        <f t="shared" si="720"/>
        <v>0</v>
      </c>
      <c r="AC729" s="29">
        <f t="shared" si="721"/>
        <v>0</v>
      </c>
      <c r="AD729" s="29">
        <f t="shared" si="722"/>
        <v>0</v>
      </c>
      <c r="AE729" s="29">
        <f t="shared" si="723"/>
        <v>0</v>
      </c>
      <c r="AF729" s="29">
        <f t="shared" si="724"/>
        <v>0</v>
      </c>
      <c r="AG729" s="29">
        <f t="shared" si="725"/>
        <v>0</v>
      </c>
      <c r="AH729" s="29">
        <f t="shared" si="726"/>
        <v>0</v>
      </c>
      <c r="AI729" s="28" t="s">
        <v>2882</v>
      </c>
      <c r="AJ729" s="15">
        <f t="shared" si="727"/>
        <v>0</v>
      </c>
      <c r="AK729" s="15">
        <f t="shared" si="728"/>
        <v>0</v>
      </c>
      <c r="AL729" s="15">
        <f t="shared" si="729"/>
        <v>0</v>
      </c>
      <c r="AN729" s="29">
        <v>15</v>
      </c>
      <c r="AO729" s="29">
        <f t="shared" si="714"/>
        <v>0</v>
      </c>
      <c r="AP729" s="29">
        <f t="shared" si="715"/>
        <v>0</v>
      </c>
      <c r="AQ729" s="30" t="s">
        <v>7</v>
      </c>
      <c r="AV729" s="29">
        <f t="shared" si="730"/>
        <v>0</v>
      </c>
      <c r="AW729" s="29">
        <f t="shared" si="731"/>
        <v>0</v>
      </c>
      <c r="AX729" s="29">
        <f t="shared" si="732"/>
        <v>0</v>
      </c>
      <c r="AY729" s="32" t="s">
        <v>2927</v>
      </c>
      <c r="AZ729" s="32" t="s">
        <v>2941</v>
      </c>
      <c r="BA729" s="28" t="s">
        <v>2957</v>
      </c>
      <c r="BC729" s="29">
        <f t="shared" si="733"/>
        <v>0</v>
      </c>
      <c r="BD729" s="29">
        <f t="shared" si="734"/>
        <v>0</v>
      </c>
      <c r="BE729" s="29">
        <v>0</v>
      </c>
      <c r="BF729" s="29">
        <f>729</f>
        <v>729</v>
      </c>
      <c r="BH729" s="15">
        <f t="shared" si="735"/>
        <v>0</v>
      </c>
      <c r="BI729" s="15">
        <f t="shared" si="736"/>
        <v>0</v>
      </c>
      <c r="BJ729" s="15">
        <f t="shared" si="737"/>
        <v>0</v>
      </c>
      <c r="BK729" s="15" t="s">
        <v>2969</v>
      </c>
      <c r="BL729" s="29" t="s">
        <v>1585</v>
      </c>
    </row>
    <row r="730" spans="1:64" ht="12.75">
      <c r="A730" s="4" t="s">
        <v>676</v>
      </c>
      <c r="B730" s="94" t="s">
        <v>1663</v>
      </c>
      <c r="C730" s="152" t="s">
        <v>2606</v>
      </c>
      <c r="D730" s="153"/>
      <c r="E730" s="153"/>
      <c r="F730" s="153"/>
      <c r="G730" s="94" t="s">
        <v>2850</v>
      </c>
      <c r="H730" s="73">
        <v>98</v>
      </c>
      <c r="I730" s="105">
        <v>0</v>
      </c>
      <c r="J730" s="15">
        <f t="shared" si="716"/>
        <v>0</v>
      </c>
      <c r="K730" s="15">
        <f t="shared" si="717"/>
        <v>0</v>
      </c>
      <c r="L730" s="15">
        <f t="shared" si="718"/>
        <v>0</v>
      </c>
      <c r="M730" s="25"/>
      <c r="N730" s="5"/>
      <c r="Z730" s="29">
        <f t="shared" si="719"/>
        <v>0</v>
      </c>
      <c r="AB730" s="29">
        <f t="shared" si="720"/>
        <v>0</v>
      </c>
      <c r="AC730" s="29">
        <f t="shared" si="721"/>
        <v>0</v>
      </c>
      <c r="AD730" s="29">
        <f t="shared" si="722"/>
        <v>0</v>
      </c>
      <c r="AE730" s="29">
        <f t="shared" si="723"/>
        <v>0</v>
      </c>
      <c r="AF730" s="29">
        <f t="shared" si="724"/>
        <v>0</v>
      </c>
      <c r="AG730" s="29">
        <f t="shared" si="725"/>
        <v>0</v>
      </c>
      <c r="AH730" s="29">
        <f t="shared" si="726"/>
        <v>0</v>
      </c>
      <c r="AI730" s="28" t="s">
        <v>2882</v>
      </c>
      <c r="AJ730" s="15">
        <f t="shared" si="727"/>
        <v>0</v>
      </c>
      <c r="AK730" s="15">
        <f t="shared" si="728"/>
        <v>0</v>
      </c>
      <c r="AL730" s="15">
        <f t="shared" si="729"/>
        <v>0</v>
      </c>
      <c r="AN730" s="29">
        <v>15</v>
      </c>
      <c r="AO730" s="29">
        <f t="shared" si="714"/>
        <v>0</v>
      </c>
      <c r="AP730" s="29">
        <f t="shared" si="715"/>
        <v>0</v>
      </c>
      <c r="AQ730" s="30" t="s">
        <v>7</v>
      </c>
      <c r="AV730" s="29">
        <f t="shared" si="730"/>
        <v>0</v>
      </c>
      <c r="AW730" s="29">
        <f t="shared" si="731"/>
        <v>0</v>
      </c>
      <c r="AX730" s="29">
        <f t="shared" si="732"/>
        <v>0</v>
      </c>
      <c r="AY730" s="32" t="s">
        <v>2927</v>
      </c>
      <c r="AZ730" s="32" t="s">
        <v>2941</v>
      </c>
      <c r="BA730" s="28" t="s">
        <v>2957</v>
      </c>
      <c r="BC730" s="29">
        <f t="shared" si="733"/>
        <v>0</v>
      </c>
      <c r="BD730" s="29">
        <f t="shared" si="734"/>
        <v>0</v>
      </c>
      <c r="BE730" s="29">
        <v>0</v>
      </c>
      <c r="BF730" s="29">
        <f>730</f>
        <v>730</v>
      </c>
      <c r="BH730" s="15">
        <f t="shared" si="735"/>
        <v>0</v>
      </c>
      <c r="BI730" s="15">
        <f t="shared" si="736"/>
        <v>0</v>
      </c>
      <c r="BJ730" s="15">
        <f t="shared" si="737"/>
        <v>0</v>
      </c>
      <c r="BK730" s="15" t="s">
        <v>2969</v>
      </c>
      <c r="BL730" s="29" t="s">
        <v>1585</v>
      </c>
    </row>
    <row r="731" spans="1:64" ht="12.75">
      <c r="A731" s="4" t="s">
        <v>677</v>
      </c>
      <c r="B731" s="94" t="s">
        <v>1664</v>
      </c>
      <c r="C731" s="152" t="s">
        <v>2607</v>
      </c>
      <c r="D731" s="153"/>
      <c r="E731" s="153"/>
      <c r="F731" s="153"/>
      <c r="G731" s="94" t="s">
        <v>2850</v>
      </c>
      <c r="H731" s="73">
        <v>15</v>
      </c>
      <c r="I731" s="105">
        <v>0</v>
      </c>
      <c r="J731" s="15">
        <f t="shared" si="716"/>
        <v>0</v>
      </c>
      <c r="K731" s="15">
        <f t="shared" si="717"/>
        <v>0</v>
      </c>
      <c r="L731" s="15">
        <f t="shared" si="718"/>
        <v>0</v>
      </c>
      <c r="M731" s="25"/>
      <c r="N731" s="5"/>
      <c r="Z731" s="29">
        <f t="shared" si="719"/>
        <v>0</v>
      </c>
      <c r="AB731" s="29">
        <f t="shared" si="720"/>
        <v>0</v>
      </c>
      <c r="AC731" s="29">
        <f t="shared" si="721"/>
        <v>0</v>
      </c>
      <c r="AD731" s="29">
        <f t="shared" si="722"/>
        <v>0</v>
      </c>
      <c r="AE731" s="29">
        <f t="shared" si="723"/>
        <v>0</v>
      </c>
      <c r="AF731" s="29">
        <f t="shared" si="724"/>
        <v>0</v>
      </c>
      <c r="AG731" s="29">
        <f t="shared" si="725"/>
        <v>0</v>
      </c>
      <c r="AH731" s="29">
        <f t="shared" si="726"/>
        <v>0</v>
      </c>
      <c r="AI731" s="28" t="s">
        <v>2882</v>
      </c>
      <c r="AJ731" s="15">
        <f t="shared" si="727"/>
        <v>0</v>
      </c>
      <c r="AK731" s="15">
        <f t="shared" si="728"/>
        <v>0</v>
      </c>
      <c r="AL731" s="15">
        <f t="shared" si="729"/>
        <v>0</v>
      </c>
      <c r="AN731" s="29">
        <v>15</v>
      </c>
      <c r="AO731" s="29">
        <f t="shared" si="714"/>
        <v>0</v>
      </c>
      <c r="AP731" s="29">
        <f t="shared" si="715"/>
        <v>0</v>
      </c>
      <c r="AQ731" s="30" t="s">
        <v>7</v>
      </c>
      <c r="AV731" s="29">
        <f t="shared" si="730"/>
        <v>0</v>
      </c>
      <c r="AW731" s="29">
        <f t="shared" si="731"/>
        <v>0</v>
      </c>
      <c r="AX731" s="29">
        <f t="shared" si="732"/>
        <v>0</v>
      </c>
      <c r="AY731" s="32" t="s">
        <v>2927</v>
      </c>
      <c r="AZ731" s="32" t="s">
        <v>2941</v>
      </c>
      <c r="BA731" s="28" t="s">
        <v>2957</v>
      </c>
      <c r="BC731" s="29">
        <f t="shared" si="733"/>
        <v>0</v>
      </c>
      <c r="BD731" s="29">
        <f t="shared" si="734"/>
        <v>0</v>
      </c>
      <c r="BE731" s="29">
        <v>0</v>
      </c>
      <c r="BF731" s="29">
        <f>731</f>
        <v>731</v>
      </c>
      <c r="BH731" s="15">
        <f t="shared" si="735"/>
        <v>0</v>
      </c>
      <c r="BI731" s="15">
        <f t="shared" si="736"/>
        <v>0</v>
      </c>
      <c r="BJ731" s="15">
        <f t="shared" si="737"/>
        <v>0</v>
      </c>
      <c r="BK731" s="15" t="s">
        <v>2969</v>
      </c>
      <c r="BL731" s="29" t="s">
        <v>1585</v>
      </c>
    </row>
    <row r="732" spans="1:64" ht="12.75">
      <c r="A732" s="4" t="s">
        <v>678</v>
      </c>
      <c r="B732" s="94" t="s">
        <v>1665</v>
      </c>
      <c r="C732" s="152" t="s">
        <v>2608</v>
      </c>
      <c r="D732" s="153"/>
      <c r="E732" s="153"/>
      <c r="F732" s="153"/>
      <c r="G732" s="94" t="s">
        <v>2850</v>
      </c>
      <c r="H732" s="73">
        <v>5</v>
      </c>
      <c r="I732" s="105">
        <v>0</v>
      </c>
      <c r="J732" s="15">
        <f t="shared" si="716"/>
        <v>0</v>
      </c>
      <c r="K732" s="15">
        <f t="shared" si="717"/>
        <v>0</v>
      </c>
      <c r="L732" s="15">
        <f t="shared" si="718"/>
        <v>0</v>
      </c>
      <c r="M732" s="25"/>
      <c r="N732" s="5"/>
      <c r="Z732" s="29">
        <f t="shared" si="719"/>
        <v>0</v>
      </c>
      <c r="AB732" s="29">
        <f t="shared" si="720"/>
        <v>0</v>
      </c>
      <c r="AC732" s="29">
        <f t="shared" si="721"/>
        <v>0</v>
      </c>
      <c r="AD732" s="29">
        <f t="shared" si="722"/>
        <v>0</v>
      </c>
      <c r="AE732" s="29">
        <f t="shared" si="723"/>
        <v>0</v>
      </c>
      <c r="AF732" s="29">
        <f t="shared" si="724"/>
        <v>0</v>
      </c>
      <c r="AG732" s="29">
        <f t="shared" si="725"/>
        <v>0</v>
      </c>
      <c r="AH732" s="29">
        <f t="shared" si="726"/>
        <v>0</v>
      </c>
      <c r="AI732" s="28" t="s">
        <v>2882</v>
      </c>
      <c r="AJ732" s="15">
        <f t="shared" si="727"/>
        <v>0</v>
      </c>
      <c r="AK732" s="15">
        <f t="shared" si="728"/>
        <v>0</v>
      </c>
      <c r="AL732" s="15">
        <f t="shared" si="729"/>
        <v>0</v>
      </c>
      <c r="AN732" s="29">
        <v>15</v>
      </c>
      <c r="AO732" s="29">
        <f t="shared" si="714"/>
        <v>0</v>
      </c>
      <c r="AP732" s="29">
        <f t="shared" si="715"/>
        <v>0</v>
      </c>
      <c r="AQ732" s="30" t="s">
        <v>7</v>
      </c>
      <c r="AV732" s="29">
        <f t="shared" si="730"/>
        <v>0</v>
      </c>
      <c r="AW732" s="29">
        <f t="shared" si="731"/>
        <v>0</v>
      </c>
      <c r="AX732" s="29">
        <f t="shared" si="732"/>
        <v>0</v>
      </c>
      <c r="AY732" s="32" t="s">
        <v>2927</v>
      </c>
      <c r="AZ732" s="32" t="s">
        <v>2941</v>
      </c>
      <c r="BA732" s="28" t="s">
        <v>2957</v>
      </c>
      <c r="BC732" s="29">
        <f t="shared" si="733"/>
        <v>0</v>
      </c>
      <c r="BD732" s="29">
        <f t="shared" si="734"/>
        <v>0</v>
      </c>
      <c r="BE732" s="29">
        <v>0</v>
      </c>
      <c r="BF732" s="29">
        <f>732</f>
        <v>732</v>
      </c>
      <c r="BH732" s="15">
        <f t="shared" si="735"/>
        <v>0</v>
      </c>
      <c r="BI732" s="15">
        <f t="shared" si="736"/>
        <v>0</v>
      </c>
      <c r="BJ732" s="15">
        <f t="shared" si="737"/>
        <v>0</v>
      </c>
      <c r="BK732" s="15" t="s">
        <v>2969</v>
      </c>
      <c r="BL732" s="29" t="s">
        <v>1585</v>
      </c>
    </row>
    <row r="733" spans="1:64" ht="12.75">
      <c r="A733" s="4" t="s">
        <v>679</v>
      </c>
      <c r="B733" s="94" t="s">
        <v>1666</v>
      </c>
      <c r="C733" s="152" t="s">
        <v>2609</v>
      </c>
      <c r="D733" s="153"/>
      <c r="E733" s="153"/>
      <c r="F733" s="153"/>
      <c r="G733" s="94" t="s">
        <v>2850</v>
      </c>
      <c r="H733" s="73">
        <v>5</v>
      </c>
      <c r="I733" s="105">
        <v>0</v>
      </c>
      <c r="J733" s="15">
        <f t="shared" si="716"/>
        <v>0</v>
      </c>
      <c r="K733" s="15">
        <f t="shared" si="717"/>
        <v>0</v>
      </c>
      <c r="L733" s="15">
        <f t="shared" si="718"/>
        <v>0</v>
      </c>
      <c r="M733" s="25"/>
      <c r="N733" s="5"/>
      <c r="Z733" s="29">
        <f t="shared" si="719"/>
        <v>0</v>
      </c>
      <c r="AB733" s="29">
        <f t="shared" si="720"/>
        <v>0</v>
      </c>
      <c r="AC733" s="29">
        <f t="shared" si="721"/>
        <v>0</v>
      </c>
      <c r="AD733" s="29">
        <f t="shared" si="722"/>
        <v>0</v>
      </c>
      <c r="AE733" s="29">
        <f t="shared" si="723"/>
        <v>0</v>
      </c>
      <c r="AF733" s="29">
        <f t="shared" si="724"/>
        <v>0</v>
      </c>
      <c r="AG733" s="29">
        <f t="shared" si="725"/>
        <v>0</v>
      </c>
      <c r="AH733" s="29">
        <f t="shared" si="726"/>
        <v>0</v>
      </c>
      <c r="AI733" s="28" t="s">
        <v>2882</v>
      </c>
      <c r="AJ733" s="15">
        <f t="shared" si="727"/>
        <v>0</v>
      </c>
      <c r="AK733" s="15">
        <f t="shared" si="728"/>
        <v>0</v>
      </c>
      <c r="AL733" s="15">
        <f t="shared" si="729"/>
        <v>0</v>
      </c>
      <c r="AN733" s="29">
        <v>15</v>
      </c>
      <c r="AO733" s="29">
        <f aca="true" t="shared" si="738" ref="AO733:AO764">I733*0</f>
        <v>0</v>
      </c>
      <c r="AP733" s="29">
        <f aca="true" t="shared" si="739" ref="AP733:AP764">I733*(1-0)</f>
        <v>0</v>
      </c>
      <c r="AQ733" s="30" t="s">
        <v>7</v>
      </c>
      <c r="AV733" s="29">
        <f t="shared" si="730"/>
        <v>0</v>
      </c>
      <c r="AW733" s="29">
        <f t="shared" si="731"/>
        <v>0</v>
      </c>
      <c r="AX733" s="29">
        <f t="shared" si="732"/>
        <v>0</v>
      </c>
      <c r="AY733" s="32" t="s">
        <v>2927</v>
      </c>
      <c r="AZ733" s="32" t="s">
        <v>2941</v>
      </c>
      <c r="BA733" s="28" t="s">
        <v>2957</v>
      </c>
      <c r="BC733" s="29">
        <f t="shared" si="733"/>
        <v>0</v>
      </c>
      <c r="BD733" s="29">
        <f t="shared" si="734"/>
        <v>0</v>
      </c>
      <c r="BE733" s="29">
        <v>0</v>
      </c>
      <c r="BF733" s="29">
        <f>733</f>
        <v>733</v>
      </c>
      <c r="BH733" s="15">
        <f t="shared" si="735"/>
        <v>0</v>
      </c>
      <c r="BI733" s="15">
        <f t="shared" si="736"/>
        <v>0</v>
      </c>
      <c r="BJ733" s="15">
        <f t="shared" si="737"/>
        <v>0</v>
      </c>
      <c r="BK733" s="15" t="s">
        <v>2969</v>
      </c>
      <c r="BL733" s="29" t="s">
        <v>1585</v>
      </c>
    </row>
    <row r="734" spans="1:64" ht="12.75">
      <c r="A734" s="4" t="s">
        <v>680</v>
      </c>
      <c r="B734" s="94" t="s">
        <v>1667</v>
      </c>
      <c r="C734" s="152" t="s">
        <v>2610</v>
      </c>
      <c r="D734" s="153"/>
      <c r="E734" s="153"/>
      <c r="F734" s="153"/>
      <c r="G734" s="94" t="s">
        <v>2850</v>
      </c>
      <c r="H734" s="73">
        <v>4</v>
      </c>
      <c r="I734" s="105">
        <v>0</v>
      </c>
      <c r="J734" s="15">
        <f t="shared" si="716"/>
        <v>0</v>
      </c>
      <c r="K734" s="15">
        <f t="shared" si="717"/>
        <v>0</v>
      </c>
      <c r="L734" s="15">
        <f t="shared" si="718"/>
        <v>0</v>
      </c>
      <c r="M734" s="25"/>
      <c r="N734" s="5"/>
      <c r="Z734" s="29">
        <f t="shared" si="719"/>
        <v>0</v>
      </c>
      <c r="AB734" s="29">
        <f t="shared" si="720"/>
        <v>0</v>
      </c>
      <c r="AC734" s="29">
        <f t="shared" si="721"/>
        <v>0</v>
      </c>
      <c r="AD734" s="29">
        <f t="shared" si="722"/>
        <v>0</v>
      </c>
      <c r="AE734" s="29">
        <f t="shared" si="723"/>
        <v>0</v>
      </c>
      <c r="AF734" s="29">
        <f t="shared" si="724"/>
        <v>0</v>
      </c>
      <c r="AG734" s="29">
        <f t="shared" si="725"/>
        <v>0</v>
      </c>
      <c r="AH734" s="29">
        <f t="shared" si="726"/>
        <v>0</v>
      </c>
      <c r="AI734" s="28" t="s">
        <v>2882</v>
      </c>
      <c r="AJ734" s="15">
        <f t="shared" si="727"/>
        <v>0</v>
      </c>
      <c r="AK734" s="15">
        <f t="shared" si="728"/>
        <v>0</v>
      </c>
      <c r="AL734" s="15">
        <f t="shared" si="729"/>
        <v>0</v>
      </c>
      <c r="AN734" s="29">
        <v>15</v>
      </c>
      <c r="AO734" s="29">
        <f t="shared" si="738"/>
        <v>0</v>
      </c>
      <c r="AP734" s="29">
        <f t="shared" si="739"/>
        <v>0</v>
      </c>
      <c r="AQ734" s="30" t="s">
        <v>7</v>
      </c>
      <c r="AV734" s="29">
        <f t="shared" si="730"/>
        <v>0</v>
      </c>
      <c r="AW734" s="29">
        <f t="shared" si="731"/>
        <v>0</v>
      </c>
      <c r="AX734" s="29">
        <f t="shared" si="732"/>
        <v>0</v>
      </c>
      <c r="AY734" s="32" t="s">
        <v>2927</v>
      </c>
      <c r="AZ734" s="32" t="s">
        <v>2941</v>
      </c>
      <c r="BA734" s="28" t="s">
        <v>2957</v>
      </c>
      <c r="BC734" s="29">
        <f t="shared" si="733"/>
        <v>0</v>
      </c>
      <c r="BD734" s="29">
        <f t="shared" si="734"/>
        <v>0</v>
      </c>
      <c r="BE734" s="29">
        <v>0</v>
      </c>
      <c r="BF734" s="29">
        <f>734</f>
        <v>734</v>
      </c>
      <c r="BH734" s="15">
        <f t="shared" si="735"/>
        <v>0</v>
      </c>
      <c r="BI734" s="15">
        <f t="shared" si="736"/>
        <v>0</v>
      </c>
      <c r="BJ734" s="15">
        <f t="shared" si="737"/>
        <v>0</v>
      </c>
      <c r="BK734" s="15" t="s">
        <v>2969</v>
      </c>
      <c r="BL734" s="29" t="s">
        <v>1585</v>
      </c>
    </row>
    <row r="735" spans="1:64" ht="12.75">
      <c r="A735" s="4" t="s">
        <v>681</v>
      </c>
      <c r="B735" s="94" t="s">
        <v>1668</v>
      </c>
      <c r="C735" s="152" t="s">
        <v>2611</v>
      </c>
      <c r="D735" s="153"/>
      <c r="E735" s="153"/>
      <c r="F735" s="153"/>
      <c r="G735" s="94" t="s">
        <v>2850</v>
      </c>
      <c r="H735" s="73">
        <v>6</v>
      </c>
      <c r="I735" s="105">
        <v>0</v>
      </c>
      <c r="J735" s="15">
        <f t="shared" si="716"/>
        <v>0</v>
      </c>
      <c r="K735" s="15">
        <f t="shared" si="717"/>
        <v>0</v>
      </c>
      <c r="L735" s="15">
        <f t="shared" si="718"/>
        <v>0</v>
      </c>
      <c r="M735" s="25"/>
      <c r="N735" s="5"/>
      <c r="Z735" s="29">
        <f t="shared" si="719"/>
        <v>0</v>
      </c>
      <c r="AB735" s="29">
        <f t="shared" si="720"/>
        <v>0</v>
      </c>
      <c r="AC735" s="29">
        <f t="shared" si="721"/>
        <v>0</v>
      </c>
      <c r="AD735" s="29">
        <f t="shared" si="722"/>
        <v>0</v>
      </c>
      <c r="AE735" s="29">
        <f t="shared" si="723"/>
        <v>0</v>
      </c>
      <c r="AF735" s="29">
        <f t="shared" si="724"/>
        <v>0</v>
      </c>
      <c r="AG735" s="29">
        <f t="shared" si="725"/>
        <v>0</v>
      </c>
      <c r="AH735" s="29">
        <f t="shared" si="726"/>
        <v>0</v>
      </c>
      <c r="AI735" s="28" t="s">
        <v>2882</v>
      </c>
      <c r="AJ735" s="15">
        <f t="shared" si="727"/>
        <v>0</v>
      </c>
      <c r="AK735" s="15">
        <f t="shared" si="728"/>
        <v>0</v>
      </c>
      <c r="AL735" s="15">
        <f t="shared" si="729"/>
        <v>0</v>
      </c>
      <c r="AN735" s="29">
        <v>15</v>
      </c>
      <c r="AO735" s="29">
        <f t="shared" si="738"/>
        <v>0</v>
      </c>
      <c r="AP735" s="29">
        <f t="shared" si="739"/>
        <v>0</v>
      </c>
      <c r="AQ735" s="30" t="s">
        <v>7</v>
      </c>
      <c r="AV735" s="29">
        <f t="shared" si="730"/>
        <v>0</v>
      </c>
      <c r="AW735" s="29">
        <f t="shared" si="731"/>
        <v>0</v>
      </c>
      <c r="AX735" s="29">
        <f t="shared" si="732"/>
        <v>0</v>
      </c>
      <c r="AY735" s="32" t="s">
        <v>2927</v>
      </c>
      <c r="AZ735" s="32" t="s">
        <v>2941</v>
      </c>
      <c r="BA735" s="28" t="s">
        <v>2957</v>
      </c>
      <c r="BC735" s="29">
        <f t="shared" si="733"/>
        <v>0</v>
      </c>
      <c r="BD735" s="29">
        <f t="shared" si="734"/>
        <v>0</v>
      </c>
      <c r="BE735" s="29">
        <v>0</v>
      </c>
      <c r="BF735" s="29">
        <f>735</f>
        <v>735</v>
      </c>
      <c r="BH735" s="15">
        <f t="shared" si="735"/>
        <v>0</v>
      </c>
      <c r="BI735" s="15">
        <f t="shared" si="736"/>
        <v>0</v>
      </c>
      <c r="BJ735" s="15">
        <f t="shared" si="737"/>
        <v>0</v>
      </c>
      <c r="BK735" s="15" t="s">
        <v>2969</v>
      </c>
      <c r="BL735" s="29" t="s">
        <v>1585</v>
      </c>
    </row>
    <row r="736" spans="1:64" ht="12.75">
      <c r="A736" s="4" t="s">
        <v>682</v>
      </c>
      <c r="B736" s="94" t="s">
        <v>1669</v>
      </c>
      <c r="C736" s="152" t="s">
        <v>2612</v>
      </c>
      <c r="D736" s="153"/>
      <c r="E736" s="153"/>
      <c r="F736" s="153"/>
      <c r="G736" s="94" t="s">
        <v>2850</v>
      </c>
      <c r="H736" s="73">
        <v>34</v>
      </c>
      <c r="I736" s="105">
        <v>0</v>
      </c>
      <c r="J736" s="15">
        <f t="shared" si="716"/>
        <v>0</v>
      </c>
      <c r="K736" s="15">
        <f t="shared" si="717"/>
        <v>0</v>
      </c>
      <c r="L736" s="15">
        <f t="shared" si="718"/>
        <v>0</v>
      </c>
      <c r="M736" s="25"/>
      <c r="N736" s="5"/>
      <c r="Z736" s="29">
        <f t="shared" si="719"/>
        <v>0</v>
      </c>
      <c r="AB736" s="29">
        <f t="shared" si="720"/>
        <v>0</v>
      </c>
      <c r="AC736" s="29">
        <f t="shared" si="721"/>
        <v>0</v>
      </c>
      <c r="AD736" s="29">
        <f t="shared" si="722"/>
        <v>0</v>
      </c>
      <c r="AE736" s="29">
        <f t="shared" si="723"/>
        <v>0</v>
      </c>
      <c r="AF736" s="29">
        <f t="shared" si="724"/>
        <v>0</v>
      </c>
      <c r="AG736" s="29">
        <f t="shared" si="725"/>
        <v>0</v>
      </c>
      <c r="AH736" s="29">
        <f t="shared" si="726"/>
        <v>0</v>
      </c>
      <c r="AI736" s="28" t="s">
        <v>2882</v>
      </c>
      <c r="AJ736" s="15">
        <f t="shared" si="727"/>
        <v>0</v>
      </c>
      <c r="AK736" s="15">
        <f t="shared" si="728"/>
        <v>0</v>
      </c>
      <c r="AL736" s="15">
        <f t="shared" si="729"/>
        <v>0</v>
      </c>
      <c r="AN736" s="29">
        <v>15</v>
      </c>
      <c r="AO736" s="29">
        <f t="shared" si="738"/>
        <v>0</v>
      </c>
      <c r="AP736" s="29">
        <f t="shared" si="739"/>
        <v>0</v>
      </c>
      <c r="AQ736" s="30" t="s">
        <v>7</v>
      </c>
      <c r="AV736" s="29">
        <f t="shared" si="730"/>
        <v>0</v>
      </c>
      <c r="AW736" s="29">
        <f t="shared" si="731"/>
        <v>0</v>
      </c>
      <c r="AX736" s="29">
        <f t="shared" si="732"/>
        <v>0</v>
      </c>
      <c r="AY736" s="32" t="s">
        <v>2927</v>
      </c>
      <c r="AZ736" s="32" t="s">
        <v>2941</v>
      </c>
      <c r="BA736" s="28" t="s">
        <v>2957</v>
      </c>
      <c r="BC736" s="29">
        <f t="shared" si="733"/>
        <v>0</v>
      </c>
      <c r="BD736" s="29">
        <f t="shared" si="734"/>
        <v>0</v>
      </c>
      <c r="BE736" s="29">
        <v>0</v>
      </c>
      <c r="BF736" s="29">
        <f>736</f>
        <v>736</v>
      </c>
      <c r="BH736" s="15">
        <f t="shared" si="735"/>
        <v>0</v>
      </c>
      <c r="BI736" s="15">
        <f t="shared" si="736"/>
        <v>0</v>
      </c>
      <c r="BJ736" s="15">
        <f t="shared" si="737"/>
        <v>0</v>
      </c>
      <c r="BK736" s="15" t="s">
        <v>2969</v>
      </c>
      <c r="BL736" s="29" t="s">
        <v>1585</v>
      </c>
    </row>
    <row r="737" spans="1:64" ht="12.75">
      <c r="A737" s="4" t="s">
        <v>683</v>
      </c>
      <c r="B737" s="94" t="s">
        <v>1670</v>
      </c>
      <c r="C737" s="152" t="s">
        <v>2613</v>
      </c>
      <c r="D737" s="153"/>
      <c r="E737" s="153"/>
      <c r="F737" s="153"/>
      <c r="G737" s="94" t="s">
        <v>2850</v>
      </c>
      <c r="H737" s="73">
        <v>1</v>
      </c>
      <c r="I737" s="105">
        <v>0</v>
      </c>
      <c r="J737" s="15">
        <f t="shared" si="716"/>
        <v>0</v>
      </c>
      <c r="K737" s="15">
        <f t="shared" si="717"/>
        <v>0</v>
      </c>
      <c r="L737" s="15">
        <f t="shared" si="718"/>
        <v>0</v>
      </c>
      <c r="M737" s="25"/>
      <c r="N737" s="5"/>
      <c r="Z737" s="29">
        <f t="shared" si="719"/>
        <v>0</v>
      </c>
      <c r="AB737" s="29">
        <f t="shared" si="720"/>
        <v>0</v>
      </c>
      <c r="AC737" s="29">
        <f t="shared" si="721"/>
        <v>0</v>
      </c>
      <c r="AD737" s="29">
        <f t="shared" si="722"/>
        <v>0</v>
      </c>
      <c r="AE737" s="29">
        <f t="shared" si="723"/>
        <v>0</v>
      </c>
      <c r="AF737" s="29">
        <f t="shared" si="724"/>
        <v>0</v>
      </c>
      <c r="AG737" s="29">
        <f t="shared" si="725"/>
        <v>0</v>
      </c>
      <c r="AH737" s="29">
        <f t="shared" si="726"/>
        <v>0</v>
      </c>
      <c r="AI737" s="28" t="s">
        <v>2882</v>
      </c>
      <c r="AJ737" s="15">
        <f t="shared" si="727"/>
        <v>0</v>
      </c>
      <c r="AK737" s="15">
        <f t="shared" si="728"/>
        <v>0</v>
      </c>
      <c r="AL737" s="15">
        <f t="shared" si="729"/>
        <v>0</v>
      </c>
      <c r="AN737" s="29">
        <v>15</v>
      </c>
      <c r="AO737" s="29">
        <f t="shared" si="738"/>
        <v>0</v>
      </c>
      <c r="AP737" s="29">
        <f t="shared" si="739"/>
        <v>0</v>
      </c>
      <c r="AQ737" s="30" t="s">
        <v>7</v>
      </c>
      <c r="AV737" s="29">
        <f t="shared" si="730"/>
        <v>0</v>
      </c>
      <c r="AW737" s="29">
        <f t="shared" si="731"/>
        <v>0</v>
      </c>
      <c r="AX737" s="29">
        <f t="shared" si="732"/>
        <v>0</v>
      </c>
      <c r="AY737" s="32" t="s">
        <v>2927</v>
      </c>
      <c r="AZ737" s="32" t="s">
        <v>2941</v>
      </c>
      <c r="BA737" s="28" t="s">
        <v>2957</v>
      </c>
      <c r="BC737" s="29">
        <f t="shared" si="733"/>
        <v>0</v>
      </c>
      <c r="BD737" s="29">
        <f t="shared" si="734"/>
        <v>0</v>
      </c>
      <c r="BE737" s="29">
        <v>0</v>
      </c>
      <c r="BF737" s="29">
        <f>737</f>
        <v>737</v>
      </c>
      <c r="BH737" s="15">
        <f t="shared" si="735"/>
        <v>0</v>
      </c>
      <c r="BI737" s="15">
        <f t="shared" si="736"/>
        <v>0</v>
      </c>
      <c r="BJ737" s="15">
        <f t="shared" si="737"/>
        <v>0</v>
      </c>
      <c r="BK737" s="15" t="s">
        <v>2969</v>
      </c>
      <c r="BL737" s="29" t="s">
        <v>1585</v>
      </c>
    </row>
    <row r="738" spans="1:64" ht="12.75">
      <c r="A738" s="4" t="s">
        <v>684</v>
      </c>
      <c r="B738" s="94" t="s">
        <v>1671</v>
      </c>
      <c r="C738" s="152" t="s">
        <v>2614</v>
      </c>
      <c r="D738" s="153"/>
      <c r="E738" s="153"/>
      <c r="F738" s="153"/>
      <c r="G738" s="94" t="s">
        <v>2850</v>
      </c>
      <c r="H738" s="73">
        <v>11</v>
      </c>
      <c r="I738" s="105">
        <v>0</v>
      </c>
      <c r="J738" s="15">
        <f t="shared" si="716"/>
        <v>0</v>
      </c>
      <c r="K738" s="15">
        <f t="shared" si="717"/>
        <v>0</v>
      </c>
      <c r="L738" s="15">
        <f t="shared" si="718"/>
        <v>0</v>
      </c>
      <c r="M738" s="25"/>
      <c r="N738" s="5"/>
      <c r="Z738" s="29">
        <f t="shared" si="719"/>
        <v>0</v>
      </c>
      <c r="AB738" s="29">
        <f t="shared" si="720"/>
        <v>0</v>
      </c>
      <c r="AC738" s="29">
        <f t="shared" si="721"/>
        <v>0</v>
      </c>
      <c r="AD738" s="29">
        <f t="shared" si="722"/>
        <v>0</v>
      </c>
      <c r="AE738" s="29">
        <f t="shared" si="723"/>
        <v>0</v>
      </c>
      <c r="AF738" s="29">
        <f t="shared" si="724"/>
        <v>0</v>
      </c>
      <c r="AG738" s="29">
        <f t="shared" si="725"/>
        <v>0</v>
      </c>
      <c r="AH738" s="29">
        <f t="shared" si="726"/>
        <v>0</v>
      </c>
      <c r="AI738" s="28" t="s">
        <v>2882</v>
      </c>
      <c r="AJ738" s="15">
        <f t="shared" si="727"/>
        <v>0</v>
      </c>
      <c r="AK738" s="15">
        <f t="shared" si="728"/>
        <v>0</v>
      </c>
      <c r="AL738" s="15">
        <f t="shared" si="729"/>
        <v>0</v>
      </c>
      <c r="AN738" s="29">
        <v>15</v>
      </c>
      <c r="AO738" s="29">
        <f t="shared" si="738"/>
        <v>0</v>
      </c>
      <c r="AP738" s="29">
        <f t="shared" si="739"/>
        <v>0</v>
      </c>
      <c r="AQ738" s="30" t="s">
        <v>7</v>
      </c>
      <c r="AV738" s="29">
        <f t="shared" si="730"/>
        <v>0</v>
      </c>
      <c r="AW738" s="29">
        <f t="shared" si="731"/>
        <v>0</v>
      </c>
      <c r="AX738" s="29">
        <f t="shared" si="732"/>
        <v>0</v>
      </c>
      <c r="AY738" s="32" t="s">
        <v>2927</v>
      </c>
      <c r="AZ738" s="32" t="s">
        <v>2941</v>
      </c>
      <c r="BA738" s="28" t="s">
        <v>2957</v>
      </c>
      <c r="BC738" s="29">
        <f t="shared" si="733"/>
        <v>0</v>
      </c>
      <c r="BD738" s="29">
        <f t="shared" si="734"/>
        <v>0</v>
      </c>
      <c r="BE738" s="29">
        <v>0</v>
      </c>
      <c r="BF738" s="29">
        <f>738</f>
        <v>738</v>
      </c>
      <c r="BH738" s="15">
        <f t="shared" si="735"/>
        <v>0</v>
      </c>
      <c r="BI738" s="15">
        <f t="shared" si="736"/>
        <v>0</v>
      </c>
      <c r="BJ738" s="15">
        <f t="shared" si="737"/>
        <v>0</v>
      </c>
      <c r="BK738" s="15" t="s">
        <v>2969</v>
      </c>
      <c r="BL738" s="29" t="s">
        <v>1585</v>
      </c>
    </row>
    <row r="739" spans="1:64" ht="12.75">
      <c r="A739" s="4" t="s">
        <v>685</v>
      </c>
      <c r="B739" s="94" t="s">
        <v>1672</v>
      </c>
      <c r="C739" s="152" t="s">
        <v>2615</v>
      </c>
      <c r="D739" s="153"/>
      <c r="E739" s="153"/>
      <c r="F739" s="153"/>
      <c r="G739" s="94" t="s">
        <v>2850</v>
      </c>
      <c r="H739" s="73">
        <v>9</v>
      </c>
      <c r="I739" s="105">
        <v>0</v>
      </c>
      <c r="J739" s="15">
        <f t="shared" si="716"/>
        <v>0</v>
      </c>
      <c r="K739" s="15">
        <f t="shared" si="717"/>
        <v>0</v>
      </c>
      <c r="L739" s="15">
        <f t="shared" si="718"/>
        <v>0</v>
      </c>
      <c r="M739" s="25"/>
      <c r="N739" s="5"/>
      <c r="Z739" s="29">
        <f t="shared" si="719"/>
        <v>0</v>
      </c>
      <c r="AB739" s="29">
        <f t="shared" si="720"/>
        <v>0</v>
      </c>
      <c r="AC739" s="29">
        <f t="shared" si="721"/>
        <v>0</v>
      </c>
      <c r="AD739" s="29">
        <f t="shared" si="722"/>
        <v>0</v>
      </c>
      <c r="AE739" s="29">
        <f t="shared" si="723"/>
        <v>0</v>
      </c>
      <c r="AF739" s="29">
        <f t="shared" si="724"/>
        <v>0</v>
      </c>
      <c r="AG739" s="29">
        <f t="shared" si="725"/>
        <v>0</v>
      </c>
      <c r="AH739" s="29">
        <f t="shared" si="726"/>
        <v>0</v>
      </c>
      <c r="AI739" s="28" t="s">
        <v>2882</v>
      </c>
      <c r="AJ739" s="15">
        <f t="shared" si="727"/>
        <v>0</v>
      </c>
      <c r="AK739" s="15">
        <f t="shared" si="728"/>
        <v>0</v>
      </c>
      <c r="AL739" s="15">
        <f t="shared" si="729"/>
        <v>0</v>
      </c>
      <c r="AN739" s="29">
        <v>15</v>
      </c>
      <c r="AO739" s="29">
        <f t="shared" si="738"/>
        <v>0</v>
      </c>
      <c r="AP739" s="29">
        <f t="shared" si="739"/>
        <v>0</v>
      </c>
      <c r="AQ739" s="30" t="s">
        <v>7</v>
      </c>
      <c r="AV739" s="29">
        <f t="shared" si="730"/>
        <v>0</v>
      </c>
      <c r="AW739" s="29">
        <f t="shared" si="731"/>
        <v>0</v>
      </c>
      <c r="AX739" s="29">
        <f t="shared" si="732"/>
        <v>0</v>
      </c>
      <c r="AY739" s="32" t="s">
        <v>2927</v>
      </c>
      <c r="AZ739" s="32" t="s">
        <v>2941</v>
      </c>
      <c r="BA739" s="28" t="s">
        <v>2957</v>
      </c>
      <c r="BC739" s="29">
        <f t="shared" si="733"/>
        <v>0</v>
      </c>
      <c r="BD739" s="29">
        <f t="shared" si="734"/>
        <v>0</v>
      </c>
      <c r="BE739" s="29">
        <v>0</v>
      </c>
      <c r="BF739" s="29">
        <f>739</f>
        <v>739</v>
      </c>
      <c r="BH739" s="15">
        <f t="shared" si="735"/>
        <v>0</v>
      </c>
      <c r="BI739" s="15">
        <f t="shared" si="736"/>
        <v>0</v>
      </c>
      <c r="BJ739" s="15">
        <f t="shared" si="737"/>
        <v>0</v>
      </c>
      <c r="BK739" s="15" t="s">
        <v>2969</v>
      </c>
      <c r="BL739" s="29" t="s">
        <v>1585</v>
      </c>
    </row>
    <row r="740" spans="1:64" ht="12.75">
      <c r="A740" s="4" t="s">
        <v>686</v>
      </c>
      <c r="B740" s="94" t="s">
        <v>1673</v>
      </c>
      <c r="C740" s="152" t="s">
        <v>2616</v>
      </c>
      <c r="D740" s="153"/>
      <c r="E740" s="153"/>
      <c r="F740" s="153"/>
      <c r="G740" s="94" t="s">
        <v>2850</v>
      </c>
      <c r="H740" s="73">
        <v>3</v>
      </c>
      <c r="I740" s="105">
        <v>0</v>
      </c>
      <c r="J740" s="15">
        <f t="shared" si="716"/>
        <v>0</v>
      </c>
      <c r="K740" s="15">
        <f t="shared" si="717"/>
        <v>0</v>
      </c>
      <c r="L740" s="15">
        <f t="shared" si="718"/>
        <v>0</v>
      </c>
      <c r="M740" s="25"/>
      <c r="N740" s="5"/>
      <c r="Z740" s="29">
        <f t="shared" si="719"/>
        <v>0</v>
      </c>
      <c r="AB740" s="29">
        <f t="shared" si="720"/>
        <v>0</v>
      </c>
      <c r="AC740" s="29">
        <f t="shared" si="721"/>
        <v>0</v>
      </c>
      <c r="AD740" s="29">
        <f t="shared" si="722"/>
        <v>0</v>
      </c>
      <c r="AE740" s="29">
        <f t="shared" si="723"/>
        <v>0</v>
      </c>
      <c r="AF740" s="29">
        <f t="shared" si="724"/>
        <v>0</v>
      </c>
      <c r="AG740" s="29">
        <f t="shared" si="725"/>
        <v>0</v>
      </c>
      <c r="AH740" s="29">
        <f t="shared" si="726"/>
        <v>0</v>
      </c>
      <c r="AI740" s="28" t="s">
        <v>2882</v>
      </c>
      <c r="AJ740" s="15">
        <f t="shared" si="727"/>
        <v>0</v>
      </c>
      <c r="AK740" s="15">
        <f t="shared" si="728"/>
        <v>0</v>
      </c>
      <c r="AL740" s="15">
        <f t="shared" si="729"/>
        <v>0</v>
      </c>
      <c r="AN740" s="29">
        <v>15</v>
      </c>
      <c r="AO740" s="29">
        <f t="shared" si="738"/>
        <v>0</v>
      </c>
      <c r="AP740" s="29">
        <f t="shared" si="739"/>
        <v>0</v>
      </c>
      <c r="AQ740" s="30" t="s">
        <v>7</v>
      </c>
      <c r="AV740" s="29">
        <f t="shared" si="730"/>
        <v>0</v>
      </c>
      <c r="AW740" s="29">
        <f t="shared" si="731"/>
        <v>0</v>
      </c>
      <c r="AX740" s="29">
        <f t="shared" si="732"/>
        <v>0</v>
      </c>
      <c r="AY740" s="32" t="s">
        <v>2927</v>
      </c>
      <c r="AZ740" s="32" t="s">
        <v>2941</v>
      </c>
      <c r="BA740" s="28" t="s">
        <v>2957</v>
      </c>
      <c r="BC740" s="29">
        <f t="shared" si="733"/>
        <v>0</v>
      </c>
      <c r="BD740" s="29">
        <f t="shared" si="734"/>
        <v>0</v>
      </c>
      <c r="BE740" s="29">
        <v>0</v>
      </c>
      <c r="BF740" s="29">
        <f>740</f>
        <v>740</v>
      </c>
      <c r="BH740" s="15">
        <f t="shared" si="735"/>
        <v>0</v>
      </c>
      <c r="BI740" s="15">
        <f t="shared" si="736"/>
        <v>0</v>
      </c>
      <c r="BJ740" s="15">
        <f t="shared" si="737"/>
        <v>0</v>
      </c>
      <c r="BK740" s="15" t="s">
        <v>2969</v>
      </c>
      <c r="BL740" s="29" t="s">
        <v>1585</v>
      </c>
    </row>
    <row r="741" spans="1:64" ht="12.75">
      <c r="A741" s="4" t="s">
        <v>687</v>
      </c>
      <c r="B741" s="94" t="s">
        <v>1674</v>
      </c>
      <c r="C741" s="152" t="s">
        <v>2617</v>
      </c>
      <c r="D741" s="153"/>
      <c r="E741" s="153"/>
      <c r="F741" s="153"/>
      <c r="G741" s="94" t="s">
        <v>2850</v>
      </c>
      <c r="H741" s="73">
        <v>1</v>
      </c>
      <c r="I741" s="105">
        <v>0</v>
      </c>
      <c r="J741" s="15">
        <f t="shared" si="716"/>
        <v>0</v>
      </c>
      <c r="K741" s="15">
        <f t="shared" si="717"/>
        <v>0</v>
      </c>
      <c r="L741" s="15">
        <f t="shared" si="718"/>
        <v>0</v>
      </c>
      <c r="M741" s="25"/>
      <c r="N741" s="5"/>
      <c r="Z741" s="29">
        <f t="shared" si="719"/>
        <v>0</v>
      </c>
      <c r="AB741" s="29">
        <f t="shared" si="720"/>
        <v>0</v>
      </c>
      <c r="AC741" s="29">
        <f t="shared" si="721"/>
        <v>0</v>
      </c>
      <c r="AD741" s="29">
        <f t="shared" si="722"/>
        <v>0</v>
      </c>
      <c r="AE741" s="29">
        <f t="shared" si="723"/>
        <v>0</v>
      </c>
      <c r="AF741" s="29">
        <f t="shared" si="724"/>
        <v>0</v>
      </c>
      <c r="AG741" s="29">
        <f t="shared" si="725"/>
        <v>0</v>
      </c>
      <c r="AH741" s="29">
        <f t="shared" si="726"/>
        <v>0</v>
      </c>
      <c r="AI741" s="28" t="s">
        <v>2882</v>
      </c>
      <c r="AJ741" s="15">
        <f t="shared" si="727"/>
        <v>0</v>
      </c>
      <c r="AK741" s="15">
        <f t="shared" si="728"/>
        <v>0</v>
      </c>
      <c r="AL741" s="15">
        <f t="shared" si="729"/>
        <v>0</v>
      </c>
      <c r="AN741" s="29">
        <v>15</v>
      </c>
      <c r="AO741" s="29">
        <f t="shared" si="738"/>
        <v>0</v>
      </c>
      <c r="AP741" s="29">
        <f t="shared" si="739"/>
        <v>0</v>
      </c>
      <c r="AQ741" s="30" t="s">
        <v>7</v>
      </c>
      <c r="AV741" s="29">
        <f t="shared" si="730"/>
        <v>0</v>
      </c>
      <c r="AW741" s="29">
        <f t="shared" si="731"/>
        <v>0</v>
      </c>
      <c r="AX741" s="29">
        <f t="shared" si="732"/>
        <v>0</v>
      </c>
      <c r="AY741" s="32" t="s">
        <v>2927</v>
      </c>
      <c r="AZ741" s="32" t="s">
        <v>2941</v>
      </c>
      <c r="BA741" s="28" t="s">
        <v>2957</v>
      </c>
      <c r="BC741" s="29">
        <f t="shared" si="733"/>
        <v>0</v>
      </c>
      <c r="BD741" s="29">
        <f t="shared" si="734"/>
        <v>0</v>
      </c>
      <c r="BE741" s="29">
        <v>0</v>
      </c>
      <c r="BF741" s="29">
        <f>741</f>
        <v>741</v>
      </c>
      <c r="BH741" s="15">
        <f t="shared" si="735"/>
        <v>0</v>
      </c>
      <c r="BI741" s="15">
        <f t="shared" si="736"/>
        <v>0</v>
      </c>
      <c r="BJ741" s="15">
        <f t="shared" si="737"/>
        <v>0</v>
      </c>
      <c r="BK741" s="15" t="s">
        <v>2969</v>
      </c>
      <c r="BL741" s="29" t="s">
        <v>1585</v>
      </c>
    </row>
    <row r="742" spans="1:64" ht="12.75">
      <c r="A742" s="4" t="s">
        <v>688</v>
      </c>
      <c r="B742" s="94" t="s">
        <v>1675</v>
      </c>
      <c r="C742" s="152" t="s">
        <v>2618</v>
      </c>
      <c r="D742" s="153"/>
      <c r="E742" s="153"/>
      <c r="F742" s="153"/>
      <c r="G742" s="94" t="s">
        <v>2850</v>
      </c>
      <c r="H742" s="73">
        <v>4</v>
      </c>
      <c r="I742" s="105">
        <v>0</v>
      </c>
      <c r="J742" s="15">
        <f t="shared" si="716"/>
        <v>0</v>
      </c>
      <c r="K742" s="15">
        <f t="shared" si="717"/>
        <v>0</v>
      </c>
      <c r="L742" s="15">
        <f t="shared" si="718"/>
        <v>0</v>
      </c>
      <c r="M742" s="25"/>
      <c r="N742" s="5"/>
      <c r="Z742" s="29">
        <f t="shared" si="719"/>
        <v>0</v>
      </c>
      <c r="AB742" s="29">
        <f t="shared" si="720"/>
        <v>0</v>
      </c>
      <c r="AC742" s="29">
        <f t="shared" si="721"/>
        <v>0</v>
      </c>
      <c r="AD742" s="29">
        <f t="shared" si="722"/>
        <v>0</v>
      </c>
      <c r="AE742" s="29">
        <f t="shared" si="723"/>
        <v>0</v>
      </c>
      <c r="AF742" s="29">
        <f t="shared" si="724"/>
        <v>0</v>
      </c>
      <c r="AG742" s="29">
        <f t="shared" si="725"/>
        <v>0</v>
      </c>
      <c r="AH742" s="29">
        <f t="shared" si="726"/>
        <v>0</v>
      </c>
      <c r="AI742" s="28" t="s">
        <v>2882</v>
      </c>
      <c r="AJ742" s="15">
        <f t="shared" si="727"/>
        <v>0</v>
      </c>
      <c r="AK742" s="15">
        <f t="shared" si="728"/>
        <v>0</v>
      </c>
      <c r="AL742" s="15">
        <f t="shared" si="729"/>
        <v>0</v>
      </c>
      <c r="AN742" s="29">
        <v>15</v>
      </c>
      <c r="AO742" s="29">
        <f t="shared" si="738"/>
        <v>0</v>
      </c>
      <c r="AP742" s="29">
        <f t="shared" si="739"/>
        <v>0</v>
      </c>
      <c r="AQ742" s="30" t="s">
        <v>7</v>
      </c>
      <c r="AV742" s="29">
        <f t="shared" si="730"/>
        <v>0</v>
      </c>
      <c r="AW742" s="29">
        <f t="shared" si="731"/>
        <v>0</v>
      </c>
      <c r="AX742" s="29">
        <f t="shared" si="732"/>
        <v>0</v>
      </c>
      <c r="AY742" s="32" t="s">
        <v>2927</v>
      </c>
      <c r="AZ742" s="32" t="s">
        <v>2941</v>
      </c>
      <c r="BA742" s="28" t="s">
        <v>2957</v>
      </c>
      <c r="BC742" s="29">
        <f t="shared" si="733"/>
        <v>0</v>
      </c>
      <c r="BD742" s="29">
        <f t="shared" si="734"/>
        <v>0</v>
      </c>
      <c r="BE742" s="29">
        <v>0</v>
      </c>
      <c r="BF742" s="29">
        <f>742</f>
        <v>742</v>
      </c>
      <c r="BH742" s="15">
        <f t="shared" si="735"/>
        <v>0</v>
      </c>
      <c r="BI742" s="15">
        <f t="shared" si="736"/>
        <v>0</v>
      </c>
      <c r="BJ742" s="15">
        <f t="shared" si="737"/>
        <v>0</v>
      </c>
      <c r="BK742" s="15" t="s">
        <v>2969</v>
      </c>
      <c r="BL742" s="29" t="s">
        <v>1585</v>
      </c>
    </row>
    <row r="743" spans="1:64" ht="12.75">
      <c r="A743" s="4" t="s">
        <v>689</v>
      </c>
      <c r="B743" s="94" t="s">
        <v>1676</v>
      </c>
      <c r="C743" s="152" t="s">
        <v>2619</v>
      </c>
      <c r="D743" s="153"/>
      <c r="E743" s="153"/>
      <c r="F743" s="153"/>
      <c r="G743" s="94" t="s">
        <v>2850</v>
      </c>
      <c r="H743" s="73">
        <v>3</v>
      </c>
      <c r="I743" s="105">
        <v>0</v>
      </c>
      <c r="J743" s="15">
        <f t="shared" si="716"/>
        <v>0</v>
      </c>
      <c r="K743" s="15">
        <f t="shared" si="717"/>
        <v>0</v>
      </c>
      <c r="L743" s="15">
        <f t="shared" si="718"/>
        <v>0</v>
      </c>
      <c r="M743" s="25"/>
      <c r="N743" s="5"/>
      <c r="Z743" s="29">
        <f t="shared" si="719"/>
        <v>0</v>
      </c>
      <c r="AB743" s="29">
        <f t="shared" si="720"/>
        <v>0</v>
      </c>
      <c r="AC743" s="29">
        <f t="shared" si="721"/>
        <v>0</v>
      </c>
      <c r="AD743" s="29">
        <f t="shared" si="722"/>
        <v>0</v>
      </c>
      <c r="AE743" s="29">
        <f t="shared" si="723"/>
        <v>0</v>
      </c>
      <c r="AF743" s="29">
        <f t="shared" si="724"/>
        <v>0</v>
      </c>
      <c r="AG743" s="29">
        <f t="shared" si="725"/>
        <v>0</v>
      </c>
      <c r="AH743" s="29">
        <f t="shared" si="726"/>
        <v>0</v>
      </c>
      <c r="AI743" s="28" t="s">
        <v>2882</v>
      </c>
      <c r="AJ743" s="15">
        <f t="shared" si="727"/>
        <v>0</v>
      </c>
      <c r="AK743" s="15">
        <f t="shared" si="728"/>
        <v>0</v>
      </c>
      <c r="AL743" s="15">
        <f t="shared" si="729"/>
        <v>0</v>
      </c>
      <c r="AN743" s="29">
        <v>15</v>
      </c>
      <c r="AO743" s="29">
        <f t="shared" si="738"/>
        <v>0</v>
      </c>
      <c r="AP743" s="29">
        <f t="shared" si="739"/>
        <v>0</v>
      </c>
      <c r="AQ743" s="30" t="s">
        <v>7</v>
      </c>
      <c r="AV743" s="29">
        <f t="shared" si="730"/>
        <v>0</v>
      </c>
      <c r="AW743" s="29">
        <f t="shared" si="731"/>
        <v>0</v>
      </c>
      <c r="AX743" s="29">
        <f t="shared" si="732"/>
        <v>0</v>
      </c>
      <c r="AY743" s="32" t="s">
        <v>2927</v>
      </c>
      <c r="AZ743" s="32" t="s">
        <v>2941</v>
      </c>
      <c r="BA743" s="28" t="s">
        <v>2957</v>
      </c>
      <c r="BC743" s="29">
        <f t="shared" si="733"/>
        <v>0</v>
      </c>
      <c r="BD743" s="29">
        <f t="shared" si="734"/>
        <v>0</v>
      </c>
      <c r="BE743" s="29">
        <v>0</v>
      </c>
      <c r="BF743" s="29">
        <f>743</f>
        <v>743</v>
      </c>
      <c r="BH743" s="15">
        <f t="shared" si="735"/>
        <v>0</v>
      </c>
      <c r="BI743" s="15">
        <f t="shared" si="736"/>
        <v>0</v>
      </c>
      <c r="BJ743" s="15">
        <f t="shared" si="737"/>
        <v>0</v>
      </c>
      <c r="BK743" s="15" t="s">
        <v>2969</v>
      </c>
      <c r="BL743" s="29" t="s">
        <v>1585</v>
      </c>
    </row>
    <row r="744" spans="1:64" ht="12.75">
      <c r="A744" s="4" t="s">
        <v>690</v>
      </c>
      <c r="B744" s="94" t="s">
        <v>1677</v>
      </c>
      <c r="C744" s="152" t="s">
        <v>2620</v>
      </c>
      <c r="D744" s="153"/>
      <c r="E744" s="153"/>
      <c r="F744" s="153"/>
      <c r="G744" s="94" t="s">
        <v>2850</v>
      </c>
      <c r="H744" s="73">
        <v>3</v>
      </c>
      <c r="I744" s="105">
        <v>0</v>
      </c>
      <c r="J744" s="15">
        <f t="shared" si="716"/>
        <v>0</v>
      </c>
      <c r="K744" s="15">
        <f t="shared" si="717"/>
        <v>0</v>
      </c>
      <c r="L744" s="15">
        <f t="shared" si="718"/>
        <v>0</v>
      </c>
      <c r="M744" s="25"/>
      <c r="N744" s="5"/>
      <c r="Z744" s="29">
        <f t="shared" si="719"/>
        <v>0</v>
      </c>
      <c r="AB744" s="29">
        <f t="shared" si="720"/>
        <v>0</v>
      </c>
      <c r="AC744" s="29">
        <f t="shared" si="721"/>
        <v>0</v>
      </c>
      <c r="AD744" s="29">
        <f t="shared" si="722"/>
        <v>0</v>
      </c>
      <c r="AE744" s="29">
        <f t="shared" si="723"/>
        <v>0</v>
      </c>
      <c r="AF744" s="29">
        <f t="shared" si="724"/>
        <v>0</v>
      </c>
      <c r="AG744" s="29">
        <f t="shared" si="725"/>
        <v>0</v>
      </c>
      <c r="AH744" s="29">
        <f t="shared" si="726"/>
        <v>0</v>
      </c>
      <c r="AI744" s="28" t="s">
        <v>2882</v>
      </c>
      <c r="AJ744" s="15">
        <f t="shared" si="727"/>
        <v>0</v>
      </c>
      <c r="AK744" s="15">
        <f t="shared" si="728"/>
        <v>0</v>
      </c>
      <c r="AL744" s="15">
        <f t="shared" si="729"/>
        <v>0</v>
      </c>
      <c r="AN744" s="29">
        <v>15</v>
      </c>
      <c r="AO744" s="29">
        <f t="shared" si="738"/>
        <v>0</v>
      </c>
      <c r="AP744" s="29">
        <f t="shared" si="739"/>
        <v>0</v>
      </c>
      <c r="AQ744" s="30" t="s">
        <v>7</v>
      </c>
      <c r="AV744" s="29">
        <f t="shared" si="730"/>
        <v>0</v>
      </c>
      <c r="AW744" s="29">
        <f t="shared" si="731"/>
        <v>0</v>
      </c>
      <c r="AX744" s="29">
        <f t="shared" si="732"/>
        <v>0</v>
      </c>
      <c r="AY744" s="32" t="s">
        <v>2927</v>
      </c>
      <c r="AZ744" s="32" t="s">
        <v>2941</v>
      </c>
      <c r="BA744" s="28" t="s">
        <v>2957</v>
      </c>
      <c r="BC744" s="29">
        <f t="shared" si="733"/>
        <v>0</v>
      </c>
      <c r="BD744" s="29">
        <f t="shared" si="734"/>
        <v>0</v>
      </c>
      <c r="BE744" s="29">
        <v>0</v>
      </c>
      <c r="BF744" s="29">
        <f>744</f>
        <v>744</v>
      </c>
      <c r="BH744" s="15">
        <f t="shared" si="735"/>
        <v>0</v>
      </c>
      <c r="BI744" s="15">
        <f t="shared" si="736"/>
        <v>0</v>
      </c>
      <c r="BJ744" s="15">
        <f t="shared" si="737"/>
        <v>0</v>
      </c>
      <c r="BK744" s="15" t="s">
        <v>2969</v>
      </c>
      <c r="BL744" s="29" t="s">
        <v>1585</v>
      </c>
    </row>
    <row r="745" spans="1:64" ht="12.75">
      <c r="A745" s="4" t="s">
        <v>691</v>
      </c>
      <c r="B745" s="94" t="s">
        <v>1678</v>
      </c>
      <c r="C745" s="152" t="s">
        <v>2621</v>
      </c>
      <c r="D745" s="153"/>
      <c r="E745" s="153"/>
      <c r="F745" s="153"/>
      <c r="G745" s="94" t="s">
        <v>2856</v>
      </c>
      <c r="H745" s="73">
        <v>1</v>
      </c>
      <c r="I745" s="105">
        <v>0</v>
      </c>
      <c r="J745" s="15">
        <f aca="true" t="shared" si="740" ref="J745:J779">H745*AO745</f>
        <v>0</v>
      </c>
      <c r="K745" s="15">
        <f aca="true" t="shared" si="741" ref="K745:K779">H745*AP745</f>
        <v>0</v>
      </c>
      <c r="L745" s="15">
        <f aca="true" t="shared" si="742" ref="L745:L779">H745*I745</f>
        <v>0</v>
      </c>
      <c r="M745" s="25"/>
      <c r="N745" s="5"/>
      <c r="Z745" s="29">
        <f aca="true" t="shared" si="743" ref="Z745:Z779">IF(AQ745="5",BJ745,0)</f>
        <v>0</v>
      </c>
      <c r="AB745" s="29">
        <f aca="true" t="shared" si="744" ref="AB745:AB779">IF(AQ745="1",BH745,0)</f>
        <v>0</v>
      </c>
      <c r="AC745" s="29">
        <f aca="true" t="shared" si="745" ref="AC745:AC779">IF(AQ745="1",BI745,0)</f>
        <v>0</v>
      </c>
      <c r="AD745" s="29">
        <f aca="true" t="shared" si="746" ref="AD745:AD779">IF(AQ745="7",BH745,0)</f>
        <v>0</v>
      </c>
      <c r="AE745" s="29">
        <f aca="true" t="shared" si="747" ref="AE745:AE779">IF(AQ745="7",BI745,0)</f>
        <v>0</v>
      </c>
      <c r="AF745" s="29">
        <f aca="true" t="shared" si="748" ref="AF745:AF779">IF(AQ745="2",BH745,0)</f>
        <v>0</v>
      </c>
      <c r="AG745" s="29">
        <f aca="true" t="shared" si="749" ref="AG745:AG779">IF(AQ745="2",BI745,0)</f>
        <v>0</v>
      </c>
      <c r="AH745" s="29">
        <f aca="true" t="shared" si="750" ref="AH745:AH779">IF(AQ745="0",BJ745,0)</f>
        <v>0</v>
      </c>
      <c r="AI745" s="28" t="s">
        <v>2882</v>
      </c>
      <c r="AJ745" s="15">
        <f aca="true" t="shared" si="751" ref="AJ745:AJ779">IF(AN745=0,L745,0)</f>
        <v>0</v>
      </c>
      <c r="AK745" s="15">
        <f aca="true" t="shared" si="752" ref="AK745:AK779">IF(AN745=15,L745,0)</f>
        <v>0</v>
      </c>
      <c r="AL745" s="15">
        <f aca="true" t="shared" si="753" ref="AL745:AL779">IF(AN745=21,L745,0)</f>
        <v>0</v>
      </c>
      <c r="AN745" s="29">
        <v>15</v>
      </c>
      <c r="AO745" s="29">
        <f t="shared" si="738"/>
        <v>0</v>
      </c>
      <c r="AP745" s="29">
        <f t="shared" si="739"/>
        <v>0</v>
      </c>
      <c r="AQ745" s="30" t="s">
        <v>7</v>
      </c>
      <c r="AV745" s="29">
        <f aca="true" t="shared" si="754" ref="AV745:AV776">AW745+AX745</f>
        <v>0</v>
      </c>
      <c r="AW745" s="29">
        <f aca="true" t="shared" si="755" ref="AW745:AW779">H745*AO745</f>
        <v>0</v>
      </c>
      <c r="AX745" s="29">
        <f aca="true" t="shared" si="756" ref="AX745:AX779">H745*AP745</f>
        <v>0</v>
      </c>
      <c r="AY745" s="32" t="s">
        <v>2927</v>
      </c>
      <c r="AZ745" s="32" t="s">
        <v>2941</v>
      </c>
      <c r="BA745" s="28" t="s">
        <v>2957</v>
      </c>
      <c r="BC745" s="29">
        <f aca="true" t="shared" si="757" ref="BC745:BC779">AW745+AX745</f>
        <v>0</v>
      </c>
      <c r="BD745" s="29">
        <f aca="true" t="shared" si="758" ref="BD745:BD776">I745/(100-BE745)*100</f>
        <v>0</v>
      </c>
      <c r="BE745" s="29">
        <v>0</v>
      </c>
      <c r="BF745" s="29">
        <f>745</f>
        <v>745</v>
      </c>
      <c r="BH745" s="15">
        <f aca="true" t="shared" si="759" ref="BH745:BH779">H745*AO745</f>
        <v>0</v>
      </c>
      <c r="BI745" s="15">
        <f aca="true" t="shared" si="760" ref="BI745:BI779">H745*AP745</f>
        <v>0</v>
      </c>
      <c r="BJ745" s="15">
        <f aca="true" t="shared" si="761" ref="BJ745:BJ779">H745*I745</f>
        <v>0</v>
      </c>
      <c r="BK745" s="15" t="s">
        <v>2969</v>
      </c>
      <c r="BL745" s="29" t="s">
        <v>1585</v>
      </c>
    </row>
    <row r="746" spans="1:64" ht="12.75">
      <c r="A746" s="4" t="s">
        <v>692</v>
      </c>
      <c r="B746" s="94" t="s">
        <v>1679</v>
      </c>
      <c r="C746" s="152" t="s">
        <v>2622</v>
      </c>
      <c r="D746" s="153"/>
      <c r="E746" s="153"/>
      <c r="F746" s="153"/>
      <c r="G746" s="94" t="s">
        <v>2856</v>
      </c>
      <c r="H746" s="73">
        <v>1</v>
      </c>
      <c r="I746" s="105">
        <v>0</v>
      </c>
      <c r="J746" s="15">
        <f t="shared" si="740"/>
        <v>0</v>
      </c>
      <c r="K746" s="15">
        <f t="shared" si="741"/>
        <v>0</v>
      </c>
      <c r="L746" s="15">
        <f t="shared" si="742"/>
        <v>0</v>
      </c>
      <c r="M746" s="25"/>
      <c r="N746" s="5"/>
      <c r="Z746" s="29">
        <f t="shared" si="743"/>
        <v>0</v>
      </c>
      <c r="AB746" s="29">
        <f t="shared" si="744"/>
        <v>0</v>
      </c>
      <c r="AC746" s="29">
        <f t="shared" si="745"/>
        <v>0</v>
      </c>
      <c r="AD746" s="29">
        <f t="shared" si="746"/>
        <v>0</v>
      </c>
      <c r="AE746" s="29">
        <f t="shared" si="747"/>
        <v>0</v>
      </c>
      <c r="AF746" s="29">
        <f t="shared" si="748"/>
        <v>0</v>
      </c>
      <c r="AG746" s="29">
        <f t="shared" si="749"/>
        <v>0</v>
      </c>
      <c r="AH746" s="29">
        <f t="shared" si="750"/>
        <v>0</v>
      </c>
      <c r="AI746" s="28" t="s">
        <v>2882</v>
      </c>
      <c r="AJ746" s="15">
        <f t="shared" si="751"/>
        <v>0</v>
      </c>
      <c r="AK746" s="15">
        <f t="shared" si="752"/>
        <v>0</v>
      </c>
      <c r="AL746" s="15">
        <f t="shared" si="753"/>
        <v>0</v>
      </c>
      <c r="AN746" s="29">
        <v>15</v>
      </c>
      <c r="AO746" s="29">
        <f t="shared" si="738"/>
        <v>0</v>
      </c>
      <c r="AP746" s="29">
        <f t="shared" si="739"/>
        <v>0</v>
      </c>
      <c r="AQ746" s="30" t="s">
        <v>7</v>
      </c>
      <c r="AV746" s="29">
        <f t="shared" si="754"/>
        <v>0</v>
      </c>
      <c r="AW746" s="29">
        <f t="shared" si="755"/>
        <v>0</v>
      </c>
      <c r="AX746" s="29">
        <f t="shared" si="756"/>
        <v>0</v>
      </c>
      <c r="AY746" s="32" t="s">
        <v>2927</v>
      </c>
      <c r="AZ746" s="32" t="s">
        <v>2941</v>
      </c>
      <c r="BA746" s="28" t="s">
        <v>2957</v>
      </c>
      <c r="BC746" s="29">
        <f t="shared" si="757"/>
        <v>0</v>
      </c>
      <c r="BD746" s="29">
        <f t="shared" si="758"/>
        <v>0</v>
      </c>
      <c r="BE746" s="29">
        <v>0</v>
      </c>
      <c r="BF746" s="29">
        <f>746</f>
        <v>746</v>
      </c>
      <c r="BH746" s="15">
        <f t="shared" si="759"/>
        <v>0</v>
      </c>
      <c r="BI746" s="15">
        <f t="shared" si="760"/>
        <v>0</v>
      </c>
      <c r="BJ746" s="15">
        <f t="shared" si="761"/>
        <v>0</v>
      </c>
      <c r="BK746" s="15" t="s">
        <v>2969</v>
      </c>
      <c r="BL746" s="29" t="s">
        <v>1585</v>
      </c>
    </row>
    <row r="747" spans="1:64" ht="12.75">
      <c r="A747" s="4" t="s">
        <v>693</v>
      </c>
      <c r="B747" s="94" t="s">
        <v>1680</v>
      </c>
      <c r="C747" s="152" t="s">
        <v>2623</v>
      </c>
      <c r="D747" s="153"/>
      <c r="E747" s="153"/>
      <c r="F747" s="153"/>
      <c r="G747" s="94" t="s">
        <v>2851</v>
      </c>
      <c r="H747" s="73">
        <v>30</v>
      </c>
      <c r="I747" s="105">
        <v>0</v>
      </c>
      <c r="J747" s="15">
        <f t="shared" si="740"/>
        <v>0</v>
      </c>
      <c r="K747" s="15">
        <f t="shared" si="741"/>
        <v>0</v>
      </c>
      <c r="L747" s="15">
        <f t="shared" si="742"/>
        <v>0</v>
      </c>
      <c r="M747" s="25"/>
      <c r="N747" s="5"/>
      <c r="Z747" s="29">
        <f t="shared" si="743"/>
        <v>0</v>
      </c>
      <c r="AB747" s="29">
        <f t="shared" si="744"/>
        <v>0</v>
      </c>
      <c r="AC747" s="29">
        <f t="shared" si="745"/>
        <v>0</v>
      </c>
      <c r="AD747" s="29">
        <f t="shared" si="746"/>
        <v>0</v>
      </c>
      <c r="AE747" s="29">
        <f t="shared" si="747"/>
        <v>0</v>
      </c>
      <c r="AF747" s="29">
        <f t="shared" si="748"/>
        <v>0</v>
      </c>
      <c r="AG747" s="29">
        <f t="shared" si="749"/>
        <v>0</v>
      </c>
      <c r="AH747" s="29">
        <f t="shared" si="750"/>
        <v>0</v>
      </c>
      <c r="AI747" s="28" t="s">
        <v>2882</v>
      </c>
      <c r="AJ747" s="15">
        <f t="shared" si="751"/>
        <v>0</v>
      </c>
      <c r="AK747" s="15">
        <f t="shared" si="752"/>
        <v>0</v>
      </c>
      <c r="AL747" s="15">
        <f t="shared" si="753"/>
        <v>0</v>
      </c>
      <c r="AN747" s="29">
        <v>15</v>
      </c>
      <c r="AO747" s="29">
        <f t="shared" si="738"/>
        <v>0</v>
      </c>
      <c r="AP747" s="29">
        <f t="shared" si="739"/>
        <v>0</v>
      </c>
      <c r="AQ747" s="30" t="s">
        <v>7</v>
      </c>
      <c r="AV747" s="29">
        <f t="shared" si="754"/>
        <v>0</v>
      </c>
      <c r="AW747" s="29">
        <f t="shared" si="755"/>
        <v>0</v>
      </c>
      <c r="AX747" s="29">
        <f t="shared" si="756"/>
        <v>0</v>
      </c>
      <c r="AY747" s="32" t="s">
        <v>2927</v>
      </c>
      <c r="AZ747" s="32" t="s">
        <v>2941</v>
      </c>
      <c r="BA747" s="28" t="s">
        <v>2957</v>
      </c>
      <c r="BC747" s="29">
        <f t="shared" si="757"/>
        <v>0</v>
      </c>
      <c r="BD747" s="29">
        <f t="shared" si="758"/>
        <v>0</v>
      </c>
      <c r="BE747" s="29">
        <v>0</v>
      </c>
      <c r="BF747" s="29">
        <f>747</f>
        <v>747</v>
      </c>
      <c r="BH747" s="15">
        <f t="shared" si="759"/>
        <v>0</v>
      </c>
      <c r="BI747" s="15">
        <f t="shared" si="760"/>
        <v>0</v>
      </c>
      <c r="BJ747" s="15">
        <f t="shared" si="761"/>
        <v>0</v>
      </c>
      <c r="BK747" s="15" t="s">
        <v>2969</v>
      </c>
      <c r="BL747" s="29" t="s">
        <v>1585</v>
      </c>
    </row>
    <row r="748" spans="1:64" ht="12.75">
      <c r="A748" s="4" t="s">
        <v>694</v>
      </c>
      <c r="B748" s="94" t="s">
        <v>1681</v>
      </c>
      <c r="C748" s="152" t="s">
        <v>2623</v>
      </c>
      <c r="D748" s="153"/>
      <c r="E748" s="153"/>
      <c r="F748" s="153"/>
      <c r="G748" s="94" t="s">
        <v>2851</v>
      </c>
      <c r="H748" s="73">
        <v>30</v>
      </c>
      <c r="I748" s="105">
        <v>0</v>
      </c>
      <c r="J748" s="15">
        <f t="shared" si="740"/>
        <v>0</v>
      </c>
      <c r="K748" s="15">
        <f t="shared" si="741"/>
        <v>0</v>
      </c>
      <c r="L748" s="15">
        <f t="shared" si="742"/>
        <v>0</v>
      </c>
      <c r="M748" s="25"/>
      <c r="N748" s="5"/>
      <c r="Z748" s="29">
        <f t="shared" si="743"/>
        <v>0</v>
      </c>
      <c r="AB748" s="29">
        <f t="shared" si="744"/>
        <v>0</v>
      </c>
      <c r="AC748" s="29">
        <f t="shared" si="745"/>
        <v>0</v>
      </c>
      <c r="AD748" s="29">
        <f t="shared" si="746"/>
        <v>0</v>
      </c>
      <c r="AE748" s="29">
        <f t="shared" si="747"/>
        <v>0</v>
      </c>
      <c r="AF748" s="29">
        <f t="shared" si="748"/>
        <v>0</v>
      </c>
      <c r="AG748" s="29">
        <f t="shared" si="749"/>
        <v>0</v>
      </c>
      <c r="AH748" s="29">
        <f t="shared" si="750"/>
        <v>0</v>
      </c>
      <c r="AI748" s="28" t="s">
        <v>2882</v>
      </c>
      <c r="AJ748" s="15">
        <f t="shared" si="751"/>
        <v>0</v>
      </c>
      <c r="AK748" s="15">
        <f t="shared" si="752"/>
        <v>0</v>
      </c>
      <c r="AL748" s="15">
        <f t="shared" si="753"/>
        <v>0</v>
      </c>
      <c r="AN748" s="29">
        <v>15</v>
      </c>
      <c r="AO748" s="29">
        <f t="shared" si="738"/>
        <v>0</v>
      </c>
      <c r="AP748" s="29">
        <f t="shared" si="739"/>
        <v>0</v>
      </c>
      <c r="AQ748" s="30" t="s">
        <v>7</v>
      </c>
      <c r="AV748" s="29">
        <f t="shared" si="754"/>
        <v>0</v>
      </c>
      <c r="AW748" s="29">
        <f t="shared" si="755"/>
        <v>0</v>
      </c>
      <c r="AX748" s="29">
        <f t="shared" si="756"/>
        <v>0</v>
      </c>
      <c r="AY748" s="32" t="s">
        <v>2927</v>
      </c>
      <c r="AZ748" s="32" t="s">
        <v>2941</v>
      </c>
      <c r="BA748" s="28" t="s">
        <v>2957</v>
      </c>
      <c r="BC748" s="29">
        <f t="shared" si="757"/>
        <v>0</v>
      </c>
      <c r="BD748" s="29">
        <f t="shared" si="758"/>
        <v>0</v>
      </c>
      <c r="BE748" s="29">
        <v>0</v>
      </c>
      <c r="BF748" s="29">
        <f>748</f>
        <v>748</v>
      </c>
      <c r="BH748" s="15">
        <f t="shared" si="759"/>
        <v>0</v>
      </c>
      <c r="BI748" s="15">
        <f t="shared" si="760"/>
        <v>0</v>
      </c>
      <c r="BJ748" s="15">
        <f t="shared" si="761"/>
        <v>0</v>
      </c>
      <c r="BK748" s="15" t="s">
        <v>2969</v>
      </c>
      <c r="BL748" s="29" t="s">
        <v>1585</v>
      </c>
    </row>
    <row r="749" spans="1:64" ht="12.75">
      <c r="A749" s="4" t="s">
        <v>695</v>
      </c>
      <c r="B749" s="94" t="s">
        <v>1682</v>
      </c>
      <c r="C749" s="152" t="s">
        <v>2624</v>
      </c>
      <c r="D749" s="153"/>
      <c r="E749" s="153"/>
      <c r="F749" s="153"/>
      <c r="G749" s="94" t="s">
        <v>2850</v>
      </c>
      <c r="H749" s="73">
        <v>26</v>
      </c>
      <c r="I749" s="105">
        <v>0</v>
      </c>
      <c r="J749" s="15">
        <f t="shared" si="740"/>
        <v>0</v>
      </c>
      <c r="K749" s="15">
        <f t="shared" si="741"/>
        <v>0</v>
      </c>
      <c r="L749" s="15">
        <f t="shared" si="742"/>
        <v>0</v>
      </c>
      <c r="M749" s="25"/>
      <c r="N749" s="5"/>
      <c r="Z749" s="29">
        <f t="shared" si="743"/>
        <v>0</v>
      </c>
      <c r="AB749" s="29">
        <f t="shared" si="744"/>
        <v>0</v>
      </c>
      <c r="AC749" s="29">
        <f t="shared" si="745"/>
        <v>0</v>
      </c>
      <c r="AD749" s="29">
        <f t="shared" si="746"/>
        <v>0</v>
      </c>
      <c r="AE749" s="29">
        <f t="shared" si="747"/>
        <v>0</v>
      </c>
      <c r="AF749" s="29">
        <f t="shared" si="748"/>
        <v>0</v>
      </c>
      <c r="AG749" s="29">
        <f t="shared" si="749"/>
        <v>0</v>
      </c>
      <c r="AH749" s="29">
        <f t="shared" si="750"/>
        <v>0</v>
      </c>
      <c r="AI749" s="28" t="s">
        <v>2882</v>
      </c>
      <c r="AJ749" s="15">
        <f t="shared" si="751"/>
        <v>0</v>
      </c>
      <c r="AK749" s="15">
        <f t="shared" si="752"/>
        <v>0</v>
      </c>
      <c r="AL749" s="15">
        <f t="shared" si="753"/>
        <v>0</v>
      </c>
      <c r="AN749" s="29">
        <v>15</v>
      </c>
      <c r="AO749" s="29">
        <f t="shared" si="738"/>
        <v>0</v>
      </c>
      <c r="AP749" s="29">
        <f t="shared" si="739"/>
        <v>0</v>
      </c>
      <c r="AQ749" s="30" t="s">
        <v>7</v>
      </c>
      <c r="AV749" s="29">
        <f t="shared" si="754"/>
        <v>0</v>
      </c>
      <c r="AW749" s="29">
        <f t="shared" si="755"/>
        <v>0</v>
      </c>
      <c r="AX749" s="29">
        <f t="shared" si="756"/>
        <v>0</v>
      </c>
      <c r="AY749" s="32" t="s">
        <v>2927</v>
      </c>
      <c r="AZ749" s="32" t="s">
        <v>2941</v>
      </c>
      <c r="BA749" s="28" t="s">
        <v>2957</v>
      </c>
      <c r="BC749" s="29">
        <f t="shared" si="757"/>
        <v>0</v>
      </c>
      <c r="BD749" s="29">
        <f t="shared" si="758"/>
        <v>0</v>
      </c>
      <c r="BE749" s="29">
        <v>0</v>
      </c>
      <c r="BF749" s="29">
        <f>749</f>
        <v>749</v>
      </c>
      <c r="BH749" s="15">
        <f t="shared" si="759"/>
        <v>0</v>
      </c>
      <c r="BI749" s="15">
        <f t="shared" si="760"/>
        <v>0</v>
      </c>
      <c r="BJ749" s="15">
        <f t="shared" si="761"/>
        <v>0</v>
      </c>
      <c r="BK749" s="15" t="s">
        <v>2969</v>
      </c>
      <c r="BL749" s="29" t="s">
        <v>1585</v>
      </c>
    </row>
    <row r="750" spans="1:64" ht="12.75">
      <c r="A750" s="4" t="s">
        <v>696</v>
      </c>
      <c r="B750" s="94" t="s">
        <v>1683</v>
      </c>
      <c r="C750" s="152" t="s">
        <v>2624</v>
      </c>
      <c r="D750" s="153"/>
      <c r="E750" s="153"/>
      <c r="F750" s="153"/>
      <c r="G750" s="94" t="s">
        <v>2850</v>
      </c>
      <c r="H750" s="73">
        <v>26</v>
      </c>
      <c r="I750" s="105">
        <v>0</v>
      </c>
      <c r="J750" s="15">
        <f t="shared" si="740"/>
        <v>0</v>
      </c>
      <c r="K750" s="15">
        <f t="shared" si="741"/>
        <v>0</v>
      </c>
      <c r="L750" s="15">
        <f t="shared" si="742"/>
        <v>0</v>
      </c>
      <c r="M750" s="25"/>
      <c r="N750" s="5"/>
      <c r="Z750" s="29">
        <f t="shared" si="743"/>
        <v>0</v>
      </c>
      <c r="AB750" s="29">
        <f t="shared" si="744"/>
        <v>0</v>
      </c>
      <c r="AC750" s="29">
        <f t="shared" si="745"/>
        <v>0</v>
      </c>
      <c r="AD750" s="29">
        <f t="shared" si="746"/>
        <v>0</v>
      </c>
      <c r="AE750" s="29">
        <f t="shared" si="747"/>
        <v>0</v>
      </c>
      <c r="AF750" s="29">
        <f t="shared" si="748"/>
        <v>0</v>
      </c>
      <c r="AG750" s="29">
        <f t="shared" si="749"/>
        <v>0</v>
      </c>
      <c r="AH750" s="29">
        <f t="shared" si="750"/>
        <v>0</v>
      </c>
      <c r="AI750" s="28" t="s">
        <v>2882</v>
      </c>
      <c r="AJ750" s="15">
        <f t="shared" si="751"/>
        <v>0</v>
      </c>
      <c r="AK750" s="15">
        <f t="shared" si="752"/>
        <v>0</v>
      </c>
      <c r="AL750" s="15">
        <f t="shared" si="753"/>
        <v>0</v>
      </c>
      <c r="AN750" s="29">
        <v>15</v>
      </c>
      <c r="AO750" s="29">
        <f t="shared" si="738"/>
        <v>0</v>
      </c>
      <c r="AP750" s="29">
        <f t="shared" si="739"/>
        <v>0</v>
      </c>
      <c r="AQ750" s="30" t="s">
        <v>7</v>
      </c>
      <c r="AV750" s="29">
        <f t="shared" si="754"/>
        <v>0</v>
      </c>
      <c r="AW750" s="29">
        <f t="shared" si="755"/>
        <v>0</v>
      </c>
      <c r="AX750" s="29">
        <f t="shared" si="756"/>
        <v>0</v>
      </c>
      <c r="AY750" s="32" t="s">
        <v>2927</v>
      </c>
      <c r="AZ750" s="32" t="s">
        <v>2941</v>
      </c>
      <c r="BA750" s="28" t="s">
        <v>2957</v>
      </c>
      <c r="BC750" s="29">
        <f t="shared" si="757"/>
        <v>0</v>
      </c>
      <c r="BD750" s="29">
        <f t="shared" si="758"/>
        <v>0</v>
      </c>
      <c r="BE750" s="29">
        <v>0</v>
      </c>
      <c r="BF750" s="29">
        <f>750</f>
        <v>750</v>
      </c>
      <c r="BH750" s="15">
        <f t="shared" si="759"/>
        <v>0</v>
      </c>
      <c r="BI750" s="15">
        <f t="shared" si="760"/>
        <v>0</v>
      </c>
      <c r="BJ750" s="15">
        <f t="shared" si="761"/>
        <v>0</v>
      </c>
      <c r="BK750" s="15" t="s">
        <v>2969</v>
      </c>
      <c r="BL750" s="29" t="s">
        <v>1585</v>
      </c>
    </row>
    <row r="751" spans="1:64" ht="12.75">
      <c r="A751" s="4" t="s">
        <v>697</v>
      </c>
      <c r="B751" s="94" t="s">
        <v>1684</v>
      </c>
      <c r="C751" s="152" t="s">
        <v>2625</v>
      </c>
      <c r="D751" s="153"/>
      <c r="E751" s="153"/>
      <c r="F751" s="153"/>
      <c r="G751" s="94" t="s">
        <v>2850</v>
      </c>
      <c r="H751" s="73">
        <v>6</v>
      </c>
      <c r="I751" s="105">
        <v>0</v>
      </c>
      <c r="J751" s="15">
        <f t="shared" si="740"/>
        <v>0</v>
      </c>
      <c r="K751" s="15">
        <f t="shared" si="741"/>
        <v>0</v>
      </c>
      <c r="L751" s="15">
        <f t="shared" si="742"/>
        <v>0</v>
      </c>
      <c r="M751" s="25"/>
      <c r="N751" s="5"/>
      <c r="Z751" s="29">
        <f t="shared" si="743"/>
        <v>0</v>
      </c>
      <c r="AB751" s="29">
        <f t="shared" si="744"/>
        <v>0</v>
      </c>
      <c r="AC751" s="29">
        <f t="shared" si="745"/>
        <v>0</v>
      </c>
      <c r="AD751" s="29">
        <f t="shared" si="746"/>
        <v>0</v>
      </c>
      <c r="AE751" s="29">
        <f t="shared" si="747"/>
        <v>0</v>
      </c>
      <c r="AF751" s="29">
        <f t="shared" si="748"/>
        <v>0</v>
      </c>
      <c r="AG751" s="29">
        <f t="shared" si="749"/>
        <v>0</v>
      </c>
      <c r="AH751" s="29">
        <f t="shared" si="750"/>
        <v>0</v>
      </c>
      <c r="AI751" s="28" t="s">
        <v>2882</v>
      </c>
      <c r="AJ751" s="15">
        <f t="shared" si="751"/>
        <v>0</v>
      </c>
      <c r="AK751" s="15">
        <f t="shared" si="752"/>
        <v>0</v>
      </c>
      <c r="AL751" s="15">
        <f t="shared" si="753"/>
        <v>0</v>
      </c>
      <c r="AN751" s="29">
        <v>15</v>
      </c>
      <c r="AO751" s="29">
        <f t="shared" si="738"/>
        <v>0</v>
      </c>
      <c r="AP751" s="29">
        <f t="shared" si="739"/>
        <v>0</v>
      </c>
      <c r="AQ751" s="30" t="s">
        <v>7</v>
      </c>
      <c r="AV751" s="29">
        <f t="shared" si="754"/>
        <v>0</v>
      </c>
      <c r="AW751" s="29">
        <f t="shared" si="755"/>
        <v>0</v>
      </c>
      <c r="AX751" s="29">
        <f t="shared" si="756"/>
        <v>0</v>
      </c>
      <c r="AY751" s="32" t="s">
        <v>2927</v>
      </c>
      <c r="AZ751" s="32" t="s">
        <v>2941</v>
      </c>
      <c r="BA751" s="28" t="s">
        <v>2957</v>
      </c>
      <c r="BC751" s="29">
        <f t="shared" si="757"/>
        <v>0</v>
      </c>
      <c r="BD751" s="29">
        <f t="shared" si="758"/>
        <v>0</v>
      </c>
      <c r="BE751" s="29">
        <v>0</v>
      </c>
      <c r="BF751" s="29">
        <f>751</f>
        <v>751</v>
      </c>
      <c r="BH751" s="15">
        <f t="shared" si="759"/>
        <v>0</v>
      </c>
      <c r="BI751" s="15">
        <f t="shared" si="760"/>
        <v>0</v>
      </c>
      <c r="BJ751" s="15">
        <f t="shared" si="761"/>
        <v>0</v>
      </c>
      <c r="BK751" s="15" t="s">
        <v>2969</v>
      </c>
      <c r="BL751" s="29" t="s">
        <v>1585</v>
      </c>
    </row>
    <row r="752" spans="1:64" ht="12.75">
      <c r="A752" s="4" t="s">
        <v>698</v>
      </c>
      <c r="B752" s="94" t="s">
        <v>1685</v>
      </c>
      <c r="C752" s="152" t="s">
        <v>2625</v>
      </c>
      <c r="D752" s="153"/>
      <c r="E752" s="153"/>
      <c r="F752" s="153"/>
      <c r="G752" s="94" t="s">
        <v>2850</v>
      </c>
      <c r="H752" s="73">
        <v>6</v>
      </c>
      <c r="I752" s="105">
        <v>0</v>
      </c>
      <c r="J752" s="15">
        <f t="shared" si="740"/>
        <v>0</v>
      </c>
      <c r="K752" s="15">
        <f t="shared" si="741"/>
        <v>0</v>
      </c>
      <c r="L752" s="15">
        <f t="shared" si="742"/>
        <v>0</v>
      </c>
      <c r="M752" s="25"/>
      <c r="N752" s="5"/>
      <c r="Z752" s="29">
        <f t="shared" si="743"/>
        <v>0</v>
      </c>
      <c r="AB752" s="29">
        <f t="shared" si="744"/>
        <v>0</v>
      </c>
      <c r="AC752" s="29">
        <f t="shared" si="745"/>
        <v>0</v>
      </c>
      <c r="AD752" s="29">
        <f t="shared" si="746"/>
        <v>0</v>
      </c>
      <c r="AE752" s="29">
        <f t="shared" si="747"/>
        <v>0</v>
      </c>
      <c r="AF752" s="29">
        <f t="shared" si="748"/>
        <v>0</v>
      </c>
      <c r="AG752" s="29">
        <f t="shared" si="749"/>
        <v>0</v>
      </c>
      <c r="AH752" s="29">
        <f t="shared" si="750"/>
        <v>0</v>
      </c>
      <c r="AI752" s="28" t="s">
        <v>2882</v>
      </c>
      <c r="AJ752" s="15">
        <f t="shared" si="751"/>
        <v>0</v>
      </c>
      <c r="AK752" s="15">
        <f t="shared" si="752"/>
        <v>0</v>
      </c>
      <c r="AL752" s="15">
        <f t="shared" si="753"/>
        <v>0</v>
      </c>
      <c r="AN752" s="29">
        <v>15</v>
      </c>
      <c r="AO752" s="29">
        <f t="shared" si="738"/>
        <v>0</v>
      </c>
      <c r="AP752" s="29">
        <f t="shared" si="739"/>
        <v>0</v>
      </c>
      <c r="AQ752" s="30" t="s">
        <v>7</v>
      </c>
      <c r="AV752" s="29">
        <f t="shared" si="754"/>
        <v>0</v>
      </c>
      <c r="AW752" s="29">
        <f t="shared" si="755"/>
        <v>0</v>
      </c>
      <c r="AX752" s="29">
        <f t="shared" si="756"/>
        <v>0</v>
      </c>
      <c r="AY752" s="32" t="s">
        <v>2927</v>
      </c>
      <c r="AZ752" s="32" t="s">
        <v>2941</v>
      </c>
      <c r="BA752" s="28" t="s">
        <v>2957</v>
      </c>
      <c r="BC752" s="29">
        <f t="shared" si="757"/>
        <v>0</v>
      </c>
      <c r="BD752" s="29">
        <f t="shared" si="758"/>
        <v>0</v>
      </c>
      <c r="BE752" s="29">
        <v>0</v>
      </c>
      <c r="BF752" s="29">
        <f>752</f>
        <v>752</v>
      </c>
      <c r="BH752" s="15">
        <f t="shared" si="759"/>
        <v>0</v>
      </c>
      <c r="BI752" s="15">
        <f t="shared" si="760"/>
        <v>0</v>
      </c>
      <c r="BJ752" s="15">
        <f t="shared" si="761"/>
        <v>0</v>
      </c>
      <c r="BK752" s="15" t="s">
        <v>2969</v>
      </c>
      <c r="BL752" s="29" t="s">
        <v>1585</v>
      </c>
    </row>
    <row r="753" spans="1:64" ht="12.75">
      <c r="A753" s="4" t="s">
        <v>699</v>
      </c>
      <c r="B753" s="94" t="s">
        <v>1686</v>
      </c>
      <c r="C753" s="152" t="s">
        <v>2626</v>
      </c>
      <c r="D753" s="153"/>
      <c r="E753" s="153"/>
      <c r="F753" s="153"/>
      <c r="G753" s="94" t="s">
        <v>2851</v>
      </c>
      <c r="H753" s="73">
        <v>280</v>
      </c>
      <c r="I753" s="105">
        <v>0</v>
      </c>
      <c r="J753" s="15">
        <f t="shared" si="740"/>
        <v>0</v>
      </c>
      <c r="K753" s="15">
        <f t="shared" si="741"/>
        <v>0</v>
      </c>
      <c r="L753" s="15">
        <f t="shared" si="742"/>
        <v>0</v>
      </c>
      <c r="M753" s="25"/>
      <c r="N753" s="5"/>
      <c r="Z753" s="29">
        <f t="shared" si="743"/>
        <v>0</v>
      </c>
      <c r="AB753" s="29">
        <f t="shared" si="744"/>
        <v>0</v>
      </c>
      <c r="AC753" s="29">
        <f t="shared" si="745"/>
        <v>0</v>
      </c>
      <c r="AD753" s="29">
        <f t="shared" si="746"/>
        <v>0</v>
      </c>
      <c r="AE753" s="29">
        <f t="shared" si="747"/>
        <v>0</v>
      </c>
      <c r="AF753" s="29">
        <f t="shared" si="748"/>
        <v>0</v>
      </c>
      <c r="AG753" s="29">
        <f t="shared" si="749"/>
        <v>0</v>
      </c>
      <c r="AH753" s="29">
        <f t="shared" si="750"/>
        <v>0</v>
      </c>
      <c r="AI753" s="28" t="s">
        <v>2882</v>
      </c>
      <c r="AJ753" s="15">
        <f t="shared" si="751"/>
        <v>0</v>
      </c>
      <c r="AK753" s="15">
        <f t="shared" si="752"/>
        <v>0</v>
      </c>
      <c r="AL753" s="15">
        <f t="shared" si="753"/>
        <v>0</v>
      </c>
      <c r="AN753" s="29">
        <v>15</v>
      </c>
      <c r="AO753" s="29">
        <f t="shared" si="738"/>
        <v>0</v>
      </c>
      <c r="AP753" s="29">
        <f t="shared" si="739"/>
        <v>0</v>
      </c>
      <c r="AQ753" s="30" t="s">
        <v>7</v>
      </c>
      <c r="AV753" s="29">
        <f t="shared" si="754"/>
        <v>0</v>
      </c>
      <c r="AW753" s="29">
        <f t="shared" si="755"/>
        <v>0</v>
      </c>
      <c r="AX753" s="29">
        <f t="shared" si="756"/>
        <v>0</v>
      </c>
      <c r="AY753" s="32" t="s">
        <v>2927</v>
      </c>
      <c r="AZ753" s="32" t="s">
        <v>2941</v>
      </c>
      <c r="BA753" s="28" t="s">
        <v>2957</v>
      </c>
      <c r="BC753" s="29">
        <f t="shared" si="757"/>
        <v>0</v>
      </c>
      <c r="BD753" s="29">
        <f t="shared" si="758"/>
        <v>0</v>
      </c>
      <c r="BE753" s="29">
        <v>0</v>
      </c>
      <c r="BF753" s="29">
        <f>753</f>
        <v>753</v>
      </c>
      <c r="BH753" s="15">
        <f t="shared" si="759"/>
        <v>0</v>
      </c>
      <c r="BI753" s="15">
        <f t="shared" si="760"/>
        <v>0</v>
      </c>
      <c r="BJ753" s="15">
        <f t="shared" si="761"/>
        <v>0</v>
      </c>
      <c r="BK753" s="15" t="s">
        <v>2969</v>
      </c>
      <c r="BL753" s="29" t="s">
        <v>1585</v>
      </c>
    </row>
    <row r="754" spans="1:64" ht="12.75">
      <c r="A754" s="4" t="s">
        <v>700</v>
      </c>
      <c r="B754" s="94" t="s">
        <v>1687</v>
      </c>
      <c r="C754" s="152" t="s">
        <v>2626</v>
      </c>
      <c r="D754" s="153"/>
      <c r="E754" s="153"/>
      <c r="F754" s="153"/>
      <c r="G754" s="94" t="s">
        <v>2851</v>
      </c>
      <c r="H754" s="73">
        <v>280</v>
      </c>
      <c r="I754" s="105">
        <v>0</v>
      </c>
      <c r="J754" s="15">
        <f t="shared" si="740"/>
        <v>0</v>
      </c>
      <c r="K754" s="15">
        <f t="shared" si="741"/>
        <v>0</v>
      </c>
      <c r="L754" s="15">
        <f t="shared" si="742"/>
        <v>0</v>
      </c>
      <c r="M754" s="25"/>
      <c r="N754" s="5"/>
      <c r="Z754" s="29">
        <f t="shared" si="743"/>
        <v>0</v>
      </c>
      <c r="AB754" s="29">
        <f t="shared" si="744"/>
        <v>0</v>
      </c>
      <c r="AC754" s="29">
        <f t="shared" si="745"/>
        <v>0</v>
      </c>
      <c r="AD754" s="29">
        <f t="shared" si="746"/>
        <v>0</v>
      </c>
      <c r="AE754" s="29">
        <f t="shared" si="747"/>
        <v>0</v>
      </c>
      <c r="AF754" s="29">
        <f t="shared" si="748"/>
        <v>0</v>
      </c>
      <c r="AG754" s="29">
        <f t="shared" si="749"/>
        <v>0</v>
      </c>
      <c r="AH754" s="29">
        <f t="shared" si="750"/>
        <v>0</v>
      </c>
      <c r="AI754" s="28" t="s">
        <v>2882</v>
      </c>
      <c r="AJ754" s="15">
        <f t="shared" si="751"/>
        <v>0</v>
      </c>
      <c r="AK754" s="15">
        <f t="shared" si="752"/>
        <v>0</v>
      </c>
      <c r="AL754" s="15">
        <f t="shared" si="753"/>
        <v>0</v>
      </c>
      <c r="AN754" s="29">
        <v>15</v>
      </c>
      <c r="AO754" s="29">
        <f t="shared" si="738"/>
        <v>0</v>
      </c>
      <c r="AP754" s="29">
        <f t="shared" si="739"/>
        <v>0</v>
      </c>
      <c r="AQ754" s="30" t="s">
        <v>7</v>
      </c>
      <c r="AV754" s="29">
        <f t="shared" si="754"/>
        <v>0</v>
      </c>
      <c r="AW754" s="29">
        <f t="shared" si="755"/>
        <v>0</v>
      </c>
      <c r="AX754" s="29">
        <f t="shared" si="756"/>
        <v>0</v>
      </c>
      <c r="AY754" s="32" t="s">
        <v>2927</v>
      </c>
      <c r="AZ754" s="32" t="s">
        <v>2941</v>
      </c>
      <c r="BA754" s="28" t="s">
        <v>2957</v>
      </c>
      <c r="BC754" s="29">
        <f t="shared" si="757"/>
        <v>0</v>
      </c>
      <c r="BD754" s="29">
        <f t="shared" si="758"/>
        <v>0</v>
      </c>
      <c r="BE754" s="29">
        <v>0</v>
      </c>
      <c r="BF754" s="29">
        <f>754</f>
        <v>754</v>
      </c>
      <c r="BH754" s="15">
        <f t="shared" si="759"/>
        <v>0</v>
      </c>
      <c r="BI754" s="15">
        <f t="shared" si="760"/>
        <v>0</v>
      </c>
      <c r="BJ754" s="15">
        <f t="shared" si="761"/>
        <v>0</v>
      </c>
      <c r="BK754" s="15" t="s">
        <v>2969</v>
      </c>
      <c r="BL754" s="29" t="s">
        <v>1585</v>
      </c>
    </row>
    <row r="755" spans="1:64" ht="12.75">
      <c r="A755" s="4" t="s">
        <v>701</v>
      </c>
      <c r="B755" s="94" t="s">
        <v>1688</v>
      </c>
      <c r="C755" s="152" t="s">
        <v>2627</v>
      </c>
      <c r="D755" s="153"/>
      <c r="E755" s="153"/>
      <c r="F755" s="153"/>
      <c r="G755" s="94" t="s">
        <v>2851</v>
      </c>
      <c r="H755" s="73">
        <v>100</v>
      </c>
      <c r="I755" s="105">
        <v>0</v>
      </c>
      <c r="J755" s="15">
        <f t="shared" si="740"/>
        <v>0</v>
      </c>
      <c r="K755" s="15">
        <f t="shared" si="741"/>
        <v>0</v>
      </c>
      <c r="L755" s="15">
        <f t="shared" si="742"/>
        <v>0</v>
      </c>
      <c r="M755" s="25"/>
      <c r="N755" s="5"/>
      <c r="Z755" s="29">
        <f t="shared" si="743"/>
        <v>0</v>
      </c>
      <c r="AB755" s="29">
        <f t="shared" si="744"/>
        <v>0</v>
      </c>
      <c r="AC755" s="29">
        <f t="shared" si="745"/>
        <v>0</v>
      </c>
      <c r="AD755" s="29">
        <f t="shared" si="746"/>
        <v>0</v>
      </c>
      <c r="AE755" s="29">
        <f t="shared" si="747"/>
        <v>0</v>
      </c>
      <c r="AF755" s="29">
        <f t="shared" si="748"/>
        <v>0</v>
      </c>
      <c r="AG755" s="29">
        <f t="shared" si="749"/>
        <v>0</v>
      </c>
      <c r="AH755" s="29">
        <f t="shared" si="750"/>
        <v>0</v>
      </c>
      <c r="AI755" s="28" t="s">
        <v>2882</v>
      </c>
      <c r="AJ755" s="15">
        <f t="shared" si="751"/>
        <v>0</v>
      </c>
      <c r="AK755" s="15">
        <f t="shared" si="752"/>
        <v>0</v>
      </c>
      <c r="AL755" s="15">
        <f t="shared" si="753"/>
        <v>0</v>
      </c>
      <c r="AN755" s="29">
        <v>15</v>
      </c>
      <c r="AO755" s="29">
        <f t="shared" si="738"/>
        <v>0</v>
      </c>
      <c r="AP755" s="29">
        <f t="shared" si="739"/>
        <v>0</v>
      </c>
      <c r="AQ755" s="30" t="s">
        <v>7</v>
      </c>
      <c r="AV755" s="29">
        <f t="shared" si="754"/>
        <v>0</v>
      </c>
      <c r="AW755" s="29">
        <f t="shared" si="755"/>
        <v>0</v>
      </c>
      <c r="AX755" s="29">
        <f t="shared" si="756"/>
        <v>0</v>
      </c>
      <c r="AY755" s="32" t="s">
        <v>2927</v>
      </c>
      <c r="AZ755" s="32" t="s">
        <v>2941</v>
      </c>
      <c r="BA755" s="28" t="s">
        <v>2957</v>
      </c>
      <c r="BC755" s="29">
        <f t="shared" si="757"/>
        <v>0</v>
      </c>
      <c r="BD755" s="29">
        <f t="shared" si="758"/>
        <v>0</v>
      </c>
      <c r="BE755" s="29">
        <v>0</v>
      </c>
      <c r="BF755" s="29">
        <f>755</f>
        <v>755</v>
      </c>
      <c r="BH755" s="15">
        <f t="shared" si="759"/>
        <v>0</v>
      </c>
      <c r="BI755" s="15">
        <f t="shared" si="760"/>
        <v>0</v>
      </c>
      <c r="BJ755" s="15">
        <f t="shared" si="761"/>
        <v>0</v>
      </c>
      <c r="BK755" s="15" t="s">
        <v>2969</v>
      </c>
      <c r="BL755" s="29" t="s">
        <v>1585</v>
      </c>
    </row>
    <row r="756" spans="1:64" ht="12.75">
      <c r="A756" s="4" t="s">
        <v>702</v>
      </c>
      <c r="B756" s="94" t="s">
        <v>1689</v>
      </c>
      <c r="C756" s="152" t="s">
        <v>2628</v>
      </c>
      <c r="D756" s="153"/>
      <c r="E756" s="153"/>
      <c r="F756" s="153"/>
      <c r="G756" s="94" t="s">
        <v>2851</v>
      </c>
      <c r="H756" s="73">
        <v>100</v>
      </c>
      <c r="I756" s="105">
        <v>0</v>
      </c>
      <c r="J756" s="15">
        <f t="shared" si="740"/>
        <v>0</v>
      </c>
      <c r="K756" s="15">
        <f t="shared" si="741"/>
        <v>0</v>
      </c>
      <c r="L756" s="15">
        <f t="shared" si="742"/>
        <v>0</v>
      </c>
      <c r="M756" s="25"/>
      <c r="N756" s="5"/>
      <c r="Z756" s="29">
        <f t="shared" si="743"/>
        <v>0</v>
      </c>
      <c r="AB756" s="29">
        <f t="shared" si="744"/>
        <v>0</v>
      </c>
      <c r="AC756" s="29">
        <f t="shared" si="745"/>
        <v>0</v>
      </c>
      <c r="AD756" s="29">
        <f t="shared" si="746"/>
        <v>0</v>
      </c>
      <c r="AE756" s="29">
        <f t="shared" si="747"/>
        <v>0</v>
      </c>
      <c r="AF756" s="29">
        <f t="shared" si="748"/>
        <v>0</v>
      </c>
      <c r="AG756" s="29">
        <f t="shared" si="749"/>
        <v>0</v>
      </c>
      <c r="AH756" s="29">
        <f t="shared" si="750"/>
        <v>0</v>
      </c>
      <c r="AI756" s="28" t="s">
        <v>2882</v>
      </c>
      <c r="AJ756" s="15">
        <f t="shared" si="751"/>
        <v>0</v>
      </c>
      <c r="AK756" s="15">
        <f t="shared" si="752"/>
        <v>0</v>
      </c>
      <c r="AL756" s="15">
        <f t="shared" si="753"/>
        <v>0</v>
      </c>
      <c r="AN756" s="29">
        <v>15</v>
      </c>
      <c r="AO756" s="29">
        <f t="shared" si="738"/>
        <v>0</v>
      </c>
      <c r="AP756" s="29">
        <f t="shared" si="739"/>
        <v>0</v>
      </c>
      <c r="AQ756" s="30" t="s">
        <v>7</v>
      </c>
      <c r="AV756" s="29">
        <f t="shared" si="754"/>
        <v>0</v>
      </c>
      <c r="AW756" s="29">
        <f t="shared" si="755"/>
        <v>0</v>
      </c>
      <c r="AX756" s="29">
        <f t="shared" si="756"/>
        <v>0</v>
      </c>
      <c r="AY756" s="32" t="s">
        <v>2927</v>
      </c>
      <c r="AZ756" s="32" t="s">
        <v>2941</v>
      </c>
      <c r="BA756" s="28" t="s">
        <v>2957</v>
      </c>
      <c r="BC756" s="29">
        <f t="shared" si="757"/>
        <v>0</v>
      </c>
      <c r="BD756" s="29">
        <f t="shared" si="758"/>
        <v>0</v>
      </c>
      <c r="BE756" s="29">
        <v>0</v>
      </c>
      <c r="BF756" s="29">
        <f>756</f>
        <v>756</v>
      </c>
      <c r="BH756" s="15">
        <f t="shared" si="759"/>
        <v>0</v>
      </c>
      <c r="BI756" s="15">
        <f t="shared" si="760"/>
        <v>0</v>
      </c>
      <c r="BJ756" s="15">
        <f t="shared" si="761"/>
        <v>0</v>
      </c>
      <c r="BK756" s="15" t="s">
        <v>2969</v>
      </c>
      <c r="BL756" s="29" t="s">
        <v>1585</v>
      </c>
    </row>
    <row r="757" spans="1:64" ht="12.75">
      <c r="A757" s="4" t="s">
        <v>703</v>
      </c>
      <c r="B757" s="94" t="s">
        <v>1690</v>
      </c>
      <c r="C757" s="152" t="s">
        <v>2629</v>
      </c>
      <c r="D757" s="153"/>
      <c r="E757" s="153"/>
      <c r="F757" s="153"/>
      <c r="G757" s="94" t="s">
        <v>2850</v>
      </c>
      <c r="H757" s="73">
        <v>7</v>
      </c>
      <c r="I757" s="105">
        <v>0</v>
      </c>
      <c r="J757" s="15">
        <f t="shared" si="740"/>
        <v>0</v>
      </c>
      <c r="K757" s="15">
        <f t="shared" si="741"/>
        <v>0</v>
      </c>
      <c r="L757" s="15">
        <f t="shared" si="742"/>
        <v>0</v>
      </c>
      <c r="M757" s="25"/>
      <c r="N757" s="5"/>
      <c r="Z757" s="29">
        <f t="shared" si="743"/>
        <v>0</v>
      </c>
      <c r="AB757" s="29">
        <f t="shared" si="744"/>
        <v>0</v>
      </c>
      <c r="AC757" s="29">
        <f t="shared" si="745"/>
        <v>0</v>
      </c>
      <c r="AD757" s="29">
        <f t="shared" si="746"/>
        <v>0</v>
      </c>
      <c r="AE757" s="29">
        <f t="shared" si="747"/>
        <v>0</v>
      </c>
      <c r="AF757" s="29">
        <f t="shared" si="748"/>
        <v>0</v>
      </c>
      <c r="AG757" s="29">
        <f t="shared" si="749"/>
        <v>0</v>
      </c>
      <c r="AH757" s="29">
        <f t="shared" si="750"/>
        <v>0</v>
      </c>
      <c r="AI757" s="28" t="s">
        <v>2882</v>
      </c>
      <c r="AJ757" s="15">
        <f t="shared" si="751"/>
        <v>0</v>
      </c>
      <c r="AK757" s="15">
        <f t="shared" si="752"/>
        <v>0</v>
      </c>
      <c r="AL757" s="15">
        <f t="shared" si="753"/>
        <v>0</v>
      </c>
      <c r="AN757" s="29">
        <v>15</v>
      </c>
      <c r="AO757" s="29">
        <f t="shared" si="738"/>
        <v>0</v>
      </c>
      <c r="AP757" s="29">
        <f t="shared" si="739"/>
        <v>0</v>
      </c>
      <c r="AQ757" s="30" t="s">
        <v>7</v>
      </c>
      <c r="AV757" s="29">
        <f t="shared" si="754"/>
        <v>0</v>
      </c>
      <c r="AW757" s="29">
        <f t="shared" si="755"/>
        <v>0</v>
      </c>
      <c r="AX757" s="29">
        <f t="shared" si="756"/>
        <v>0</v>
      </c>
      <c r="AY757" s="32" t="s">
        <v>2927</v>
      </c>
      <c r="AZ757" s="32" t="s">
        <v>2941</v>
      </c>
      <c r="BA757" s="28" t="s">
        <v>2957</v>
      </c>
      <c r="BC757" s="29">
        <f t="shared" si="757"/>
        <v>0</v>
      </c>
      <c r="BD757" s="29">
        <f t="shared" si="758"/>
        <v>0</v>
      </c>
      <c r="BE757" s="29">
        <v>0</v>
      </c>
      <c r="BF757" s="29">
        <f>757</f>
        <v>757</v>
      </c>
      <c r="BH757" s="15">
        <f t="shared" si="759"/>
        <v>0</v>
      </c>
      <c r="BI757" s="15">
        <f t="shared" si="760"/>
        <v>0</v>
      </c>
      <c r="BJ757" s="15">
        <f t="shared" si="761"/>
        <v>0</v>
      </c>
      <c r="BK757" s="15" t="s">
        <v>2969</v>
      </c>
      <c r="BL757" s="29" t="s">
        <v>1585</v>
      </c>
    </row>
    <row r="758" spans="1:64" ht="12.75">
      <c r="A758" s="4" t="s">
        <v>704</v>
      </c>
      <c r="B758" s="94" t="s">
        <v>1691</v>
      </c>
      <c r="C758" s="152" t="s">
        <v>2629</v>
      </c>
      <c r="D758" s="153"/>
      <c r="E758" s="153"/>
      <c r="F758" s="153"/>
      <c r="G758" s="94" t="s">
        <v>2850</v>
      </c>
      <c r="H758" s="73">
        <v>7</v>
      </c>
      <c r="I758" s="105">
        <v>0</v>
      </c>
      <c r="J758" s="15">
        <f t="shared" si="740"/>
        <v>0</v>
      </c>
      <c r="K758" s="15">
        <f t="shared" si="741"/>
        <v>0</v>
      </c>
      <c r="L758" s="15">
        <f t="shared" si="742"/>
        <v>0</v>
      </c>
      <c r="M758" s="25"/>
      <c r="N758" s="5"/>
      <c r="Z758" s="29">
        <f t="shared" si="743"/>
        <v>0</v>
      </c>
      <c r="AB758" s="29">
        <f t="shared" si="744"/>
        <v>0</v>
      </c>
      <c r="AC758" s="29">
        <f t="shared" si="745"/>
        <v>0</v>
      </c>
      <c r="AD758" s="29">
        <f t="shared" si="746"/>
        <v>0</v>
      </c>
      <c r="AE758" s="29">
        <f t="shared" si="747"/>
        <v>0</v>
      </c>
      <c r="AF758" s="29">
        <f t="shared" si="748"/>
        <v>0</v>
      </c>
      <c r="AG758" s="29">
        <f t="shared" si="749"/>
        <v>0</v>
      </c>
      <c r="AH758" s="29">
        <f t="shared" si="750"/>
        <v>0</v>
      </c>
      <c r="AI758" s="28" t="s">
        <v>2882</v>
      </c>
      <c r="AJ758" s="15">
        <f t="shared" si="751"/>
        <v>0</v>
      </c>
      <c r="AK758" s="15">
        <f t="shared" si="752"/>
        <v>0</v>
      </c>
      <c r="AL758" s="15">
        <f t="shared" si="753"/>
        <v>0</v>
      </c>
      <c r="AN758" s="29">
        <v>15</v>
      </c>
      <c r="AO758" s="29">
        <f t="shared" si="738"/>
        <v>0</v>
      </c>
      <c r="AP758" s="29">
        <f t="shared" si="739"/>
        <v>0</v>
      </c>
      <c r="AQ758" s="30" t="s">
        <v>7</v>
      </c>
      <c r="AV758" s="29">
        <f t="shared" si="754"/>
        <v>0</v>
      </c>
      <c r="AW758" s="29">
        <f t="shared" si="755"/>
        <v>0</v>
      </c>
      <c r="AX758" s="29">
        <f t="shared" si="756"/>
        <v>0</v>
      </c>
      <c r="AY758" s="32" t="s">
        <v>2927</v>
      </c>
      <c r="AZ758" s="32" t="s">
        <v>2941</v>
      </c>
      <c r="BA758" s="28" t="s">
        <v>2957</v>
      </c>
      <c r="BC758" s="29">
        <f t="shared" si="757"/>
        <v>0</v>
      </c>
      <c r="BD758" s="29">
        <f t="shared" si="758"/>
        <v>0</v>
      </c>
      <c r="BE758" s="29">
        <v>0</v>
      </c>
      <c r="BF758" s="29">
        <f>758</f>
        <v>758</v>
      </c>
      <c r="BH758" s="15">
        <f t="shared" si="759"/>
        <v>0</v>
      </c>
      <c r="BI758" s="15">
        <f t="shared" si="760"/>
        <v>0</v>
      </c>
      <c r="BJ758" s="15">
        <f t="shared" si="761"/>
        <v>0</v>
      </c>
      <c r="BK758" s="15" t="s">
        <v>2969</v>
      </c>
      <c r="BL758" s="29" t="s">
        <v>1585</v>
      </c>
    </row>
    <row r="759" spans="1:64" ht="12.75">
      <c r="A759" s="4" t="s">
        <v>705</v>
      </c>
      <c r="B759" s="94" t="s">
        <v>1692</v>
      </c>
      <c r="C759" s="152" t="s">
        <v>2630</v>
      </c>
      <c r="D759" s="153"/>
      <c r="E759" s="153"/>
      <c r="F759" s="153"/>
      <c r="G759" s="94" t="s">
        <v>2850</v>
      </c>
      <c r="H759" s="73">
        <v>14</v>
      </c>
      <c r="I759" s="105">
        <v>0</v>
      </c>
      <c r="J759" s="15">
        <f t="shared" si="740"/>
        <v>0</v>
      </c>
      <c r="K759" s="15">
        <f t="shared" si="741"/>
        <v>0</v>
      </c>
      <c r="L759" s="15">
        <f t="shared" si="742"/>
        <v>0</v>
      </c>
      <c r="M759" s="25"/>
      <c r="N759" s="5"/>
      <c r="Z759" s="29">
        <f t="shared" si="743"/>
        <v>0</v>
      </c>
      <c r="AB759" s="29">
        <f t="shared" si="744"/>
        <v>0</v>
      </c>
      <c r="AC759" s="29">
        <f t="shared" si="745"/>
        <v>0</v>
      </c>
      <c r="AD759" s="29">
        <f t="shared" si="746"/>
        <v>0</v>
      </c>
      <c r="AE759" s="29">
        <f t="shared" si="747"/>
        <v>0</v>
      </c>
      <c r="AF759" s="29">
        <f t="shared" si="748"/>
        <v>0</v>
      </c>
      <c r="AG759" s="29">
        <f t="shared" si="749"/>
        <v>0</v>
      </c>
      <c r="AH759" s="29">
        <f t="shared" si="750"/>
        <v>0</v>
      </c>
      <c r="AI759" s="28" t="s">
        <v>2882</v>
      </c>
      <c r="AJ759" s="15">
        <f t="shared" si="751"/>
        <v>0</v>
      </c>
      <c r="AK759" s="15">
        <f t="shared" si="752"/>
        <v>0</v>
      </c>
      <c r="AL759" s="15">
        <f t="shared" si="753"/>
        <v>0</v>
      </c>
      <c r="AN759" s="29">
        <v>15</v>
      </c>
      <c r="AO759" s="29">
        <f t="shared" si="738"/>
        <v>0</v>
      </c>
      <c r="AP759" s="29">
        <f t="shared" si="739"/>
        <v>0</v>
      </c>
      <c r="AQ759" s="30" t="s">
        <v>7</v>
      </c>
      <c r="AV759" s="29">
        <f t="shared" si="754"/>
        <v>0</v>
      </c>
      <c r="AW759" s="29">
        <f t="shared" si="755"/>
        <v>0</v>
      </c>
      <c r="AX759" s="29">
        <f t="shared" si="756"/>
        <v>0</v>
      </c>
      <c r="AY759" s="32" t="s">
        <v>2927</v>
      </c>
      <c r="AZ759" s="32" t="s">
        <v>2941</v>
      </c>
      <c r="BA759" s="28" t="s">
        <v>2957</v>
      </c>
      <c r="BC759" s="29">
        <f t="shared" si="757"/>
        <v>0</v>
      </c>
      <c r="BD759" s="29">
        <f t="shared" si="758"/>
        <v>0</v>
      </c>
      <c r="BE759" s="29">
        <v>0</v>
      </c>
      <c r="BF759" s="29">
        <f>759</f>
        <v>759</v>
      </c>
      <c r="BH759" s="15">
        <f t="shared" si="759"/>
        <v>0</v>
      </c>
      <c r="BI759" s="15">
        <f t="shared" si="760"/>
        <v>0</v>
      </c>
      <c r="BJ759" s="15">
        <f t="shared" si="761"/>
        <v>0</v>
      </c>
      <c r="BK759" s="15" t="s">
        <v>2969</v>
      </c>
      <c r="BL759" s="29" t="s">
        <v>1585</v>
      </c>
    </row>
    <row r="760" spans="1:64" ht="12.75">
      <c r="A760" s="4" t="s">
        <v>706</v>
      </c>
      <c r="B760" s="94" t="s">
        <v>1693</v>
      </c>
      <c r="C760" s="152" t="s">
        <v>2630</v>
      </c>
      <c r="D760" s="153"/>
      <c r="E760" s="153"/>
      <c r="F760" s="153"/>
      <c r="G760" s="94" t="s">
        <v>2850</v>
      </c>
      <c r="H760" s="73">
        <v>14</v>
      </c>
      <c r="I760" s="105">
        <v>0</v>
      </c>
      <c r="J760" s="15">
        <f t="shared" si="740"/>
        <v>0</v>
      </c>
      <c r="K760" s="15">
        <f t="shared" si="741"/>
        <v>0</v>
      </c>
      <c r="L760" s="15">
        <f t="shared" si="742"/>
        <v>0</v>
      </c>
      <c r="M760" s="25"/>
      <c r="N760" s="5"/>
      <c r="Z760" s="29">
        <f t="shared" si="743"/>
        <v>0</v>
      </c>
      <c r="AB760" s="29">
        <f t="shared" si="744"/>
        <v>0</v>
      </c>
      <c r="AC760" s="29">
        <f t="shared" si="745"/>
        <v>0</v>
      </c>
      <c r="AD760" s="29">
        <f t="shared" si="746"/>
        <v>0</v>
      </c>
      <c r="AE760" s="29">
        <f t="shared" si="747"/>
        <v>0</v>
      </c>
      <c r="AF760" s="29">
        <f t="shared" si="748"/>
        <v>0</v>
      </c>
      <c r="AG760" s="29">
        <f t="shared" si="749"/>
        <v>0</v>
      </c>
      <c r="AH760" s="29">
        <f t="shared" si="750"/>
        <v>0</v>
      </c>
      <c r="AI760" s="28" t="s">
        <v>2882</v>
      </c>
      <c r="AJ760" s="15">
        <f t="shared" si="751"/>
        <v>0</v>
      </c>
      <c r="AK760" s="15">
        <f t="shared" si="752"/>
        <v>0</v>
      </c>
      <c r="AL760" s="15">
        <f t="shared" si="753"/>
        <v>0</v>
      </c>
      <c r="AN760" s="29">
        <v>15</v>
      </c>
      <c r="AO760" s="29">
        <f t="shared" si="738"/>
        <v>0</v>
      </c>
      <c r="AP760" s="29">
        <f t="shared" si="739"/>
        <v>0</v>
      </c>
      <c r="AQ760" s="30" t="s">
        <v>7</v>
      </c>
      <c r="AV760" s="29">
        <f t="shared" si="754"/>
        <v>0</v>
      </c>
      <c r="AW760" s="29">
        <f t="shared" si="755"/>
        <v>0</v>
      </c>
      <c r="AX760" s="29">
        <f t="shared" si="756"/>
        <v>0</v>
      </c>
      <c r="AY760" s="32" t="s">
        <v>2927</v>
      </c>
      <c r="AZ760" s="32" t="s">
        <v>2941</v>
      </c>
      <c r="BA760" s="28" t="s">
        <v>2957</v>
      </c>
      <c r="BC760" s="29">
        <f t="shared" si="757"/>
        <v>0</v>
      </c>
      <c r="BD760" s="29">
        <f t="shared" si="758"/>
        <v>0</v>
      </c>
      <c r="BE760" s="29">
        <v>0</v>
      </c>
      <c r="BF760" s="29">
        <f>760</f>
        <v>760</v>
      </c>
      <c r="BH760" s="15">
        <f t="shared" si="759"/>
        <v>0</v>
      </c>
      <c r="BI760" s="15">
        <f t="shared" si="760"/>
        <v>0</v>
      </c>
      <c r="BJ760" s="15">
        <f t="shared" si="761"/>
        <v>0</v>
      </c>
      <c r="BK760" s="15" t="s">
        <v>2969</v>
      </c>
      <c r="BL760" s="29" t="s">
        <v>1585</v>
      </c>
    </row>
    <row r="761" spans="1:64" ht="12.75">
      <c r="A761" s="4" t="s">
        <v>707</v>
      </c>
      <c r="B761" s="94" t="s">
        <v>1694</v>
      </c>
      <c r="C761" s="152" t="s">
        <v>2631</v>
      </c>
      <c r="D761" s="153"/>
      <c r="E761" s="153"/>
      <c r="F761" s="153"/>
      <c r="G761" s="94" t="s">
        <v>2850</v>
      </c>
      <c r="H761" s="73">
        <v>7</v>
      </c>
      <c r="I761" s="105">
        <v>0</v>
      </c>
      <c r="J761" s="15">
        <f t="shared" si="740"/>
        <v>0</v>
      </c>
      <c r="K761" s="15">
        <f t="shared" si="741"/>
        <v>0</v>
      </c>
      <c r="L761" s="15">
        <f t="shared" si="742"/>
        <v>0</v>
      </c>
      <c r="M761" s="25"/>
      <c r="N761" s="5"/>
      <c r="Z761" s="29">
        <f t="shared" si="743"/>
        <v>0</v>
      </c>
      <c r="AB761" s="29">
        <f t="shared" si="744"/>
        <v>0</v>
      </c>
      <c r="AC761" s="29">
        <f t="shared" si="745"/>
        <v>0</v>
      </c>
      <c r="AD761" s="29">
        <f t="shared" si="746"/>
        <v>0</v>
      </c>
      <c r="AE761" s="29">
        <f t="shared" si="747"/>
        <v>0</v>
      </c>
      <c r="AF761" s="29">
        <f t="shared" si="748"/>
        <v>0</v>
      </c>
      <c r="AG761" s="29">
        <f t="shared" si="749"/>
        <v>0</v>
      </c>
      <c r="AH761" s="29">
        <f t="shared" si="750"/>
        <v>0</v>
      </c>
      <c r="AI761" s="28" t="s">
        <v>2882</v>
      </c>
      <c r="AJ761" s="15">
        <f t="shared" si="751"/>
        <v>0</v>
      </c>
      <c r="AK761" s="15">
        <f t="shared" si="752"/>
        <v>0</v>
      </c>
      <c r="AL761" s="15">
        <f t="shared" si="753"/>
        <v>0</v>
      </c>
      <c r="AN761" s="29">
        <v>15</v>
      </c>
      <c r="AO761" s="29">
        <f t="shared" si="738"/>
        <v>0</v>
      </c>
      <c r="AP761" s="29">
        <f t="shared" si="739"/>
        <v>0</v>
      </c>
      <c r="AQ761" s="30" t="s">
        <v>7</v>
      </c>
      <c r="AV761" s="29">
        <f t="shared" si="754"/>
        <v>0</v>
      </c>
      <c r="AW761" s="29">
        <f t="shared" si="755"/>
        <v>0</v>
      </c>
      <c r="AX761" s="29">
        <f t="shared" si="756"/>
        <v>0</v>
      </c>
      <c r="AY761" s="32" t="s">
        <v>2927</v>
      </c>
      <c r="AZ761" s="32" t="s">
        <v>2941</v>
      </c>
      <c r="BA761" s="28" t="s">
        <v>2957</v>
      </c>
      <c r="BC761" s="29">
        <f t="shared" si="757"/>
        <v>0</v>
      </c>
      <c r="BD761" s="29">
        <f t="shared" si="758"/>
        <v>0</v>
      </c>
      <c r="BE761" s="29">
        <v>0</v>
      </c>
      <c r="BF761" s="29">
        <f>761</f>
        <v>761</v>
      </c>
      <c r="BH761" s="15">
        <f t="shared" si="759"/>
        <v>0</v>
      </c>
      <c r="BI761" s="15">
        <f t="shared" si="760"/>
        <v>0</v>
      </c>
      <c r="BJ761" s="15">
        <f t="shared" si="761"/>
        <v>0</v>
      </c>
      <c r="BK761" s="15" t="s">
        <v>2969</v>
      </c>
      <c r="BL761" s="29" t="s">
        <v>1585</v>
      </c>
    </row>
    <row r="762" spans="1:64" ht="12.75">
      <c r="A762" s="4" t="s">
        <v>708</v>
      </c>
      <c r="B762" s="94" t="s">
        <v>1695</v>
      </c>
      <c r="C762" s="152" t="s">
        <v>2631</v>
      </c>
      <c r="D762" s="153"/>
      <c r="E762" s="153"/>
      <c r="F762" s="153"/>
      <c r="G762" s="94" t="s">
        <v>2850</v>
      </c>
      <c r="H762" s="73">
        <v>7</v>
      </c>
      <c r="I762" s="105">
        <v>0</v>
      </c>
      <c r="J762" s="15">
        <f t="shared" si="740"/>
        <v>0</v>
      </c>
      <c r="K762" s="15">
        <f t="shared" si="741"/>
        <v>0</v>
      </c>
      <c r="L762" s="15">
        <f t="shared" si="742"/>
        <v>0</v>
      </c>
      <c r="M762" s="25"/>
      <c r="N762" s="5"/>
      <c r="Z762" s="29">
        <f t="shared" si="743"/>
        <v>0</v>
      </c>
      <c r="AB762" s="29">
        <f t="shared" si="744"/>
        <v>0</v>
      </c>
      <c r="AC762" s="29">
        <f t="shared" si="745"/>
        <v>0</v>
      </c>
      <c r="AD762" s="29">
        <f t="shared" si="746"/>
        <v>0</v>
      </c>
      <c r="AE762" s="29">
        <f t="shared" si="747"/>
        <v>0</v>
      </c>
      <c r="AF762" s="29">
        <f t="shared" si="748"/>
        <v>0</v>
      </c>
      <c r="AG762" s="29">
        <f t="shared" si="749"/>
        <v>0</v>
      </c>
      <c r="AH762" s="29">
        <f t="shared" si="750"/>
        <v>0</v>
      </c>
      <c r="AI762" s="28" t="s">
        <v>2882</v>
      </c>
      <c r="AJ762" s="15">
        <f t="shared" si="751"/>
        <v>0</v>
      </c>
      <c r="AK762" s="15">
        <f t="shared" si="752"/>
        <v>0</v>
      </c>
      <c r="AL762" s="15">
        <f t="shared" si="753"/>
        <v>0</v>
      </c>
      <c r="AN762" s="29">
        <v>15</v>
      </c>
      <c r="AO762" s="29">
        <f t="shared" si="738"/>
        <v>0</v>
      </c>
      <c r="AP762" s="29">
        <f t="shared" si="739"/>
        <v>0</v>
      </c>
      <c r="AQ762" s="30" t="s">
        <v>7</v>
      </c>
      <c r="AV762" s="29">
        <f t="shared" si="754"/>
        <v>0</v>
      </c>
      <c r="AW762" s="29">
        <f t="shared" si="755"/>
        <v>0</v>
      </c>
      <c r="AX762" s="29">
        <f t="shared" si="756"/>
        <v>0</v>
      </c>
      <c r="AY762" s="32" t="s">
        <v>2927</v>
      </c>
      <c r="AZ762" s="32" t="s">
        <v>2941</v>
      </c>
      <c r="BA762" s="28" t="s">
        <v>2957</v>
      </c>
      <c r="BC762" s="29">
        <f t="shared" si="757"/>
        <v>0</v>
      </c>
      <c r="BD762" s="29">
        <f t="shared" si="758"/>
        <v>0</v>
      </c>
      <c r="BE762" s="29">
        <v>0</v>
      </c>
      <c r="BF762" s="29">
        <f>762</f>
        <v>762</v>
      </c>
      <c r="BH762" s="15">
        <f t="shared" si="759"/>
        <v>0</v>
      </c>
      <c r="BI762" s="15">
        <f t="shared" si="760"/>
        <v>0</v>
      </c>
      <c r="BJ762" s="15">
        <f t="shared" si="761"/>
        <v>0</v>
      </c>
      <c r="BK762" s="15" t="s">
        <v>2969</v>
      </c>
      <c r="BL762" s="29" t="s">
        <v>1585</v>
      </c>
    </row>
    <row r="763" spans="1:64" ht="12.75">
      <c r="A763" s="4" t="s">
        <v>709</v>
      </c>
      <c r="B763" s="94" t="s">
        <v>1696</v>
      </c>
      <c r="C763" s="152" t="s">
        <v>2632</v>
      </c>
      <c r="D763" s="153"/>
      <c r="E763" s="153"/>
      <c r="F763" s="153"/>
      <c r="G763" s="94" t="s">
        <v>2850</v>
      </c>
      <c r="H763" s="73">
        <v>34</v>
      </c>
      <c r="I763" s="105">
        <v>0</v>
      </c>
      <c r="J763" s="15">
        <f t="shared" si="740"/>
        <v>0</v>
      </c>
      <c r="K763" s="15">
        <f t="shared" si="741"/>
        <v>0</v>
      </c>
      <c r="L763" s="15">
        <f t="shared" si="742"/>
        <v>0</v>
      </c>
      <c r="M763" s="25"/>
      <c r="N763" s="5"/>
      <c r="Z763" s="29">
        <f t="shared" si="743"/>
        <v>0</v>
      </c>
      <c r="AB763" s="29">
        <f t="shared" si="744"/>
        <v>0</v>
      </c>
      <c r="AC763" s="29">
        <f t="shared" si="745"/>
        <v>0</v>
      </c>
      <c r="AD763" s="29">
        <f t="shared" si="746"/>
        <v>0</v>
      </c>
      <c r="AE763" s="29">
        <f t="shared" si="747"/>
        <v>0</v>
      </c>
      <c r="AF763" s="29">
        <f t="shared" si="748"/>
        <v>0</v>
      </c>
      <c r="AG763" s="29">
        <f t="shared" si="749"/>
        <v>0</v>
      </c>
      <c r="AH763" s="29">
        <f t="shared" si="750"/>
        <v>0</v>
      </c>
      <c r="AI763" s="28" t="s">
        <v>2882</v>
      </c>
      <c r="AJ763" s="15">
        <f t="shared" si="751"/>
        <v>0</v>
      </c>
      <c r="AK763" s="15">
        <f t="shared" si="752"/>
        <v>0</v>
      </c>
      <c r="AL763" s="15">
        <f t="shared" si="753"/>
        <v>0</v>
      </c>
      <c r="AN763" s="29">
        <v>15</v>
      </c>
      <c r="AO763" s="29">
        <f t="shared" si="738"/>
        <v>0</v>
      </c>
      <c r="AP763" s="29">
        <f t="shared" si="739"/>
        <v>0</v>
      </c>
      <c r="AQ763" s="30" t="s">
        <v>7</v>
      </c>
      <c r="AV763" s="29">
        <f t="shared" si="754"/>
        <v>0</v>
      </c>
      <c r="AW763" s="29">
        <f t="shared" si="755"/>
        <v>0</v>
      </c>
      <c r="AX763" s="29">
        <f t="shared" si="756"/>
        <v>0</v>
      </c>
      <c r="AY763" s="32" t="s">
        <v>2927</v>
      </c>
      <c r="AZ763" s="32" t="s">
        <v>2941</v>
      </c>
      <c r="BA763" s="28" t="s">
        <v>2957</v>
      </c>
      <c r="BC763" s="29">
        <f t="shared" si="757"/>
        <v>0</v>
      </c>
      <c r="BD763" s="29">
        <f t="shared" si="758"/>
        <v>0</v>
      </c>
      <c r="BE763" s="29">
        <v>0</v>
      </c>
      <c r="BF763" s="29">
        <f>763</f>
        <v>763</v>
      </c>
      <c r="BH763" s="15">
        <f t="shared" si="759"/>
        <v>0</v>
      </c>
      <c r="BI763" s="15">
        <f t="shared" si="760"/>
        <v>0</v>
      </c>
      <c r="BJ763" s="15">
        <f t="shared" si="761"/>
        <v>0</v>
      </c>
      <c r="BK763" s="15" t="s">
        <v>2969</v>
      </c>
      <c r="BL763" s="29" t="s">
        <v>1585</v>
      </c>
    </row>
    <row r="764" spans="1:64" ht="12.75">
      <c r="A764" s="4" t="s">
        <v>710</v>
      </c>
      <c r="B764" s="94" t="s">
        <v>1697</v>
      </c>
      <c r="C764" s="152" t="s">
        <v>2632</v>
      </c>
      <c r="D764" s="153"/>
      <c r="E764" s="153"/>
      <c r="F764" s="153"/>
      <c r="G764" s="94" t="s">
        <v>2850</v>
      </c>
      <c r="H764" s="73">
        <v>34</v>
      </c>
      <c r="I764" s="105">
        <v>0</v>
      </c>
      <c r="J764" s="15">
        <f t="shared" si="740"/>
        <v>0</v>
      </c>
      <c r="K764" s="15">
        <f t="shared" si="741"/>
        <v>0</v>
      </c>
      <c r="L764" s="15">
        <f t="shared" si="742"/>
        <v>0</v>
      </c>
      <c r="M764" s="25"/>
      <c r="N764" s="5"/>
      <c r="Z764" s="29">
        <f t="shared" si="743"/>
        <v>0</v>
      </c>
      <c r="AB764" s="29">
        <f t="shared" si="744"/>
        <v>0</v>
      </c>
      <c r="AC764" s="29">
        <f t="shared" si="745"/>
        <v>0</v>
      </c>
      <c r="AD764" s="29">
        <f t="shared" si="746"/>
        <v>0</v>
      </c>
      <c r="AE764" s="29">
        <f t="shared" si="747"/>
        <v>0</v>
      </c>
      <c r="AF764" s="29">
        <f t="shared" si="748"/>
        <v>0</v>
      </c>
      <c r="AG764" s="29">
        <f t="shared" si="749"/>
        <v>0</v>
      </c>
      <c r="AH764" s="29">
        <f t="shared" si="750"/>
        <v>0</v>
      </c>
      <c r="AI764" s="28" t="s">
        <v>2882</v>
      </c>
      <c r="AJ764" s="15">
        <f t="shared" si="751"/>
        <v>0</v>
      </c>
      <c r="AK764" s="15">
        <f t="shared" si="752"/>
        <v>0</v>
      </c>
      <c r="AL764" s="15">
        <f t="shared" si="753"/>
        <v>0</v>
      </c>
      <c r="AN764" s="29">
        <v>15</v>
      </c>
      <c r="AO764" s="29">
        <f t="shared" si="738"/>
        <v>0</v>
      </c>
      <c r="AP764" s="29">
        <f t="shared" si="739"/>
        <v>0</v>
      </c>
      <c r="AQ764" s="30" t="s">
        <v>7</v>
      </c>
      <c r="AV764" s="29">
        <f t="shared" si="754"/>
        <v>0</v>
      </c>
      <c r="AW764" s="29">
        <f t="shared" si="755"/>
        <v>0</v>
      </c>
      <c r="AX764" s="29">
        <f t="shared" si="756"/>
        <v>0</v>
      </c>
      <c r="AY764" s="32" t="s">
        <v>2927</v>
      </c>
      <c r="AZ764" s="32" t="s">
        <v>2941</v>
      </c>
      <c r="BA764" s="28" t="s">
        <v>2957</v>
      </c>
      <c r="BC764" s="29">
        <f t="shared" si="757"/>
        <v>0</v>
      </c>
      <c r="BD764" s="29">
        <f t="shared" si="758"/>
        <v>0</v>
      </c>
      <c r="BE764" s="29">
        <v>0</v>
      </c>
      <c r="BF764" s="29">
        <f>764</f>
        <v>764</v>
      </c>
      <c r="BH764" s="15">
        <f t="shared" si="759"/>
        <v>0</v>
      </c>
      <c r="BI764" s="15">
        <f t="shared" si="760"/>
        <v>0</v>
      </c>
      <c r="BJ764" s="15">
        <f t="shared" si="761"/>
        <v>0</v>
      </c>
      <c r="BK764" s="15" t="s">
        <v>2969</v>
      </c>
      <c r="BL764" s="29" t="s">
        <v>1585</v>
      </c>
    </row>
    <row r="765" spans="1:64" ht="12.75">
      <c r="A765" s="4" t="s">
        <v>711</v>
      </c>
      <c r="B765" s="94" t="s">
        <v>1698</v>
      </c>
      <c r="C765" s="152" t="s">
        <v>2633</v>
      </c>
      <c r="D765" s="153"/>
      <c r="E765" s="153"/>
      <c r="F765" s="153"/>
      <c r="G765" s="94" t="s">
        <v>2850</v>
      </c>
      <c r="H765" s="73">
        <v>19</v>
      </c>
      <c r="I765" s="105">
        <v>0</v>
      </c>
      <c r="J765" s="15">
        <f t="shared" si="740"/>
        <v>0</v>
      </c>
      <c r="K765" s="15">
        <f t="shared" si="741"/>
        <v>0</v>
      </c>
      <c r="L765" s="15">
        <f t="shared" si="742"/>
        <v>0</v>
      </c>
      <c r="M765" s="25"/>
      <c r="N765" s="5"/>
      <c r="Z765" s="29">
        <f t="shared" si="743"/>
        <v>0</v>
      </c>
      <c r="AB765" s="29">
        <f t="shared" si="744"/>
        <v>0</v>
      </c>
      <c r="AC765" s="29">
        <f t="shared" si="745"/>
        <v>0</v>
      </c>
      <c r="AD765" s="29">
        <f t="shared" si="746"/>
        <v>0</v>
      </c>
      <c r="AE765" s="29">
        <f t="shared" si="747"/>
        <v>0</v>
      </c>
      <c r="AF765" s="29">
        <f t="shared" si="748"/>
        <v>0</v>
      </c>
      <c r="AG765" s="29">
        <f t="shared" si="749"/>
        <v>0</v>
      </c>
      <c r="AH765" s="29">
        <f t="shared" si="750"/>
        <v>0</v>
      </c>
      <c r="AI765" s="28" t="s">
        <v>2882</v>
      </c>
      <c r="AJ765" s="15">
        <f t="shared" si="751"/>
        <v>0</v>
      </c>
      <c r="AK765" s="15">
        <f t="shared" si="752"/>
        <v>0</v>
      </c>
      <c r="AL765" s="15">
        <f t="shared" si="753"/>
        <v>0</v>
      </c>
      <c r="AN765" s="29">
        <v>15</v>
      </c>
      <c r="AO765" s="29">
        <f aca="true" t="shared" si="762" ref="AO765:AO779">I765*0</f>
        <v>0</v>
      </c>
      <c r="AP765" s="29">
        <f aca="true" t="shared" si="763" ref="AP765:AP779">I765*(1-0)</f>
        <v>0</v>
      </c>
      <c r="AQ765" s="30" t="s">
        <v>7</v>
      </c>
      <c r="AV765" s="29">
        <f t="shared" si="754"/>
        <v>0</v>
      </c>
      <c r="AW765" s="29">
        <f t="shared" si="755"/>
        <v>0</v>
      </c>
      <c r="AX765" s="29">
        <f t="shared" si="756"/>
        <v>0</v>
      </c>
      <c r="AY765" s="32" t="s">
        <v>2927</v>
      </c>
      <c r="AZ765" s="32" t="s">
        <v>2941</v>
      </c>
      <c r="BA765" s="28" t="s">
        <v>2957</v>
      </c>
      <c r="BC765" s="29">
        <f t="shared" si="757"/>
        <v>0</v>
      </c>
      <c r="BD765" s="29">
        <f t="shared" si="758"/>
        <v>0</v>
      </c>
      <c r="BE765" s="29">
        <v>0</v>
      </c>
      <c r="BF765" s="29">
        <f>765</f>
        <v>765</v>
      </c>
      <c r="BH765" s="15">
        <f t="shared" si="759"/>
        <v>0</v>
      </c>
      <c r="BI765" s="15">
        <f t="shared" si="760"/>
        <v>0</v>
      </c>
      <c r="BJ765" s="15">
        <f t="shared" si="761"/>
        <v>0</v>
      </c>
      <c r="BK765" s="15" t="s">
        <v>2969</v>
      </c>
      <c r="BL765" s="29" t="s">
        <v>1585</v>
      </c>
    </row>
    <row r="766" spans="1:64" ht="12.75">
      <c r="A766" s="4" t="s">
        <v>712</v>
      </c>
      <c r="B766" s="94" t="s">
        <v>1699</v>
      </c>
      <c r="C766" s="152" t="s">
        <v>2633</v>
      </c>
      <c r="D766" s="153"/>
      <c r="E766" s="153"/>
      <c r="F766" s="153"/>
      <c r="G766" s="94" t="s">
        <v>2850</v>
      </c>
      <c r="H766" s="73">
        <v>19</v>
      </c>
      <c r="I766" s="105">
        <v>0</v>
      </c>
      <c r="J766" s="15">
        <f t="shared" si="740"/>
        <v>0</v>
      </c>
      <c r="K766" s="15">
        <f t="shared" si="741"/>
        <v>0</v>
      </c>
      <c r="L766" s="15">
        <f t="shared" si="742"/>
        <v>0</v>
      </c>
      <c r="M766" s="25"/>
      <c r="N766" s="5"/>
      <c r="Z766" s="29">
        <f t="shared" si="743"/>
        <v>0</v>
      </c>
      <c r="AB766" s="29">
        <f t="shared" si="744"/>
        <v>0</v>
      </c>
      <c r="AC766" s="29">
        <f t="shared" si="745"/>
        <v>0</v>
      </c>
      <c r="AD766" s="29">
        <f t="shared" si="746"/>
        <v>0</v>
      </c>
      <c r="AE766" s="29">
        <f t="shared" si="747"/>
        <v>0</v>
      </c>
      <c r="AF766" s="29">
        <f t="shared" si="748"/>
        <v>0</v>
      </c>
      <c r="AG766" s="29">
        <f t="shared" si="749"/>
        <v>0</v>
      </c>
      <c r="AH766" s="29">
        <f t="shared" si="750"/>
        <v>0</v>
      </c>
      <c r="AI766" s="28" t="s">
        <v>2882</v>
      </c>
      <c r="AJ766" s="15">
        <f t="shared" si="751"/>
        <v>0</v>
      </c>
      <c r="AK766" s="15">
        <f t="shared" si="752"/>
        <v>0</v>
      </c>
      <c r="AL766" s="15">
        <f t="shared" si="753"/>
        <v>0</v>
      </c>
      <c r="AN766" s="29">
        <v>15</v>
      </c>
      <c r="AO766" s="29">
        <f t="shared" si="762"/>
        <v>0</v>
      </c>
      <c r="AP766" s="29">
        <f t="shared" si="763"/>
        <v>0</v>
      </c>
      <c r="AQ766" s="30" t="s">
        <v>7</v>
      </c>
      <c r="AV766" s="29">
        <f t="shared" si="754"/>
        <v>0</v>
      </c>
      <c r="AW766" s="29">
        <f t="shared" si="755"/>
        <v>0</v>
      </c>
      <c r="AX766" s="29">
        <f t="shared" si="756"/>
        <v>0</v>
      </c>
      <c r="AY766" s="32" t="s">
        <v>2927</v>
      </c>
      <c r="AZ766" s="32" t="s">
        <v>2941</v>
      </c>
      <c r="BA766" s="28" t="s">
        <v>2957</v>
      </c>
      <c r="BC766" s="29">
        <f t="shared" si="757"/>
        <v>0</v>
      </c>
      <c r="BD766" s="29">
        <f t="shared" si="758"/>
        <v>0</v>
      </c>
      <c r="BE766" s="29">
        <v>0</v>
      </c>
      <c r="BF766" s="29">
        <f>766</f>
        <v>766</v>
      </c>
      <c r="BH766" s="15">
        <f t="shared" si="759"/>
        <v>0</v>
      </c>
      <c r="BI766" s="15">
        <f t="shared" si="760"/>
        <v>0</v>
      </c>
      <c r="BJ766" s="15">
        <f t="shared" si="761"/>
        <v>0</v>
      </c>
      <c r="BK766" s="15" t="s">
        <v>2969</v>
      </c>
      <c r="BL766" s="29" t="s">
        <v>1585</v>
      </c>
    </row>
    <row r="767" spans="1:64" ht="12.75">
      <c r="A767" s="4" t="s">
        <v>713</v>
      </c>
      <c r="B767" s="94" t="s">
        <v>1700</v>
      </c>
      <c r="C767" s="152" t="s">
        <v>2634</v>
      </c>
      <c r="D767" s="153"/>
      <c r="E767" s="153"/>
      <c r="F767" s="153"/>
      <c r="G767" s="94" t="s">
        <v>2850</v>
      </c>
      <c r="H767" s="73">
        <v>7</v>
      </c>
      <c r="I767" s="105">
        <v>0</v>
      </c>
      <c r="J767" s="15">
        <f t="shared" si="740"/>
        <v>0</v>
      </c>
      <c r="K767" s="15">
        <f t="shared" si="741"/>
        <v>0</v>
      </c>
      <c r="L767" s="15">
        <f t="shared" si="742"/>
        <v>0</v>
      </c>
      <c r="M767" s="25"/>
      <c r="N767" s="5"/>
      <c r="Z767" s="29">
        <f t="shared" si="743"/>
        <v>0</v>
      </c>
      <c r="AB767" s="29">
        <f t="shared" si="744"/>
        <v>0</v>
      </c>
      <c r="AC767" s="29">
        <f t="shared" si="745"/>
        <v>0</v>
      </c>
      <c r="AD767" s="29">
        <f t="shared" si="746"/>
        <v>0</v>
      </c>
      <c r="AE767" s="29">
        <f t="shared" si="747"/>
        <v>0</v>
      </c>
      <c r="AF767" s="29">
        <f t="shared" si="748"/>
        <v>0</v>
      </c>
      <c r="AG767" s="29">
        <f t="shared" si="749"/>
        <v>0</v>
      </c>
      <c r="AH767" s="29">
        <f t="shared" si="750"/>
        <v>0</v>
      </c>
      <c r="AI767" s="28" t="s">
        <v>2882</v>
      </c>
      <c r="AJ767" s="15">
        <f t="shared" si="751"/>
        <v>0</v>
      </c>
      <c r="AK767" s="15">
        <f t="shared" si="752"/>
        <v>0</v>
      </c>
      <c r="AL767" s="15">
        <f t="shared" si="753"/>
        <v>0</v>
      </c>
      <c r="AN767" s="29">
        <v>15</v>
      </c>
      <c r="AO767" s="29">
        <f t="shared" si="762"/>
        <v>0</v>
      </c>
      <c r="AP767" s="29">
        <f t="shared" si="763"/>
        <v>0</v>
      </c>
      <c r="AQ767" s="30" t="s">
        <v>7</v>
      </c>
      <c r="AV767" s="29">
        <f t="shared" si="754"/>
        <v>0</v>
      </c>
      <c r="AW767" s="29">
        <f t="shared" si="755"/>
        <v>0</v>
      </c>
      <c r="AX767" s="29">
        <f t="shared" si="756"/>
        <v>0</v>
      </c>
      <c r="AY767" s="32" t="s">
        <v>2927</v>
      </c>
      <c r="AZ767" s="32" t="s">
        <v>2941</v>
      </c>
      <c r="BA767" s="28" t="s">
        <v>2957</v>
      </c>
      <c r="BC767" s="29">
        <f t="shared" si="757"/>
        <v>0</v>
      </c>
      <c r="BD767" s="29">
        <f t="shared" si="758"/>
        <v>0</v>
      </c>
      <c r="BE767" s="29">
        <v>0</v>
      </c>
      <c r="BF767" s="29">
        <f>767</f>
        <v>767</v>
      </c>
      <c r="BH767" s="15">
        <f t="shared" si="759"/>
        <v>0</v>
      </c>
      <c r="BI767" s="15">
        <f t="shared" si="760"/>
        <v>0</v>
      </c>
      <c r="BJ767" s="15">
        <f t="shared" si="761"/>
        <v>0</v>
      </c>
      <c r="BK767" s="15" t="s">
        <v>2969</v>
      </c>
      <c r="BL767" s="29" t="s">
        <v>1585</v>
      </c>
    </row>
    <row r="768" spans="1:64" ht="12.75">
      <c r="A768" s="4" t="s">
        <v>714</v>
      </c>
      <c r="B768" s="94" t="s">
        <v>1701</v>
      </c>
      <c r="C768" s="152" t="s">
        <v>2634</v>
      </c>
      <c r="D768" s="153"/>
      <c r="E768" s="153"/>
      <c r="F768" s="153"/>
      <c r="G768" s="94" t="s">
        <v>2850</v>
      </c>
      <c r="H768" s="73">
        <v>7</v>
      </c>
      <c r="I768" s="105">
        <v>0</v>
      </c>
      <c r="J768" s="15">
        <f t="shared" si="740"/>
        <v>0</v>
      </c>
      <c r="K768" s="15">
        <f t="shared" si="741"/>
        <v>0</v>
      </c>
      <c r="L768" s="15">
        <f t="shared" si="742"/>
        <v>0</v>
      </c>
      <c r="M768" s="25"/>
      <c r="N768" s="5"/>
      <c r="Z768" s="29">
        <f t="shared" si="743"/>
        <v>0</v>
      </c>
      <c r="AB768" s="29">
        <f t="shared" si="744"/>
        <v>0</v>
      </c>
      <c r="AC768" s="29">
        <f t="shared" si="745"/>
        <v>0</v>
      </c>
      <c r="AD768" s="29">
        <f t="shared" si="746"/>
        <v>0</v>
      </c>
      <c r="AE768" s="29">
        <f t="shared" si="747"/>
        <v>0</v>
      </c>
      <c r="AF768" s="29">
        <f t="shared" si="748"/>
        <v>0</v>
      </c>
      <c r="AG768" s="29">
        <f t="shared" si="749"/>
        <v>0</v>
      </c>
      <c r="AH768" s="29">
        <f t="shared" si="750"/>
        <v>0</v>
      </c>
      <c r="AI768" s="28" t="s">
        <v>2882</v>
      </c>
      <c r="AJ768" s="15">
        <f t="shared" si="751"/>
        <v>0</v>
      </c>
      <c r="AK768" s="15">
        <f t="shared" si="752"/>
        <v>0</v>
      </c>
      <c r="AL768" s="15">
        <f t="shared" si="753"/>
        <v>0</v>
      </c>
      <c r="AN768" s="29">
        <v>15</v>
      </c>
      <c r="AO768" s="29">
        <f t="shared" si="762"/>
        <v>0</v>
      </c>
      <c r="AP768" s="29">
        <f t="shared" si="763"/>
        <v>0</v>
      </c>
      <c r="AQ768" s="30" t="s">
        <v>7</v>
      </c>
      <c r="AV768" s="29">
        <f t="shared" si="754"/>
        <v>0</v>
      </c>
      <c r="AW768" s="29">
        <f t="shared" si="755"/>
        <v>0</v>
      </c>
      <c r="AX768" s="29">
        <f t="shared" si="756"/>
        <v>0</v>
      </c>
      <c r="AY768" s="32" t="s">
        <v>2927</v>
      </c>
      <c r="AZ768" s="32" t="s">
        <v>2941</v>
      </c>
      <c r="BA768" s="28" t="s">
        <v>2957</v>
      </c>
      <c r="BC768" s="29">
        <f t="shared" si="757"/>
        <v>0</v>
      </c>
      <c r="BD768" s="29">
        <f t="shared" si="758"/>
        <v>0</v>
      </c>
      <c r="BE768" s="29">
        <v>0</v>
      </c>
      <c r="BF768" s="29">
        <f>768</f>
        <v>768</v>
      </c>
      <c r="BH768" s="15">
        <f t="shared" si="759"/>
        <v>0</v>
      </c>
      <c r="BI768" s="15">
        <f t="shared" si="760"/>
        <v>0</v>
      </c>
      <c r="BJ768" s="15">
        <f t="shared" si="761"/>
        <v>0</v>
      </c>
      <c r="BK768" s="15" t="s">
        <v>2969</v>
      </c>
      <c r="BL768" s="29" t="s">
        <v>1585</v>
      </c>
    </row>
    <row r="769" spans="1:64" ht="12.75">
      <c r="A769" s="4" t="s">
        <v>715</v>
      </c>
      <c r="B769" s="94" t="s">
        <v>1702</v>
      </c>
      <c r="C769" s="152" t="s">
        <v>2635</v>
      </c>
      <c r="D769" s="153"/>
      <c r="E769" s="153"/>
      <c r="F769" s="153"/>
      <c r="G769" s="94" t="s">
        <v>2850</v>
      </c>
      <c r="H769" s="73">
        <v>1</v>
      </c>
      <c r="I769" s="105">
        <v>0</v>
      </c>
      <c r="J769" s="15">
        <f t="shared" si="740"/>
        <v>0</v>
      </c>
      <c r="K769" s="15">
        <f t="shared" si="741"/>
        <v>0</v>
      </c>
      <c r="L769" s="15">
        <f t="shared" si="742"/>
        <v>0</v>
      </c>
      <c r="M769" s="25"/>
      <c r="N769" s="5"/>
      <c r="Z769" s="29">
        <f t="shared" si="743"/>
        <v>0</v>
      </c>
      <c r="AB769" s="29">
        <f t="shared" si="744"/>
        <v>0</v>
      </c>
      <c r="AC769" s="29">
        <f t="shared" si="745"/>
        <v>0</v>
      </c>
      <c r="AD769" s="29">
        <f t="shared" si="746"/>
        <v>0</v>
      </c>
      <c r="AE769" s="29">
        <f t="shared" si="747"/>
        <v>0</v>
      </c>
      <c r="AF769" s="29">
        <f t="shared" si="748"/>
        <v>0</v>
      </c>
      <c r="AG769" s="29">
        <f t="shared" si="749"/>
        <v>0</v>
      </c>
      <c r="AH769" s="29">
        <f t="shared" si="750"/>
        <v>0</v>
      </c>
      <c r="AI769" s="28" t="s">
        <v>2882</v>
      </c>
      <c r="AJ769" s="15">
        <f t="shared" si="751"/>
        <v>0</v>
      </c>
      <c r="AK769" s="15">
        <f t="shared" si="752"/>
        <v>0</v>
      </c>
      <c r="AL769" s="15">
        <f t="shared" si="753"/>
        <v>0</v>
      </c>
      <c r="AN769" s="29">
        <v>15</v>
      </c>
      <c r="AO769" s="29">
        <f t="shared" si="762"/>
        <v>0</v>
      </c>
      <c r="AP769" s="29">
        <f t="shared" si="763"/>
        <v>0</v>
      </c>
      <c r="AQ769" s="30" t="s">
        <v>7</v>
      </c>
      <c r="AV769" s="29">
        <f t="shared" si="754"/>
        <v>0</v>
      </c>
      <c r="AW769" s="29">
        <f t="shared" si="755"/>
        <v>0</v>
      </c>
      <c r="AX769" s="29">
        <f t="shared" si="756"/>
        <v>0</v>
      </c>
      <c r="AY769" s="32" t="s">
        <v>2927</v>
      </c>
      <c r="AZ769" s="32" t="s">
        <v>2941</v>
      </c>
      <c r="BA769" s="28" t="s">
        <v>2957</v>
      </c>
      <c r="BC769" s="29">
        <f t="shared" si="757"/>
        <v>0</v>
      </c>
      <c r="BD769" s="29">
        <f t="shared" si="758"/>
        <v>0</v>
      </c>
      <c r="BE769" s="29">
        <v>0</v>
      </c>
      <c r="BF769" s="29">
        <f>769</f>
        <v>769</v>
      </c>
      <c r="BH769" s="15">
        <f t="shared" si="759"/>
        <v>0</v>
      </c>
      <c r="BI769" s="15">
        <f t="shared" si="760"/>
        <v>0</v>
      </c>
      <c r="BJ769" s="15">
        <f t="shared" si="761"/>
        <v>0</v>
      </c>
      <c r="BK769" s="15" t="s">
        <v>2969</v>
      </c>
      <c r="BL769" s="29" t="s">
        <v>1585</v>
      </c>
    </row>
    <row r="770" spans="1:64" ht="12.75">
      <c r="A770" s="4" t="s">
        <v>716</v>
      </c>
      <c r="B770" s="94" t="s">
        <v>1703</v>
      </c>
      <c r="C770" s="152" t="s">
        <v>2636</v>
      </c>
      <c r="D770" s="153"/>
      <c r="E770" s="153"/>
      <c r="F770" s="153"/>
      <c r="G770" s="94" t="s">
        <v>2850</v>
      </c>
      <c r="H770" s="73">
        <v>1</v>
      </c>
      <c r="I770" s="105">
        <v>0</v>
      </c>
      <c r="J770" s="15">
        <f t="shared" si="740"/>
        <v>0</v>
      </c>
      <c r="K770" s="15">
        <f t="shared" si="741"/>
        <v>0</v>
      </c>
      <c r="L770" s="15">
        <f t="shared" si="742"/>
        <v>0</v>
      </c>
      <c r="M770" s="25"/>
      <c r="N770" s="5"/>
      <c r="Z770" s="29">
        <f t="shared" si="743"/>
        <v>0</v>
      </c>
      <c r="AB770" s="29">
        <f t="shared" si="744"/>
        <v>0</v>
      </c>
      <c r="AC770" s="29">
        <f t="shared" si="745"/>
        <v>0</v>
      </c>
      <c r="AD770" s="29">
        <f t="shared" si="746"/>
        <v>0</v>
      </c>
      <c r="AE770" s="29">
        <f t="shared" si="747"/>
        <v>0</v>
      </c>
      <c r="AF770" s="29">
        <f t="shared" si="748"/>
        <v>0</v>
      </c>
      <c r="AG770" s="29">
        <f t="shared" si="749"/>
        <v>0</v>
      </c>
      <c r="AH770" s="29">
        <f t="shared" si="750"/>
        <v>0</v>
      </c>
      <c r="AI770" s="28" t="s">
        <v>2882</v>
      </c>
      <c r="AJ770" s="15">
        <f t="shared" si="751"/>
        <v>0</v>
      </c>
      <c r="AK770" s="15">
        <f t="shared" si="752"/>
        <v>0</v>
      </c>
      <c r="AL770" s="15">
        <f t="shared" si="753"/>
        <v>0</v>
      </c>
      <c r="AN770" s="29">
        <v>15</v>
      </c>
      <c r="AO770" s="29">
        <f t="shared" si="762"/>
        <v>0</v>
      </c>
      <c r="AP770" s="29">
        <f t="shared" si="763"/>
        <v>0</v>
      </c>
      <c r="AQ770" s="30" t="s">
        <v>7</v>
      </c>
      <c r="AV770" s="29">
        <f t="shared" si="754"/>
        <v>0</v>
      </c>
      <c r="AW770" s="29">
        <f t="shared" si="755"/>
        <v>0</v>
      </c>
      <c r="AX770" s="29">
        <f t="shared" si="756"/>
        <v>0</v>
      </c>
      <c r="AY770" s="32" t="s">
        <v>2927</v>
      </c>
      <c r="AZ770" s="32" t="s">
        <v>2941</v>
      </c>
      <c r="BA770" s="28" t="s">
        <v>2957</v>
      </c>
      <c r="BC770" s="29">
        <f t="shared" si="757"/>
        <v>0</v>
      </c>
      <c r="BD770" s="29">
        <f t="shared" si="758"/>
        <v>0</v>
      </c>
      <c r="BE770" s="29">
        <v>0</v>
      </c>
      <c r="BF770" s="29">
        <f>770</f>
        <v>770</v>
      </c>
      <c r="BH770" s="15">
        <f t="shared" si="759"/>
        <v>0</v>
      </c>
      <c r="BI770" s="15">
        <f t="shared" si="760"/>
        <v>0</v>
      </c>
      <c r="BJ770" s="15">
        <f t="shared" si="761"/>
        <v>0</v>
      </c>
      <c r="BK770" s="15" t="s">
        <v>2969</v>
      </c>
      <c r="BL770" s="29" t="s">
        <v>1585</v>
      </c>
    </row>
    <row r="771" spans="1:64" ht="12.75">
      <c r="A771" s="4" t="s">
        <v>717</v>
      </c>
      <c r="B771" s="94" t="s">
        <v>1704</v>
      </c>
      <c r="C771" s="152" t="s">
        <v>2637</v>
      </c>
      <c r="D771" s="153"/>
      <c r="E771" s="153"/>
      <c r="F771" s="153"/>
      <c r="G771" s="94" t="s">
        <v>2856</v>
      </c>
      <c r="H771" s="73">
        <v>1</v>
      </c>
      <c r="I771" s="105">
        <v>0</v>
      </c>
      <c r="J771" s="15">
        <f t="shared" si="740"/>
        <v>0</v>
      </c>
      <c r="K771" s="15">
        <f t="shared" si="741"/>
        <v>0</v>
      </c>
      <c r="L771" s="15">
        <f t="shared" si="742"/>
        <v>0</v>
      </c>
      <c r="M771" s="25"/>
      <c r="N771" s="5"/>
      <c r="Z771" s="29">
        <f t="shared" si="743"/>
        <v>0</v>
      </c>
      <c r="AB771" s="29">
        <f t="shared" si="744"/>
        <v>0</v>
      </c>
      <c r="AC771" s="29">
        <f t="shared" si="745"/>
        <v>0</v>
      </c>
      <c r="AD771" s="29">
        <f t="shared" si="746"/>
        <v>0</v>
      </c>
      <c r="AE771" s="29">
        <f t="shared" si="747"/>
        <v>0</v>
      </c>
      <c r="AF771" s="29">
        <f t="shared" si="748"/>
        <v>0</v>
      </c>
      <c r="AG771" s="29">
        <f t="shared" si="749"/>
        <v>0</v>
      </c>
      <c r="AH771" s="29">
        <f t="shared" si="750"/>
        <v>0</v>
      </c>
      <c r="AI771" s="28" t="s">
        <v>2882</v>
      </c>
      <c r="AJ771" s="15">
        <f t="shared" si="751"/>
        <v>0</v>
      </c>
      <c r="AK771" s="15">
        <f t="shared" si="752"/>
        <v>0</v>
      </c>
      <c r="AL771" s="15">
        <f t="shared" si="753"/>
        <v>0</v>
      </c>
      <c r="AN771" s="29">
        <v>15</v>
      </c>
      <c r="AO771" s="29">
        <f t="shared" si="762"/>
        <v>0</v>
      </c>
      <c r="AP771" s="29">
        <f t="shared" si="763"/>
        <v>0</v>
      </c>
      <c r="AQ771" s="30" t="s">
        <v>7</v>
      </c>
      <c r="AV771" s="29">
        <f t="shared" si="754"/>
        <v>0</v>
      </c>
      <c r="AW771" s="29">
        <f t="shared" si="755"/>
        <v>0</v>
      </c>
      <c r="AX771" s="29">
        <f t="shared" si="756"/>
        <v>0</v>
      </c>
      <c r="AY771" s="32" t="s">
        <v>2927</v>
      </c>
      <c r="AZ771" s="32" t="s">
        <v>2941</v>
      </c>
      <c r="BA771" s="28" t="s">
        <v>2957</v>
      </c>
      <c r="BC771" s="29">
        <f t="shared" si="757"/>
        <v>0</v>
      </c>
      <c r="BD771" s="29">
        <f t="shared" si="758"/>
        <v>0</v>
      </c>
      <c r="BE771" s="29">
        <v>0</v>
      </c>
      <c r="BF771" s="29">
        <f>771</f>
        <v>771</v>
      </c>
      <c r="BH771" s="15">
        <f t="shared" si="759"/>
        <v>0</v>
      </c>
      <c r="BI771" s="15">
        <f t="shared" si="760"/>
        <v>0</v>
      </c>
      <c r="BJ771" s="15">
        <f t="shared" si="761"/>
        <v>0</v>
      </c>
      <c r="BK771" s="15" t="s">
        <v>2969</v>
      </c>
      <c r="BL771" s="29" t="s">
        <v>1585</v>
      </c>
    </row>
    <row r="772" spans="1:64" ht="12.75">
      <c r="A772" s="4" t="s">
        <v>718</v>
      </c>
      <c r="B772" s="94" t="s">
        <v>1705</v>
      </c>
      <c r="C772" s="152" t="s">
        <v>2638</v>
      </c>
      <c r="D772" s="153"/>
      <c r="E772" s="153"/>
      <c r="F772" s="153"/>
      <c r="G772" s="94" t="s">
        <v>2856</v>
      </c>
      <c r="H772" s="73">
        <v>1</v>
      </c>
      <c r="I772" s="105">
        <v>0</v>
      </c>
      <c r="J772" s="15">
        <f t="shared" si="740"/>
        <v>0</v>
      </c>
      <c r="K772" s="15">
        <f t="shared" si="741"/>
        <v>0</v>
      </c>
      <c r="L772" s="15">
        <f t="shared" si="742"/>
        <v>0</v>
      </c>
      <c r="M772" s="25"/>
      <c r="N772" s="5"/>
      <c r="Z772" s="29">
        <f t="shared" si="743"/>
        <v>0</v>
      </c>
      <c r="AB772" s="29">
        <f t="shared" si="744"/>
        <v>0</v>
      </c>
      <c r="AC772" s="29">
        <f t="shared" si="745"/>
        <v>0</v>
      </c>
      <c r="AD772" s="29">
        <f t="shared" si="746"/>
        <v>0</v>
      </c>
      <c r="AE772" s="29">
        <f t="shared" si="747"/>
        <v>0</v>
      </c>
      <c r="AF772" s="29">
        <f t="shared" si="748"/>
        <v>0</v>
      </c>
      <c r="AG772" s="29">
        <f t="shared" si="749"/>
        <v>0</v>
      </c>
      <c r="AH772" s="29">
        <f t="shared" si="750"/>
        <v>0</v>
      </c>
      <c r="AI772" s="28" t="s">
        <v>2882</v>
      </c>
      <c r="AJ772" s="15">
        <f t="shared" si="751"/>
        <v>0</v>
      </c>
      <c r="AK772" s="15">
        <f t="shared" si="752"/>
        <v>0</v>
      </c>
      <c r="AL772" s="15">
        <f t="shared" si="753"/>
        <v>0</v>
      </c>
      <c r="AN772" s="29">
        <v>15</v>
      </c>
      <c r="AO772" s="29">
        <f t="shared" si="762"/>
        <v>0</v>
      </c>
      <c r="AP772" s="29">
        <f t="shared" si="763"/>
        <v>0</v>
      </c>
      <c r="AQ772" s="30" t="s">
        <v>7</v>
      </c>
      <c r="AV772" s="29">
        <f t="shared" si="754"/>
        <v>0</v>
      </c>
      <c r="AW772" s="29">
        <f t="shared" si="755"/>
        <v>0</v>
      </c>
      <c r="AX772" s="29">
        <f t="shared" si="756"/>
        <v>0</v>
      </c>
      <c r="AY772" s="32" t="s">
        <v>2927</v>
      </c>
      <c r="AZ772" s="32" t="s">
        <v>2941</v>
      </c>
      <c r="BA772" s="28" t="s">
        <v>2957</v>
      </c>
      <c r="BC772" s="29">
        <f t="shared" si="757"/>
        <v>0</v>
      </c>
      <c r="BD772" s="29">
        <f t="shared" si="758"/>
        <v>0</v>
      </c>
      <c r="BE772" s="29">
        <v>0</v>
      </c>
      <c r="BF772" s="29">
        <f>772</f>
        <v>772</v>
      </c>
      <c r="BH772" s="15">
        <f t="shared" si="759"/>
        <v>0</v>
      </c>
      <c r="BI772" s="15">
        <f t="shared" si="760"/>
        <v>0</v>
      </c>
      <c r="BJ772" s="15">
        <f t="shared" si="761"/>
        <v>0</v>
      </c>
      <c r="BK772" s="15" t="s">
        <v>2969</v>
      </c>
      <c r="BL772" s="29" t="s">
        <v>1585</v>
      </c>
    </row>
    <row r="773" spans="1:64" ht="12.75">
      <c r="A773" s="4" t="s">
        <v>719</v>
      </c>
      <c r="B773" s="94" t="s">
        <v>1706</v>
      </c>
      <c r="C773" s="152" t="s">
        <v>2639</v>
      </c>
      <c r="D773" s="153"/>
      <c r="E773" s="153"/>
      <c r="F773" s="153"/>
      <c r="G773" s="94" t="s">
        <v>2856</v>
      </c>
      <c r="H773" s="73">
        <v>1</v>
      </c>
      <c r="I773" s="105">
        <v>0</v>
      </c>
      <c r="J773" s="15">
        <f t="shared" si="740"/>
        <v>0</v>
      </c>
      <c r="K773" s="15">
        <f t="shared" si="741"/>
        <v>0</v>
      </c>
      <c r="L773" s="15">
        <f t="shared" si="742"/>
        <v>0</v>
      </c>
      <c r="M773" s="25"/>
      <c r="N773" s="5"/>
      <c r="Z773" s="29">
        <f t="shared" si="743"/>
        <v>0</v>
      </c>
      <c r="AB773" s="29">
        <f t="shared" si="744"/>
        <v>0</v>
      </c>
      <c r="AC773" s="29">
        <f t="shared" si="745"/>
        <v>0</v>
      </c>
      <c r="AD773" s="29">
        <f t="shared" si="746"/>
        <v>0</v>
      </c>
      <c r="AE773" s="29">
        <f t="shared" si="747"/>
        <v>0</v>
      </c>
      <c r="AF773" s="29">
        <f t="shared" si="748"/>
        <v>0</v>
      </c>
      <c r="AG773" s="29">
        <f t="shared" si="749"/>
        <v>0</v>
      </c>
      <c r="AH773" s="29">
        <f t="shared" si="750"/>
        <v>0</v>
      </c>
      <c r="AI773" s="28" t="s">
        <v>2882</v>
      </c>
      <c r="AJ773" s="15">
        <f t="shared" si="751"/>
        <v>0</v>
      </c>
      <c r="AK773" s="15">
        <f t="shared" si="752"/>
        <v>0</v>
      </c>
      <c r="AL773" s="15">
        <f t="shared" si="753"/>
        <v>0</v>
      </c>
      <c r="AN773" s="29">
        <v>15</v>
      </c>
      <c r="AO773" s="29">
        <f t="shared" si="762"/>
        <v>0</v>
      </c>
      <c r="AP773" s="29">
        <f t="shared" si="763"/>
        <v>0</v>
      </c>
      <c r="AQ773" s="30" t="s">
        <v>7</v>
      </c>
      <c r="AV773" s="29">
        <f t="shared" si="754"/>
        <v>0</v>
      </c>
      <c r="AW773" s="29">
        <f t="shared" si="755"/>
        <v>0</v>
      </c>
      <c r="AX773" s="29">
        <f t="shared" si="756"/>
        <v>0</v>
      </c>
      <c r="AY773" s="32" t="s">
        <v>2927</v>
      </c>
      <c r="AZ773" s="32" t="s">
        <v>2941</v>
      </c>
      <c r="BA773" s="28" t="s">
        <v>2957</v>
      </c>
      <c r="BC773" s="29">
        <f t="shared" si="757"/>
        <v>0</v>
      </c>
      <c r="BD773" s="29">
        <f t="shared" si="758"/>
        <v>0</v>
      </c>
      <c r="BE773" s="29">
        <v>0</v>
      </c>
      <c r="BF773" s="29">
        <f>773</f>
        <v>773</v>
      </c>
      <c r="BH773" s="15">
        <f t="shared" si="759"/>
        <v>0</v>
      </c>
      <c r="BI773" s="15">
        <f t="shared" si="760"/>
        <v>0</v>
      </c>
      <c r="BJ773" s="15">
        <f t="shared" si="761"/>
        <v>0</v>
      </c>
      <c r="BK773" s="15" t="s">
        <v>2969</v>
      </c>
      <c r="BL773" s="29" t="s">
        <v>1585</v>
      </c>
    </row>
    <row r="774" spans="1:64" ht="12.75">
      <c r="A774" s="4" t="s">
        <v>720</v>
      </c>
      <c r="B774" s="94" t="s">
        <v>1707</v>
      </c>
      <c r="C774" s="152" t="s">
        <v>2640</v>
      </c>
      <c r="D774" s="153"/>
      <c r="E774" s="153"/>
      <c r="F774" s="153"/>
      <c r="G774" s="94" t="s">
        <v>2856</v>
      </c>
      <c r="H774" s="73">
        <v>1</v>
      </c>
      <c r="I774" s="105">
        <v>0</v>
      </c>
      <c r="J774" s="15">
        <f t="shared" si="740"/>
        <v>0</v>
      </c>
      <c r="K774" s="15">
        <f t="shared" si="741"/>
        <v>0</v>
      </c>
      <c r="L774" s="15">
        <f t="shared" si="742"/>
        <v>0</v>
      </c>
      <c r="M774" s="25"/>
      <c r="N774" s="5"/>
      <c r="Z774" s="29">
        <f t="shared" si="743"/>
        <v>0</v>
      </c>
      <c r="AB774" s="29">
        <f t="shared" si="744"/>
        <v>0</v>
      </c>
      <c r="AC774" s="29">
        <f t="shared" si="745"/>
        <v>0</v>
      </c>
      <c r="AD774" s="29">
        <f t="shared" si="746"/>
        <v>0</v>
      </c>
      <c r="AE774" s="29">
        <f t="shared" si="747"/>
        <v>0</v>
      </c>
      <c r="AF774" s="29">
        <f t="shared" si="748"/>
        <v>0</v>
      </c>
      <c r="AG774" s="29">
        <f t="shared" si="749"/>
        <v>0</v>
      </c>
      <c r="AH774" s="29">
        <f t="shared" si="750"/>
        <v>0</v>
      </c>
      <c r="AI774" s="28" t="s">
        <v>2882</v>
      </c>
      <c r="AJ774" s="15">
        <f t="shared" si="751"/>
        <v>0</v>
      </c>
      <c r="AK774" s="15">
        <f t="shared" si="752"/>
        <v>0</v>
      </c>
      <c r="AL774" s="15">
        <f t="shared" si="753"/>
        <v>0</v>
      </c>
      <c r="AN774" s="29">
        <v>15</v>
      </c>
      <c r="AO774" s="29">
        <f t="shared" si="762"/>
        <v>0</v>
      </c>
      <c r="AP774" s="29">
        <f t="shared" si="763"/>
        <v>0</v>
      </c>
      <c r="AQ774" s="30" t="s">
        <v>7</v>
      </c>
      <c r="AV774" s="29">
        <f t="shared" si="754"/>
        <v>0</v>
      </c>
      <c r="AW774" s="29">
        <f t="shared" si="755"/>
        <v>0</v>
      </c>
      <c r="AX774" s="29">
        <f t="shared" si="756"/>
        <v>0</v>
      </c>
      <c r="AY774" s="32" t="s">
        <v>2927</v>
      </c>
      <c r="AZ774" s="32" t="s">
        <v>2941</v>
      </c>
      <c r="BA774" s="28" t="s">
        <v>2957</v>
      </c>
      <c r="BC774" s="29">
        <f t="shared" si="757"/>
        <v>0</v>
      </c>
      <c r="BD774" s="29">
        <f t="shared" si="758"/>
        <v>0</v>
      </c>
      <c r="BE774" s="29">
        <v>0</v>
      </c>
      <c r="BF774" s="29">
        <f>774</f>
        <v>774</v>
      </c>
      <c r="BH774" s="15">
        <f t="shared" si="759"/>
        <v>0</v>
      </c>
      <c r="BI774" s="15">
        <f t="shared" si="760"/>
        <v>0</v>
      </c>
      <c r="BJ774" s="15">
        <f t="shared" si="761"/>
        <v>0</v>
      </c>
      <c r="BK774" s="15" t="s">
        <v>2969</v>
      </c>
      <c r="BL774" s="29" t="s">
        <v>1585</v>
      </c>
    </row>
    <row r="775" spans="1:64" ht="12.75">
      <c r="A775" s="4" t="s">
        <v>721</v>
      </c>
      <c r="B775" s="94" t="s">
        <v>1708</v>
      </c>
      <c r="C775" s="152" t="s">
        <v>2641</v>
      </c>
      <c r="D775" s="153"/>
      <c r="E775" s="153"/>
      <c r="F775" s="153"/>
      <c r="G775" s="94" t="s">
        <v>2852</v>
      </c>
      <c r="H775" s="73">
        <v>40</v>
      </c>
      <c r="I775" s="105">
        <v>0</v>
      </c>
      <c r="J775" s="15">
        <f t="shared" si="740"/>
        <v>0</v>
      </c>
      <c r="K775" s="15">
        <f t="shared" si="741"/>
        <v>0</v>
      </c>
      <c r="L775" s="15">
        <f t="shared" si="742"/>
        <v>0</v>
      </c>
      <c r="M775" s="25"/>
      <c r="N775" s="5"/>
      <c r="Z775" s="29">
        <f t="shared" si="743"/>
        <v>0</v>
      </c>
      <c r="AB775" s="29">
        <f t="shared" si="744"/>
        <v>0</v>
      </c>
      <c r="AC775" s="29">
        <f t="shared" si="745"/>
        <v>0</v>
      </c>
      <c r="AD775" s="29">
        <f t="shared" si="746"/>
        <v>0</v>
      </c>
      <c r="AE775" s="29">
        <f t="shared" si="747"/>
        <v>0</v>
      </c>
      <c r="AF775" s="29">
        <f t="shared" si="748"/>
        <v>0</v>
      </c>
      <c r="AG775" s="29">
        <f t="shared" si="749"/>
        <v>0</v>
      </c>
      <c r="AH775" s="29">
        <f t="shared" si="750"/>
        <v>0</v>
      </c>
      <c r="AI775" s="28" t="s">
        <v>2882</v>
      </c>
      <c r="AJ775" s="15">
        <f t="shared" si="751"/>
        <v>0</v>
      </c>
      <c r="AK775" s="15">
        <f t="shared" si="752"/>
        <v>0</v>
      </c>
      <c r="AL775" s="15">
        <f t="shared" si="753"/>
        <v>0</v>
      </c>
      <c r="AN775" s="29">
        <v>15</v>
      </c>
      <c r="AO775" s="29">
        <f t="shared" si="762"/>
        <v>0</v>
      </c>
      <c r="AP775" s="29">
        <f t="shared" si="763"/>
        <v>0</v>
      </c>
      <c r="AQ775" s="30" t="s">
        <v>7</v>
      </c>
      <c r="AV775" s="29">
        <f t="shared" si="754"/>
        <v>0</v>
      </c>
      <c r="AW775" s="29">
        <f t="shared" si="755"/>
        <v>0</v>
      </c>
      <c r="AX775" s="29">
        <f t="shared" si="756"/>
        <v>0</v>
      </c>
      <c r="AY775" s="32" t="s">
        <v>2927</v>
      </c>
      <c r="AZ775" s="32" t="s">
        <v>2941</v>
      </c>
      <c r="BA775" s="28" t="s">
        <v>2957</v>
      </c>
      <c r="BC775" s="29">
        <f t="shared" si="757"/>
        <v>0</v>
      </c>
      <c r="BD775" s="29">
        <f t="shared" si="758"/>
        <v>0</v>
      </c>
      <c r="BE775" s="29">
        <v>0</v>
      </c>
      <c r="BF775" s="29">
        <f>775</f>
        <v>775</v>
      </c>
      <c r="BH775" s="15">
        <f t="shared" si="759"/>
        <v>0</v>
      </c>
      <c r="BI775" s="15">
        <f t="shared" si="760"/>
        <v>0</v>
      </c>
      <c r="BJ775" s="15">
        <f t="shared" si="761"/>
        <v>0</v>
      </c>
      <c r="BK775" s="15" t="s">
        <v>2969</v>
      </c>
      <c r="BL775" s="29" t="s">
        <v>1585</v>
      </c>
    </row>
    <row r="776" spans="1:64" ht="12.75">
      <c r="A776" s="4" t="s">
        <v>722</v>
      </c>
      <c r="B776" s="94" t="s">
        <v>1709</v>
      </c>
      <c r="C776" s="152" t="s">
        <v>2642</v>
      </c>
      <c r="D776" s="153"/>
      <c r="E776" s="153"/>
      <c r="F776" s="153"/>
      <c r="G776" s="94" t="s">
        <v>2849</v>
      </c>
      <c r="H776" s="73">
        <v>120</v>
      </c>
      <c r="I776" s="105">
        <v>0</v>
      </c>
      <c r="J776" s="15">
        <f t="shared" si="740"/>
        <v>0</v>
      </c>
      <c r="K776" s="15">
        <f t="shared" si="741"/>
        <v>0</v>
      </c>
      <c r="L776" s="15">
        <f t="shared" si="742"/>
        <v>0</v>
      </c>
      <c r="M776" s="25"/>
      <c r="N776" s="5"/>
      <c r="Z776" s="29">
        <f t="shared" si="743"/>
        <v>0</v>
      </c>
      <c r="AB776" s="29">
        <f t="shared" si="744"/>
        <v>0</v>
      </c>
      <c r="AC776" s="29">
        <f t="shared" si="745"/>
        <v>0</v>
      </c>
      <c r="AD776" s="29">
        <f t="shared" si="746"/>
        <v>0</v>
      </c>
      <c r="AE776" s="29">
        <f t="shared" si="747"/>
        <v>0</v>
      </c>
      <c r="AF776" s="29">
        <f t="shared" si="748"/>
        <v>0</v>
      </c>
      <c r="AG776" s="29">
        <f t="shared" si="749"/>
        <v>0</v>
      </c>
      <c r="AH776" s="29">
        <f t="shared" si="750"/>
        <v>0</v>
      </c>
      <c r="AI776" s="28" t="s">
        <v>2882</v>
      </c>
      <c r="AJ776" s="15">
        <f t="shared" si="751"/>
        <v>0</v>
      </c>
      <c r="AK776" s="15">
        <f t="shared" si="752"/>
        <v>0</v>
      </c>
      <c r="AL776" s="15">
        <f t="shared" si="753"/>
        <v>0</v>
      </c>
      <c r="AN776" s="29">
        <v>15</v>
      </c>
      <c r="AO776" s="29">
        <f t="shared" si="762"/>
        <v>0</v>
      </c>
      <c r="AP776" s="29">
        <f t="shared" si="763"/>
        <v>0</v>
      </c>
      <c r="AQ776" s="30" t="s">
        <v>7</v>
      </c>
      <c r="AV776" s="29">
        <f t="shared" si="754"/>
        <v>0</v>
      </c>
      <c r="AW776" s="29">
        <f t="shared" si="755"/>
        <v>0</v>
      </c>
      <c r="AX776" s="29">
        <f t="shared" si="756"/>
        <v>0</v>
      </c>
      <c r="AY776" s="32" t="s">
        <v>2927</v>
      </c>
      <c r="AZ776" s="32" t="s">
        <v>2941</v>
      </c>
      <c r="BA776" s="28" t="s">
        <v>2957</v>
      </c>
      <c r="BC776" s="29">
        <f t="shared" si="757"/>
        <v>0</v>
      </c>
      <c r="BD776" s="29">
        <f t="shared" si="758"/>
        <v>0</v>
      </c>
      <c r="BE776" s="29">
        <v>0</v>
      </c>
      <c r="BF776" s="29">
        <f>776</f>
        <v>776</v>
      </c>
      <c r="BH776" s="15">
        <f t="shared" si="759"/>
        <v>0</v>
      </c>
      <c r="BI776" s="15">
        <f t="shared" si="760"/>
        <v>0</v>
      </c>
      <c r="BJ776" s="15">
        <f t="shared" si="761"/>
        <v>0</v>
      </c>
      <c r="BK776" s="15" t="s">
        <v>2969</v>
      </c>
      <c r="BL776" s="29" t="s">
        <v>1585</v>
      </c>
    </row>
    <row r="777" spans="1:64" ht="12.75">
      <c r="A777" s="4" t="s">
        <v>723</v>
      </c>
      <c r="B777" s="94" t="s">
        <v>1708</v>
      </c>
      <c r="C777" s="152" t="s">
        <v>2643</v>
      </c>
      <c r="D777" s="153"/>
      <c r="E777" s="153"/>
      <c r="F777" s="153"/>
      <c r="G777" s="94" t="s">
        <v>2852</v>
      </c>
      <c r="H777" s="73">
        <v>62</v>
      </c>
      <c r="I777" s="105">
        <v>0</v>
      </c>
      <c r="J777" s="15">
        <f t="shared" si="740"/>
        <v>0</v>
      </c>
      <c r="K777" s="15">
        <f t="shared" si="741"/>
        <v>0</v>
      </c>
      <c r="L777" s="15">
        <f t="shared" si="742"/>
        <v>0</v>
      </c>
      <c r="M777" s="25"/>
      <c r="N777" s="5"/>
      <c r="Z777" s="29">
        <f t="shared" si="743"/>
        <v>0</v>
      </c>
      <c r="AB777" s="29">
        <f t="shared" si="744"/>
        <v>0</v>
      </c>
      <c r="AC777" s="29">
        <f t="shared" si="745"/>
        <v>0</v>
      </c>
      <c r="AD777" s="29">
        <f t="shared" si="746"/>
        <v>0</v>
      </c>
      <c r="AE777" s="29">
        <f t="shared" si="747"/>
        <v>0</v>
      </c>
      <c r="AF777" s="29">
        <f t="shared" si="748"/>
        <v>0</v>
      </c>
      <c r="AG777" s="29">
        <f t="shared" si="749"/>
        <v>0</v>
      </c>
      <c r="AH777" s="29">
        <f t="shared" si="750"/>
        <v>0</v>
      </c>
      <c r="AI777" s="28" t="s">
        <v>2882</v>
      </c>
      <c r="AJ777" s="15">
        <f t="shared" si="751"/>
        <v>0</v>
      </c>
      <c r="AK777" s="15">
        <f t="shared" si="752"/>
        <v>0</v>
      </c>
      <c r="AL777" s="15">
        <f t="shared" si="753"/>
        <v>0</v>
      </c>
      <c r="AN777" s="29">
        <v>15</v>
      </c>
      <c r="AO777" s="29">
        <f t="shared" si="762"/>
        <v>0</v>
      </c>
      <c r="AP777" s="29">
        <f t="shared" si="763"/>
        <v>0</v>
      </c>
      <c r="AQ777" s="30" t="s">
        <v>7</v>
      </c>
      <c r="AV777" s="29">
        <f aca="true" t="shared" si="764" ref="AV777:AV779">AW777+AX777</f>
        <v>0</v>
      </c>
      <c r="AW777" s="29">
        <f t="shared" si="755"/>
        <v>0</v>
      </c>
      <c r="AX777" s="29">
        <f t="shared" si="756"/>
        <v>0</v>
      </c>
      <c r="AY777" s="32" t="s">
        <v>2927</v>
      </c>
      <c r="AZ777" s="32" t="s">
        <v>2941</v>
      </c>
      <c r="BA777" s="28" t="s">
        <v>2957</v>
      </c>
      <c r="BC777" s="29">
        <f t="shared" si="757"/>
        <v>0</v>
      </c>
      <c r="BD777" s="29">
        <f aca="true" t="shared" si="765" ref="BD777:BD779">I777/(100-BE777)*100</f>
        <v>0</v>
      </c>
      <c r="BE777" s="29">
        <v>0</v>
      </c>
      <c r="BF777" s="29">
        <f>777</f>
        <v>777</v>
      </c>
      <c r="BH777" s="15">
        <f t="shared" si="759"/>
        <v>0</v>
      </c>
      <c r="BI777" s="15">
        <f t="shared" si="760"/>
        <v>0</v>
      </c>
      <c r="BJ777" s="15">
        <f t="shared" si="761"/>
        <v>0</v>
      </c>
      <c r="BK777" s="15" t="s">
        <v>2969</v>
      </c>
      <c r="BL777" s="29" t="s">
        <v>1585</v>
      </c>
    </row>
    <row r="778" spans="1:64" ht="12.75">
      <c r="A778" s="4" t="s">
        <v>724</v>
      </c>
      <c r="B778" s="94" t="s">
        <v>1709</v>
      </c>
      <c r="C778" s="152" t="s">
        <v>2643</v>
      </c>
      <c r="D778" s="153"/>
      <c r="E778" s="153"/>
      <c r="F778" s="153"/>
      <c r="G778" s="94" t="s">
        <v>2850</v>
      </c>
      <c r="H778" s="73">
        <v>1</v>
      </c>
      <c r="I778" s="105">
        <v>0</v>
      </c>
      <c r="J778" s="15">
        <f t="shared" si="740"/>
        <v>0</v>
      </c>
      <c r="K778" s="15">
        <f t="shared" si="741"/>
        <v>0</v>
      </c>
      <c r="L778" s="15">
        <f t="shared" si="742"/>
        <v>0</v>
      </c>
      <c r="M778" s="25"/>
      <c r="N778" s="5"/>
      <c r="Z778" s="29">
        <f t="shared" si="743"/>
        <v>0</v>
      </c>
      <c r="AB778" s="29">
        <f t="shared" si="744"/>
        <v>0</v>
      </c>
      <c r="AC778" s="29">
        <f t="shared" si="745"/>
        <v>0</v>
      </c>
      <c r="AD778" s="29">
        <f t="shared" si="746"/>
        <v>0</v>
      </c>
      <c r="AE778" s="29">
        <f t="shared" si="747"/>
        <v>0</v>
      </c>
      <c r="AF778" s="29">
        <f t="shared" si="748"/>
        <v>0</v>
      </c>
      <c r="AG778" s="29">
        <f t="shared" si="749"/>
        <v>0</v>
      </c>
      <c r="AH778" s="29">
        <f t="shared" si="750"/>
        <v>0</v>
      </c>
      <c r="AI778" s="28" t="s">
        <v>2882</v>
      </c>
      <c r="AJ778" s="15">
        <f t="shared" si="751"/>
        <v>0</v>
      </c>
      <c r="AK778" s="15">
        <f t="shared" si="752"/>
        <v>0</v>
      </c>
      <c r="AL778" s="15">
        <f t="shared" si="753"/>
        <v>0</v>
      </c>
      <c r="AN778" s="29">
        <v>15</v>
      </c>
      <c r="AO778" s="29">
        <f t="shared" si="762"/>
        <v>0</v>
      </c>
      <c r="AP778" s="29">
        <f t="shared" si="763"/>
        <v>0</v>
      </c>
      <c r="AQ778" s="30" t="s">
        <v>7</v>
      </c>
      <c r="AV778" s="29">
        <f t="shared" si="764"/>
        <v>0</v>
      </c>
      <c r="AW778" s="29">
        <f t="shared" si="755"/>
        <v>0</v>
      </c>
      <c r="AX778" s="29">
        <f t="shared" si="756"/>
        <v>0</v>
      </c>
      <c r="AY778" s="32" t="s">
        <v>2927</v>
      </c>
      <c r="AZ778" s="32" t="s">
        <v>2941</v>
      </c>
      <c r="BA778" s="28" t="s">
        <v>2957</v>
      </c>
      <c r="BC778" s="29">
        <f t="shared" si="757"/>
        <v>0</v>
      </c>
      <c r="BD778" s="29">
        <f t="shared" si="765"/>
        <v>0</v>
      </c>
      <c r="BE778" s="29">
        <v>0</v>
      </c>
      <c r="BF778" s="29">
        <f>778</f>
        <v>778</v>
      </c>
      <c r="BH778" s="15">
        <f t="shared" si="759"/>
        <v>0</v>
      </c>
      <c r="BI778" s="15">
        <f t="shared" si="760"/>
        <v>0</v>
      </c>
      <c r="BJ778" s="15">
        <f t="shared" si="761"/>
        <v>0</v>
      </c>
      <c r="BK778" s="15" t="s">
        <v>2969</v>
      </c>
      <c r="BL778" s="29" t="s">
        <v>1585</v>
      </c>
    </row>
    <row r="779" spans="1:64" ht="12.75">
      <c r="A779" s="4" t="s">
        <v>725</v>
      </c>
      <c r="B779" s="94" t="s">
        <v>1710</v>
      </c>
      <c r="C779" s="152" t="s">
        <v>2644</v>
      </c>
      <c r="D779" s="153"/>
      <c r="E779" s="153"/>
      <c r="F779" s="153"/>
      <c r="G779" s="94" t="s">
        <v>2856</v>
      </c>
      <c r="H779" s="73">
        <v>1</v>
      </c>
      <c r="I779" s="105">
        <v>0</v>
      </c>
      <c r="J779" s="15">
        <f t="shared" si="740"/>
        <v>0</v>
      </c>
      <c r="K779" s="15">
        <f t="shared" si="741"/>
        <v>0</v>
      </c>
      <c r="L779" s="15">
        <f t="shared" si="742"/>
        <v>0</v>
      </c>
      <c r="M779" s="25"/>
      <c r="N779" s="5"/>
      <c r="Z779" s="29">
        <f t="shared" si="743"/>
        <v>0</v>
      </c>
      <c r="AB779" s="29">
        <f t="shared" si="744"/>
        <v>0</v>
      </c>
      <c r="AC779" s="29">
        <f t="shared" si="745"/>
        <v>0</v>
      </c>
      <c r="AD779" s="29">
        <f t="shared" si="746"/>
        <v>0</v>
      </c>
      <c r="AE779" s="29">
        <f t="shared" si="747"/>
        <v>0</v>
      </c>
      <c r="AF779" s="29">
        <f t="shared" si="748"/>
        <v>0</v>
      </c>
      <c r="AG779" s="29">
        <f t="shared" si="749"/>
        <v>0</v>
      </c>
      <c r="AH779" s="29">
        <f t="shared" si="750"/>
        <v>0</v>
      </c>
      <c r="AI779" s="28" t="s">
        <v>2882</v>
      </c>
      <c r="AJ779" s="15">
        <f t="shared" si="751"/>
        <v>0</v>
      </c>
      <c r="AK779" s="15">
        <f t="shared" si="752"/>
        <v>0</v>
      </c>
      <c r="AL779" s="15">
        <f t="shared" si="753"/>
        <v>0</v>
      </c>
      <c r="AN779" s="29">
        <v>15</v>
      </c>
      <c r="AO779" s="29">
        <f t="shared" si="762"/>
        <v>0</v>
      </c>
      <c r="AP779" s="29">
        <f t="shared" si="763"/>
        <v>0</v>
      </c>
      <c r="AQ779" s="30" t="s">
        <v>7</v>
      </c>
      <c r="AV779" s="29">
        <f t="shared" si="764"/>
        <v>0</v>
      </c>
      <c r="AW779" s="29">
        <f t="shared" si="755"/>
        <v>0</v>
      </c>
      <c r="AX779" s="29">
        <f t="shared" si="756"/>
        <v>0</v>
      </c>
      <c r="AY779" s="32" t="s">
        <v>2927</v>
      </c>
      <c r="AZ779" s="32" t="s">
        <v>2941</v>
      </c>
      <c r="BA779" s="28" t="s">
        <v>2957</v>
      </c>
      <c r="BC779" s="29">
        <f t="shared" si="757"/>
        <v>0</v>
      </c>
      <c r="BD779" s="29">
        <f t="shared" si="765"/>
        <v>0</v>
      </c>
      <c r="BE779" s="29">
        <v>0</v>
      </c>
      <c r="BF779" s="29">
        <f>779</f>
        <v>779</v>
      </c>
      <c r="BH779" s="15">
        <f t="shared" si="759"/>
        <v>0</v>
      </c>
      <c r="BI779" s="15">
        <f t="shared" si="760"/>
        <v>0</v>
      </c>
      <c r="BJ779" s="15">
        <f t="shared" si="761"/>
        <v>0</v>
      </c>
      <c r="BK779" s="15" t="s">
        <v>2969</v>
      </c>
      <c r="BL779" s="29" t="s">
        <v>1585</v>
      </c>
    </row>
    <row r="780" spans="1:47" ht="12.75">
      <c r="A780" s="3"/>
      <c r="B780" s="97" t="s">
        <v>1711</v>
      </c>
      <c r="C780" s="161" t="s">
        <v>2645</v>
      </c>
      <c r="D780" s="162"/>
      <c r="E780" s="162"/>
      <c r="F780" s="162"/>
      <c r="G780" s="13" t="s">
        <v>6</v>
      </c>
      <c r="H780" s="13" t="s">
        <v>6</v>
      </c>
      <c r="I780" s="13" t="s">
        <v>6</v>
      </c>
      <c r="J780" s="34">
        <f>SUM(J781:J845)</f>
        <v>0</v>
      </c>
      <c r="K780" s="34">
        <f>SUM(K781:K845)</f>
        <v>0</v>
      </c>
      <c r="L780" s="34">
        <f>SUM(L781:L845)</f>
        <v>0</v>
      </c>
      <c r="M780" s="24"/>
      <c r="N780" s="5"/>
      <c r="AI780" s="28" t="s">
        <v>2882</v>
      </c>
      <c r="AS780" s="34">
        <f>SUM(AJ781:AJ845)</f>
        <v>0</v>
      </c>
      <c r="AT780" s="34">
        <f>SUM(AK781:AK845)</f>
        <v>0</v>
      </c>
      <c r="AU780" s="34">
        <f>SUM(AL781:AL845)</f>
        <v>0</v>
      </c>
    </row>
    <row r="781" spans="1:64" ht="12.75">
      <c r="A781" s="4" t="s">
        <v>726</v>
      </c>
      <c r="B781" s="94" t="s">
        <v>1591</v>
      </c>
      <c r="C781" s="152" t="s">
        <v>2646</v>
      </c>
      <c r="D781" s="153"/>
      <c r="E781" s="153"/>
      <c r="F781" s="153"/>
      <c r="G781" s="94" t="s">
        <v>2850</v>
      </c>
      <c r="H781" s="73">
        <v>22</v>
      </c>
      <c r="I781" s="105">
        <v>0</v>
      </c>
      <c r="J781" s="15">
        <f aca="true" t="shared" si="766" ref="J781:J812">H781*AO781</f>
        <v>0</v>
      </c>
      <c r="K781" s="15">
        <f aca="true" t="shared" si="767" ref="K781:K812">H781*AP781</f>
        <v>0</v>
      </c>
      <c r="L781" s="15">
        <f aca="true" t="shared" si="768" ref="L781:L812">H781*I781</f>
        <v>0</v>
      </c>
      <c r="M781" s="25"/>
      <c r="N781" s="5"/>
      <c r="Z781" s="29">
        <f aca="true" t="shared" si="769" ref="Z781:Z812">IF(AQ781="5",BJ781,0)</f>
        <v>0</v>
      </c>
      <c r="AB781" s="29">
        <f aca="true" t="shared" si="770" ref="AB781:AB812">IF(AQ781="1",BH781,0)</f>
        <v>0</v>
      </c>
      <c r="AC781" s="29">
        <f aca="true" t="shared" si="771" ref="AC781:AC812">IF(AQ781="1",BI781,0)</f>
        <v>0</v>
      </c>
      <c r="AD781" s="29">
        <f aca="true" t="shared" si="772" ref="AD781:AD812">IF(AQ781="7",BH781,0)</f>
        <v>0</v>
      </c>
      <c r="AE781" s="29">
        <f aca="true" t="shared" si="773" ref="AE781:AE812">IF(AQ781="7",BI781,0)</f>
        <v>0</v>
      </c>
      <c r="AF781" s="29">
        <f aca="true" t="shared" si="774" ref="AF781:AF812">IF(AQ781="2",BH781,0)</f>
        <v>0</v>
      </c>
      <c r="AG781" s="29">
        <f aca="true" t="shared" si="775" ref="AG781:AG812">IF(AQ781="2",BI781,0)</f>
        <v>0</v>
      </c>
      <c r="AH781" s="29">
        <f aca="true" t="shared" si="776" ref="AH781:AH812">IF(AQ781="0",BJ781,0)</f>
        <v>0</v>
      </c>
      <c r="AI781" s="28" t="s">
        <v>2882</v>
      </c>
      <c r="AJ781" s="15">
        <f aca="true" t="shared" si="777" ref="AJ781:AJ812">IF(AN781=0,L781,0)</f>
        <v>0</v>
      </c>
      <c r="AK781" s="15">
        <f aca="true" t="shared" si="778" ref="AK781:AK812">IF(AN781=15,L781,0)</f>
        <v>0</v>
      </c>
      <c r="AL781" s="15">
        <f aca="true" t="shared" si="779" ref="AL781:AL812">IF(AN781=21,L781,0)</f>
        <v>0</v>
      </c>
      <c r="AN781" s="29">
        <v>15</v>
      </c>
      <c r="AO781" s="29">
        <f aca="true" t="shared" si="780" ref="AO781:AO812">I781*0</f>
        <v>0</v>
      </c>
      <c r="AP781" s="29">
        <f aca="true" t="shared" si="781" ref="AP781:AP812">I781*(1-0)</f>
        <v>0</v>
      </c>
      <c r="AQ781" s="30" t="s">
        <v>7</v>
      </c>
      <c r="AV781" s="29">
        <f aca="true" t="shared" si="782" ref="AV781:AV812">AW781+AX781</f>
        <v>0</v>
      </c>
      <c r="AW781" s="29">
        <f aca="true" t="shared" si="783" ref="AW781:AW812">H781*AO781</f>
        <v>0</v>
      </c>
      <c r="AX781" s="29">
        <f aca="true" t="shared" si="784" ref="AX781:AX812">H781*AP781</f>
        <v>0</v>
      </c>
      <c r="AY781" s="32" t="s">
        <v>2928</v>
      </c>
      <c r="AZ781" s="32" t="s">
        <v>2941</v>
      </c>
      <c r="BA781" s="28" t="s">
        <v>2957</v>
      </c>
      <c r="BC781" s="29">
        <f aca="true" t="shared" si="785" ref="BC781:BC812">AW781+AX781</f>
        <v>0</v>
      </c>
      <c r="BD781" s="29">
        <f aca="true" t="shared" si="786" ref="BD781:BD812">I781/(100-BE781)*100</f>
        <v>0</v>
      </c>
      <c r="BE781" s="29">
        <v>0</v>
      </c>
      <c r="BF781" s="29">
        <f>781</f>
        <v>781</v>
      </c>
      <c r="BH781" s="15">
        <f aca="true" t="shared" si="787" ref="BH781:BH812">H781*AO781</f>
        <v>0</v>
      </c>
      <c r="BI781" s="15">
        <f aca="true" t="shared" si="788" ref="BI781:BI812">H781*AP781</f>
        <v>0</v>
      </c>
      <c r="BJ781" s="15">
        <f aca="true" t="shared" si="789" ref="BJ781:BJ812">H781*I781</f>
        <v>0</v>
      </c>
      <c r="BK781" s="15" t="s">
        <v>2969</v>
      </c>
      <c r="BL781" s="29" t="s">
        <v>1711</v>
      </c>
    </row>
    <row r="782" spans="1:64" ht="12.75">
      <c r="A782" s="4" t="s">
        <v>727</v>
      </c>
      <c r="B782" s="94" t="s">
        <v>1592</v>
      </c>
      <c r="C782" s="152" t="s">
        <v>2538</v>
      </c>
      <c r="D782" s="153"/>
      <c r="E782" s="153"/>
      <c r="F782" s="153"/>
      <c r="G782" s="94" t="s">
        <v>2850</v>
      </c>
      <c r="H782" s="73">
        <v>1</v>
      </c>
      <c r="I782" s="105">
        <v>0</v>
      </c>
      <c r="J782" s="15">
        <f t="shared" si="766"/>
        <v>0</v>
      </c>
      <c r="K782" s="15">
        <f t="shared" si="767"/>
        <v>0</v>
      </c>
      <c r="L782" s="15">
        <f t="shared" si="768"/>
        <v>0</v>
      </c>
      <c r="M782" s="25"/>
      <c r="N782" s="5"/>
      <c r="Z782" s="29">
        <f t="shared" si="769"/>
        <v>0</v>
      </c>
      <c r="AB782" s="29">
        <f t="shared" si="770"/>
        <v>0</v>
      </c>
      <c r="AC782" s="29">
        <f t="shared" si="771"/>
        <v>0</v>
      </c>
      <c r="AD782" s="29">
        <f t="shared" si="772"/>
        <v>0</v>
      </c>
      <c r="AE782" s="29">
        <f t="shared" si="773"/>
        <v>0</v>
      </c>
      <c r="AF782" s="29">
        <f t="shared" si="774"/>
        <v>0</v>
      </c>
      <c r="AG782" s="29">
        <f t="shared" si="775"/>
        <v>0</v>
      </c>
      <c r="AH782" s="29">
        <f t="shared" si="776"/>
        <v>0</v>
      </c>
      <c r="AI782" s="28" t="s">
        <v>2882</v>
      </c>
      <c r="AJ782" s="15">
        <f t="shared" si="777"/>
        <v>0</v>
      </c>
      <c r="AK782" s="15">
        <f t="shared" si="778"/>
        <v>0</v>
      </c>
      <c r="AL782" s="15">
        <f t="shared" si="779"/>
        <v>0</v>
      </c>
      <c r="AN782" s="29">
        <v>15</v>
      </c>
      <c r="AO782" s="29">
        <f t="shared" si="780"/>
        <v>0</v>
      </c>
      <c r="AP782" s="29">
        <f t="shared" si="781"/>
        <v>0</v>
      </c>
      <c r="AQ782" s="30" t="s">
        <v>7</v>
      </c>
      <c r="AV782" s="29">
        <f t="shared" si="782"/>
        <v>0</v>
      </c>
      <c r="AW782" s="29">
        <f t="shared" si="783"/>
        <v>0</v>
      </c>
      <c r="AX782" s="29">
        <f t="shared" si="784"/>
        <v>0</v>
      </c>
      <c r="AY782" s="32" t="s">
        <v>2928</v>
      </c>
      <c r="AZ782" s="32" t="s">
        <v>2941</v>
      </c>
      <c r="BA782" s="28" t="s">
        <v>2957</v>
      </c>
      <c r="BC782" s="29">
        <f t="shared" si="785"/>
        <v>0</v>
      </c>
      <c r="BD782" s="29">
        <f t="shared" si="786"/>
        <v>0</v>
      </c>
      <c r="BE782" s="29">
        <v>0</v>
      </c>
      <c r="BF782" s="29">
        <f>782</f>
        <v>782</v>
      </c>
      <c r="BH782" s="15">
        <f t="shared" si="787"/>
        <v>0</v>
      </c>
      <c r="BI782" s="15">
        <f t="shared" si="788"/>
        <v>0</v>
      </c>
      <c r="BJ782" s="15">
        <f t="shared" si="789"/>
        <v>0</v>
      </c>
      <c r="BK782" s="15" t="s">
        <v>2969</v>
      </c>
      <c r="BL782" s="29" t="s">
        <v>1711</v>
      </c>
    </row>
    <row r="783" spans="1:64" ht="12.75">
      <c r="A783" s="4" t="s">
        <v>728</v>
      </c>
      <c r="B783" s="94" t="s">
        <v>1596</v>
      </c>
      <c r="C783" s="152" t="s">
        <v>2647</v>
      </c>
      <c r="D783" s="153"/>
      <c r="E783" s="153"/>
      <c r="F783" s="153"/>
      <c r="G783" s="94" t="s">
        <v>2850</v>
      </c>
      <c r="H783" s="73">
        <v>1</v>
      </c>
      <c r="I783" s="105">
        <v>0</v>
      </c>
      <c r="J783" s="15">
        <f t="shared" si="766"/>
        <v>0</v>
      </c>
      <c r="K783" s="15">
        <f t="shared" si="767"/>
        <v>0</v>
      </c>
      <c r="L783" s="15">
        <f t="shared" si="768"/>
        <v>0</v>
      </c>
      <c r="M783" s="25"/>
      <c r="N783" s="5"/>
      <c r="Z783" s="29">
        <f t="shared" si="769"/>
        <v>0</v>
      </c>
      <c r="AB783" s="29">
        <f t="shared" si="770"/>
        <v>0</v>
      </c>
      <c r="AC783" s="29">
        <f t="shared" si="771"/>
        <v>0</v>
      </c>
      <c r="AD783" s="29">
        <f t="shared" si="772"/>
        <v>0</v>
      </c>
      <c r="AE783" s="29">
        <f t="shared" si="773"/>
        <v>0</v>
      </c>
      <c r="AF783" s="29">
        <f t="shared" si="774"/>
        <v>0</v>
      </c>
      <c r="AG783" s="29">
        <f t="shared" si="775"/>
        <v>0</v>
      </c>
      <c r="AH783" s="29">
        <f t="shared" si="776"/>
        <v>0</v>
      </c>
      <c r="AI783" s="28" t="s">
        <v>2882</v>
      </c>
      <c r="AJ783" s="15">
        <f t="shared" si="777"/>
        <v>0</v>
      </c>
      <c r="AK783" s="15">
        <f t="shared" si="778"/>
        <v>0</v>
      </c>
      <c r="AL783" s="15">
        <f t="shared" si="779"/>
        <v>0</v>
      </c>
      <c r="AN783" s="29">
        <v>15</v>
      </c>
      <c r="AO783" s="29">
        <f t="shared" si="780"/>
        <v>0</v>
      </c>
      <c r="AP783" s="29">
        <f t="shared" si="781"/>
        <v>0</v>
      </c>
      <c r="AQ783" s="30" t="s">
        <v>7</v>
      </c>
      <c r="AV783" s="29">
        <f t="shared" si="782"/>
        <v>0</v>
      </c>
      <c r="AW783" s="29">
        <f t="shared" si="783"/>
        <v>0</v>
      </c>
      <c r="AX783" s="29">
        <f t="shared" si="784"/>
        <v>0</v>
      </c>
      <c r="AY783" s="32" t="s">
        <v>2928</v>
      </c>
      <c r="AZ783" s="32" t="s">
        <v>2941</v>
      </c>
      <c r="BA783" s="28" t="s">
        <v>2957</v>
      </c>
      <c r="BC783" s="29">
        <f t="shared" si="785"/>
        <v>0</v>
      </c>
      <c r="BD783" s="29">
        <f t="shared" si="786"/>
        <v>0</v>
      </c>
      <c r="BE783" s="29">
        <v>0</v>
      </c>
      <c r="BF783" s="29">
        <f>783</f>
        <v>783</v>
      </c>
      <c r="BH783" s="15">
        <f t="shared" si="787"/>
        <v>0</v>
      </c>
      <c r="BI783" s="15">
        <f t="shared" si="788"/>
        <v>0</v>
      </c>
      <c r="BJ783" s="15">
        <f t="shared" si="789"/>
        <v>0</v>
      </c>
      <c r="BK783" s="15" t="s">
        <v>2969</v>
      </c>
      <c r="BL783" s="29" t="s">
        <v>1711</v>
      </c>
    </row>
    <row r="784" spans="1:64" ht="12.75">
      <c r="A784" s="4" t="s">
        <v>729</v>
      </c>
      <c r="B784" s="94" t="s">
        <v>1594</v>
      </c>
      <c r="C784" s="152" t="s">
        <v>2648</v>
      </c>
      <c r="D784" s="153"/>
      <c r="E784" s="153"/>
      <c r="F784" s="153"/>
      <c r="G784" s="94" t="s">
        <v>2852</v>
      </c>
      <c r="H784" s="73">
        <v>4</v>
      </c>
      <c r="I784" s="105">
        <v>0</v>
      </c>
      <c r="J784" s="15">
        <f t="shared" si="766"/>
        <v>0</v>
      </c>
      <c r="K784" s="15">
        <f t="shared" si="767"/>
        <v>0</v>
      </c>
      <c r="L784" s="15">
        <f t="shared" si="768"/>
        <v>0</v>
      </c>
      <c r="M784" s="25"/>
      <c r="N784" s="5"/>
      <c r="Z784" s="29">
        <f t="shared" si="769"/>
        <v>0</v>
      </c>
      <c r="AB784" s="29">
        <f t="shared" si="770"/>
        <v>0</v>
      </c>
      <c r="AC784" s="29">
        <f t="shared" si="771"/>
        <v>0</v>
      </c>
      <c r="AD784" s="29">
        <f t="shared" si="772"/>
        <v>0</v>
      </c>
      <c r="AE784" s="29">
        <f t="shared" si="773"/>
        <v>0</v>
      </c>
      <c r="AF784" s="29">
        <f t="shared" si="774"/>
        <v>0</v>
      </c>
      <c r="AG784" s="29">
        <f t="shared" si="775"/>
        <v>0</v>
      </c>
      <c r="AH784" s="29">
        <f t="shared" si="776"/>
        <v>0</v>
      </c>
      <c r="AI784" s="28" t="s">
        <v>2882</v>
      </c>
      <c r="AJ784" s="15">
        <f t="shared" si="777"/>
        <v>0</v>
      </c>
      <c r="AK784" s="15">
        <f t="shared" si="778"/>
        <v>0</v>
      </c>
      <c r="AL784" s="15">
        <f t="shared" si="779"/>
        <v>0</v>
      </c>
      <c r="AN784" s="29">
        <v>15</v>
      </c>
      <c r="AO784" s="29">
        <f t="shared" si="780"/>
        <v>0</v>
      </c>
      <c r="AP784" s="29">
        <f t="shared" si="781"/>
        <v>0</v>
      </c>
      <c r="AQ784" s="30" t="s">
        <v>7</v>
      </c>
      <c r="AV784" s="29">
        <f t="shared" si="782"/>
        <v>0</v>
      </c>
      <c r="AW784" s="29">
        <f t="shared" si="783"/>
        <v>0</v>
      </c>
      <c r="AX784" s="29">
        <f t="shared" si="784"/>
        <v>0</v>
      </c>
      <c r="AY784" s="32" t="s">
        <v>2928</v>
      </c>
      <c r="AZ784" s="32" t="s">
        <v>2941</v>
      </c>
      <c r="BA784" s="28" t="s">
        <v>2957</v>
      </c>
      <c r="BC784" s="29">
        <f t="shared" si="785"/>
        <v>0</v>
      </c>
      <c r="BD784" s="29">
        <f t="shared" si="786"/>
        <v>0</v>
      </c>
      <c r="BE784" s="29">
        <v>0</v>
      </c>
      <c r="BF784" s="29">
        <f>784</f>
        <v>784</v>
      </c>
      <c r="BH784" s="15">
        <f t="shared" si="787"/>
        <v>0</v>
      </c>
      <c r="BI784" s="15">
        <f t="shared" si="788"/>
        <v>0</v>
      </c>
      <c r="BJ784" s="15">
        <f t="shared" si="789"/>
        <v>0</v>
      </c>
      <c r="BK784" s="15" t="s">
        <v>2969</v>
      </c>
      <c r="BL784" s="29" t="s">
        <v>1711</v>
      </c>
    </row>
    <row r="785" spans="1:64" ht="12.75">
      <c r="A785" s="4" t="s">
        <v>730</v>
      </c>
      <c r="B785" s="94" t="s">
        <v>1595</v>
      </c>
      <c r="C785" s="152" t="s">
        <v>2649</v>
      </c>
      <c r="D785" s="153"/>
      <c r="E785" s="153"/>
      <c r="F785" s="153"/>
      <c r="G785" s="94" t="s">
        <v>2850</v>
      </c>
      <c r="H785" s="73">
        <v>1</v>
      </c>
      <c r="I785" s="105">
        <v>0</v>
      </c>
      <c r="J785" s="15">
        <f t="shared" si="766"/>
        <v>0</v>
      </c>
      <c r="K785" s="15">
        <f t="shared" si="767"/>
        <v>0</v>
      </c>
      <c r="L785" s="15">
        <f t="shared" si="768"/>
        <v>0</v>
      </c>
      <c r="M785" s="25"/>
      <c r="N785" s="5"/>
      <c r="Z785" s="29">
        <f t="shared" si="769"/>
        <v>0</v>
      </c>
      <c r="AB785" s="29">
        <f t="shared" si="770"/>
        <v>0</v>
      </c>
      <c r="AC785" s="29">
        <f t="shared" si="771"/>
        <v>0</v>
      </c>
      <c r="AD785" s="29">
        <f t="shared" si="772"/>
        <v>0</v>
      </c>
      <c r="AE785" s="29">
        <f t="shared" si="773"/>
        <v>0</v>
      </c>
      <c r="AF785" s="29">
        <f t="shared" si="774"/>
        <v>0</v>
      </c>
      <c r="AG785" s="29">
        <f t="shared" si="775"/>
        <v>0</v>
      </c>
      <c r="AH785" s="29">
        <f t="shared" si="776"/>
        <v>0</v>
      </c>
      <c r="AI785" s="28" t="s">
        <v>2882</v>
      </c>
      <c r="AJ785" s="15">
        <f t="shared" si="777"/>
        <v>0</v>
      </c>
      <c r="AK785" s="15">
        <f t="shared" si="778"/>
        <v>0</v>
      </c>
      <c r="AL785" s="15">
        <f t="shared" si="779"/>
        <v>0</v>
      </c>
      <c r="AN785" s="29">
        <v>15</v>
      </c>
      <c r="AO785" s="29">
        <f t="shared" si="780"/>
        <v>0</v>
      </c>
      <c r="AP785" s="29">
        <f t="shared" si="781"/>
        <v>0</v>
      </c>
      <c r="AQ785" s="30" t="s">
        <v>7</v>
      </c>
      <c r="AV785" s="29">
        <f t="shared" si="782"/>
        <v>0</v>
      </c>
      <c r="AW785" s="29">
        <f t="shared" si="783"/>
        <v>0</v>
      </c>
      <c r="AX785" s="29">
        <f t="shared" si="784"/>
        <v>0</v>
      </c>
      <c r="AY785" s="32" t="s">
        <v>2928</v>
      </c>
      <c r="AZ785" s="32" t="s">
        <v>2941</v>
      </c>
      <c r="BA785" s="28" t="s">
        <v>2957</v>
      </c>
      <c r="BC785" s="29">
        <f t="shared" si="785"/>
        <v>0</v>
      </c>
      <c r="BD785" s="29">
        <f t="shared" si="786"/>
        <v>0</v>
      </c>
      <c r="BE785" s="29">
        <v>0</v>
      </c>
      <c r="BF785" s="29">
        <f>785</f>
        <v>785</v>
      </c>
      <c r="BH785" s="15">
        <f t="shared" si="787"/>
        <v>0</v>
      </c>
      <c r="BI785" s="15">
        <f t="shared" si="788"/>
        <v>0</v>
      </c>
      <c r="BJ785" s="15">
        <f t="shared" si="789"/>
        <v>0</v>
      </c>
      <c r="BK785" s="15" t="s">
        <v>2969</v>
      </c>
      <c r="BL785" s="29" t="s">
        <v>1711</v>
      </c>
    </row>
    <row r="786" spans="1:64" ht="12.75">
      <c r="A786" s="4" t="s">
        <v>731</v>
      </c>
      <c r="B786" s="94" t="s">
        <v>1596</v>
      </c>
      <c r="C786" s="152" t="s">
        <v>2649</v>
      </c>
      <c r="D786" s="153"/>
      <c r="E786" s="153"/>
      <c r="F786" s="153"/>
      <c r="G786" s="94" t="s">
        <v>2850</v>
      </c>
      <c r="H786" s="73">
        <v>1</v>
      </c>
      <c r="I786" s="105">
        <v>0</v>
      </c>
      <c r="J786" s="15">
        <f t="shared" si="766"/>
        <v>0</v>
      </c>
      <c r="K786" s="15">
        <f t="shared" si="767"/>
        <v>0</v>
      </c>
      <c r="L786" s="15">
        <f t="shared" si="768"/>
        <v>0</v>
      </c>
      <c r="M786" s="25"/>
      <c r="N786" s="5"/>
      <c r="Z786" s="29">
        <f t="shared" si="769"/>
        <v>0</v>
      </c>
      <c r="AB786" s="29">
        <f t="shared" si="770"/>
        <v>0</v>
      </c>
      <c r="AC786" s="29">
        <f t="shared" si="771"/>
        <v>0</v>
      </c>
      <c r="AD786" s="29">
        <f t="shared" si="772"/>
        <v>0</v>
      </c>
      <c r="AE786" s="29">
        <f t="shared" si="773"/>
        <v>0</v>
      </c>
      <c r="AF786" s="29">
        <f t="shared" si="774"/>
        <v>0</v>
      </c>
      <c r="AG786" s="29">
        <f t="shared" si="775"/>
        <v>0</v>
      </c>
      <c r="AH786" s="29">
        <f t="shared" si="776"/>
        <v>0</v>
      </c>
      <c r="AI786" s="28" t="s">
        <v>2882</v>
      </c>
      <c r="AJ786" s="15">
        <f t="shared" si="777"/>
        <v>0</v>
      </c>
      <c r="AK786" s="15">
        <f t="shared" si="778"/>
        <v>0</v>
      </c>
      <c r="AL786" s="15">
        <f t="shared" si="779"/>
        <v>0</v>
      </c>
      <c r="AN786" s="29">
        <v>15</v>
      </c>
      <c r="AO786" s="29">
        <f t="shared" si="780"/>
        <v>0</v>
      </c>
      <c r="AP786" s="29">
        <f t="shared" si="781"/>
        <v>0</v>
      </c>
      <c r="AQ786" s="30" t="s">
        <v>7</v>
      </c>
      <c r="AV786" s="29">
        <f t="shared" si="782"/>
        <v>0</v>
      </c>
      <c r="AW786" s="29">
        <f t="shared" si="783"/>
        <v>0</v>
      </c>
      <c r="AX786" s="29">
        <f t="shared" si="784"/>
        <v>0</v>
      </c>
      <c r="AY786" s="32" t="s">
        <v>2928</v>
      </c>
      <c r="AZ786" s="32" t="s">
        <v>2941</v>
      </c>
      <c r="BA786" s="28" t="s">
        <v>2957</v>
      </c>
      <c r="BC786" s="29">
        <f t="shared" si="785"/>
        <v>0</v>
      </c>
      <c r="BD786" s="29">
        <f t="shared" si="786"/>
        <v>0</v>
      </c>
      <c r="BE786" s="29">
        <v>0</v>
      </c>
      <c r="BF786" s="29">
        <f>786</f>
        <v>786</v>
      </c>
      <c r="BH786" s="15">
        <f t="shared" si="787"/>
        <v>0</v>
      </c>
      <c r="BI786" s="15">
        <f t="shared" si="788"/>
        <v>0</v>
      </c>
      <c r="BJ786" s="15">
        <f t="shared" si="789"/>
        <v>0</v>
      </c>
      <c r="BK786" s="15" t="s">
        <v>2969</v>
      </c>
      <c r="BL786" s="29" t="s">
        <v>1711</v>
      </c>
    </row>
    <row r="787" spans="1:64" ht="12.75">
      <c r="A787" s="4" t="s">
        <v>732</v>
      </c>
      <c r="B787" s="94" t="s">
        <v>1597</v>
      </c>
      <c r="C787" s="152" t="s">
        <v>2542</v>
      </c>
      <c r="D787" s="153"/>
      <c r="E787" s="153"/>
      <c r="F787" s="153"/>
      <c r="G787" s="94" t="s">
        <v>2852</v>
      </c>
      <c r="H787" s="73">
        <v>8</v>
      </c>
      <c r="I787" s="105">
        <v>0</v>
      </c>
      <c r="J787" s="15">
        <f t="shared" si="766"/>
        <v>0</v>
      </c>
      <c r="K787" s="15">
        <f t="shared" si="767"/>
        <v>0</v>
      </c>
      <c r="L787" s="15">
        <f t="shared" si="768"/>
        <v>0</v>
      </c>
      <c r="M787" s="25"/>
      <c r="N787" s="5"/>
      <c r="Z787" s="29">
        <f t="shared" si="769"/>
        <v>0</v>
      </c>
      <c r="AB787" s="29">
        <f t="shared" si="770"/>
        <v>0</v>
      </c>
      <c r="AC787" s="29">
        <f t="shared" si="771"/>
        <v>0</v>
      </c>
      <c r="AD787" s="29">
        <f t="shared" si="772"/>
        <v>0</v>
      </c>
      <c r="AE787" s="29">
        <f t="shared" si="773"/>
        <v>0</v>
      </c>
      <c r="AF787" s="29">
        <f t="shared" si="774"/>
        <v>0</v>
      </c>
      <c r="AG787" s="29">
        <f t="shared" si="775"/>
        <v>0</v>
      </c>
      <c r="AH787" s="29">
        <f t="shared" si="776"/>
        <v>0</v>
      </c>
      <c r="AI787" s="28" t="s">
        <v>2882</v>
      </c>
      <c r="AJ787" s="15">
        <f t="shared" si="777"/>
        <v>0</v>
      </c>
      <c r="AK787" s="15">
        <f t="shared" si="778"/>
        <v>0</v>
      </c>
      <c r="AL787" s="15">
        <f t="shared" si="779"/>
        <v>0</v>
      </c>
      <c r="AN787" s="29">
        <v>15</v>
      </c>
      <c r="AO787" s="29">
        <f t="shared" si="780"/>
        <v>0</v>
      </c>
      <c r="AP787" s="29">
        <f t="shared" si="781"/>
        <v>0</v>
      </c>
      <c r="AQ787" s="30" t="s">
        <v>7</v>
      </c>
      <c r="AV787" s="29">
        <f t="shared" si="782"/>
        <v>0</v>
      </c>
      <c r="AW787" s="29">
        <f t="shared" si="783"/>
        <v>0</v>
      </c>
      <c r="AX787" s="29">
        <f t="shared" si="784"/>
        <v>0</v>
      </c>
      <c r="AY787" s="32" t="s">
        <v>2928</v>
      </c>
      <c r="AZ787" s="32" t="s">
        <v>2941</v>
      </c>
      <c r="BA787" s="28" t="s">
        <v>2957</v>
      </c>
      <c r="BC787" s="29">
        <f t="shared" si="785"/>
        <v>0</v>
      </c>
      <c r="BD787" s="29">
        <f t="shared" si="786"/>
        <v>0</v>
      </c>
      <c r="BE787" s="29">
        <v>0</v>
      </c>
      <c r="BF787" s="29">
        <f>787</f>
        <v>787</v>
      </c>
      <c r="BH787" s="15">
        <f t="shared" si="787"/>
        <v>0</v>
      </c>
      <c r="BI787" s="15">
        <f t="shared" si="788"/>
        <v>0</v>
      </c>
      <c r="BJ787" s="15">
        <f t="shared" si="789"/>
        <v>0</v>
      </c>
      <c r="BK787" s="15" t="s">
        <v>2969</v>
      </c>
      <c r="BL787" s="29" t="s">
        <v>1711</v>
      </c>
    </row>
    <row r="788" spans="1:64" ht="12.75">
      <c r="A788" s="4" t="s">
        <v>733</v>
      </c>
      <c r="B788" s="94" t="s">
        <v>1598</v>
      </c>
      <c r="C788" s="152" t="s">
        <v>2543</v>
      </c>
      <c r="D788" s="153"/>
      <c r="E788" s="153"/>
      <c r="F788" s="153"/>
      <c r="G788" s="94" t="s">
        <v>2851</v>
      </c>
      <c r="H788" s="73">
        <v>100</v>
      </c>
      <c r="I788" s="105">
        <v>0</v>
      </c>
      <c r="J788" s="15">
        <f t="shared" si="766"/>
        <v>0</v>
      </c>
      <c r="K788" s="15">
        <f t="shared" si="767"/>
        <v>0</v>
      </c>
      <c r="L788" s="15">
        <f t="shared" si="768"/>
        <v>0</v>
      </c>
      <c r="M788" s="25"/>
      <c r="N788" s="5"/>
      <c r="Z788" s="29">
        <f t="shared" si="769"/>
        <v>0</v>
      </c>
      <c r="AB788" s="29">
        <f t="shared" si="770"/>
        <v>0</v>
      </c>
      <c r="AC788" s="29">
        <f t="shared" si="771"/>
        <v>0</v>
      </c>
      <c r="AD788" s="29">
        <f t="shared" si="772"/>
        <v>0</v>
      </c>
      <c r="AE788" s="29">
        <f t="shared" si="773"/>
        <v>0</v>
      </c>
      <c r="AF788" s="29">
        <f t="shared" si="774"/>
        <v>0</v>
      </c>
      <c r="AG788" s="29">
        <f t="shared" si="775"/>
        <v>0</v>
      </c>
      <c r="AH788" s="29">
        <f t="shared" si="776"/>
        <v>0</v>
      </c>
      <c r="AI788" s="28" t="s">
        <v>2882</v>
      </c>
      <c r="AJ788" s="15">
        <f t="shared" si="777"/>
        <v>0</v>
      </c>
      <c r="AK788" s="15">
        <f t="shared" si="778"/>
        <v>0</v>
      </c>
      <c r="AL788" s="15">
        <f t="shared" si="779"/>
        <v>0</v>
      </c>
      <c r="AN788" s="29">
        <v>15</v>
      </c>
      <c r="AO788" s="29">
        <f t="shared" si="780"/>
        <v>0</v>
      </c>
      <c r="AP788" s="29">
        <f t="shared" si="781"/>
        <v>0</v>
      </c>
      <c r="AQ788" s="30" t="s">
        <v>7</v>
      </c>
      <c r="AV788" s="29">
        <f t="shared" si="782"/>
        <v>0</v>
      </c>
      <c r="AW788" s="29">
        <f t="shared" si="783"/>
        <v>0</v>
      </c>
      <c r="AX788" s="29">
        <f t="shared" si="784"/>
        <v>0</v>
      </c>
      <c r="AY788" s="32" t="s">
        <v>2928</v>
      </c>
      <c r="AZ788" s="32" t="s">
        <v>2941</v>
      </c>
      <c r="BA788" s="28" t="s">
        <v>2957</v>
      </c>
      <c r="BC788" s="29">
        <f t="shared" si="785"/>
        <v>0</v>
      </c>
      <c r="BD788" s="29">
        <f t="shared" si="786"/>
        <v>0</v>
      </c>
      <c r="BE788" s="29">
        <v>0</v>
      </c>
      <c r="BF788" s="29">
        <f>788</f>
        <v>788</v>
      </c>
      <c r="BH788" s="15">
        <f t="shared" si="787"/>
        <v>0</v>
      </c>
      <c r="BI788" s="15">
        <f t="shared" si="788"/>
        <v>0</v>
      </c>
      <c r="BJ788" s="15">
        <f t="shared" si="789"/>
        <v>0</v>
      </c>
      <c r="BK788" s="15" t="s">
        <v>2969</v>
      </c>
      <c r="BL788" s="29" t="s">
        <v>1711</v>
      </c>
    </row>
    <row r="789" spans="1:64" ht="12.75">
      <c r="A789" s="4" t="s">
        <v>734</v>
      </c>
      <c r="B789" s="94" t="s">
        <v>1599</v>
      </c>
      <c r="C789" s="152" t="s">
        <v>2544</v>
      </c>
      <c r="D789" s="153"/>
      <c r="E789" s="153"/>
      <c r="F789" s="153"/>
      <c r="G789" s="94" t="s">
        <v>2851</v>
      </c>
      <c r="H789" s="73">
        <v>100</v>
      </c>
      <c r="I789" s="105">
        <v>0</v>
      </c>
      <c r="J789" s="15">
        <f t="shared" si="766"/>
        <v>0</v>
      </c>
      <c r="K789" s="15">
        <f t="shared" si="767"/>
        <v>0</v>
      </c>
      <c r="L789" s="15">
        <f t="shared" si="768"/>
        <v>0</v>
      </c>
      <c r="M789" s="25"/>
      <c r="N789" s="5"/>
      <c r="Z789" s="29">
        <f t="shared" si="769"/>
        <v>0</v>
      </c>
      <c r="AB789" s="29">
        <f t="shared" si="770"/>
        <v>0</v>
      </c>
      <c r="AC789" s="29">
        <f t="shared" si="771"/>
        <v>0</v>
      </c>
      <c r="AD789" s="29">
        <f t="shared" si="772"/>
        <v>0</v>
      </c>
      <c r="AE789" s="29">
        <f t="shared" si="773"/>
        <v>0</v>
      </c>
      <c r="AF789" s="29">
        <f t="shared" si="774"/>
        <v>0</v>
      </c>
      <c r="AG789" s="29">
        <f t="shared" si="775"/>
        <v>0</v>
      </c>
      <c r="AH789" s="29">
        <f t="shared" si="776"/>
        <v>0</v>
      </c>
      <c r="AI789" s="28" t="s">
        <v>2882</v>
      </c>
      <c r="AJ789" s="15">
        <f t="shared" si="777"/>
        <v>0</v>
      </c>
      <c r="AK789" s="15">
        <f t="shared" si="778"/>
        <v>0</v>
      </c>
      <c r="AL789" s="15">
        <f t="shared" si="779"/>
        <v>0</v>
      </c>
      <c r="AN789" s="29">
        <v>15</v>
      </c>
      <c r="AO789" s="29">
        <f t="shared" si="780"/>
        <v>0</v>
      </c>
      <c r="AP789" s="29">
        <f t="shared" si="781"/>
        <v>0</v>
      </c>
      <c r="AQ789" s="30" t="s">
        <v>7</v>
      </c>
      <c r="AV789" s="29">
        <f t="shared" si="782"/>
        <v>0</v>
      </c>
      <c r="AW789" s="29">
        <f t="shared" si="783"/>
        <v>0</v>
      </c>
      <c r="AX789" s="29">
        <f t="shared" si="784"/>
        <v>0</v>
      </c>
      <c r="AY789" s="32" t="s">
        <v>2928</v>
      </c>
      <c r="AZ789" s="32" t="s">
        <v>2941</v>
      </c>
      <c r="BA789" s="28" t="s">
        <v>2957</v>
      </c>
      <c r="BC789" s="29">
        <f t="shared" si="785"/>
        <v>0</v>
      </c>
      <c r="BD789" s="29">
        <f t="shared" si="786"/>
        <v>0</v>
      </c>
      <c r="BE789" s="29">
        <v>0</v>
      </c>
      <c r="BF789" s="29">
        <f>789</f>
        <v>789</v>
      </c>
      <c r="BH789" s="15">
        <f t="shared" si="787"/>
        <v>0</v>
      </c>
      <c r="BI789" s="15">
        <f t="shared" si="788"/>
        <v>0</v>
      </c>
      <c r="BJ789" s="15">
        <f t="shared" si="789"/>
        <v>0</v>
      </c>
      <c r="BK789" s="15" t="s">
        <v>2969</v>
      </c>
      <c r="BL789" s="29" t="s">
        <v>1711</v>
      </c>
    </row>
    <row r="790" spans="1:64" ht="12.75">
      <c r="A790" s="4" t="s">
        <v>735</v>
      </c>
      <c r="B790" s="94" t="s">
        <v>1600</v>
      </c>
      <c r="C790" s="152" t="s">
        <v>2545</v>
      </c>
      <c r="D790" s="153"/>
      <c r="E790" s="153"/>
      <c r="F790" s="153"/>
      <c r="G790" s="94" t="s">
        <v>2851</v>
      </c>
      <c r="H790" s="73">
        <v>40</v>
      </c>
      <c r="I790" s="105">
        <v>0</v>
      </c>
      <c r="J790" s="15">
        <f t="shared" si="766"/>
        <v>0</v>
      </c>
      <c r="K790" s="15">
        <f t="shared" si="767"/>
        <v>0</v>
      </c>
      <c r="L790" s="15">
        <f t="shared" si="768"/>
        <v>0</v>
      </c>
      <c r="M790" s="25"/>
      <c r="N790" s="5"/>
      <c r="Z790" s="29">
        <f t="shared" si="769"/>
        <v>0</v>
      </c>
      <c r="AB790" s="29">
        <f t="shared" si="770"/>
        <v>0</v>
      </c>
      <c r="AC790" s="29">
        <f t="shared" si="771"/>
        <v>0</v>
      </c>
      <c r="AD790" s="29">
        <f t="shared" si="772"/>
        <v>0</v>
      </c>
      <c r="AE790" s="29">
        <f t="shared" si="773"/>
        <v>0</v>
      </c>
      <c r="AF790" s="29">
        <f t="shared" si="774"/>
        <v>0</v>
      </c>
      <c r="AG790" s="29">
        <f t="shared" si="775"/>
        <v>0</v>
      </c>
      <c r="AH790" s="29">
        <f t="shared" si="776"/>
        <v>0</v>
      </c>
      <c r="AI790" s="28" t="s">
        <v>2882</v>
      </c>
      <c r="AJ790" s="15">
        <f t="shared" si="777"/>
        <v>0</v>
      </c>
      <c r="AK790" s="15">
        <f t="shared" si="778"/>
        <v>0</v>
      </c>
      <c r="AL790" s="15">
        <f t="shared" si="779"/>
        <v>0</v>
      </c>
      <c r="AN790" s="29">
        <v>15</v>
      </c>
      <c r="AO790" s="29">
        <f t="shared" si="780"/>
        <v>0</v>
      </c>
      <c r="AP790" s="29">
        <f t="shared" si="781"/>
        <v>0</v>
      </c>
      <c r="AQ790" s="30" t="s">
        <v>7</v>
      </c>
      <c r="AV790" s="29">
        <f t="shared" si="782"/>
        <v>0</v>
      </c>
      <c r="AW790" s="29">
        <f t="shared" si="783"/>
        <v>0</v>
      </c>
      <c r="AX790" s="29">
        <f t="shared" si="784"/>
        <v>0</v>
      </c>
      <c r="AY790" s="32" t="s">
        <v>2928</v>
      </c>
      <c r="AZ790" s="32" t="s">
        <v>2941</v>
      </c>
      <c r="BA790" s="28" t="s">
        <v>2957</v>
      </c>
      <c r="BC790" s="29">
        <f t="shared" si="785"/>
        <v>0</v>
      </c>
      <c r="BD790" s="29">
        <f t="shared" si="786"/>
        <v>0</v>
      </c>
      <c r="BE790" s="29">
        <v>0</v>
      </c>
      <c r="BF790" s="29">
        <f>790</f>
        <v>790</v>
      </c>
      <c r="BH790" s="15">
        <f t="shared" si="787"/>
        <v>0</v>
      </c>
      <c r="BI790" s="15">
        <f t="shared" si="788"/>
        <v>0</v>
      </c>
      <c r="BJ790" s="15">
        <f t="shared" si="789"/>
        <v>0</v>
      </c>
      <c r="BK790" s="15" t="s">
        <v>2969</v>
      </c>
      <c r="BL790" s="29" t="s">
        <v>1711</v>
      </c>
    </row>
    <row r="791" spans="1:64" ht="12.75">
      <c r="A791" s="4" t="s">
        <v>736</v>
      </c>
      <c r="B791" s="94" t="s">
        <v>1601</v>
      </c>
      <c r="C791" s="152" t="s">
        <v>2546</v>
      </c>
      <c r="D791" s="153"/>
      <c r="E791" s="153"/>
      <c r="F791" s="153"/>
      <c r="G791" s="94" t="s">
        <v>2851</v>
      </c>
      <c r="H791" s="73">
        <v>40</v>
      </c>
      <c r="I791" s="105">
        <v>0</v>
      </c>
      <c r="J791" s="15">
        <f t="shared" si="766"/>
        <v>0</v>
      </c>
      <c r="K791" s="15">
        <f t="shared" si="767"/>
        <v>0</v>
      </c>
      <c r="L791" s="15">
        <f t="shared" si="768"/>
        <v>0</v>
      </c>
      <c r="M791" s="25"/>
      <c r="N791" s="5"/>
      <c r="Z791" s="29">
        <f t="shared" si="769"/>
        <v>0</v>
      </c>
      <c r="AB791" s="29">
        <f t="shared" si="770"/>
        <v>0</v>
      </c>
      <c r="AC791" s="29">
        <f t="shared" si="771"/>
        <v>0</v>
      </c>
      <c r="AD791" s="29">
        <f t="shared" si="772"/>
        <v>0</v>
      </c>
      <c r="AE791" s="29">
        <f t="shared" si="773"/>
        <v>0</v>
      </c>
      <c r="AF791" s="29">
        <f t="shared" si="774"/>
        <v>0</v>
      </c>
      <c r="AG791" s="29">
        <f t="shared" si="775"/>
        <v>0</v>
      </c>
      <c r="AH791" s="29">
        <f t="shared" si="776"/>
        <v>0</v>
      </c>
      <c r="AI791" s="28" t="s">
        <v>2882</v>
      </c>
      <c r="AJ791" s="15">
        <f t="shared" si="777"/>
        <v>0</v>
      </c>
      <c r="AK791" s="15">
        <f t="shared" si="778"/>
        <v>0</v>
      </c>
      <c r="AL791" s="15">
        <f t="shared" si="779"/>
        <v>0</v>
      </c>
      <c r="AN791" s="29">
        <v>15</v>
      </c>
      <c r="AO791" s="29">
        <f t="shared" si="780"/>
        <v>0</v>
      </c>
      <c r="AP791" s="29">
        <f t="shared" si="781"/>
        <v>0</v>
      </c>
      <c r="AQ791" s="30" t="s">
        <v>7</v>
      </c>
      <c r="AV791" s="29">
        <f t="shared" si="782"/>
        <v>0</v>
      </c>
      <c r="AW791" s="29">
        <f t="shared" si="783"/>
        <v>0</v>
      </c>
      <c r="AX791" s="29">
        <f t="shared" si="784"/>
        <v>0</v>
      </c>
      <c r="AY791" s="32" t="s">
        <v>2928</v>
      </c>
      <c r="AZ791" s="32" t="s">
        <v>2941</v>
      </c>
      <c r="BA791" s="28" t="s">
        <v>2957</v>
      </c>
      <c r="BC791" s="29">
        <f t="shared" si="785"/>
        <v>0</v>
      </c>
      <c r="BD791" s="29">
        <f t="shared" si="786"/>
        <v>0</v>
      </c>
      <c r="BE791" s="29">
        <v>0</v>
      </c>
      <c r="BF791" s="29">
        <f>791</f>
        <v>791</v>
      </c>
      <c r="BH791" s="15">
        <f t="shared" si="787"/>
        <v>0</v>
      </c>
      <c r="BI791" s="15">
        <f t="shared" si="788"/>
        <v>0</v>
      </c>
      <c r="BJ791" s="15">
        <f t="shared" si="789"/>
        <v>0</v>
      </c>
      <c r="BK791" s="15" t="s">
        <v>2969</v>
      </c>
      <c r="BL791" s="29" t="s">
        <v>1711</v>
      </c>
    </row>
    <row r="792" spans="1:64" ht="12.75">
      <c r="A792" s="4" t="s">
        <v>737</v>
      </c>
      <c r="B792" s="94" t="s">
        <v>1602</v>
      </c>
      <c r="C792" s="152" t="s">
        <v>2547</v>
      </c>
      <c r="D792" s="153"/>
      <c r="E792" s="153"/>
      <c r="F792" s="153"/>
      <c r="G792" s="94" t="s">
        <v>2851</v>
      </c>
      <c r="H792" s="73">
        <v>100</v>
      </c>
      <c r="I792" s="105">
        <v>0</v>
      </c>
      <c r="J792" s="15">
        <f t="shared" si="766"/>
        <v>0</v>
      </c>
      <c r="K792" s="15">
        <f t="shared" si="767"/>
        <v>0</v>
      </c>
      <c r="L792" s="15">
        <f t="shared" si="768"/>
        <v>0</v>
      </c>
      <c r="M792" s="25"/>
      <c r="N792" s="5"/>
      <c r="Z792" s="29">
        <f t="shared" si="769"/>
        <v>0</v>
      </c>
      <c r="AB792" s="29">
        <f t="shared" si="770"/>
        <v>0</v>
      </c>
      <c r="AC792" s="29">
        <f t="shared" si="771"/>
        <v>0</v>
      </c>
      <c r="AD792" s="29">
        <f t="shared" si="772"/>
        <v>0</v>
      </c>
      <c r="AE792" s="29">
        <f t="shared" si="773"/>
        <v>0</v>
      </c>
      <c r="AF792" s="29">
        <f t="shared" si="774"/>
        <v>0</v>
      </c>
      <c r="AG792" s="29">
        <f t="shared" si="775"/>
        <v>0</v>
      </c>
      <c r="AH792" s="29">
        <f t="shared" si="776"/>
        <v>0</v>
      </c>
      <c r="AI792" s="28" t="s">
        <v>2882</v>
      </c>
      <c r="AJ792" s="15">
        <f t="shared" si="777"/>
        <v>0</v>
      </c>
      <c r="AK792" s="15">
        <f t="shared" si="778"/>
        <v>0</v>
      </c>
      <c r="AL792" s="15">
        <f t="shared" si="779"/>
        <v>0</v>
      </c>
      <c r="AN792" s="29">
        <v>15</v>
      </c>
      <c r="AO792" s="29">
        <f t="shared" si="780"/>
        <v>0</v>
      </c>
      <c r="AP792" s="29">
        <f t="shared" si="781"/>
        <v>0</v>
      </c>
      <c r="AQ792" s="30" t="s">
        <v>7</v>
      </c>
      <c r="AV792" s="29">
        <f t="shared" si="782"/>
        <v>0</v>
      </c>
      <c r="AW792" s="29">
        <f t="shared" si="783"/>
        <v>0</v>
      </c>
      <c r="AX792" s="29">
        <f t="shared" si="784"/>
        <v>0</v>
      </c>
      <c r="AY792" s="32" t="s">
        <v>2928</v>
      </c>
      <c r="AZ792" s="32" t="s">
        <v>2941</v>
      </c>
      <c r="BA792" s="28" t="s">
        <v>2957</v>
      </c>
      <c r="BC792" s="29">
        <f t="shared" si="785"/>
        <v>0</v>
      </c>
      <c r="BD792" s="29">
        <f t="shared" si="786"/>
        <v>0</v>
      </c>
      <c r="BE792" s="29">
        <v>0</v>
      </c>
      <c r="BF792" s="29">
        <f>792</f>
        <v>792</v>
      </c>
      <c r="BH792" s="15">
        <f t="shared" si="787"/>
        <v>0</v>
      </c>
      <c r="BI792" s="15">
        <f t="shared" si="788"/>
        <v>0</v>
      </c>
      <c r="BJ792" s="15">
        <f t="shared" si="789"/>
        <v>0</v>
      </c>
      <c r="BK792" s="15" t="s">
        <v>2969</v>
      </c>
      <c r="BL792" s="29" t="s">
        <v>1711</v>
      </c>
    </row>
    <row r="793" spans="1:64" ht="12.75">
      <c r="A793" s="4" t="s">
        <v>738</v>
      </c>
      <c r="B793" s="94" t="s">
        <v>1712</v>
      </c>
      <c r="C793" s="152" t="s">
        <v>2650</v>
      </c>
      <c r="D793" s="153"/>
      <c r="E793" s="153"/>
      <c r="F793" s="153"/>
      <c r="G793" s="94" t="s">
        <v>2851</v>
      </c>
      <c r="H793" s="73">
        <v>100</v>
      </c>
      <c r="I793" s="105">
        <v>0</v>
      </c>
      <c r="J793" s="15">
        <f t="shared" si="766"/>
        <v>0</v>
      </c>
      <c r="K793" s="15">
        <f t="shared" si="767"/>
        <v>0</v>
      </c>
      <c r="L793" s="15">
        <f t="shared" si="768"/>
        <v>0</v>
      </c>
      <c r="M793" s="25"/>
      <c r="N793" s="5"/>
      <c r="Z793" s="29">
        <f t="shared" si="769"/>
        <v>0</v>
      </c>
      <c r="AB793" s="29">
        <f t="shared" si="770"/>
        <v>0</v>
      </c>
      <c r="AC793" s="29">
        <f t="shared" si="771"/>
        <v>0</v>
      </c>
      <c r="AD793" s="29">
        <f t="shared" si="772"/>
        <v>0</v>
      </c>
      <c r="AE793" s="29">
        <f t="shared" si="773"/>
        <v>0</v>
      </c>
      <c r="AF793" s="29">
        <f t="shared" si="774"/>
        <v>0</v>
      </c>
      <c r="AG793" s="29">
        <f t="shared" si="775"/>
        <v>0</v>
      </c>
      <c r="AH793" s="29">
        <f t="shared" si="776"/>
        <v>0</v>
      </c>
      <c r="AI793" s="28" t="s">
        <v>2882</v>
      </c>
      <c r="AJ793" s="15">
        <f t="shared" si="777"/>
        <v>0</v>
      </c>
      <c r="AK793" s="15">
        <f t="shared" si="778"/>
        <v>0</v>
      </c>
      <c r="AL793" s="15">
        <f t="shared" si="779"/>
        <v>0</v>
      </c>
      <c r="AN793" s="29">
        <v>15</v>
      </c>
      <c r="AO793" s="29">
        <f t="shared" si="780"/>
        <v>0</v>
      </c>
      <c r="AP793" s="29">
        <f t="shared" si="781"/>
        <v>0</v>
      </c>
      <c r="AQ793" s="30" t="s">
        <v>7</v>
      </c>
      <c r="AV793" s="29">
        <f t="shared" si="782"/>
        <v>0</v>
      </c>
      <c r="AW793" s="29">
        <f t="shared" si="783"/>
        <v>0</v>
      </c>
      <c r="AX793" s="29">
        <f t="shared" si="784"/>
        <v>0</v>
      </c>
      <c r="AY793" s="32" t="s">
        <v>2928</v>
      </c>
      <c r="AZ793" s="32" t="s">
        <v>2941</v>
      </c>
      <c r="BA793" s="28" t="s">
        <v>2957</v>
      </c>
      <c r="BC793" s="29">
        <f t="shared" si="785"/>
        <v>0</v>
      </c>
      <c r="BD793" s="29">
        <f t="shared" si="786"/>
        <v>0</v>
      </c>
      <c r="BE793" s="29">
        <v>0</v>
      </c>
      <c r="BF793" s="29">
        <f>793</f>
        <v>793</v>
      </c>
      <c r="BH793" s="15">
        <f t="shared" si="787"/>
        <v>0</v>
      </c>
      <c r="BI793" s="15">
        <f t="shared" si="788"/>
        <v>0</v>
      </c>
      <c r="BJ793" s="15">
        <f t="shared" si="789"/>
        <v>0</v>
      </c>
      <c r="BK793" s="15" t="s">
        <v>2969</v>
      </c>
      <c r="BL793" s="29" t="s">
        <v>1711</v>
      </c>
    </row>
    <row r="794" spans="1:64" ht="12.75">
      <c r="A794" s="4" t="s">
        <v>739</v>
      </c>
      <c r="B794" s="94" t="s">
        <v>1713</v>
      </c>
      <c r="C794" s="152" t="s">
        <v>2651</v>
      </c>
      <c r="D794" s="153"/>
      <c r="E794" s="153"/>
      <c r="F794" s="153"/>
      <c r="G794" s="94" t="s">
        <v>2851</v>
      </c>
      <c r="H794" s="73">
        <v>9</v>
      </c>
      <c r="I794" s="105">
        <v>0</v>
      </c>
      <c r="J794" s="15">
        <f t="shared" si="766"/>
        <v>0</v>
      </c>
      <c r="K794" s="15">
        <f t="shared" si="767"/>
        <v>0</v>
      </c>
      <c r="L794" s="15">
        <f t="shared" si="768"/>
        <v>0</v>
      </c>
      <c r="M794" s="25"/>
      <c r="N794" s="5"/>
      <c r="Z794" s="29">
        <f t="shared" si="769"/>
        <v>0</v>
      </c>
      <c r="AB794" s="29">
        <f t="shared" si="770"/>
        <v>0</v>
      </c>
      <c r="AC794" s="29">
        <f t="shared" si="771"/>
        <v>0</v>
      </c>
      <c r="AD794" s="29">
        <f t="shared" si="772"/>
        <v>0</v>
      </c>
      <c r="AE794" s="29">
        <f t="shared" si="773"/>
        <v>0</v>
      </c>
      <c r="AF794" s="29">
        <f t="shared" si="774"/>
        <v>0</v>
      </c>
      <c r="AG794" s="29">
        <f t="shared" si="775"/>
        <v>0</v>
      </c>
      <c r="AH794" s="29">
        <f t="shared" si="776"/>
        <v>0</v>
      </c>
      <c r="AI794" s="28" t="s">
        <v>2882</v>
      </c>
      <c r="AJ794" s="15">
        <f t="shared" si="777"/>
        <v>0</v>
      </c>
      <c r="AK794" s="15">
        <f t="shared" si="778"/>
        <v>0</v>
      </c>
      <c r="AL794" s="15">
        <f t="shared" si="779"/>
        <v>0</v>
      </c>
      <c r="AN794" s="29">
        <v>15</v>
      </c>
      <c r="AO794" s="29">
        <f t="shared" si="780"/>
        <v>0</v>
      </c>
      <c r="AP794" s="29">
        <f t="shared" si="781"/>
        <v>0</v>
      </c>
      <c r="AQ794" s="30" t="s">
        <v>7</v>
      </c>
      <c r="AV794" s="29">
        <f t="shared" si="782"/>
        <v>0</v>
      </c>
      <c r="AW794" s="29">
        <f t="shared" si="783"/>
        <v>0</v>
      </c>
      <c r="AX794" s="29">
        <f t="shared" si="784"/>
        <v>0</v>
      </c>
      <c r="AY794" s="32" t="s">
        <v>2928</v>
      </c>
      <c r="AZ794" s="32" t="s">
        <v>2941</v>
      </c>
      <c r="BA794" s="28" t="s">
        <v>2957</v>
      </c>
      <c r="BC794" s="29">
        <f t="shared" si="785"/>
        <v>0</v>
      </c>
      <c r="BD794" s="29">
        <f t="shared" si="786"/>
        <v>0</v>
      </c>
      <c r="BE794" s="29">
        <v>0</v>
      </c>
      <c r="BF794" s="29">
        <f>794</f>
        <v>794</v>
      </c>
      <c r="BH794" s="15">
        <f t="shared" si="787"/>
        <v>0</v>
      </c>
      <c r="BI794" s="15">
        <f t="shared" si="788"/>
        <v>0</v>
      </c>
      <c r="BJ794" s="15">
        <f t="shared" si="789"/>
        <v>0</v>
      </c>
      <c r="BK794" s="15" t="s">
        <v>2969</v>
      </c>
      <c r="BL794" s="29" t="s">
        <v>1711</v>
      </c>
    </row>
    <row r="795" spans="1:64" ht="12.75">
      <c r="A795" s="4" t="s">
        <v>740</v>
      </c>
      <c r="B795" s="94" t="s">
        <v>1603</v>
      </c>
      <c r="C795" s="152" t="s">
        <v>2651</v>
      </c>
      <c r="D795" s="153"/>
      <c r="E795" s="153"/>
      <c r="F795" s="153"/>
      <c r="G795" s="94" t="s">
        <v>2851</v>
      </c>
      <c r="H795" s="73">
        <v>9</v>
      </c>
      <c r="I795" s="105">
        <v>0</v>
      </c>
      <c r="J795" s="15">
        <f t="shared" si="766"/>
        <v>0</v>
      </c>
      <c r="K795" s="15">
        <f t="shared" si="767"/>
        <v>0</v>
      </c>
      <c r="L795" s="15">
        <f t="shared" si="768"/>
        <v>0</v>
      </c>
      <c r="M795" s="25"/>
      <c r="N795" s="5"/>
      <c r="Z795" s="29">
        <f t="shared" si="769"/>
        <v>0</v>
      </c>
      <c r="AB795" s="29">
        <f t="shared" si="770"/>
        <v>0</v>
      </c>
      <c r="AC795" s="29">
        <f t="shared" si="771"/>
        <v>0</v>
      </c>
      <c r="AD795" s="29">
        <f t="shared" si="772"/>
        <v>0</v>
      </c>
      <c r="AE795" s="29">
        <f t="shared" si="773"/>
        <v>0</v>
      </c>
      <c r="AF795" s="29">
        <f t="shared" si="774"/>
        <v>0</v>
      </c>
      <c r="AG795" s="29">
        <f t="shared" si="775"/>
        <v>0</v>
      </c>
      <c r="AH795" s="29">
        <f t="shared" si="776"/>
        <v>0</v>
      </c>
      <c r="AI795" s="28" t="s">
        <v>2882</v>
      </c>
      <c r="AJ795" s="15">
        <f t="shared" si="777"/>
        <v>0</v>
      </c>
      <c r="AK795" s="15">
        <f t="shared" si="778"/>
        <v>0</v>
      </c>
      <c r="AL795" s="15">
        <f t="shared" si="779"/>
        <v>0</v>
      </c>
      <c r="AN795" s="29">
        <v>15</v>
      </c>
      <c r="AO795" s="29">
        <f t="shared" si="780"/>
        <v>0</v>
      </c>
      <c r="AP795" s="29">
        <f t="shared" si="781"/>
        <v>0</v>
      </c>
      <c r="AQ795" s="30" t="s">
        <v>7</v>
      </c>
      <c r="AV795" s="29">
        <f t="shared" si="782"/>
        <v>0</v>
      </c>
      <c r="AW795" s="29">
        <f t="shared" si="783"/>
        <v>0</v>
      </c>
      <c r="AX795" s="29">
        <f t="shared" si="784"/>
        <v>0</v>
      </c>
      <c r="AY795" s="32" t="s">
        <v>2928</v>
      </c>
      <c r="AZ795" s="32" t="s">
        <v>2941</v>
      </c>
      <c r="BA795" s="28" t="s">
        <v>2957</v>
      </c>
      <c r="BC795" s="29">
        <f t="shared" si="785"/>
        <v>0</v>
      </c>
      <c r="BD795" s="29">
        <f t="shared" si="786"/>
        <v>0</v>
      </c>
      <c r="BE795" s="29">
        <v>0</v>
      </c>
      <c r="BF795" s="29">
        <f>795</f>
        <v>795</v>
      </c>
      <c r="BH795" s="15">
        <f t="shared" si="787"/>
        <v>0</v>
      </c>
      <c r="BI795" s="15">
        <f t="shared" si="788"/>
        <v>0</v>
      </c>
      <c r="BJ795" s="15">
        <f t="shared" si="789"/>
        <v>0</v>
      </c>
      <c r="BK795" s="15" t="s">
        <v>2969</v>
      </c>
      <c r="BL795" s="29" t="s">
        <v>1711</v>
      </c>
    </row>
    <row r="796" spans="1:64" ht="12.75">
      <c r="A796" s="4" t="s">
        <v>741</v>
      </c>
      <c r="B796" s="94" t="s">
        <v>1618</v>
      </c>
      <c r="C796" s="152" t="s">
        <v>2561</v>
      </c>
      <c r="D796" s="153"/>
      <c r="E796" s="153"/>
      <c r="F796" s="153"/>
      <c r="G796" s="94" t="s">
        <v>2851</v>
      </c>
      <c r="H796" s="73">
        <v>12</v>
      </c>
      <c r="I796" s="105">
        <v>0</v>
      </c>
      <c r="J796" s="15">
        <f t="shared" si="766"/>
        <v>0</v>
      </c>
      <c r="K796" s="15">
        <f t="shared" si="767"/>
        <v>0</v>
      </c>
      <c r="L796" s="15">
        <f t="shared" si="768"/>
        <v>0</v>
      </c>
      <c r="M796" s="25"/>
      <c r="N796" s="5"/>
      <c r="Z796" s="29">
        <f t="shared" si="769"/>
        <v>0</v>
      </c>
      <c r="AB796" s="29">
        <f t="shared" si="770"/>
        <v>0</v>
      </c>
      <c r="AC796" s="29">
        <f t="shared" si="771"/>
        <v>0</v>
      </c>
      <c r="AD796" s="29">
        <f t="shared" si="772"/>
        <v>0</v>
      </c>
      <c r="AE796" s="29">
        <f t="shared" si="773"/>
        <v>0</v>
      </c>
      <c r="AF796" s="29">
        <f t="shared" si="774"/>
        <v>0</v>
      </c>
      <c r="AG796" s="29">
        <f t="shared" si="775"/>
        <v>0</v>
      </c>
      <c r="AH796" s="29">
        <f t="shared" si="776"/>
        <v>0</v>
      </c>
      <c r="AI796" s="28" t="s">
        <v>2882</v>
      </c>
      <c r="AJ796" s="15">
        <f t="shared" si="777"/>
        <v>0</v>
      </c>
      <c r="AK796" s="15">
        <f t="shared" si="778"/>
        <v>0</v>
      </c>
      <c r="AL796" s="15">
        <f t="shared" si="779"/>
        <v>0</v>
      </c>
      <c r="AN796" s="29">
        <v>15</v>
      </c>
      <c r="AO796" s="29">
        <f t="shared" si="780"/>
        <v>0</v>
      </c>
      <c r="AP796" s="29">
        <f t="shared" si="781"/>
        <v>0</v>
      </c>
      <c r="AQ796" s="30" t="s">
        <v>7</v>
      </c>
      <c r="AV796" s="29">
        <f t="shared" si="782"/>
        <v>0</v>
      </c>
      <c r="AW796" s="29">
        <f t="shared" si="783"/>
        <v>0</v>
      </c>
      <c r="AX796" s="29">
        <f t="shared" si="784"/>
        <v>0</v>
      </c>
      <c r="AY796" s="32" t="s">
        <v>2928</v>
      </c>
      <c r="AZ796" s="32" t="s">
        <v>2941</v>
      </c>
      <c r="BA796" s="28" t="s">
        <v>2957</v>
      </c>
      <c r="BC796" s="29">
        <f t="shared" si="785"/>
        <v>0</v>
      </c>
      <c r="BD796" s="29">
        <f t="shared" si="786"/>
        <v>0</v>
      </c>
      <c r="BE796" s="29">
        <v>0</v>
      </c>
      <c r="BF796" s="29">
        <f>796</f>
        <v>796</v>
      </c>
      <c r="BH796" s="15">
        <f t="shared" si="787"/>
        <v>0</v>
      </c>
      <c r="BI796" s="15">
        <f t="shared" si="788"/>
        <v>0</v>
      </c>
      <c r="BJ796" s="15">
        <f t="shared" si="789"/>
        <v>0</v>
      </c>
      <c r="BK796" s="15" t="s">
        <v>2969</v>
      </c>
      <c r="BL796" s="29" t="s">
        <v>1711</v>
      </c>
    </row>
    <row r="797" spans="1:64" ht="12.75">
      <c r="A797" s="4" t="s">
        <v>742</v>
      </c>
      <c r="B797" s="94" t="s">
        <v>1619</v>
      </c>
      <c r="C797" s="152" t="s">
        <v>2561</v>
      </c>
      <c r="D797" s="153"/>
      <c r="E797" s="153"/>
      <c r="F797" s="153"/>
      <c r="G797" s="94" t="s">
        <v>2851</v>
      </c>
      <c r="H797" s="73">
        <v>12</v>
      </c>
      <c r="I797" s="105">
        <v>0</v>
      </c>
      <c r="J797" s="15">
        <f t="shared" si="766"/>
        <v>0</v>
      </c>
      <c r="K797" s="15">
        <f t="shared" si="767"/>
        <v>0</v>
      </c>
      <c r="L797" s="15">
        <f t="shared" si="768"/>
        <v>0</v>
      </c>
      <c r="M797" s="25"/>
      <c r="N797" s="5"/>
      <c r="Z797" s="29">
        <f t="shared" si="769"/>
        <v>0</v>
      </c>
      <c r="AB797" s="29">
        <f t="shared" si="770"/>
        <v>0</v>
      </c>
      <c r="AC797" s="29">
        <f t="shared" si="771"/>
        <v>0</v>
      </c>
      <c r="AD797" s="29">
        <f t="shared" si="772"/>
        <v>0</v>
      </c>
      <c r="AE797" s="29">
        <f t="shared" si="773"/>
        <v>0</v>
      </c>
      <c r="AF797" s="29">
        <f t="shared" si="774"/>
        <v>0</v>
      </c>
      <c r="AG797" s="29">
        <f t="shared" si="775"/>
        <v>0</v>
      </c>
      <c r="AH797" s="29">
        <f t="shared" si="776"/>
        <v>0</v>
      </c>
      <c r="AI797" s="28" t="s">
        <v>2882</v>
      </c>
      <c r="AJ797" s="15">
        <f t="shared" si="777"/>
        <v>0</v>
      </c>
      <c r="AK797" s="15">
        <f t="shared" si="778"/>
        <v>0</v>
      </c>
      <c r="AL797" s="15">
        <f t="shared" si="779"/>
        <v>0</v>
      </c>
      <c r="AN797" s="29">
        <v>15</v>
      </c>
      <c r="AO797" s="29">
        <f t="shared" si="780"/>
        <v>0</v>
      </c>
      <c r="AP797" s="29">
        <f t="shared" si="781"/>
        <v>0</v>
      </c>
      <c r="AQ797" s="30" t="s">
        <v>7</v>
      </c>
      <c r="AV797" s="29">
        <f t="shared" si="782"/>
        <v>0</v>
      </c>
      <c r="AW797" s="29">
        <f t="shared" si="783"/>
        <v>0</v>
      </c>
      <c r="AX797" s="29">
        <f t="shared" si="784"/>
        <v>0</v>
      </c>
      <c r="AY797" s="32" t="s">
        <v>2928</v>
      </c>
      <c r="AZ797" s="32" t="s">
        <v>2941</v>
      </c>
      <c r="BA797" s="28" t="s">
        <v>2957</v>
      </c>
      <c r="BC797" s="29">
        <f t="shared" si="785"/>
        <v>0</v>
      </c>
      <c r="BD797" s="29">
        <f t="shared" si="786"/>
        <v>0</v>
      </c>
      <c r="BE797" s="29">
        <v>0</v>
      </c>
      <c r="BF797" s="29">
        <f>797</f>
        <v>797</v>
      </c>
      <c r="BH797" s="15">
        <f t="shared" si="787"/>
        <v>0</v>
      </c>
      <c r="BI797" s="15">
        <f t="shared" si="788"/>
        <v>0</v>
      </c>
      <c r="BJ797" s="15">
        <f t="shared" si="789"/>
        <v>0</v>
      </c>
      <c r="BK797" s="15" t="s">
        <v>2969</v>
      </c>
      <c r="BL797" s="29" t="s">
        <v>1711</v>
      </c>
    </row>
    <row r="798" spans="1:64" ht="12.75">
      <c r="A798" s="4" t="s">
        <v>743</v>
      </c>
      <c r="B798" s="94" t="s">
        <v>1620</v>
      </c>
      <c r="C798" s="152" t="s">
        <v>2562</v>
      </c>
      <c r="D798" s="153"/>
      <c r="E798" s="153"/>
      <c r="F798" s="153"/>
      <c r="G798" s="94" t="s">
        <v>2851</v>
      </c>
      <c r="H798" s="73">
        <v>10</v>
      </c>
      <c r="I798" s="105">
        <v>0</v>
      </c>
      <c r="J798" s="15">
        <f t="shared" si="766"/>
        <v>0</v>
      </c>
      <c r="K798" s="15">
        <f t="shared" si="767"/>
        <v>0</v>
      </c>
      <c r="L798" s="15">
        <f t="shared" si="768"/>
        <v>0</v>
      </c>
      <c r="M798" s="25"/>
      <c r="N798" s="5"/>
      <c r="Z798" s="29">
        <f t="shared" si="769"/>
        <v>0</v>
      </c>
      <c r="AB798" s="29">
        <f t="shared" si="770"/>
        <v>0</v>
      </c>
      <c r="AC798" s="29">
        <f t="shared" si="771"/>
        <v>0</v>
      </c>
      <c r="AD798" s="29">
        <f t="shared" si="772"/>
        <v>0</v>
      </c>
      <c r="AE798" s="29">
        <f t="shared" si="773"/>
        <v>0</v>
      </c>
      <c r="AF798" s="29">
        <f t="shared" si="774"/>
        <v>0</v>
      </c>
      <c r="AG798" s="29">
        <f t="shared" si="775"/>
        <v>0</v>
      </c>
      <c r="AH798" s="29">
        <f t="shared" si="776"/>
        <v>0</v>
      </c>
      <c r="AI798" s="28" t="s">
        <v>2882</v>
      </c>
      <c r="AJ798" s="15">
        <f t="shared" si="777"/>
        <v>0</v>
      </c>
      <c r="AK798" s="15">
        <f t="shared" si="778"/>
        <v>0</v>
      </c>
      <c r="AL798" s="15">
        <f t="shared" si="779"/>
        <v>0</v>
      </c>
      <c r="AN798" s="29">
        <v>15</v>
      </c>
      <c r="AO798" s="29">
        <f t="shared" si="780"/>
        <v>0</v>
      </c>
      <c r="AP798" s="29">
        <f t="shared" si="781"/>
        <v>0</v>
      </c>
      <c r="AQ798" s="30" t="s">
        <v>7</v>
      </c>
      <c r="AV798" s="29">
        <f t="shared" si="782"/>
        <v>0</v>
      </c>
      <c r="AW798" s="29">
        <f t="shared" si="783"/>
        <v>0</v>
      </c>
      <c r="AX798" s="29">
        <f t="shared" si="784"/>
        <v>0</v>
      </c>
      <c r="AY798" s="32" t="s">
        <v>2928</v>
      </c>
      <c r="AZ798" s="32" t="s">
        <v>2941</v>
      </c>
      <c r="BA798" s="28" t="s">
        <v>2957</v>
      </c>
      <c r="BC798" s="29">
        <f t="shared" si="785"/>
        <v>0</v>
      </c>
      <c r="BD798" s="29">
        <f t="shared" si="786"/>
        <v>0</v>
      </c>
      <c r="BE798" s="29">
        <v>0</v>
      </c>
      <c r="BF798" s="29">
        <f>798</f>
        <v>798</v>
      </c>
      <c r="BH798" s="15">
        <f t="shared" si="787"/>
        <v>0</v>
      </c>
      <c r="BI798" s="15">
        <f t="shared" si="788"/>
        <v>0</v>
      </c>
      <c r="BJ798" s="15">
        <f t="shared" si="789"/>
        <v>0</v>
      </c>
      <c r="BK798" s="15" t="s">
        <v>2969</v>
      </c>
      <c r="BL798" s="29" t="s">
        <v>1711</v>
      </c>
    </row>
    <row r="799" spans="1:64" ht="12.75">
      <c r="A799" s="4" t="s">
        <v>744</v>
      </c>
      <c r="B799" s="94" t="s">
        <v>1621</v>
      </c>
      <c r="C799" s="152" t="s">
        <v>2562</v>
      </c>
      <c r="D799" s="153"/>
      <c r="E799" s="153"/>
      <c r="F799" s="153"/>
      <c r="G799" s="94" t="s">
        <v>2851</v>
      </c>
      <c r="H799" s="73">
        <v>10</v>
      </c>
      <c r="I799" s="105">
        <v>0</v>
      </c>
      <c r="J799" s="15">
        <f t="shared" si="766"/>
        <v>0</v>
      </c>
      <c r="K799" s="15">
        <f t="shared" si="767"/>
        <v>0</v>
      </c>
      <c r="L799" s="15">
        <f t="shared" si="768"/>
        <v>0</v>
      </c>
      <c r="M799" s="25"/>
      <c r="N799" s="5"/>
      <c r="Z799" s="29">
        <f t="shared" si="769"/>
        <v>0</v>
      </c>
      <c r="AB799" s="29">
        <f t="shared" si="770"/>
        <v>0</v>
      </c>
      <c r="AC799" s="29">
        <f t="shared" si="771"/>
        <v>0</v>
      </c>
      <c r="AD799" s="29">
        <f t="shared" si="772"/>
        <v>0</v>
      </c>
      <c r="AE799" s="29">
        <f t="shared" si="773"/>
        <v>0</v>
      </c>
      <c r="AF799" s="29">
        <f t="shared" si="774"/>
        <v>0</v>
      </c>
      <c r="AG799" s="29">
        <f t="shared" si="775"/>
        <v>0</v>
      </c>
      <c r="AH799" s="29">
        <f t="shared" si="776"/>
        <v>0</v>
      </c>
      <c r="AI799" s="28" t="s">
        <v>2882</v>
      </c>
      <c r="AJ799" s="15">
        <f t="shared" si="777"/>
        <v>0</v>
      </c>
      <c r="AK799" s="15">
        <f t="shared" si="778"/>
        <v>0</v>
      </c>
      <c r="AL799" s="15">
        <f t="shared" si="779"/>
        <v>0</v>
      </c>
      <c r="AN799" s="29">
        <v>15</v>
      </c>
      <c r="AO799" s="29">
        <f t="shared" si="780"/>
        <v>0</v>
      </c>
      <c r="AP799" s="29">
        <f t="shared" si="781"/>
        <v>0</v>
      </c>
      <c r="AQ799" s="30" t="s">
        <v>7</v>
      </c>
      <c r="AV799" s="29">
        <f t="shared" si="782"/>
        <v>0</v>
      </c>
      <c r="AW799" s="29">
        <f t="shared" si="783"/>
        <v>0</v>
      </c>
      <c r="AX799" s="29">
        <f t="shared" si="784"/>
        <v>0</v>
      </c>
      <c r="AY799" s="32" t="s">
        <v>2928</v>
      </c>
      <c r="AZ799" s="32" t="s">
        <v>2941</v>
      </c>
      <c r="BA799" s="28" t="s">
        <v>2957</v>
      </c>
      <c r="BC799" s="29">
        <f t="shared" si="785"/>
        <v>0</v>
      </c>
      <c r="BD799" s="29">
        <f t="shared" si="786"/>
        <v>0</v>
      </c>
      <c r="BE799" s="29">
        <v>0</v>
      </c>
      <c r="BF799" s="29">
        <f>799</f>
        <v>799</v>
      </c>
      <c r="BH799" s="15">
        <f t="shared" si="787"/>
        <v>0</v>
      </c>
      <c r="BI799" s="15">
        <f t="shared" si="788"/>
        <v>0</v>
      </c>
      <c r="BJ799" s="15">
        <f t="shared" si="789"/>
        <v>0</v>
      </c>
      <c r="BK799" s="15" t="s">
        <v>2969</v>
      </c>
      <c r="BL799" s="29" t="s">
        <v>1711</v>
      </c>
    </row>
    <row r="800" spans="1:64" ht="12.75">
      <c r="A800" s="4" t="s">
        <v>745</v>
      </c>
      <c r="B800" s="94" t="s">
        <v>1629</v>
      </c>
      <c r="C800" s="152" t="s">
        <v>2570</v>
      </c>
      <c r="D800" s="153"/>
      <c r="E800" s="153"/>
      <c r="F800" s="153"/>
      <c r="G800" s="94" t="s">
        <v>2851</v>
      </c>
      <c r="H800" s="73">
        <v>1660</v>
      </c>
      <c r="I800" s="105">
        <v>0</v>
      </c>
      <c r="J800" s="15">
        <f t="shared" si="766"/>
        <v>0</v>
      </c>
      <c r="K800" s="15">
        <f t="shared" si="767"/>
        <v>0</v>
      </c>
      <c r="L800" s="15">
        <f t="shared" si="768"/>
        <v>0</v>
      </c>
      <c r="M800" s="25"/>
      <c r="N800" s="5"/>
      <c r="Z800" s="29">
        <f t="shared" si="769"/>
        <v>0</v>
      </c>
      <c r="AB800" s="29">
        <f t="shared" si="770"/>
        <v>0</v>
      </c>
      <c r="AC800" s="29">
        <f t="shared" si="771"/>
        <v>0</v>
      </c>
      <c r="AD800" s="29">
        <f t="shared" si="772"/>
        <v>0</v>
      </c>
      <c r="AE800" s="29">
        <f t="shared" si="773"/>
        <v>0</v>
      </c>
      <c r="AF800" s="29">
        <f t="shared" si="774"/>
        <v>0</v>
      </c>
      <c r="AG800" s="29">
        <f t="shared" si="775"/>
        <v>0</v>
      </c>
      <c r="AH800" s="29">
        <f t="shared" si="776"/>
        <v>0</v>
      </c>
      <c r="AI800" s="28" t="s">
        <v>2882</v>
      </c>
      <c r="AJ800" s="15">
        <f t="shared" si="777"/>
        <v>0</v>
      </c>
      <c r="AK800" s="15">
        <f t="shared" si="778"/>
        <v>0</v>
      </c>
      <c r="AL800" s="15">
        <f t="shared" si="779"/>
        <v>0</v>
      </c>
      <c r="AN800" s="29">
        <v>15</v>
      </c>
      <c r="AO800" s="29">
        <f t="shared" si="780"/>
        <v>0</v>
      </c>
      <c r="AP800" s="29">
        <f t="shared" si="781"/>
        <v>0</v>
      </c>
      <c r="AQ800" s="30" t="s">
        <v>7</v>
      </c>
      <c r="AV800" s="29">
        <f t="shared" si="782"/>
        <v>0</v>
      </c>
      <c r="AW800" s="29">
        <f t="shared" si="783"/>
        <v>0</v>
      </c>
      <c r="AX800" s="29">
        <f t="shared" si="784"/>
        <v>0</v>
      </c>
      <c r="AY800" s="32" t="s">
        <v>2928</v>
      </c>
      <c r="AZ800" s="32" t="s">
        <v>2941</v>
      </c>
      <c r="BA800" s="28" t="s">
        <v>2957</v>
      </c>
      <c r="BC800" s="29">
        <f t="shared" si="785"/>
        <v>0</v>
      </c>
      <c r="BD800" s="29">
        <f t="shared" si="786"/>
        <v>0</v>
      </c>
      <c r="BE800" s="29">
        <v>0</v>
      </c>
      <c r="BF800" s="29">
        <f>800</f>
        <v>800</v>
      </c>
      <c r="BH800" s="15">
        <f t="shared" si="787"/>
        <v>0</v>
      </c>
      <c r="BI800" s="15">
        <f t="shared" si="788"/>
        <v>0</v>
      </c>
      <c r="BJ800" s="15">
        <f t="shared" si="789"/>
        <v>0</v>
      </c>
      <c r="BK800" s="15" t="s">
        <v>2969</v>
      </c>
      <c r="BL800" s="29" t="s">
        <v>1711</v>
      </c>
    </row>
    <row r="801" spans="1:64" ht="12.75">
      <c r="A801" s="4" t="s">
        <v>746</v>
      </c>
      <c r="B801" s="94" t="s">
        <v>1631</v>
      </c>
      <c r="C801" s="152" t="s">
        <v>2652</v>
      </c>
      <c r="D801" s="153"/>
      <c r="E801" s="153"/>
      <c r="F801" s="153"/>
      <c r="G801" s="94" t="s">
        <v>2851</v>
      </c>
      <c r="H801" s="73">
        <v>1280</v>
      </c>
      <c r="I801" s="105">
        <v>0</v>
      </c>
      <c r="J801" s="15">
        <f t="shared" si="766"/>
        <v>0</v>
      </c>
      <c r="K801" s="15">
        <f t="shared" si="767"/>
        <v>0</v>
      </c>
      <c r="L801" s="15">
        <f t="shared" si="768"/>
        <v>0</v>
      </c>
      <c r="M801" s="25"/>
      <c r="N801" s="5"/>
      <c r="Z801" s="29">
        <f t="shared" si="769"/>
        <v>0</v>
      </c>
      <c r="AB801" s="29">
        <f t="shared" si="770"/>
        <v>0</v>
      </c>
      <c r="AC801" s="29">
        <f t="shared" si="771"/>
        <v>0</v>
      </c>
      <c r="AD801" s="29">
        <f t="shared" si="772"/>
        <v>0</v>
      </c>
      <c r="AE801" s="29">
        <f t="shared" si="773"/>
        <v>0</v>
      </c>
      <c r="AF801" s="29">
        <f t="shared" si="774"/>
        <v>0</v>
      </c>
      <c r="AG801" s="29">
        <f t="shared" si="775"/>
        <v>0</v>
      </c>
      <c r="AH801" s="29">
        <f t="shared" si="776"/>
        <v>0</v>
      </c>
      <c r="AI801" s="28" t="s">
        <v>2882</v>
      </c>
      <c r="AJ801" s="15">
        <f t="shared" si="777"/>
        <v>0</v>
      </c>
      <c r="AK801" s="15">
        <f t="shared" si="778"/>
        <v>0</v>
      </c>
      <c r="AL801" s="15">
        <f t="shared" si="779"/>
        <v>0</v>
      </c>
      <c r="AN801" s="29">
        <v>15</v>
      </c>
      <c r="AO801" s="29">
        <f t="shared" si="780"/>
        <v>0</v>
      </c>
      <c r="AP801" s="29">
        <f t="shared" si="781"/>
        <v>0</v>
      </c>
      <c r="AQ801" s="30" t="s">
        <v>7</v>
      </c>
      <c r="AV801" s="29">
        <f t="shared" si="782"/>
        <v>0</v>
      </c>
      <c r="AW801" s="29">
        <f t="shared" si="783"/>
        <v>0</v>
      </c>
      <c r="AX801" s="29">
        <f t="shared" si="784"/>
        <v>0</v>
      </c>
      <c r="AY801" s="32" t="s">
        <v>2928</v>
      </c>
      <c r="AZ801" s="32" t="s">
        <v>2941</v>
      </c>
      <c r="BA801" s="28" t="s">
        <v>2957</v>
      </c>
      <c r="BC801" s="29">
        <f t="shared" si="785"/>
        <v>0</v>
      </c>
      <c r="BD801" s="29">
        <f t="shared" si="786"/>
        <v>0</v>
      </c>
      <c r="BE801" s="29">
        <v>0</v>
      </c>
      <c r="BF801" s="29">
        <f>801</f>
        <v>801</v>
      </c>
      <c r="BH801" s="15">
        <f t="shared" si="787"/>
        <v>0</v>
      </c>
      <c r="BI801" s="15">
        <f t="shared" si="788"/>
        <v>0</v>
      </c>
      <c r="BJ801" s="15">
        <f t="shared" si="789"/>
        <v>0</v>
      </c>
      <c r="BK801" s="15" t="s">
        <v>2969</v>
      </c>
      <c r="BL801" s="29" t="s">
        <v>1711</v>
      </c>
    </row>
    <row r="802" spans="1:64" ht="12.75">
      <c r="A802" s="4" t="s">
        <v>747</v>
      </c>
      <c r="B802" s="94" t="s">
        <v>1635</v>
      </c>
      <c r="C802" s="152" t="s">
        <v>2653</v>
      </c>
      <c r="D802" s="153"/>
      <c r="E802" s="153"/>
      <c r="F802" s="153"/>
      <c r="G802" s="94" t="s">
        <v>2851</v>
      </c>
      <c r="H802" s="73">
        <v>380</v>
      </c>
      <c r="I802" s="105">
        <v>0</v>
      </c>
      <c r="J802" s="15">
        <f t="shared" si="766"/>
        <v>0</v>
      </c>
      <c r="K802" s="15">
        <f t="shared" si="767"/>
        <v>0</v>
      </c>
      <c r="L802" s="15">
        <f t="shared" si="768"/>
        <v>0</v>
      </c>
      <c r="M802" s="25"/>
      <c r="N802" s="5"/>
      <c r="Z802" s="29">
        <f t="shared" si="769"/>
        <v>0</v>
      </c>
      <c r="AB802" s="29">
        <f t="shared" si="770"/>
        <v>0</v>
      </c>
      <c r="AC802" s="29">
        <f t="shared" si="771"/>
        <v>0</v>
      </c>
      <c r="AD802" s="29">
        <f t="shared" si="772"/>
        <v>0</v>
      </c>
      <c r="AE802" s="29">
        <f t="shared" si="773"/>
        <v>0</v>
      </c>
      <c r="AF802" s="29">
        <f t="shared" si="774"/>
        <v>0</v>
      </c>
      <c r="AG802" s="29">
        <f t="shared" si="775"/>
        <v>0</v>
      </c>
      <c r="AH802" s="29">
        <f t="shared" si="776"/>
        <v>0</v>
      </c>
      <c r="AI802" s="28" t="s">
        <v>2882</v>
      </c>
      <c r="AJ802" s="15">
        <f t="shared" si="777"/>
        <v>0</v>
      </c>
      <c r="AK802" s="15">
        <f t="shared" si="778"/>
        <v>0</v>
      </c>
      <c r="AL802" s="15">
        <f t="shared" si="779"/>
        <v>0</v>
      </c>
      <c r="AN802" s="29">
        <v>15</v>
      </c>
      <c r="AO802" s="29">
        <f t="shared" si="780"/>
        <v>0</v>
      </c>
      <c r="AP802" s="29">
        <f t="shared" si="781"/>
        <v>0</v>
      </c>
      <c r="AQ802" s="30" t="s">
        <v>7</v>
      </c>
      <c r="AV802" s="29">
        <f t="shared" si="782"/>
        <v>0</v>
      </c>
      <c r="AW802" s="29">
        <f t="shared" si="783"/>
        <v>0</v>
      </c>
      <c r="AX802" s="29">
        <f t="shared" si="784"/>
        <v>0</v>
      </c>
      <c r="AY802" s="32" t="s">
        <v>2928</v>
      </c>
      <c r="AZ802" s="32" t="s">
        <v>2941</v>
      </c>
      <c r="BA802" s="28" t="s">
        <v>2957</v>
      </c>
      <c r="BC802" s="29">
        <f t="shared" si="785"/>
        <v>0</v>
      </c>
      <c r="BD802" s="29">
        <f t="shared" si="786"/>
        <v>0</v>
      </c>
      <c r="BE802" s="29">
        <v>0</v>
      </c>
      <c r="BF802" s="29">
        <f>802</f>
        <v>802</v>
      </c>
      <c r="BH802" s="15">
        <f t="shared" si="787"/>
        <v>0</v>
      </c>
      <c r="BI802" s="15">
        <f t="shared" si="788"/>
        <v>0</v>
      </c>
      <c r="BJ802" s="15">
        <f t="shared" si="789"/>
        <v>0</v>
      </c>
      <c r="BK802" s="15" t="s">
        <v>2969</v>
      </c>
      <c r="BL802" s="29" t="s">
        <v>1711</v>
      </c>
    </row>
    <row r="803" spans="1:64" ht="12.75">
      <c r="A803" s="4" t="s">
        <v>748</v>
      </c>
      <c r="B803" s="94" t="s">
        <v>1714</v>
      </c>
      <c r="C803" s="152" t="s">
        <v>2654</v>
      </c>
      <c r="D803" s="153"/>
      <c r="E803" s="153"/>
      <c r="F803" s="153"/>
      <c r="G803" s="94" t="s">
        <v>2850</v>
      </c>
      <c r="H803" s="73">
        <v>8</v>
      </c>
      <c r="I803" s="105">
        <v>0</v>
      </c>
      <c r="J803" s="15">
        <f t="shared" si="766"/>
        <v>0</v>
      </c>
      <c r="K803" s="15">
        <f t="shared" si="767"/>
        <v>0</v>
      </c>
      <c r="L803" s="15">
        <f t="shared" si="768"/>
        <v>0</v>
      </c>
      <c r="M803" s="25"/>
      <c r="N803" s="5"/>
      <c r="Z803" s="29">
        <f t="shared" si="769"/>
        <v>0</v>
      </c>
      <c r="AB803" s="29">
        <f t="shared" si="770"/>
        <v>0</v>
      </c>
      <c r="AC803" s="29">
        <f t="shared" si="771"/>
        <v>0</v>
      </c>
      <c r="AD803" s="29">
        <f t="shared" si="772"/>
        <v>0</v>
      </c>
      <c r="AE803" s="29">
        <f t="shared" si="773"/>
        <v>0</v>
      </c>
      <c r="AF803" s="29">
        <f t="shared" si="774"/>
        <v>0</v>
      </c>
      <c r="AG803" s="29">
        <f t="shared" si="775"/>
        <v>0</v>
      </c>
      <c r="AH803" s="29">
        <f t="shared" si="776"/>
        <v>0</v>
      </c>
      <c r="AI803" s="28" t="s">
        <v>2882</v>
      </c>
      <c r="AJ803" s="15">
        <f t="shared" si="777"/>
        <v>0</v>
      </c>
      <c r="AK803" s="15">
        <f t="shared" si="778"/>
        <v>0</v>
      </c>
      <c r="AL803" s="15">
        <f t="shared" si="779"/>
        <v>0</v>
      </c>
      <c r="AN803" s="29">
        <v>15</v>
      </c>
      <c r="AO803" s="29">
        <f t="shared" si="780"/>
        <v>0</v>
      </c>
      <c r="AP803" s="29">
        <f t="shared" si="781"/>
        <v>0</v>
      </c>
      <c r="AQ803" s="30" t="s">
        <v>7</v>
      </c>
      <c r="AV803" s="29">
        <f t="shared" si="782"/>
        <v>0</v>
      </c>
      <c r="AW803" s="29">
        <f t="shared" si="783"/>
        <v>0</v>
      </c>
      <c r="AX803" s="29">
        <f t="shared" si="784"/>
        <v>0</v>
      </c>
      <c r="AY803" s="32" t="s">
        <v>2928</v>
      </c>
      <c r="AZ803" s="32" t="s">
        <v>2941</v>
      </c>
      <c r="BA803" s="28" t="s">
        <v>2957</v>
      </c>
      <c r="BC803" s="29">
        <f t="shared" si="785"/>
        <v>0</v>
      </c>
      <c r="BD803" s="29">
        <f t="shared" si="786"/>
        <v>0</v>
      </c>
      <c r="BE803" s="29">
        <v>0</v>
      </c>
      <c r="BF803" s="29">
        <f>803</f>
        <v>803</v>
      </c>
      <c r="BH803" s="15">
        <f t="shared" si="787"/>
        <v>0</v>
      </c>
      <c r="BI803" s="15">
        <f t="shared" si="788"/>
        <v>0</v>
      </c>
      <c r="BJ803" s="15">
        <f t="shared" si="789"/>
        <v>0</v>
      </c>
      <c r="BK803" s="15" t="s">
        <v>2969</v>
      </c>
      <c r="BL803" s="29" t="s">
        <v>1711</v>
      </c>
    </row>
    <row r="804" spans="1:64" ht="12.75">
      <c r="A804" s="4" t="s">
        <v>749</v>
      </c>
      <c r="B804" s="94" t="s">
        <v>1715</v>
      </c>
      <c r="C804" s="152" t="s">
        <v>2655</v>
      </c>
      <c r="D804" s="153"/>
      <c r="E804" s="153"/>
      <c r="F804" s="153"/>
      <c r="G804" s="94" t="s">
        <v>2850</v>
      </c>
      <c r="H804" s="73">
        <v>8</v>
      </c>
      <c r="I804" s="105">
        <v>0</v>
      </c>
      <c r="J804" s="15">
        <f t="shared" si="766"/>
        <v>0</v>
      </c>
      <c r="K804" s="15">
        <f t="shared" si="767"/>
        <v>0</v>
      </c>
      <c r="L804" s="15">
        <f t="shared" si="768"/>
        <v>0</v>
      </c>
      <c r="M804" s="25"/>
      <c r="N804" s="5"/>
      <c r="Z804" s="29">
        <f t="shared" si="769"/>
        <v>0</v>
      </c>
      <c r="AB804" s="29">
        <f t="shared" si="770"/>
        <v>0</v>
      </c>
      <c r="AC804" s="29">
        <f t="shared" si="771"/>
        <v>0</v>
      </c>
      <c r="AD804" s="29">
        <f t="shared" si="772"/>
        <v>0</v>
      </c>
      <c r="AE804" s="29">
        <f t="shared" si="773"/>
        <v>0</v>
      </c>
      <c r="AF804" s="29">
        <f t="shared" si="774"/>
        <v>0</v>
      </c>
      <c r="AG804" s="29">
        <f t="shared" si="775"/>
        <v>0</v>
      </c>
      <c r="AH804" s="29">
        <f t="shared" si="776"/>
        <v>0</v>
      </c>
      <c r="AI804" s="28" t="s">
        <v>2882</v>
      </c>
      <c r="AJ804" s="15">
        <f t="shared" si="777"/>
        <v>0</v>
      </c>
      <c r="AK804" s="15">
        <f t="shared" si="778"/>
        <v>0</v>
      </c>
      <c r="AL804" s="15">
        <f t="shared" si="779"/>
        <v>0</v>
      </c>
      <c r="AN804" s="29">
        <v>15</v>
      </c>
      <c r="AO804" s="29">
        <f t="shared" si="780"/>
        <v>0</v>
      </c>
      <c r="AP804" s="29">
        <f t="shared" si="781"/>
        <v>0</v>
      </c>
      <c r="AQ804" s="30" t="s">
        <v>7</v>
      </c>
      <c r="AV804" s="29">
        <f t="shared" si="782"/>
        <v>0</v>
      </c>
      <c r="AW804" s="29">
        <f t="shared" si="783"/>
        <v>0</v>
      </c>
      <c r="AX804" s="29">
        <f t="shared" si="784"/>
        <v>0</v>
      </c>
      <c r="AY804" s="32" t="s">
        <v>2928</v>
      </c>
      <c r="AZ804" s="32" t="s">
        <v>2941</v>
      </c>
      <c r="BA804" s="28" t="s">
        <v>2957</v>
      </c>
      <c r="BC804" s="29">
        <f t="shared" si="785"/>
        <v>0</v>
      </c>
      <c r="BD804" s="29">
        <f t="shared" si="786"/>
        <v>0</v>
      </c>
      <c r="BE804" s="29">
        <v>0</v>
      </c>
      <c r="BF804" s="29">
        <f>804</f>
        <v>804</v>
      </c>
      <c r="BH804" s="15">
        <f t="shared" si="787"/>
        <v>0</v>
      </c>
      <c r="BI804" s="15">
        <f t="shared" si="788"/>
        <v>0</v>
      </c>
      <c r="BJ804" s="15">
        <f t="shared" si="789"/>
        <v>0</v>
      </c>
      <c r="BK804" s="15" t="s">
        <v>2969</v>
      </c>
      <c r="BL804" s="29" t="s">
        <v>1711</v>
      </c>
    </row>
    <row r="805" spans="1:64" ht="12.75">
      <c r="A805" s="4" t="s">
        <v>750</v>
      </c>
      <c r="B805" s="94" t="s">
        <v>1660</v>
      </c>
      <c r="C805" s="152" t="s">
        <v>2656</v>
      </c>
      <c r="D805" s="153"/>
      <c r="E805" s="153"/>
      <c r="F805" s="153"/>
      <c r="G805" s="94" t="s">
        <v>2850</v>
      </c>
      <c r="H805" s="73">
        <v>23</v>
      </c>
      <c r="I805" s="105">
        <v>0</v>
      </c>
      <c r="J805" s="15">
        <f t="shared" si="766"/>
        <v>0</v>
      </c>
      <c r="K805" s="15">
        <f t="shared" si="767"/>
        <v>0</v>
      </c>
      <c r="L805" s="15">
        <f t="shared" si="768"/>
        <v>0</v>
      </c>
      <c r="M805" s="25"/>
      <c r="N805" s="5"/>
      <c r="Z805" s="29">
        <f t="shared" si="769"/>
        <v>0</v>
      </c>
      <c r="AB805" s="29">
        <f t="shared" si="770"/>
        <v>0</v>
      </c>
      <c r="AC805" s="29">
        <f t="shared" si="771"/>
        <v>0</v>
      </c>
      <c r="AD805" s="29">
        <f t="shared" si="772"/>
        <v>0</v>
      </c>
      <c r="AE805" s="29">
        <f t="shared" si="773"/>
        <v>0</v>
      </c>
      <c r="AF805" s="29">
        <f t="shared" si="774"/>
        <v>0</v>
      </c>
      <c r="AG805" s="29">
        <f t="shared" si="775"/>
        <v>0</v>
      </c>
      <c r="AH805" s="29">
        <f t="shared" si="776"/>
        <v>0</v>
      </c>
      <c r="AI805" s="28" t="s">
        <v>2882</v>
      </c>
      <c r="AJ805" s="15">
        <f t="shared" si="777"/>
        <v>0</v>
      </c>
      <c r="AK805" s="15">
        <f t="shared" si="778"/>
        <v>0</v>
      </c>
      <c r="AL805" s="15">
        <f t="shared" si="779"/>
        <v>0</v>
      </c>
      <c r="AN805" s="29">
        <v>15</v>
      </c>
      <c r="AO805" s="29">
        <f t="shared" si="780"/>
        <v>0</v>
      </c>
      <c r="AP805" s="29">
        <f t="shared" si="781"/>
        <v>0</v>
      </c>
      <c r="AQ805" s="30" t="s">
        <v>7</v>
      </c>
      <c r="AV805" s="29">
        <f t="shared" si="782"/>
        <v>0</v>
      </c>
      <c r="AW805" s="29">
        <f t="shared" si="783"/>
        <v>0</v>
      </c>
      <c r="AX805" s="29">
        <f t="shared" si="784"/>
        <v>0</v>
      </c>
      <c r="AY805" s="32" t="s">
        <v>2928</v>
      </c>
      <c r="AZ805" s="32" t="s">
        <v>2941</v>
      </c>
      <c r="BA805" s="28" t="s">
        <v>2957</v>
      </c>
      <c r="BC805" s="29">
        <f t="shared" si="785"/>
        <v>0</v>
      </c>
      <c r="BD805" s="29">
        <f t="shared" si="786"/>
        <v>0</v>
      </c>
      <c r="BE805" s="29">
        <v>0</v>
      </c>
      <c r="BF805" s="29">
        <f>805</f>
        <v>805</v>
      </c>
      <c r="BH805" s="15">
        <f t="shared" si="787"/>
        <v>0</v>
      </c>
      <c r="BI805" s="15">
        <f t="shared" si="788"/>
        <v>0</v>
      </c>
      <c r="BJ805" s="15">
        <f t="shared" si="789"/>
        <v>0</v>
      </c>
      <c r="BK805" s="15" t="s">
        <v>2969</v>
      </c>
      <c r="BL805" s="29" t="s">
        <v>1711</v>
      </c>
    </row>
    <row r="806" spans="1:64" ht="12.75">
      <c r="A806" s="4" t="s">
        <v>751</v>
      </c>
      <c r="B806" s="94" t="s">
        <v>1661</v>
      </c>
      <c r="C806" s="152" t="s">
        <v>2656</v>
      </c>
      <c r="D806" s="153"/>
      <c r="E806" s="153"/>
      <c r="F806" s="153"/>
      <c r="G806" s="94" t="s">
        <v>2850</v>
      </c>
      <c r="H806" s="73">
        <v>23</v>
      </c>
      <c r="I806" s="105">
        <v>0</v>
      </c>
      <c r="J806" s="15">
        <f t="shared" si="766"/>
        <v>0</v>
      </c>
      <c r="K806" s="15">
        <f t="shared" si="767"/>
        <v>0</v>
      </c>
      <c r="L806" s="15">
        <f t="shared" si="768"/>
        <v>0</v>
      </c>
      <c r="M806" s="25"/>
      <c r="N806" s="5"/>
      <c r="Z806" s="29">
        <f t="shared" si="769"/>
        <v>0</v>
      </c>
      <c r="AB806" s="29">
        <f t="shared" si="770"/>
        <v>0</v>
      </c>
      <c r="AC806" s="29">
        <f t="shared" si="771"/>
        <v>0</v>
      </c>
      <c r="AD806" s="29">
        <f t="shared" si="772"/>
        <v>0</v>
      </c>
      <c r="AE806" s="29">
        <f t="shared" si="773"/>
        <v>0</v>
      </c>
      <c r="AF806" s="29">
        <f t="shared" si="774"/>
        <v>0</v>
      </c>
      <c r="AG806" s="29">
        <f t="shared" si="775"/>
        <v>0</v>
      </c>
      <c r="AH806" s="29">
        <f t="shared" si="776"/>
        <v>0</v>
      </c>
      <c r="AI806" s="28" t="s">
        <v>2882</v>
      </c>
      <c r="AJ806" s="15">
        <f t="shared" si="777"/>
        <v>0</v>
      </c>
      <c r="AK806" s="15">
        <f t="shared" si="778"/>
        <v>0</v>
      </c>
      <c r="AL806" s="15">
        <f t="shared" si="779"/>
        <v>0</v>
      </c>
      <c r="AN806" s="29">
        <v>15</v>
      </c>
      <c r="AO806" s="29">
        <f t="shared" si="780"/>
        <v>0</v>
      </c>
      <c r="AP806" s="29">
        <f t="shared" si="781"/>
        <v>0</v>
      </c>
      <c r="AQ806" s="30" t="s">
        <v>7</v>
      </c>
      <c r="AV806" s="29">
        <f t="shared" si="782"/>
        <v>0</v>
      </c>
      <c r="AW806" s="29">
        <f t="shared" si="783"/>
        <v>0</v>
      </c>
      <c r="AX806" s="29">
        <f t="shared" si="784"/>
        <v>0</v>
      </c>
      <c r="AY806" s="32" t="s">
        <v>2928</v>
      </c>
      <c r="AZ806" s="32" t="s">
        <v>2941</v>
      </c>
      <c r="BA806" s="28" t="s">
        <v>2957</v>
      </c>
      <c r="BC806" s="29">
        <f t="shared" si="785"/>
        <v>0</v>
      </c>
      <c r="BD806" s="29">
        <f t="shared" si="786"/>
        <v>0</v>
      </c>
      <c r="BE806" s="29">
        <v>0</v>
      </c>
      <c r="BF806" s="29">
        <f>806</f>
        <v>806</v>
      </c>
      <c r="BH806" s="15">
        <f t="shared" si="787"/>
        <v>0</v>
      </c>
      <c r="BI806" s="15">
        <f t="shared" si="788"/>
        <v>0</v>
      </c>
      <c r="BJ806" s="15">
        <f t="shared" si="789"/>
        <v>0</v>
      </c>
      <c r="BK806" s="15" t="s">
        <v>2969</v>
      </c>
      <c r="BL806" s="29" t="s">
        <v>1711</v>
      </c>
    </row>
    <row r="807" spans="1:64" ht="12.75">
      <c r="A807" s="4" t="s">
        <v>752</v>
      </c>
      <c r="B807" s="94" t="s">
        <v>1716</v>
      </c>
      <c r="C807" s="152" t="s">
        <v>2657</v>
      </c>
      <c r="D807" s="153"/>
      <c r="E807" s="153"/>
      <c r="F807" s="153"/>
      <c r="G807" s="94" t="s">
        <v>2850</v>
      </c>
      <c r="H807" s="73">
        <v>1</v>
      </c>
      <c r="I807" s="105">
        <v>0</v>
      </c>
      <c r="J807" s="15">
        <f t="shared" si="766"/>
        <v>0</v>
      </c>
      <c r="K807" s="15">
        <f t="shared" si="767"/>
        <v>0</v>
      </c>
      <c r="L807" s="15">
        <f t="shared" si="768"/>
        <v>0</v>
      </c>
      <c r="M807" s="25"/>
      <c r="N807" s="5"/>
      <c r="Z807" s="29">
        <f t="shared" si="769"/>
        <v>0</v>
      </c>
      <c r="AB807" s="29">
        <f t="shared" si="770"/>
        <v>0</v>
      </c>
      <c r="AC807" s="29">
        <f t="shared" si="771"/>
        <v>0</v>
      </c>
      <c r="AD807" s="29">
        <f t="shared" si="772"/>
        <v>0</v>
      </c>
      <c r="AE807" s="29">
        <f t="shared" si="773"/>
        <v>0</v>
      </c>
      <c r="AF807" s="29">
        <f t="shared" si="774"/>
        <v>0</v>
      </c>
      <c r="AG807" s="29">
        <f t="shared" si="775"/>
        <v>0</v>
      </c>
      <c r="AH807" s="29">
        <f t="shared" si="776"/>
        <v>0</v>
      </c>
      <c r="AI807" s="28" t="s">
        <v>2882</v>
      </c>
      <c r="AJ807" s="15">
        <f t="shared" si="777"/>
        <v>0</v>
      </c>
      <c r="AK807" s="15">
        <f t="shared" si="778"/>
        <v>0</v>
      </c>
      <c r="AL807" s="15">
        <f t="shared" si="779"/>
        <v>0</v>
      </c>
      <c r="AN807" s="29">
        <v>15</v>
      </c>
      <c r="AO807" s="29">
        <f t="shared" si="780"/>
        <v>0</v>
      </c>
      <c r="AP807" s="29">
        <f t="shared" si="781"/>
        <v>0</v>
      </c>
      <c r="AQ807" s="30" t="s">
        <v>7</v>
      </c>
      <c r="AV807" s="29">
        <f t="shared" si="782"/>
        <v>0</v>
      </c>
      <c r="AW807" s="29">
        <f t="shared" si="783"/>
        <v>0</v>
      </c>
      <c r="AX807" s="29">
        <f t="shared" si="784"/>
        <v>0</v>
      </c>
      <c r="AY807" s="32" t="s">
        <v>2928</v>
      </c>
      <c r="AZ807" s="32" t="s">
        <v>2941</v>
      </c>
      <c r="BA807" s="28" t="s">
        <v>2957</v>
      </c>
      <c r="BC807" s="29">
        <f t="shared" si="785"/>
        <v>0</v>
      </c>
      <c r="BD807" s="29">
        <f t="shared" si="786"/>
        <v>0</v>
      </c>
      <c r="BE807" s="29">
        <v>0</v>
      </c>
      <c r="BF807" s="29">
        <f>807</f>
        <v>807</v>
      </c>
      <c r="BH807" s="15">
        <f t="shared" si="787"/>
        <v>0</v>
      </c>
      <c r="BI807" s="15">
        <f t="shared" si="788"/>
        <v>0</v>
      </c>
      <c r="BJ807" s="15">
        <f t="shared" si="789"/>
        <v>0</v>
      </c>
      <c r="BK807" s="15" t="s">
        <v>2969</v>
      </c>
      <c r="BL807" s="29" t="s">
        <v>1711</v>
      </c>
    </row>
    <row r="808" spans="1:64" ht="12.75">
      <c r="A808" s="4" t="s">
        <v>753</v>
      </c>
      <c r="B808" s="94" t="s">
        <v>1717</v>
      </c>
      <c r="C808" s="152" t="s">
        <v>2658</v>
      </c>
      <c r="D808" s="153"/>
      <c r="E808" s="153"/>
      <c r="F808" s="153"/>
      <c r="G808" s="94" t="s">
        <v>2850</v>
      </c>
      <c r="H808" s="73">
        <v>1</v>
      </c>
      <c r="I808" s="105">
        <v>0</v>
      </c>
      <c r="J808" s="15">
        <f t="shared" si="766"/>
        <v>0</v>
      </c>
      <c r="K808" s="15">
        <f t="shared" si="767"/>
        <v>0</v>
      </c>
      <c r="L808" s="15">
        <f t="shared" si="768"/>
        <v>0</v>
      </c>
      <c r="M808" s="25"/>
      <c r="N808" s="5"/>
      <c r="Z808" s="29">
        <f t="shared" si="769"/>
        <v>0</v>
      </c>
      <c r="AB808" s="29">
        <f t="shared" si="770"/>
        <v>0</v>
      </c>
      <c r="AC808" s="29">
        <f t="shared" si="771"/>
        <v>0</v>
      </c>
      <c r="AD808" s="29">
        <f t="shared" si="772"/>
        <v>0</v>
      </c>
      <c r="AE808" s="29">
        <f t="shared" si="773"/>
        <v>0</v>
      </c>
      <c r="AF808" s="29">
        <f t="shared" si="774"/>
        <v>0</v>
      </c>
      <c r="AG808" s="29">
        <f t="shared" si="775"/>
        <v>0</v>
      </c>
      <c r="AH808" s="29">
        <f t="shared" si="776"/>
        <v>0</v>
      </c>
      <c r="AI808" s="28" t="s">
        <v>2882</v>
      </c>
      <c r="AJ808" s="15">
        <f t="shared" si="777"/>
        <v>0</v>
      </c>
      <c r="AK808" s="15">
        <f t="shared" si="778"/>
        <v>0</v>
      </c>
      <c r="AL808" s="15">
        <f t="shared" si="779"/>
        <v>0</v>
      </c>
      <c r="AN808" s="29">
        <v>15</v>
      </c>
      <c r="AO808" s="29">
        <f t="shared" si="780"/>
        <v>0</v>
      </c>
      <c r="AP808" s="29">
        <f t="shared" si="781"/>
        <v>0</v>
      </c>
      <c r="AQ808" s="30" t="s">
        <v>7</v>
      </c>
      <c r="AV808" s="29">
        <f t="shared" si="782"/>
        <v>0</v>
      </c>
      <c r="AW808" s="29">
        <f t="shared" si="783"/>
        <v>0</v>
      </c>
      <c r="AX808" s="29">
        <f t="shared" si="784"/>
        <v>0</v>
      </c>
      <c r="AY808" s="32" t="s">
        <v>2928</v>
      </c>
      <c r="AZ808" s="32" t="s">
        <v>2941</v>
      </c>
      <c r="BA808" s="28" t="s">
        <v>2957</v>
      </c>
      <c r="BC808" s="29">
        <f t="shared" si="785"/>
        <v>0</v>
      </c>
      <c r="BD808" s="29">
        <f t="shared" si="786"/>
        <v>0</v>
      </c>
      <c r="BE808" s="29">
        <v>0</v>
      </c>
      <c r="BF808" s="29">
        <f>808</f>
        <v>808</v>
      </c>
      <c r="BH808" s="15">
        <f t="shared" si="787"/>
        <v>0</v>
      </c>
      <c r="BI808" s="15">
        <f t="shared" si="788"/>
        <v>0</v>
      </c>
      <c r="BJ808" s="15">
        <f t="shared" si="789"/>
        <v>0</v>
      </c>
      <c r="BK808" s="15" t="s">
        <v>2969</v>
      </c>
      <c r="BL808" s="29" t="s">
        <v>1711</v>
      </c>
    </row>
    <row r="809" spans="1:64" ht="12.75">
      <c r="A809" s="4" t="s">
        <v>754</v>
      </c>
      <c r="B809" s="94" t="s">
        <v>1718</v>
      </c>
      <c r="C809" s="152" t="s">
        <v>2659</v>
      </c>
      <c r="D809" s="153"/>
      <c r="E809" s="153"/>
      <c r="F809" s="153"/>
      <c r="G809" s="94" t="s">
        <v>2850</v>
      </c>
      <c r="H809" s="73">
        <v>7</v>
      </c>
      <c r="I809" s="105">
        <v>0</v>
      </c>
      <c r="J809" s="15">
        <f t="shared" si="766"/>
        <v>0</v>
      </c>
      <c r="K809" s="15">
        <f t="shared" si="767"/>
        <v>0</v>
      </c>
      <c r="L809" s="15">
        <f t="shared" si="768"/>
        <v>0</v>
      </c>
      <c r="M809" s="25"/>
      <c r="N809" s="5"/>
      <c r="Z809" s="29">
        <f t="shared" si="769"/>
        <v>0</v>
      </c>
      <c r="AB809" s="29">
        <f t="shared" si="770"/>
        <v>0</v>
      </c>
      <c r="AC809" s="29">
        <f t="shared" si="771"/>
        <v>0</v>
      </c>
      <c r="AD809" s="29">
        <f t="shared" si="772"/>
        <v>0</v>
      </c>
      <c r="AE809" s="29">
        <f t="shared" si="773"/>
        <v>0</v>
      </c>
      <c r="AF809" s="29">
        <f t="shared" si="774"/>
        <v>0</v>
      </c>
      <c r="AG809" s="29">
        <f t="shared" si="775"/>
        <v>0</v>
      </c>
      <c r="AH809" s="29">
        <f t="shared" si="776"/>
        <v>0</v>
      </c>
      <c r="AI809" s="28" t="s">
        <v>2882</v>
      </c>
      <c r="AJ809" s="15">
        <f t="shared" si="777"/>
        <v>0</v>
      </c>
      <c r="AK809" s="15">
        <f t="shared" si="778"/>
        <v>0</v>
      </c>
      <c r="AL809" s="15">
        <f t="shared" si="779"/>
        <v>0</v>
      </c>
      <c r="AN809" s="29">
        <v>15</v>
      </c>
      <c r="AO809" s="29">
        <f t="shared" si="780"/>
        <v>0</v>
      </c>
      <c r="AP809" s="29">
        <f t="shared" si="781"/>
        <v>0</v>
      </c>
      <c r="AQ809" s="30" t="s">
        <v>7</v>
      </c>
      <c r="AV809" s="29">
        <f t="shared" si="782"/>
        <v>0</v>
      </c>
      <c r="AW809" s="29">
        <f t="shared" si="783"/>
        <v>0</v>
      </c>
      <c r="AX809" s="29">
        <f t="shared" si="784"/>
        <v>0</v>
      </c>
      <c r="AY809" s="32" t="s">
        <v>2928</v>
      </c>
      <c r="AZ809" s="32" t="s">
        <v>2941</v>
      </c>
      <c r="BA809" s="28" t="s">
        <v>2957</v>
      </c>
      <c r="BC809" s="29">
        <f t="shared" si="785"/>
        <v>0</v>
      </c>
      <c r="BD809" s="29">
        <f t="shared" si="786"/>
        <v>0</v>
      </c>
      <c r="BE809" s="29">
        <v>0</v>
      </c>
      <c r="BF809" s="29">
        <f>809</f>
        <v>809</v>
      </c>
      <c r="BH809" s="15">
        <f t="shared" si="787"/>
        <v>0</v>
      </c>
      <c r="BI809" s="15">
        <f t="shared" si="788"/>
        <v>0</v>
      </c>
      <c r="BJ809" s="15">
        <f t="shared" si="789"/>
        <v>0</v>
      </c>
      <c r="BK809" s="15" t="s">
        <v>2969</v>
      </c>
      <c r="BL809" s="29" t="s">
        <v>1711</v>
      </c>
    </row>
    <row r="810" spans="1:64" ht="12.75">
      <c r="A810" s="4" t="s">
        <v>755</v>
      </c>
      <c r="B810" s="94" t="s">
        <v>1719</v>
      </c>
      <c r="C810" s="152" t="s">
        <v>2659</v>
      </c>
      <c r="D810" s="153"/>
      <c r="E810" s="153"/>
      <c r="F810" s="153"/>
      <c r="G810" s="94" t="s">
        <v>2850</v>
      </c>
      <c r="H810" s="73">
        <v>7</v>
      </c>
      <c r="I810" s="105">
        <v>0</v>
      </c>
      <c r="J810" s="15">
        <f t="shared" si="766"/>
        <v>0</v>
      </c>
      <c r="K810" s="15">
        <f t="shared" si="767"/>
        <v>0</v>
      </c>
      <c r="L810" s="15">
        <f t="shared" si="768"/>
        <v>0</v>
      </c>
      <c r="M810" s="25"/>
      <c r="N810" s="5"/>
      <c r="Z810" s="29">
        <f t="shared" si="769"/>
        <v>0</v>
      </c>
      <c r="AB810" s="29">
        <f t="shared" si="770"/>
        <v>0</v>
      </c>
      <c r="AC810" s="29">
        <f t="shared" si="771"/>
        <v>0</v>
      </c>
      <c r="AD810" s="29">
        <f t="shared" si="772"/>
        <v>0</v>
      </c>
      <c r="AE810" s="29">
        <f t="shared" si="773"/>
        <v>0</v>
      </c>
      <c r="AF810" s="29">
        <f t="shared" si="774"/>
        <v>0</v>
      </c>
      <c r="AG810" s="29">
        <f t="shared" si="775"/>
        <v>0</v>
      </c>
      <c r="AH810" s="29">
        <f t="shared" si="776"/>
        <v>0</v>
      </c>
      <c r="AI810" s="28" t="s">
        <v>2882</v>
      </c>
      <c r="AJ810" s="15">
        <f t="shared" si="777"/>
        <v>0</v>
      </c>
      <c r="AK810" s="15">
        <f t="shared" si="778"/>
        <v>0</v>
      </c>
      <c r="AL810" s="15">
        <f t="shared" si="779"/>
        <v>0</v>
      </c>
      <c r="AN810" s="29">
        <v>15</v>
      </c>
      <c r="AO810" s="29">
        <f t="shared" si="780"/>
        <v>0</v>
      </c>
      <c r="AP810" s="29">
        <f t="shared" si="781"/>
        <v>0</v>
      </c>
      <c r="AQ810" s="30" t="s">
        <v>7</v>
      </c>
      <c r="AV810" s="29">
        <f t="shared" si="782"/>
        <v>0</v>
      </c>
      <c r="AW810" s="29">
        <f t="shared" si="783"/>
        <v>0</v>
      </c>
      <c r="AX810" s="29">
        <f t="shared" si="784"/>
        <v>0</v>
      </c>
      <c r="AY810" s="32" t="s">
        <v>2928</v>
      </c>
      <c r="AZ810" s="32" t="s">
        <v>2941</v>
      </c>
      <c r="BA810" s="28" t="s">
        <v>2957</v>
      </c>
      <c r="BC810" s="29">
        <f t="shared" si="785"/>
        <v>0</v>
      </c>
      <c r="BD810" s="29">
        <f t="shared" si="786"/>
        <v>0</v>
      </c>
      <c r="BE810" s="29">
        <v>0</v>
      </c>
      <c r="BF810" s="29">
        <f>810</f>
        <v>810</v>
      </c>
      <c r="BH810" s="15">
        <f t="shared" si="787"/>
        <v>0</v>
      </c>
      <c r="BI810" s="15">
        <f t="shared" si="788"/>
        <v>0</v>
      </c>
      <c r="BJ810" s="15">
        <f t="shared" si="789"/>
        <v>0</v>
      </c>
      <c r="BK810" s="15" t="s">
        <v>2969</v>
      </c>
      <c r="BL810" s="29" t="s">
        <v>1711</v>
      </c>
    </row>
    <row r="811" spans="1:64" ht="12.75">
      <c r="A811" s="4" t="s">
        <v>756</v>
      </c>
      <c r="B811" s="94" t="s">
        <v>1720</v>
      </c>
      <c r="C811" s="152" t="s">
        <v>2660</v>
      </c>
      <c r="D811" s="153"/>
      <c r="E811" s="153"/>
      <c r="F811" s="153"/>
      <c r="G811" s="94" t="s">
        <v>2850</v>
      </c>
      <c r="H811" s="73">
        <v>1</v>
      </c>
      <c r="I811" s="105">
        <v>0</v>
      </c>
      <c r="J811" s="15">
        <f t="shared" si="766"/>
        <v>0</v>
      </c>
      <c r="K811" s="15">
        <f t="shared" si="767"/>
        <v>0</v>
      </c>
      <c r="L811" s="15">
        <f t="shared" si="768"/>
        <v>0</v>
      </c>
      <c r="M811" s="25"/>
      <c r="N811" s="5"/>
      <c r="Z811" s="29">
        <f t="shared" si="769"/>
        <v>0</v>
      </c>
      <c r="AB811" s="29">
        <f t="shared" si="770"/>
        <v>0</v>
      </c>
      <c r="AC811" s="29">
        <f t="shared" si="771"/>
        <v>0</v>
      </c>
      <c r="AD811" s="29">
        <f t="shared" si="772"/>
        <v>0</v>
      </c>
      <c r="AE811" s="29">
        <f t="shared" si="773"/>
        <v>0</v>
      </c>
      <c r="AF811" s="29">
        <f t="shared" si="774"/>
        <v>0</v>
      </c>
      <c r="AG811" s="29">
        <f t="shared" si="775"/>
        <v>0</v>
      </c>
      <c r="AH811" s="29">
        <f t="shared" si="776"/>
        <v>0</v>
      </c>
      <c r="AI811" s="28" t="s">
        <v>2882</v>
      </c>
      <c r="AJ811" s="15">
        <f t="shared" si="777"/>
        <v>0</v>
      </c>
      <c r="AK811" s="15">
        <f t="shared" si="778"/>
        <v>0</v>
      </c>
      <c r="AL811" s="15">
        <f t="shared" si="779"/>
        <v>0</v>
      </c>
      <c r="AN811" s="29">
        <v>15</v>
      </c>
      <c r="AO811" s="29">
        <f t="shared" si="780"/>
        <v>0</v>
      </c>
      <c r="AP811" s="29">
        <f t="shared" si="781"/>
        <v>0</v>
      </c>
      <c r="AQ811" s="30" t="s">
        <v>7</v>
      </c>
      <c r="AV811" s="29">
        <f t="shared" si="782"/>
        <v>0</v>
      </c>
      <c r="AW811" s="29">
        <f t="shared" si="783"/>
        <v>0</v>
      </c>
      <c r="AX811" s="29">
        <f t="shared" si="784"/>
        <v>0</v>
      </c>
      <c r="AY811" s="32" t="s">
        <v>2928</v>
      </c>
      <c r="AZ811" s="32" t="s">
        <v>2941</v>
      </c>
      <c r="BA811" s="28" t="s">
        <v>2957</v>
      </c>
      <c r="BC811" s="29">
        <f t="shared" si="785"/>
        <v>0</v>
      </c>
      <c r="BD811" s="29">
        <f t="shared" si="786"/>
        <v>0</v>
      </c>
      <c r="BE811" s="29">
        <v>0</v>
      </c>
      <c r="BF811" s="29">
        <f>811</f>
        <v>811</v>
      </c>
      <c r="BH811" s="15">
        <f t="shared" si="787"/>
        <v>0</v>
      </c>
      <c r="BI811" s="15">
        <f t="shared" si="788"/>
        <v>0</v>
      </c>
      <c r="BJ811" s="15">
        <f t="shared" si="789"/>
        <v>0</v>
      </c>
      <c r="BK811" s="15" t="s">
        <v>2969</v>
      </c>
      <c r="BL811" s="29" t="s">
        <v>1711</v>
      </c>
    </row>
    <row r="812" spans="1:64" ht="12.75">
      <c r="A812" s="4" t="s">
        <v>757</v>
      </c>
      <c r="B812" s="94" t="s">
        <v>1721</v>
      </c>
      <c r="C812" s="152" t="s">
        <v>2660</v>
      </c>
      <c r="D812" s="153"/>
      <c r="E812" s="153"/>
      <c r="F812" s="153"/>
      <c r="G812" s="94" t="s">
        <v>2850</v>
      </c>
      <c r="H812" s="73">
        <v>1</v>
      </c>
      <c r="I812" s="105">
        <v>0</v>
      </c>
      <c r="J812" s="15">
        <f t="shared" si="766"/>
        <v>0</v>
      </c>
      <c r="K812" s="15">
        <f t="shared" si="767"/>
        <v>0</v>
      </c>
      <c r="L812" s="15">
        <f t="shared" si="768"/>
        <v>0</v>
      </c>
      <c r="M812" s="25"/>
      <c r="N812" s="5"/>
      <c r="Z812" s="29">
        <f t="shared" si="769"/>
        <v>0</v>
      </c>
      <c r="AB812" s="29">
        <f t="shared" si="770"/>
        <v>0</v>
      </c>
      <c r="AC812" s="29">
        <f t="shared" si="771"/>
        <v>0</v>
      </c>
      <c r="AD812" s="29">
        <f t="shared" si="772"/>
        <v>0</v>
      </c>
      <c r="AE812" s="29">
        <f t="shared" si="773"/>
        <v>0</v>
      </c>
      <c r="AF812" s="29">
        <f t="shared" si="774"/>
        <v>0</v>
      </c>
      <c r="AG812" s="29">
        <f t="shared" si="775"/>
        <v>0</v>
      </c>
      <c r="AH812" s="29">
        <f t="shared" si="776"/>
        <v>0</v>
      </c>
      <c r="AI812" s="28" t="s">
        <v>2882</v>
      </c>
      <c r="AJ812" s="15">
        <f t="shared" si="777"/>
        <v>0</v>
      </c>
      <c r="AK812" s="15">
        <f t="shared" si="778"/>
        <v>0</v>
      </c>
      <c r="AL812" s="15">
        <f t="shared" si="779"/>
        <v>0</v>
      </c>
      <c r="AN812" s="29">
        <v>15</v>
      </c>
      <c r="AO812" s="29">
        <f t="shared" si="780"/>
        <v>0</v>
      </c>
      <c r="AP812" s="29">
        <f t="shared" si="781"/>
        <v>0</v>
      </c>
      <c r="AQ812" s="30" t="s">
        <v>7</v>
      </c>
      <c r="AV812" s="29">
        <f t="shared" si="782"/>
        <v>0</v>
      </c>
      <c r="AW812" s="29">
        <f t="shared" si="783"/>
        <v>0</v>
      </c>
      <c r="AX812" s="29">
        <f t="shared" si="784"/>
        <v>0</v>
      </c>
      <c r="AY812" s="32" t="s">
        <v>2928</v>
      </c>
      <c r="AZ812" s="32" t="s">
        <v>2941</v>
      </c>
      <c r="BA812" s="28" t="s">
        <v>2957</v>
      </c>
      <c r="BC812" s="29">
        <f t="shared" si="785"/>
        <v>0</v>
      </c>
      <c r="BD812" s="29">
        <f t="shared" si="786"/>
        <v>0</v>
      </c>
      <c r="BE812" s="29">
        <v>0</v>
      </c>
      <c r="BF812" s="29">
        <f>812</f>
        <v>812</v>
      </c>
      <c r="BH812" s="15">
        <f t="shared" si="787"/>
        <v>0</v>
      </c>
      <c r="BI812" s="15">
        <f t="shared" si="788"/>
        <v>0</v>
      </c>
      <c r="BJ812" s="15">
        <f t="shared" si="789"/>
        <v>0</v>
      </c>
      <c r="BK812" s="15" t="s">
        <v>2969</v>
      </c>
      <c r="BL812" s="29" t="s">
        <v>1711</v>
      </c>
    </row>
    <row r="813" spans="1:64" ht="12.75">
      <c r="A813" s="4" t="s">
        <v>758</v>
      </c>
      <c r="B813" s="94" t="s">
        <v>1722</v>
      </c>
      <c r="C813" s="152" t="s">
        <v>2661</v>
      </c>
      <c r="D813" s="153"/>
      <c r="E813" s="153"/>
      <c r="F813" s="153"/>
      <c r="G813" s="94" t="s">
        <v>2850</v>
      </c>
      <c r="H813" s="73">
        <v>1</v>
      </c>
      <c r="I813" s="105">
        <v>0</v>
      </c>
      <c r="J813" s="15">
        <f aca="true" t="shared" si="790" ref="J813:J845">H813*AO813</f>
        <v>0</v>
      </c>
      <c r="K813" s="15">
        <f aca="true" t="shared" si="791" ref="K813:K845">H813*AP813</f>
        <v>0</v>
      </c>
      <c r="L813" s="15">
        <f aca="true" t="shared" si="792" ref="L813:L845">H813*I813</f>
        <v>0</v>
      </c>
      <c r="M813" s="25"/>
      <c r="N813" s="5"/>
      <c r="Z813" s="29">
        <f aca="true" t="shared" si="793" ref="Z813:Z845">IF(AQ813="5",BJ813,0)</f>
        <v>0</v>
      </c>
      <c r="AB813" s="29">
        <f aca="true" t="shared" si="794" ref="AB813:AB845">IF(AQ813="1",BH813,0)</f>
        <v>0</v>
      </c>
      <c r="AC813" s="29">
        <f aca="true" t="shared" si="795" ref="AC813:AC845">IF(AQ813="1",BI813,0)</f>
        <v>0</v>
      </c>
      <c r="AD813" s="29">
        <f aca="true" t="shared" si="796" ref="AD813:AD845">IF(AQ813="7",BH813,0)</f>
        <v>0</v>
      </c>
      <c r="AE813" s="29">
        <f aca="true" t="shared" si="797" ref="AE813:AE845">IF(AQ813="7",BI813,0)</f>
        <v>0</v>
      </c>
      <c r="AF813" s="29">
        <f aca="true" t="shared" si="798" ref="AF813:AF845">IF(AQ813="2",BH813,0)</f>
        <v>0</v>
      </c>
      <c r="AG813" s="29">
        <f aca="true" t="shared" si="799" ref="AG813:AG845">IF(AQ813="2",BI813,0)</f>
        <v>0</v>
      </c>
      <c r="AH813" s="29">
        <f aca="true" t="shared" si="800" ref="AH813:AH845">IF(AQ813="0",BJ813,0)</f>
        <v>0</v>
      </c>
      <c r="AI813" s="28" t="s">
        <v>2882</v>
      </c>
      <c r="AJ813" s="15">
        <f aca="true" t="shared" si="801" ref="AJ813:AJ845">IF(AN813=0,L813,0)</f>
        <v>0</v>
      </c>
      <c r="AK813" s="15">
        <f aca="true" t="shared" si="802" ref="AK813:AK845">IF(AN813=15,L813,0)</f>
        <v>0</v>
      </c>
      <c r="AL813" s="15">
        <f aca="true" t="shared" si="803" ref="AL813:AL845">IF(AN813=21,L813,0)</f>
        <v>0</v>
      </c>
      <c r="AN813" s="29">
        <v>15</v>
      </c>
      <c r="AO813" s="29">
        <f aca="true" t="shared" si="804" ref="AO813:AO845">I813*0</f>
        <v>0</v>
      </c>
      <c r="AP813" s="29">
        <f aca="true" t="shared" si="805" ref="AP813:AP845">I813*(1-0)</f>
        <v>0</v>
      </c>
      <c r="AQ813" s="30" t="s">
        <v>7</v>
      </c>
      <c r="AV813" s="29">
        <f aca="true" t="shared" si="806" ref="AV813:AV844">AW813+AX813</f>
        <v>0</v>
      </c>
      <c r="AW813" s="29">
        <f aca="true" t="shared" si="807" ref="AW813:AW845">H813*AO813</f>
        <v>0</v>
      </c>
      <c r="AX813" s="29">
        <f aca="true" t="shared" si="808" ref="AX813:AX845">H813*AP813</f>
        <v>0</v>
      </c>
      <c r="AY813" s="32" t="s">
        <v>2928</v>
      </c>
      <c r="AZ813" s="32" t="s">
        <v>2941</v>
      </c>
      <c r="BA813" s="28" t="s">
        <v>2957</v>
      </c>
      <c r="BC813" s="29">
        <f aca="true" t="shared" si="809" ref="BC813:BC845">AW813+AX813</f>
        <v>0</v>
      </c>
      <c r="BD813" s="29">
        <f aca="true" t="shared" si="810" ref="BD813:BD844">I813/(100-BE813)*100</f>
        <v>0</v>
      </c>
      <c r="BE813" s="29">
        <v>0</v>
      </c>
      <c r="BF813" s="29">
        <f>813</f>
        <v>813</v>
      </c>
      <c r="BH813" s="15">
        <f aca="true" t="shared" si="811" ref="BH813:BH845">H813*AO813</f>
        <v>0</v>
      </c>
      <c r="BI813" s="15">
        <f aca="true" t="shared" si="812" ref="BI813:BI845">H813*AP813</f>
        <v>0</v>
      </c>
      <c r="BJ813" s="15">
        <f aca="true" t="shared" si="813" ref="BJ813:BJ845">H813*I813</f>
        <v>0</v>
      </c>
      <c r="BK813" s="15" t="s">
        <v>2969</v>
      </c>
      <c r="BL813" s="29" t="s">
        <v>1711</v>
      </c>
    </row>
    <row r="814" spans="1:64" ht="12.75">
      <c r="A814" s="4" t="s">
        <v>759</v>
      </c>
      <c r="B814" s="94" t="s">
        <v>1723</v>
      </c>
      <c r="C814" s="152" t="s">
        <v>2661</v>
      </c>
      <c r="D814" s="153"/>
      <c r="E814" s="153"/>
      <c r="F814" s="153"/>
      <c r="G814" s="94" t="s">
        <v>2850</v>
      </c>
      <c r="H814" s="73">
        <v>1</v>
      </c>
      <c r="I814" s="105">
        <v>0</v>
      </c>
      <c r="J814" s="15">
        <f t="shared" si="790"/>
        <v>0</v>
      </c>
      <c r="K814" s="15">
        <f t="shared" si="791"/>
        <v>0</v>
      </c>
      <c r="L814" s="15">
        <f t="shared" si="792"/>
        <v>0</v>
      </c>
      <c r="M814" s="25"/>
      <c r="N814" s="5"/>
      <c r="Z814" s="29">
        <f t="shared" si="793"/>
        <v>0</v>
      </c>
      <c r="AB814" s="29">
        <f t="shared" si="794"/>
        <v>0</v>
      </c>
      <c r="AC814" s="29">
        <f t="shared" si="795"/>
        <v>0</v>
      </c>
      <c r="AD814" s="29">
        <f t="shared" si="796"/>
        <v>0</v>
      </c>
      <c r="AE814" s="29">
        <f t="shared" si="797"/>
        <v>0</v>
      </c>
      <c r="AF814" s="29">
        <f t="shared" si="798"/>
        <v>0</v>
      </c>
      <c r="AG814" s="29">
        <f t="shared" si="799"/>
        <v>0</v>
      </c>
      <c r="AH814" s="29">
        <f t="shared" si="800"/>
        <v>0</v>
      </c>
      <c r="AI814" s="28" t="s">
        <v>2882</v>
      </c>
      <c r="AJ814" s="15">
        <f t="shared" si="801"/>
        <v>0</v>
      </c>
      <c r="AK814" s="15">
        <f t="shared" si="802"/>
        <v>0</v>
      </c>
      <c r="AL814" s="15">
        <f t="shared" si="803"/>
        <v>0</v>
      </c>
      <c r="AN814" s="29">
        <v>15</v>
      </c>
      <c r="AO814" s="29">
        <f t="shared" si="804"/>
        <v>0</v>
      </c>
      <c r="AP814" s="29">
        <f t="shared" si="805"/>
        <v>0</v>
      </c>
      <c r="AQ814" s="30" t="s">
        <v>7</v>
      </c>
      <c r="AV814" s="29">
        <f t="shared" si="806"/>
        <v>0</v>
      </c>
      <c r="AW814" s="29">
        <f t="shared" si="807"/>
        <v>0</v>
      </c>
      <c r="AX814" s="29">
        <f t="shared" si="808"/>
        <v>0</v>
      </c>
      <c r="AY814" s="32" t="s">
        <v>2928</v>
      </c>
      <c r="AZ814" s="32" t="s">
        <v>2941</v>
      </c>
      <c r="BA814" s="28" t="s">
        <v>2957</v>
      </c>
      <c r="BC814" s="29">
        <f t="shared" si="809"/>
        <v>0</v>
      </c>
      <c r="BD814" s="29">
        <f t="shared" si="810"/>
        <v>0</v>
      </c>
      <c r="BE814" s="29">
        <v>0</v>
      </c>
      <c r="BF814" s="29">
        <f>814</f>
        <v>814</v>
      </c>
      <c r="BH814" s="15">
        <f t="shared" si="811"/>
        <v>0</v>
      </c>
      <c r="BI814" s="15">
        <f t="shared" si="812"/>
        <v>0</v>
      </c>
      <c r="BJ814" s="15">
        <f t="shared" si="813"/>
        <v>0</v>
      </c>
      <c r="BK814" s="15" t="s">
        <v>2969</v>
      </c>
      <c r="BL814" s="29" t="s">
        <v>1711</v>
      </c>
    </row>
    <row r="815" spans="1:64" ht="12.75">
      <c r="A815" s="4" t="s">
        <v>760</v>
      </c>
      <c r="B815" s="94" t="s">
        <v>1724</v>
      </c>
      <c r="C815" s="152" t="s">
        <v>2662</v>
      </c>
      <c r="D815" s="153"/>
      <c r="E815" s="153"/>
      <c r="F815" s="153"/>
      <c r="G815" s="94" t="s">
        <v>2850</v>
      </c>
      <c r="H815" s="73">
        <v>1</v>
      </c>
      <c r="I815" s="105">
        <v>0</v>
      </c>
      <c r="J815" s="15">
        <f t="shared" si="790"/>
        <v>0</v>
      </c>
      <c r="K815" s="15">
        <f t="shared" si="791"/>
        <v>0</v>
      </c>
      <c r="L815" s="15">
        <f t="shared" si="792"/>
        <v>0</v>
      </c>
      <c r="M815" s="25"/>
      <c r="N815" s="5"/>
      <c r="Z815" s="29">
        <f t="shared" si="793"/>
        <v>0</v>
      </c>
      <c r="AB815" s="29">
        <f t="shared" si="794"/>
        <v>0</v>
      </c>
      <c r="AC815" s="29">
        <f t="shared" si="795"/>
        <v>0</v>
      </c>
      <c r="AD815" s="29">
        <f t="shared" si="796"/>
        <v>0</v>
      </c>
      <c r="AE815" s="29">
        <f t="shared" si="797"/>
        <v>0</v>
      </c>
      <c r="AF815" s="29">
        <f t="shared" si="798"/>
        <v>0</v>
      </c>
      <c r="AG815" s="29">
        <f t="shared" si="799"/>
        <v>0</v>
      </c>
      <c r="AH815" s="29">
        <f t="shared" si="800"/>
        <v>0</v>
      </c>
      <c r="AI815" s="28" t="s">
        <v>2882</v>
      </c>
      <c r="AJ815" s="15">
        <f t="shared" si="801"/>
        <v>0</v>
      </c>
      <c r="AK815" s="15">
        <f t="shared" si="802"/>
        <v>0</v>
      </c>
      <c r="AL815" s="15">
        <f t="shared" si="803"/>
        <v>0</v>
      </c>
      <c r="AN815" s="29">
        <v>15</v>
      </c>
      <c r="AO815" s="29">
        <f t="shared" si="804"/>
        <v>0</v>
      </c>
      <c r="AP815" s="29">
        <f t="shared" si="805"/>
        <v>0</v>
      </c>
      <c r="AQ815" s="30" t="s">
        <v>7</v>
      </c>
      <c r="AV815" s="29">
        <f t="shared" si="806"/>
        <v>0</v>
      </c>
      <c r="AW815" s="29">
        <f t="shared" si="807"/>
        <v>0</v>
      </c>
      <c r="AX815" s="29">
        <f t="shared" si="808"/>
        <v>0</v>
      </c>
      <c r="AY815" s="32" t="s">
        <v>2928</v>
      </c>
      <c r="AZ815" s="32" t="s">
        <v>2941</v>
      </c>
      <c r="BA815" s="28" t="s">
        <v>2957</v>
      </c>
      <c r="BC815" s="29">
        <f t="shared" si="809"/>
        <v>0</v>
      </c>
      <c r="BD815" s="29">
        <f t="shared" si="810"/>
        <v>0</v>
      </c>
      <c r="BE815" s="29">
        <v>0</v>
      </c>
      <c r="BF815" s="29">
        <f>815</f>
        <v>815</v>
      </c>
      <c r="BH815" s="15">
        <f t="shared" si="811"/>
        <v>0</v>
      </c>
      <c r="BI815" s="15">
        <f t="shared" si="812"/>
        <v>0</v>
      </c>
      <c r="BJ815" s="15">
        <f t="shared" si="813"/>
        <v>0</v>
      </c>
      <c r="BK815" s="15" t="s">
        <v>2969</v>
      </c>
      <c r="BL815" s="29" t="s">
        <v>1711</v>
      </c>
    </row>
    <row r="816" spans="1:64" ht="12.75">
      <c r="A816" s="4" t="s">
        <v>761</v>
      </c>
      <c r="B816" s="94" t="s">
        <v>1725</v>
      </c>
      <c r="C816" s="152" t="s">
        <v>2662</v>
      </c>
      <c r="D816" s="153"/>
      <c r="E816" s="153"/>
      <c r="F816" s="153"/>
      <c r="G816" s="94" t="s">
        <v>2850</v>
      </c>
      <c r="H816" s="73">
        <v>1</v>
      </c>
      <c r="I816" s="105">
        <v>0</v>
      </c>
      <c r="J816" s="15">
        <f t="shared" si="790"/>
        <v>0</v>
      </c>
      <c r="K816" s="15">
        <f t="shared" si="791"/>
        <v>0</v>
      </c>
      <c r="L816" s="15">
        <f t="shared" si="792"/>
        <v>0</v>
      </c>
      <c r="M816" s="25"/>
      <c r="N816" s="5"/>
      <c r="Z816" s="29">
        <f t="shared" si="793"/>
        <v>0</v>
      </c>
      <c r="AB816" s="29">
        <f t="shared" si="794"/>
        <v>0</v>
      </c>
      <c r="AC816" s="29">
        <f t="shared" si="795"/>
        <v>0</v>
      </c>
      <c r="AD816" s="29">
        <f t="shared" si="796"/>
        <v>0</v>
      </c>
      <c r="AE816" s="29">
        <f t="shared" si="797"/>
        <v>0</v>
      </c>
      <c r="AF816" s="29">
        <f t="shared" si="798"/>
        <v>0</v>
      </c>
      <c r="AG816" s="29">
        <f t="shared" si="799"/>
        <v>0</v>
      </c>
      <c r="AH816" s="29">
        <f t="shared" si="800"/>
        <v>0</v>
      </c>
      <c r="AI816" s="28" t="s">
        <v>2882</v>
      </c>
      <c r="AJ816" s="15">
        <f t="shared" si="801"/>
        <v>0</v>
      </c>
      <c r="AK816" s="15">
        <f t="shared" si="802"/>
        <v>0</v>
      </c>
      <c r="AL816" s="15">
        <f t="shared" si="803"/>
        <v>0</v>
      </c>
      <c r="AN816" s="29">
        <v>15</v>
      </c>
      <c r="AO816" s="29">
        <f t="shared" si="804"/>
        <v>0</v>
      </c>
      <c r="AP816" s="29">
        <f t="shared" si="805"/>
        <v>0</v>
      </c>
      <c r="AQ816" s="30" t="s">
        <v>7</v>
      </c>
      <c r="AV816" s="29">
        <f t="shared" si="806"/>
        <v>0</v>
      </c>
      <c r="AW816" s="29">
        <f t="shared" si="807"/>
        <v>0</v>
      </c>
      <c r="AX816" s="29">
        <f t="shared" si="808"/>
        <v>0</v>
      </c>
      <c r="AY816" s="32" t="s">
        <v>2928</v>
      </c>
      <c r="AZ816" s="32" t="s">
        <v>2941</v>
      </c>
      <c r="BA816" s="28" t="s">
        <v>2957</v>
      </c>
      <c r="BC816" s="29">
        <f t="shared" si="809"/>
        <v>0</v>
      </c>
      <c r="BD816" s="29">
        <f t="shared" si="810"/>
        <v>0</v>
      </c>
      <c r="BE816" s="29">
        <v>0</v>
      </c>
      <c r="BF816" s="29">
        <f>816</f>
        <v>816</v>
      </c>
      <c r="BH816" s="15">
        <f t="shared" si="811"/>
        <v>0</v>
      </c>
      <c r="BI816" s="15">
        <f t="shared" si="812"/>
        <v>0</v>
      </c>
      <c r="BJ816" s="15">
        <f t="shared" si="813"/>
        <v>0</v>
      </c>
      <c r="BK816" s="15" t="s">
        <v>2969</v>
      </c>
      <c r="BL816" s="29" t="s">
        <v>1711</v>
      </c>
    </row>
    <row r="817" spans="1:64" ht="12.75">
      <c r="A817" s="4" t="s">
        <v>762</v>
      </c>
      <c r="B817" s="94" t="s">
        <v>1726</v>
      </c>
      <c r="C817" s="152" t="s">
        <v>2663</v>
      </c>
      <c r="D817" s="153"/>
      <c r="E817" s="153"/>
      <c r="F817" s="153"/>
      <c r="G817" s="94" t="s">
        <v>2850</v>
      </c>
      <c r="H817" s="73">
        <v>1</v>
      </c>
      <c r="I817" s="105">
        <v>0</v>
      </c>
      <c r="J817" s="15">
        <f t="shared" si="790"/>
        <v>0</v>
      </c>
      <c r="K817" s="15">
        <f t="shared" si="791"/>
        <v>0</v>
      </c>
      <c r="L817" s="15">
        <f t="shared" si="792"/>
        <v>0</v>
      </c>
      <c r="M817" s="25"/>
      <c r="N817" s="5"/>
      <c r="Z817" s="29">
        <f t="shared" si="793"/>
        <v>0</v>
      </c>
      <c r="AB817" s="29">
        <f t="shared" si="794"/>
        <v>0</v>
      </c>
      <c r="AC817" s="29">
        <f t="shared" si="795"/>
        <v>0</v>
      </c>
      <c r="AD817" s="29">
        <f t="shared" si="796"/>
        <v>0</v>
      </c>
      <c r="AE817" s="29">
        <f t="shared" si="797"/>
        <v>0</v>
      </c>
      <c r="AF817" s="29">
        <f t="shared" si="798"/>
        <v>0</v>
      </c>
      <c r="AG817" s="29">
        <f t="shared" si="799"/>
        <v>0</v>
      </c>
      <c r="AH817" s="29">
        <f t="shared" si="800"/>
        <v>0</v>
      </c>
      <c r="AI817" s="28" t="s">
        <v>2882</v>
      </c>
      <c r="AJ817" s="15">
        <f t="shared" si="801"/>
        <v>0</v>
      </c>
      <c r="AK817" s="15">
        <f t="shared" si="802"/>
        <v>0</v>
      </c>
      <c r="AL817" s="15">
        <f t="shared" si="803"/>
        <v>0</v>
      </c>
      <c r="AN817" s="29">
        <v>15</v>
      </c>
      <c r="AO817" s="29">
        <f t="shared" si="804"/>
        <v>0</v>
      </c>
      <c r="AP817" s="29">
        <f t="shared" si="805"/>
        <v>0</v>
      </c>
      <c r="AQ817" s="30" t="s">
        <v>7</v>
      </c>
      <c r="AV817" s="29">
        <f t="shared" si="806"/>
        <v>0</v>
      </c>
      <c r="AW817" s="29">
        <f t="shared" si="807"/>
        <v>0</v>
      </c>
      <c r="AX817" s="29">
        <f t="shared" si="808"/>
        <v>0</v>
      </c>
      <c r="AY817" s="32" t="s">
        <v>2928</v>
      </c>
      <c r="AZ817" s="32" t="s">
        <v>2941</v>
      </c>
      <c r="BA817" s="28" t="s">
        <v>2957</v>
      </c>
      <c r="BC817" s="29">
        <f t="shared" si="809"/>
        <v>0</v>
      </c>
      <c r="BD817" s="29">
        <f t="shared" si="810"/>
        <v>0</v>
      </c>
      <c r="BE817" s="29">
        <v>0</v>
      </c>
      <c r="BF817" s="29">
        <f>817</f>
        <v>817</v>
      </c>
      <c r="BH817" s="15">
        <f t="shared" si="811"/>
        <v>0</v>
      </c>
      <c r="BI817" s="15">
        <f t="shared" si="812"/>
        <v>0</v>
      </c>
      <c r="BJ817" s="15">
        <f t="shared" si="813"/>
        <v>0</v>
      </c>
      <c r="BK817" s="15" t="s">
        <v>2969</v>
      </c>
      <c r="BL817" s="29" t="s">
        <v>1711</v>
      </c>
    </row>
    <row r="818" spans="1:64" ht="12.75">
      <c r="A818" s="4" t="s">
        <v>763</v>
      </c>
      <c r="B818" s="94" t="s">
        <v>1727</v>
      </c>
      <c r="C818" s="152" t="s">
        <v>2663</v>
      </c>
      <c r="D818" s="153"/>
      <c r="E818" s="153"/>
      <c r="F818" s="153"/>
      <c r="G818" s="94" t="s">
        <v>2850</v>
      </c>
      <c r="H818" s="73">
        <v>1</v>
      </c>
      <c r="I818" s="105">
        <v>0</v>
      </c>
      <c r="J818" s="15">
        <f t="shared" si="790"/>
        <v>0</v>
      </c>
      <c r="K818" s="15">
        <f t="shared" si="791"/>
        <v>0</v>
      </c>
      <c r="L818" s="15">
        <f t="shared" si="792"/>
        <v>0</v>
      </c>
      <c r="M818" s="25"/>
      <c r="N818" s="5"/>
      <c r="Z818" s="29">
        <f t="shared" si="793"/>
        <v>0</v>
      </c>
      <c r="AB818" s="29">
        <f t="shared" si="794"/>
        <v>0</v>
      </c>
      <c r="AC818" s="29">
        <f t="shared" si="795"/>
        <v>0</v>
      </c>
      <c r="AD818" s="29">
        <f t="shared" si="796"/>
        <v>0</v>
      </c>
      <c r="AE818" s="29">
        <f t="shared" si="797"/>
        <v>0</v>
      </c>
      <c r="AF818" s="29">
        <f t="shared" si="798"/>
        <v>0</v>
      </c>
      <c r="AG818" s="29">
        <f t="shared" si="799"/>
        <v>0</v>
      </c>
      <c r="AH818" s="29">
        <f t="shared" si="800"/>
        <v>0</v>
      </c>
      <c r="AI818" s="28" t="s">
        <v>2882</v>
      </c>
      <c r="AJ818" s="15">
        <f t="shared" si="801"/>
        <v>0</v>
      </c>
      <c r="AK818" s="15">
        <f t="shared" si="802"/>
        <v>0</v>
      </c>
      <c r="AL818" s="15">
        <f t="shared" si="803"/>
        <v>0</v>
      </c>
      <c r="AN818" s="29">
        <v>15</v>
      </c>
      <c r="AO818" s="29">
        <f t="shared" si="804"/>
        <v>0</v>
      </c>
      <c r="AP818" s="29">
        <f t="shared" si="805"/>
        <v>0</v>
      </c>
      <c r="AQ818" s="30" t="s">
        <v>7</v>
      </c>
      <c r="AV818" s="29">
        <f t="shared" si="806"/>
        <v>0</v>
      </c>
      <c r="AW818" s="29">
        <f t="shared" si="807"/>
        <v>0</v>
      </c>
      <c r="AX818" s="29">
        <f t="shared" si="808"/>
        <v>0</v>
      </c>
      <c r="AY818" s="32" t="s">
        <v>2928</v>
      </c>
      <c r="AZ818" s="32" t="s">
        <v>2941</v>
      </c>
      <c r="BA818" s="28" t="s">
        <v>2957</v>
      </c>
      <c r="BC818" s="29">
        <f t="shared" si="809"/>
        <v>0</v>
      </c>
      <c r="BD818" s="29">
        <f t="shared" si="810"/>
        <v>0</v>
      </c>
      <c r="BE818" s="29">
        <v>0</v>
      </c>
      <c r="BF818" s="29">
        <f>818</f>
        <v>818</v>
      </c>
      <c r="BH818" s="15">
        <f t="shared" si="811"/>
        <v>0</v>
      </c>
      <c r="BI818" s="15">
        <f t="shared" si="812"/>
        <v>0</v>
      </c>
      <c r="BJ818" s="15">
        <f t="shared" si="813"/>
        <v>0</v>
      </c>
      <c r="BK818" s="15" t="s">
        <v>2969</v>
      </c>
      <c r="BL818" s="29" t="s">
        <v>1711</v>
      </c>
    </row>
    <row r="819" spans="1:64" ht="12.75">
      <c r="A819" s="4" t="s">
        <v>764</v>
      </c>
      <c r="B819" s="94" t="s">
        <v>1728</v>
      </c>
      <c r="C819" s="152" t="s">
        <v>2664</v>
      </c>
      <c r="D819" s="153"/>
      <c r="E819" s="153"/>
      <c r="F819" s="153"/>
      <c r="G819" s="94" t="s">
        <v>2850</v>
      </c>
      <c r="H819" s="73">
        <v>3</v>
      </c>
      <c r="I819" s="105">
        <v>0</v>
      </c>
      <c r="J819" s="15">
        <f t="shared" si="790"/>
        <v>0</v>
      </c>
      <c r="K819" s="15">
        <f t="shared" si="791"/>
        <v>0</v>
      </c>
      <c r="L819" s="15">
        <f t="shared" si="792"/>
        <v>0</v>
      </c>
      <c r="M819" s="25"/>
      <c r="N819" s="5"/>
      <c r="Z819" s="29">
        <f t="shared" si="793"/>
        <v>0</v>
      </c>
      <c r="AB819" s="29">
        <f t="shared" si="794"/>
        <v>0</v>
      </c>
      <c r="AC819" s="29">
        <f t="shared" si="795"/>
        <v>0</v>
      </c>
      <c r="AD819" s="29">
        <f t="shared" si="796"/>
        <v>0</v>
      </c>
      <c r="AE819" s="29">
        <f t="shared" si="797"/>
        <v>0</v>
      </c>
      <c r="AF819" s="29">
        <f t="shared" si="798"/>
        <v>0</v>
      </c>
      <c r="AG819" s="29">
        <f t="shared" si="799"/>
        <v>0</v>
      </c>
      <c r="AH819" s="29">
        <f t="shared" si="800"/>
        <v>0</v>
      </c>
      <c r="AI819" s="28" t="s">
        <v>2882</v>
      </c>
      <c r="AJ819" s="15">
        <f t="shared" si="801"/>
        <v>0</v>
      </c>
      <c r="AK819" s="15">
        <f t="shared" si="802"/>
        <v>0</v>
      </c>
      <c r="AL819" s="15">
        <f t="shared" si="803"/>
        <v>0</v>
      </c>
      <c r="AN819" s="29">
        <v>15</v>
      </c>
      <c r="AO819" s="29">
        <f t="shared" si="804"/>
        <v>0</v>
      </c>
      <c r="AP819" s="29">
        <f t="shared" si="805"/>
        <v>0</v>
      </c>
      <c r="AQ819" s="30" t="s">
        <v>7</v>
      </c>
      <c r="AV819" s="29">
        <f t="shared" si="806"/>
        <v>0</v>
      </c>
      <c r="AW819" s="29">
        <f t="shared" si="807"/>
        <v>0</v>
      </c>
      <c r="AX819" s="29">
        <f t="shared" si="808"/>
        <v>0</v>
      </c>
      <c r="AY819" s="32" t="s">
        <v>2928</v>
      </c>
      <c r="AZ819" s="32" t="s">
        <v>2941</v>
      </c>
      <c r="BA819" s="28" t="s">
        <v>2957</v>
      </c>
      <c r="BC819" s="29">
        <f t="shared" si="809"/>
        <v>0</v>
      </c>
      <c r="BD819" s="29">
        <f t="shared" si="810"/>
        <v>0</v>
      </c>
      <c r="BE819" s="29">
        <v>0</v>
      </c>
      <c r="BF819" s="29">
        <f>819</f>
        <v>819</v>
      </c>
      <c r="BH819" s="15">
        <f t="shared" si="811"/>
        <v>0</v>
      </c>
      <c r="BI819" s="15">
        <f t="shared" si="812"/>
        <v>0</v>
      </c>
      <c r="BJ819" s="15">
        <f t="shared" si="813"/>
        <v>0</v>
      </c>
      <c r="BK819" s="15" t="s">
        <v>2969</v>
      </c>
      <c r="BL819" s="29" t="s">
        <v>1711</v>
      </c>
    </row>
    <row r="820" spans="1:64" ht="12.75">
      <c r="A820" s="4" t="s">
        <v>765</v>
      </c>
      <c r="B820" s="94" t="s">
        <v>1729</v>
      </c>
      <c r="C820" s="152" t="s">
        <v>2664</v>
      </c>
      <c r="D820" s="153"/>
      <c r="E820" s="153"/>
      <c r="F820" s="153"/>
      <c r="G820" s="94" t="s">
        <v>2850</v>
      </c>
      <c r="H820" s="73">
        <v>3</v>
      </c>
      <c r="I820" s="105">
        <v>0</v>
      </c>
      <c r="J820" s="15">
        <f t="shared" si="790"/>
        <v>0</v>
      </c>
      <c r="K820" s="15">
        <f t="shared" si="791"/>
        <v>0</v>
      </c>
      <c r="L820" s="15">
        <f t="shared" si="792"/>
        <v>0</v>
      </c>
      <c r="M820" s="25"/>
      <c r="N820" s="5"/>
      <c r="Z820" s="29">
        <f t="shared" si="793"/>
        <v>0</v>
      </c>
      <c r="AB820" s="29">
        <f t="shared" si="794"/>
        <v>0</v>
      </c>
      <c r="AC820" s="29">
        <f t="shared" si="795"/>
        <v>0</v>
      </c>
      <c r="AD820" s="29">
        <f t="shared" si="796"/>
        <v>0</v>
      </c>
      <c r="AE820" s="29">
        <f t="shared" si="797"/>
        <v>0</v>
      </c>
      <c r="AF820" s="29">
        <f t="shared" si="798"/>
        <v>0</v>
      </c>
      <c r="AG820" s="29">
        <f t="shared" si="799"/>
        <v>0</v>
      </c>
      <c r="AH820" s="29">
        <f t="shared" si="800"/>
        <v>0</v>
      </c>
      <c r="AI820" s="28" t="s">
        <v>2882</v>
      </c>
      <c r="AJ820" s="15">
        <f t="shared" si="801"/>
        <v>0</v>
      </c>
      <c r="AK820" s="15">
        <f t="shared" si="802"/>
        <v>0</v>
      </c>
      <c r="AL820" s="15">
        <f t="shared" si="803"/>
        <v>0</v>
      </c>
      <c r="AN820" s="29">
        <v>15</v>
      </c>
      <c r="AO820" s="29">
        <f t="shared" si="804"/>
        <v>0</v>
      </c>
      <c r="AP820" s="29">
        <f t="shared" si="805"/>
        <v>0</v>
      </c>
      <c r="AQ820" s="30" t="s">
        <v>7</v>
      </c>
      <c r="AV820" s="29">
        <f t="shared" si="806"/>
        <v>0</v>
      </c>
      <c r="AW820" s="29">
        <f t="shared" si="807"/>
        <v>0</v>
      </c>
      <c r="AX820" s="29">
        <f t="shared" si="808"/>
        <v>0</v>
      </c>
      <c r="AY820" s="32" t="s">
        <v>2928</v>
      </c>
      <c r="AZ820" s="32" t="s">
        <v>2941</v>
      </c>
      <c r="BA820" s="28" t="s">
        <v>2957</v>
      </c>
      <c r="BC820" s="29">
        <f t="shared" si="809"/>
        <v>0</v>
      </c>
      <c r="BD820" s="29">
        <f t="shared" si="810"/>
        <v>0</v>
      </c>
      <c r="BE820" s="29">
        <v>0</v>
      </c>
      <c r="BF820" s="29">
        <f>820</f>
        <v>820</v>
      </c>
      <c r="BH820" s="15">
        <f t="shared" si="811"/>
        <v>0</v>
      </c>
      <c r="BI820" s="15">
        <f t="shared" si="812"/>
        <v>0</v>
      </c>
      <c r="BJ820" s="15">
        <f t="shared" si="813"/>
        <v>0</v>
      </c>
      <c r="BK820" s="15" t="s">
        <v>2969</v>
      </c>
      <c r="BL820" s="29" t="s">
        <v>1711</v>
      </c>
    </row>
    <row r="821" spans="1:64" ht="12.75">
      <c r="A821" s="4" t="s">
        <v>766</v>
      </c>
      <c r="B821" s="94" t="s">
        <v>1730</v>
      </c>
      <c r="C821" s="152" t="s">
        <v>2665</v>
      </c>
      <c r="D821" s="153"/>
      <c r="E821" s="153"/>
      <c r="F821" s="153"/>
      <c r="G821" s="94" t="s">
        <v>2850</v>
      </c>
      <c r="H821" s="73">
        <v>2</v>
      </c>
      <c r="I821" s="105">
        <v>0</v>
      </c>
      <c r="J821" s="15">
        <f t="shared" si="790"/>
        <v>0</v>
      </c>
      <c r="K821" s="15">
        <f t="shared" si="791"/>
        <v>0</v>
      </c>
      <c r="L821" s="15">
        <f t="shared" si="792"/>
        <v>0</v>
      </c>
      <c r="M821" s="25"/>
      <c r="N821" s="5"/>
      <c r="Z821" s="29">
        <f t="shared" si="793"/>
        <v>0</v>
      </c>
      <c r="AB821" s="29">
        <f t="shared" si="794"/>
        <v>0</v>
      </c>
      <c r="AC821" s="29">
        <f t="shared" si="795"/>
        <v>0</v>
      </c>
      <c r="AD821" s="29">
        <f t="shared" si="796"/>
        <v>0</v>
      </c>
      <c r="AE821" s="29">
        <f t="shared" si="797"/>
        <v>0</v>
      </c>
      <c r="AF821" s="29">
        <f t="shared" si="798"/>
        <v>0</v>
      </c>
      <c r="AG821" s="29">
        <f t="shared" si="799"/>
        <v>0</v>
      </c>
      <c r="AH821" s="29">
        <f t="shared" si="800"/>
        <v>0</v>
      </c>
      <c r="AI821" s="28" t="s">
        <v>2882</v>
      </c>
      <c r="AJ821" s="15">
        <f t="shared" si="801"/>
        <v>0</v>
      </c>
      <c r="AK821" s="15">
        <f t="shared" si="802"/>
        <v>0</v>
      </c>
      <c r="AL821" s="15">
        <f t="shared" si="803"/>
        <v>0</v>
      </c>
      <c r="AN821" s="29">
        <v>15</v>
      </c>
      <c r="AO821" s="29">
        <f t="shared" si="804"/>
        <v>0</v>
      </c>
      <c r="AP821" s="29">
        <f t="shared" si="805"/>
        <v>0</v>
      </c>
      <c r="AQ821" s="30" t="s">
        <v>7</v>
      </c>
      <c r="AV821" s="29">
        <f t="shared" si="806"/>
        <v>0</v>
      </c>
      <c r="AW821" s="29">
        <f t="shared" si="807"/>
        <v>0</v>
      </c>
      <c r="AX821" s="29">
        <f t="shared" si="808"/>
        <v>0</v>
      </c>
      <c r="AY821" s="32" t="s">
        <v>2928</v>
      </c>
      <c r="AZ821" s="32" t="s">
        <v>2941</v>
      </c>
      <c r="BA821" s="28" t="s">
        <v>2957</v>
      </c>
      <c r="BC821" s="29">
        <f t="shared" si="809"/>
        <v>0</v>
      </c>
      <c r="BD821" s="29">
        <f t="shared" si="810"/>
        <v>0</v>
      </c>
      <c r="BE821" s="29">
        <v>0</v>
      </c>
      <c r="BF821" s="29">
        <f>821</f>
        <v>821</v>
      </c>
      <c r="BH821" s="15">
        <f t="shared" si="811"/>
        <v>0</v>
      </c>
      <c r="BI821" s="15">
        <f t="shared" si="812"/>
        <v>0</v>
      </c>
      <c r="BJ821" s="15">
        <f t="shared" si="813"/>
        <v>0</v>
      </c>
      <c r="BK821" s="15" t="s">
        <v>2969</v>
      </c>
      <c r="BL821" s="29" t="s">
        <v>1711</v>
      </c>
    </row>
    <row r="822" spans="1:64" ht="12.75">
      <c r="A822" s="4" t="s">
        <v>767</v>
      </c>
      <c r="B822" s="94" t="s">
        <v>1731</v>
      </c>
      <c r="C822" s="152" t="s">
        <v>2665</v>
      </c>
      <c r="D822" s="153"/>
      <c r="E822" s="153"/>
      <c r="F822" s="153"/>
      <c r="G822" s="94" t="s">
        <v>2850</v>
      </c>
      <c r="H822" s="73">
        <v>2</v>
      </c>
      <c r="I822" s="105">
        <v>0</v>
      </c>
      <c r="J822" s="15">
        <f t="shared" si="790"/>
        <v>0</v>
      </c>
      <c r="K822" s="15">
        <f t="shared" si="791"/>
        <v>0</v>
      </c>
      <c r="L822" s="15">
        <f t="shared" si="792"/>
        <v>0</v>
      </c>
      <c r="M822" s="25"/>
      <c r="N822" s="5"/>
      <c r="Z822" s="29">
        <f t="shared" si="793"/>
        <v>0</v>
      </c>
      <c r="AB822" s="29">
        <f t="shared" si="794"/>
        <v>0</v>
      </c>
      <c r="AC822" s="29">
        <f t="shared" si="795"/>
        <v>0</v>
      </c>
      <c r="AD822" s="29">
        <f t="shared" si="796"/>
        <v>0</v>
      </c>
      <c r="AE822" s="29">
        <f t="shared" si="797"/>
        <v>0</v>
      </c>
      <c r="AF822" s="29">
        <f t="shared" si="798"/>
        <v>0</v>
      </c>
      <c r="AG822" s="29">
        <f t="shared" si="799"/>
        <v>0</v>
      </c>
      <c r="AH822" s="29">
        <f t="shared" si="800"/>
        <v>0</v>
      </c>
      <c r="AI822" s="28" t="s">
        <v>2882</v>
      </c>
      <c r="AJ822" s="15">
        <f t="shared" si="801"/>
        <v>0</v>
      </c>
      <c r="AK822" s="15">
        <f t="shared" si="802"/>
        <v>0</v>
      </c>
      <c r="AL822" s="15">
        <f t="shared" si="803"/>
        <v>0</v>
      </c>
      <c r="AN822" s="29">
        <v>15</v>
      </c>
      <c r="AO822" s="29">
        <f t="shared" si="804"/>
        <v>0</v>
      </c>
      <c r="AP822" s="29">
        <f t="shared" si="805"/>
        <v>0</v>
      </c>
      <c r="AQ822" s="30" t="s">
        <v>7</v>
      </c>
      <c r="AV822" s="29">
        <f t="shared" si="806"/>
        <v>0</v>
      </c>
      <c r="AW822" s="29">
        <f t="shared" si="807"/>
        <v>0</v>
      </c>
      <c r="AX822" s="29">
        <f t="shared" si="808"/>
        <v>0</v>
      </c>
      <c r="AY822" s="32" t="s">
        <v>2928</v>
      </c>
      <c r="AZ822" s="32" t="s">
        <v>2941</v>
      </c>
      <c r="BA822" s="28" t="s">
        <v>2957</v>
      </c>
      <c r="BC822" s="29">
        <f t="shared" si="809"/>
        <v>0</v>
      </c>
      <c r="BD822" s="29">
        <f t="shared" si="810"/>
        <v>0</v>
      </c>
      <c r="BE822" s="29">
        <v>0</v>
      </c>
      <c r="BF822" s="29">
        <f>822</f>
        <v>822</v>
      </c>
      <c r="BH822" s="15">
        <f t="shared" si="811"/>
        <v>0</v>
      </c>
      <c r="BI822" s="15">
        <f t="shared" si="812"/>
        <v>0</v>
      </c>
      <c r="BJ822" s="15">
        <f t="shared" si="813"/>
        <v>0</v>
      </c>
      <c r="BK822" s="15" t="s">
        <v>2969</v>
      </c>
      <c r="BL822" s="29" t="s">
        <v>1711</v>
      </c>
    </row>
    <row r="823" spans="1:64" ht="12.75">
      <c r="A823" s="4" t="s">
        <v>768</v>
      </c>
      <c r="B823" s="94" t="s">
        <v>1732</v>
      </c>
      <c r="C823" s="152" t="s">
        <v>2666</v>
      </c>
      <c r="D823" s="153"/>
      <c r="E823" s="153"/>
      <c r="F823" s="153"/>
      <c r="G823" s="94" t="s">
        <v>2850</v>
      </c>
      <c r="H823" s="73">
        <v>1</v>
      </c>
      <c r="I823" s="105">
        <v>0</v>
      </c>
      <c r="J823" s="15">
        <f t="shared" si="790"/>
        <v>0</v>
      </c>
      <c r="K823" s="15">
        <f t="shared" si="791"/>
        <v>0</v>
      </c>
      <c r="L823" s="15">
        <f t="shared" si="792"/>
        <v>0</v>
      </c>
      <c r="M823" s="25"/>
      <c r="N823" s="5"/>
      <c r="Z823" s="29">
        <f t="shared" si="793"/>
        <v>0</v>
      </c>
      <c r="AB823" s="29">
        <f t="shared" si="794"/>
        <v>0</v>
      </c>
      <c r="AC823" s="29">
        <f t="shared" si="795"/>
        <v>0</v>
      </c>
      <c r="AD823" s="29">
        <f t="shared" si="796"/>
        <v>0</v>
      </c>
      <c r="AE823" s="29">
        <f t="shared" si="797"/>
        <v>0</v>
      </c>
      <c r="AF823" s="29">
        <f t="shared" si="798"/>
        <v>0</v>
      </c>
      <c r="AG823" s="29">
        <f t="shared" si="799"/>
        <v>0</v>
      </c>
      <c r="AH823" s="29">
        <f t="shared" si="800"/>
        <v>0</v>
      </c>
      <c r="AI823" s="28" t="s">
        <v>2882</v>
      </c>
      <c r="AJ823" s="15">
        <f t="shared" si="801"/>
        <v>0</v>
      </c>
      <c r="AK823" s="15">
        <f t="shared" si="802"/>
        <v>0</v>
      </c>
      <c r="AL823" s="15">
        <f t="shared" si="803"/>
        <v>0</v>
      </c>
      <c r="AN823" s="29">
        <v>15</v>
      </c>
      <c r="AO823" s="29">
        <f t="shared" si="804"/>
        <v>0</v>
      </c>
      <c r="AP823" s="29">
        <f t="shared" si="805"/>
        <v>0</v>
      </c>
      <c r="AQ823" s="30" t="s">
        <v>7</v>
      </c>
      <c r="AV823" s="29">
        <f t="shared" si="806"/>
        <v>0</v>
      </c>
      <c r="AW823" s="29">
        <f t="shared" si="807"/>
        <v>0</v>
      </c>
      <c r="AX823" s="29">
        <f t="shared" si="808"/>
        <v>0</v>
      </c>
      <c r="AY823" s="32" t="s">
        <v>2928</v>
      </c>
      <c r="AZ823" s="32" t="s">
        <v>2941</v>
      </c>
      <c r="BA823" s="28" t="s">
        <v>2957</v>
      </c>
      <c r="BC823" s="29">
        <f t="shared" si="809"/>
        <v>0</v>
      </c>
      <c r="BD823" s="29">
        <f t="shared" si="810"/>
        <v>0</v>
      </c>
      <c r="BE823" s="29">
        <v>0</v>
      </c>
      <c r="BF823" s="29">
        <f>823</f>
        <v>823</v>
      </c>
      <c r="BH823" s="15">
        <f t="shared" si="811"/>
        <v>0</v>
      </c>
      <c r="BI823" s="15">
        <f t="shared" si="812"/>
        <v>0</v>
      </c>
      <c r="BJ823" s="15">
        <f t="shared" si="813"/>
        <v>0</v>
      </c>
      <c r="BK823" s="15" t="s">
        <v>2969</v>
      </c>
      <c r="BL823" s="29" t="s">
        <v>1711</v>
      </c>
    </row>
    <row r="824" spans="1:64" ht="12.75">
      <c r="A824" s="4" t="s">
        <v>769</v>
      </c>
      <c r="B824" s="94" t="s">
        <v>1733</v>
      </c>
      <c r="C824" s="152" t="s">
        <v>2666</v>
      </c>
      <c r="D824" s="153"/>
      <c r="E824" s="153"/>
      <c r="F824" s="153"/>
      <c r="G824" s="94" t="s">
        <v>2850</v>
      </c>
      <c r="H824" s="73">
        <v>1</v>
      </c>
      <c r="I824" s="105">
        <v>0</v>
      </c>
      <c r="J824" s="15">
        <f t="shared" si="790"/>
        <v>0</v>
      </c>
      <c r="K824" s="15">
        <f t="shared" si="791"/>
        <v>0</v>
      </c>
      <c r="L824" s="15">
        <f t="shared" si="792"/>
        <v>0</v>
      </c>
      <c r="M824" s="25"/>
      <c r="N824" s="5"/>
      <c r="Z824" s="29">
        <f t="shared" si="793"/>
        <v>0</v>
      </c>
      <c r="AB824" s="29">
        <f t="shared" si="794"/>
        <v>0</v>
      </c>
      <c r="AC824" s="29">
        <f t="shared" si="795"/>
        <v>0</v>
      </c>
      <c r="AD824" s="29">
        <f t="shared" si="796"/>
        <v>0</v>
      </c>
      <c r="AE824" s="29">
        <f t="shared" si="797"/>
        <v>0</v>
      </c>
      <c r="AF824" s="29">
        <f t="shared" si="798"/>
        <v>0</v>
      </c>
      <c r="AG824" s="29">
        <f t="shared" si="799"/>
        <v>0</v>
      </c>
      <c r="AH824" s="29">
        <f t="shared" si="800"/>
        <v>0</v>
      </c>
      <c r="AI824" s="28" t="s">
        <v>2882</v>
      </c>
      <c r="AJ824" s="15">
        <f t="shared" si="801"/>
        <v>0</v>
      </c>
      <c r="AK824" s="15">
        <f t="shared" si="802"/>
        <v>0</v>
      </c>
      <c r="AL824" s="15">
        <f t="shared" si="803"/>
        <v>0</v>
      </c>
      <c r="AN824" s="29">
        <v>15</v>
      </c>
      <c r="AO824" s="29">
        <f t="shared" si="804"/>
        <v>0</v>
      </c>
      <c r="AP824" s="29">
        <f t="shared" si="805"/>
        <v>0</v>
      </c>
      <c r="AQ824" s="30" t="s">
        <v>7</v>
      </c>
      <c r="AV824" s="29">
        <f t="shared" si="806"/>
        <v>0</v>
      </c>
      <c r="AW824" s="29">
        <f t="shared" si="807"/>
        <v>0</v>
      </c>
      <c r="AX824" s="29">
        <f t="shared" si="808"/>
        <v>0</v>
      </c>
      <c r="AY824" s="32" t="s">
        <v>2928</v>
      </c>
      <c r="AZ824" s="32" t="s">
        <v>2941</v>
      </c>
      <c r="BA824" s="28" t="s">
        <v>2957</v>
      </c>
      <c r="BC824" s="29">
        <f t="shared" si="809"/>
        <v>0</v>
      </c>
      <c r="BD824" s="29">
        <f t="shared" si="810"/>
        <v>0</v>
      </c>
      <c r="BE824" s="29">
        <v>0</v>
      </c>
      <c r="BF824" s="29">
        <f>824</f>
        <v>824</v>
      </c>
      <c r="BH824" s="15">
        <f t="shared" si="811"/>
        <v>0</v>
      </c>
      <c r="BI824" s="15">
        <f t="shared" si="812"/>
        <v>0</v>
      </c>
      <c r="BJ824" s="15">
        <f t="shared" si="813"/>
        <v>0</v>
      </c>
      <c r="BK824" s="15" t="s">
        <v>2969</v>
      </c>
      <c r="BL824" s="29" t="s">
        <v>1711</v>
      </c>
    </row>
    <row r="825" spans="1:64" ht="12.75">
      <c r="A825" s="4" t="s">
        <v>770</v>
      </c>
      <c r="B825" s="94" t="s">
        <v>1734</v>
      </c>
      <c r="C825" s="152" t="s">
        <v>2667</v>
      </c>
      <c r="D825" s="153"/>
      <c r="E825" s="153"/>
      <c r="F825" s="153"/>
      <c r="G825" s="94" t="s">
        <v>2850</v>
      </c>
      <c r="H825" s="73">
        <v>1</v>
      </c>
      <c r="I825" s="105">
        <v>0</v>
      </c>
      <c r="J825" s="15">
        <f t="shared" si="790"/>
        <v>0</v>
      </c>
      <c r="K825" s="15">
        <f t="shared" si="791"/>
        <v>0</v>
      </c>
      <c r="L825" s="15">
        <f t="shared" si="792"/>
        <v>0</v>
      </c>
      <c r="M825" s="25"/>
      <c r="N825" s="5"/>
      <c r="Z825" s="29">
        <f t="shared" si="793"/>
        <v>0</v>
      </c>
      <c r="AB825" s="29">
        <f t="shared" si="794"/>
        <v>0</v>
      </c>
      <c r="AC825" s="29">
        <f t="shared" si="795"/>
        <v>0</v>
      </c>
      <c r="AD825" s="29">
        <f t="shared" si="796"/>
        <v>0</v>
      </c>
      <c r="AE825" s="29">
        <f t="shared" si="797"/>
        <v>0</v>
      </c>
      <c r="AF825" s="29">
        <f t="shared" si="798"/>
        <v>0</v>
      </c>
      <c r="AG825" s="29">
        <f t="shared" si="799"/>
        <v>0</v>
      </c>
      <c r="AH825" s="29">
        <f t="shared" si="800"/>
        <v>0</v>
      </c>
      <c r="AI825" s="28" t="s">
        <v>2882</v>
      </c>
      <c r="AJ825" s="15">
        <f t="shared" si="801"/>
        <v>0</v>
      </c>
      <c r="AK825" s="15">
        <f t="shared" si="802"/>
        <v>0</v>
      </c>
      <c r="AL825" s="15">
        <f t="shared" si="803"/>
        <v>0</v>
      </c>
      <c r="AN825" s="29">
        <v>15</v>
      </c>
      <c r="AO825" s="29">
        <f t="shared" si="804"/>
        <v>0</v>
      </c>
      <c r="AP825" s="29">
        <f t="shared" si="805"/>
        <v>0</v>
      </c>
      <c r="AQ825" s="30" t="s">
        <v>7</v>
      </c>
      <c r="AV825" s="29">
        <f t="shared" si="806"/>
        <v>0</v>
      </c>
      <c r="AW825" s="29">
        <f t="shared" si="807"/>
        <v>0</v>
      </c>
      <c r="AX825" s="29">
        <f t="shared" si="808"/>
        <v>0</v>
      </c>
      <c r="AY825" s="32" t="s">
        <v>2928</v>
      </c>
      <c r="AZ825" s="32" t="s">
        <v>2941</v>
      </c>
      <c r="BA825" s="28" t="s">
        <v>2957</v>
      </c>
      <c r="BC825" s="29">
        <f t="shared" si="809"/>
        <v>0</v>
      </c>
      <c r="BD825" s="29">
        <f t="shared" si="810"/>
        <v>0</v>
      </c>
      <c r="BE825" s="29">
        <v>0</v>
      </c>
      <c r="BF825" s="29">
        <f>825</f>
        <v>825</v>
      </c>
      <c r="BH825" s="15">
        <f t="shared" si="811"/>
        <v>0</v>
      </c>
      <c r="BI825" s="15">
        <f t="shared" si="812"/>
        <v>0</v>
      </c>
      <c r="BJ825" s="15">
        <f t="shared" si="813"/>
        <v>0</v>
      </c>
      <c r="BK825" s="15" t="s">
        <v>2969</v>
      </c>
      <c r="BL825" s="29" t="s">
        <v>1711</v>
      </c>
    </row>
    <row r="826" spans="1:64" ht="12.75">
      <c r="A826" s="4" t="s">
        <v>771</v>
      </c>
      <c r="B826" s="94" t="s">
        <v>1735</v>
      </c>
      <c r="C826" s="152" t="s">
        <v>2667</v>
      </c>
      <c r="D826" s="153"/>
      <c r="E826" s="153"/>
      <c r="F826" s="153"/>
      <c r="G826" s="94" t="s">
        <v>2850</v>
      </c>
      <c r="H826" s="73">
        <v>1</v>
      </c>
      <c r="I826" s="105">
        <v>0</v>
      </c>
      <c r="J826" s="15">
        <f t="shared" si="790"/>
        <v>0</v>
      </c>
      <c r="K826" s="15">
        <f t="shared" si="791"/>
        <v>0</v>
      </c>
      <c r="L826" s="15">
        <f t="shared" si="792"/>
        <v>0</v>
      </c>
      <c r="M826" s="25"/>
      <c r="N826" s="5"/>
      <c r="Z826" s="29">
        <f t="shared" si="793"/>
        <v>0</v>
      </c>
      <c r="AB826" s="29">
        <f t="shared" si="794"/>
        <v>0</v>
      </c>
      <c r="AC826" s="29">
        <f t="shared" si="795"/>
        <v>0</v>
      </c>
      <c r="AD826" s="29">
        <f t="shared" si="796"/>
        <v>0</v>
      </c>
      <c r="AE826" s="29">
        <f t="shared" si="797"/>
        <v>0</v>
      </c>
      <c r="AF826" s="29">
        <f t="shared" si="798"/>
        <v>0</v>
      </c>
      <c r="AG826" s="29">
        <f t="shared" si="799"/>
        <v>0</v>
      </c>
      <c r="AH826" s="29">
        <f t="shared" si="800"/>
        <v>0</v>
      </c>
      <c r="AI826" s="28" t="s">
        <v>2882</v>
      </c>
      <c r="AJ826" s="15">
        <f t="shared" si="801"/>
        <v>0</v>
      </c>
      <c r="AK826" s="15">
        <f t="shared" si="802"/>
        <v>0</v>
      </c>
      <c r="AL826" s="15">
        <f t="shared" si="803"/>
        <v>0</v>
      </c>
      <c r="AN826" s="29">
        <v>15</v>
      </c>
      <c r="AO826" s="29">
        <f t="shared" si="804"/>
        <v>0</v>
      </c>
      <c r="AP826" s="29">
        <f t="shared" si="805"/>
        <v>0</v>
      </c>
      <c r="AQ826" s="30" t="s">
        <v>7</v>
      </c>
      <c r="AV826" s="29">
        <f t="shared" si="806"/>
        <v>0</v>
      </c>
      <c r="AW826" s="29">
        <f t="shared" si="807"/>
        <v>0</v>
      </c>
      <c r="AX826" s="29">
        <f t="shared" si="808"/>
        <v>0</v>
      </c>
      <c r="AY826" s="32" t="s">
        <v>2928</v>
      </c>
      <c r="AZ826" s="32" t="s">
        <v>2941</v>
      </c>
      <c r="BA826" s="28" t="s">
        <v>2957</v>
      </c>
      <c r="BC826" s="29">
        <f t="shared" si="809"/>
        <v>0</v>
      </c>
      <c r="BD826" s="29">
        <f t="shared" si="810"/>
        <v>0</v>
      </c>
      <c r="BE826" s="29">
        <v>0</v>
      </c>
      <c r="BF826" s="29">
        <f>826</f>
        <v>826</v>
      </c>
      <c r="BH826" s="15">
        <f t="shared" si="811"/>
        <v>0</v>
      </c>
      <c r="BI826" s="15">
        <f t="shared" si="812"/>
        <v>0</v>
      </c>
      <c r="BJ826" s="15">
        <f t="shared" si="813"/>
        <v>0</v>
      </c>
      <c r="BK826" s="15" t="s">
        <v>2969</v>
      </c>
      <c r="BL826" s="29" t="s">
        <v>1711</v>
      </c>
    </row>
    <row r="827" spans="1:64" ht="12.75">
      <c r="A827" s="4" t="s">
        <v>772</v>
      </c>
      <c r="B827" s="94" t="s">
        <v>1736</v>
      </c>
      <c r="C827" s="152" t="s">
        <v>2668</v>
      </c>
      <c r="D827" s="153"/>
      <c r="E827" s="153"/>
      <c r="F827" s="153"/>
      <c r="G827" s="94" t="s">
        <v>2850</v>
      </c>
      <c r="H827" s="73">
        <v>1</v>
      </c>
      <c r="I827" s="105">
        <v>0</v>
      </c>
      <c r="J827" s="15">
        <f t="shared" si="790"/>
        <v>0</v>
      </c>
      <c r="K827" s="15">
        <f t="shared" si="791"/>
        <v>0</v>
      </c>
      <c r="L827" s="15">
        <f t="shared" si="792"/>
        <v>0</v>
      </c>
      <c r="M827" s="25"/>
      <c r="N827" s="5"/>
      <c r="Z827" s="29">
        <f t="shared" si="793"/>
        <v>0</v>
      </c>
      <c r="AB827" s="29">
        <f t="shared" si="794"/>
        <v>0</v>
      </c>
      <c r="AC827" s="29">
        <f t="shared" si="795"/>
        <v>0</v>
      </c>
      <c r="AD827" s="29">
        <f t="shared" si="796"/>
        <v>0</v>
      </c>
      <c r="AE827" s="29">
        <f t="shared" si="797"/>
        <v>0</v>
      </c>
      <c r="AF827" s="29">
        <f t="shared" si="798"/>
        <v>0</v>
      </c>
      <c r="AG827" s="29">
        <f t="shared" si="799"/>
        <v>0</v>
      </c>
      <c r="AH827" s="29">
        <f t="shared" si="800"/>
        <v>0</v>
      </c>
      <c r="AI827" s="28" t="s">
        <v>2882</v>
      </c>
      <c r="AJ827" s="15">
        <f t="shared" si="801"/>
        <v>0</v>
      </c>
      <c r="AK827" s="15">
        <f t="shared" si="802"/>
        <v>0</v>
      </c>
      <c r="AL827" s="15">
        <f t="shared" si="803"/>
        <v>0</v>
      </c>
      <c r="AN827" s="29">
        <v>15</v>
      </c>
      <c r="AO827" s="29">
        <f t="shared" si="804"/>
        <v>0</v>
      </c>
      <c r="AP827" s="29">
        <f t="shared" si="805"/>
        <v>0</v>
      </c>
      <c r="AQ827" s="30" t="s">
        <v>7</v>
      </c>
      <c r="AV827" s="29">
        <f t="shared" si="806"/>
        <v>0</v>
      </c>
      <c r="AW827" s="29">
        <f t="shared" si="807"/>
        <v>0</v>
      </c>
      <c r="AX827" s="29">
        <f t="shared" si="808"/>
        <v>0</v>
      </c>
      <c r="AY827" s="32" t="s">
        <v>2928</v>
      </c>
      <c r="AZ827" s="32" t="s">
        <v>2941</v>
      </c>
      <c r="BA827" s="28" t="s">
        <v>2957</v>
      </c>
      <c r="BC827" s="29">
        <f t="shared" si="809"/>
        <v>0</v>
      </c>
      <c r="BD827" s="29">
        <f t="shared" si="810"/>
        <v>0</v>
      </c>
      <c r="BE827" s="29">
        <v>0</v>
      </c>
      <c r="BF827" s="29">
        <f>827</f>
        <v>827</v>
      </c>
      <c r="BH827" s="15">
        <f t="shared" si="811"/>
        <v>0</v>
      </c>
      <c r="BI827" s="15">
        <f t="shared" si="812"/>
        <v>0</v>
      </c>
      <c r="BJ827" s="15">
        <f t="shared" si="813"/>
        <v>0</v>
      </c>
      <c r="BK827" s="15" t="s">
        <v>2969</v>
      </c>
      <c r="BL827" s="29" t="s">
        <v>1711</v>
      </c>
    </row>
    <row r="828" spans="1:64" ht="12.75">
      <c r="A828" s="4" t="s">
        <v>773</v>
      </c>
      <c r="B828" s="94" t="s">
        <v>1737</v>
      </c>
      <c r="C828" s="152" t="s">
        <v>2668</v>
      </c>
      <c r="D828" s="153"/>
      <c r="E828" s="153"/>
      <c r="F828" s="153"/>
      <c r="G828" s="94" t="s">
        <v>2850</v>
      </c>
      <c r="H828" s="73">
        <v>1</v>
      </c>
      <c r="I828" s="105">
        <v>0</v>
      </c>
      <c r="J828" s="15">
        <f t="shared" si="790"/>
        <v>0</v>
      </c>
      <c r="K828" s="15">
        <f t="shared" si="791"/>
        <v>0</v>
      </c>
      <c r="L828" s="15">
        <f t="shared" si="792"/>
        <v>0</v>
      </c>
      <c r="M828" s="25"/>
      <c r="N828" s="5"/>
      <c r="Z828" s="29">
        <f t="shared" si="793"/>
        <v>0</v>
      </c>
      <c r="AB828" s="29">
        <f t="shared" si="794"/>
        <v>0</v>
      </c>
      <c r="AC828" s="29">
        <f t="shared" si="795"/>
        <v>0</v>
      </c>
      <c r="AD828" s="29">
        <f t="shared" si="796"/>
        <v>0</v>
      </c>
      <c r="AE828" s="29">
        <f t="shared" si="797"/>
        <v>0</v>
      </c>
      <c r="AF828" s="29">
        <f t="shared" si="798"/>
        <v>0</v>
      </c>
      <c r="AG828" s="29">
        <f t="shared" si="799"/>
        <v>0</v>
      </c>
      <c r="AH828" s="29">
        <f t="shared" si="800"/>
        <v>0</v>
      </c>
      <c r="AI828" s="28" t="s">
        <v>2882</v>
      </c>
      <c r="AJ828" s="15">
        <f t="shared" si="801"/>
        <v>0</v>
      </c>
      <c r="AK828" s="15">
        <f t="shared" si="802"/>
        <v>0</v>
      </c>
      <c r="AL828" s="15">
        <f t="shared" si="803"/>
        <v>0</v>
      </c>
      <c r="AN828" s="29">
        <v>15</v>
      </c>
      <c r="AO828" s="29">
        <f t="shared" si="804"/>
        <v>0</v>
      </c>
      <c r="AP828" s="29">
        <f t="shared" si="805"/>
        <v>0</v>
      </c>
      <c r="AQ828" s="30" t="s">
        <v>7</v>
      </c>
      <c r="AV828" s="29">
        <f t="shared" si="806"/>
        <v>0</v>
      </c>
      <c r="AW828" s="29">
        <f t="shared" si="807"/>
        <v>0</v>
      </c>
      <c r="AX828" s="29">
        <f t="shared" si="808"/>
        <v>0</v>
      </c>
      <c r="AY828" s="32" t="s">
        <v>2928</v>
      </c>
      <c r="AZ828" s="32" t="s">
        <v>2941</v>
      </c>
      <c r="BA828" s="28" t="s">
        <v>2957</v>
      </c>
      <c r="BC828" s="29">
        <f t="shared" si="809"/>
        <v>0</v>
      </c>
      <c r="BD828" s="29">
        <f t="shared" si="810"/>
        <v>0</v>
      </c>
      <c r="BE828" s="29">
        <v>0</v>
      </c>
      <c r="BF828" s="29">
        <f>828</f>
        <v>828</v>
      </c>
      <c r="BH828" s="15">
        <f t="shared" si="811"/>
        <v>0</v>
      </c>
      <c r="BI828" s="15">
        <f t="shared" si="812"/>
        <v>0</v>
      </c>
      <c r="BJ828" s="15">
        <f t="shared" si="813"/>
        <v>0</v>
      </c>
      <c r="BK828" s="15" t="s">
        <v>2969</v>
      </c>
      <c r="BL828" s="29" t="s">
        <v>1711</v>
      </c>
    </row>
    <row r="829" spans="1:64" ht="12.75">
      <c r="A829" s="4" t="s">
        <v>774</v>
      </c>
      <c r="B829" s="94" t="s">
        <v>1738</v>
      </c>
      <c r="C829" s="152" t="s">
        <v>2669</v>
      </c>
      <c r="D829" s="153"/>
      <c r="E829" s="153"/>
      <c r="F829" s="153"/>
      <c r="G829" s="94" t="s">
        <v>2850</v>
      </c>
      <c r="H829" s="73">
        <v>1</v>
      </c>
      <c r="I829" s="105">
        <v>0</v>
      </c>
      <c r="J829" s="15">
        <f t="shared" si="790"/>
        <v>0</v>
      </c>
      <c r="K829" s="15">
        <f t="shared" si="791"/>
        <v>0</v>
      </c>
      <c r="L829" s="15">
        <f t="shared" si="792"/>
        <v>0</v>
      </c>
      <c r="M829" s="25"/>
      <c r="N829" s="5"/>
      <c r="Z829" s="29">
        <f t="shared" si="793"/>
        <v>0</v>
      </c>
      <c r="AB829" s="29">
        <f t="shared" si="794"/>
        <v>0</v>
      </c>
      <c r="AC829" s="29">
        <f t="shared" si="795"/>
        <v>0</v>
      </c>
      <c r="AD829" s="29">
        <f t="shared" si="796"/>
        <v>0</v>
      </c>
      <c r="AE829" s="29">
        <f t="shared" si="797"/>
        <v>0</v>
      </c>
      <c r="AF829" s="29">
        <f t="shared" si="798"/>
        <v>0</v>
      </c>
      <c r="AG829" s="29">
        <f t="shared" si="799"/>
        <v>0</v>
      </c>
      <c r="AH829" s="29">
        <f t="shared" si="800"/>
        <v>0</v>
      </c>
      <c r="AI829" s="28" t="s">
        <v>2882</v>
      </c>
      <c r="AJ829" s="15">
        <f t="shared" si="801"/>
        <v>0</v>
      </c>
      <c r="AK829" s="15">
        <f t="shared" si="802"/>
        <v>0</v>
      </c>
      <c r="AL829" s="15">
        <f t="shared" si="803"/>
        <v>0</v>
      </c>
      <c r="AN829" s="29">
        <v>15</v>
      </c>
      <c r="AO829" s="29">
        <f t="shared" si="804"/>
        <v>0</v>
      </c>
      <c r="AP829" s="29">
        <f t="shared" si="805"/>
        <v>0</v>
      </c>
      <c r="AQ829" s="30" t="s">
        <v>7</v>
      </c>
      <c r="AV829" s="29">
        <f t="shared" si="806"/>
        <v>0</v>
      </c>
      <c r="AW829" s="29">
        <f t="shared" si="807"/>
        <v>0</v>
      </c>
      <c r="AX829" s="29">
        <f t="shared" si="808"/>
        <v>0</v>
      </c>
      <c r="AY829" s="32" t="s">
        <v>2928</v>
      </c>
      <c r="AZ829" s="32" t="s">
        <v>2941</v>
      </c>
      <c r="BA829" s="28" t="s">
        <v>2957</v>
      </c>
      <c r="BC829" s="29">
        <f t="shared" si="809"/>
        <v>0</v>
      </c>
      <c r="BD829" s="29">
        <f t="shared" si="810"/>
        <v>0</v>
      </c>
      <c r="BE829" s="29">
        <v>0</v>
      </c>
      <c r="BF829" s="29">
        <f>829</f>
        <v>829</v>
      </c>
      <c r="BH829" s="15">
        <f t="shared" si="811"/>
        <v>0</v>
      </c>
      <c r="BI829" s="15">
        <f t="shared" si="812"/>
        <v>0</v>
      </c>
      <c r="BJ829" s="15">
        <f t="shared" si="813"/>
        <v>0</v>
      </c>
      <c r="BK829" s="15" t="s">
        <v>2969</v>
      </c>
      <c r="BL829" s="29" t="s">
        <v>1711</v>
      </c>
    </row>
    <row r="830" spans="1:64" ht="12.75">
      <c r="A830" s="4" t="s">
        <v>775</v>
      </c>
      <c r="B830" s="94" t="s">
        <v>1739</v>
      </c>
      <c r="C830" s="152" t="s">
        <v>2670</v>
      </c>
      <c r="D830" s="153"/>
      <c r="E830" s="153"/>
      <c r="F830" s="153"/>
      <c r="G830" s="94" t="s">
        <v>2850</v>
      </c>
      <c r="H830" s="73">
        <v>1</v>
      </c>
      <c r="I830" s="105">
        <v>0</v>
      </c>
      <c r="J830" s="15">
        <f t="shared" si="790"/>
        <v>0</v>
      </c>
      <c r="K830" s="15">
        <f t="shared" si="791"/>
        <v>0</v>
      </c>
      <c r="L830" s="15">
        <f t="shared" si="792"/>
        <v>0</v>
      </c>
      <c r="M830" s="25"/>
      <c r="N830" s="5"/>
      <c r="Z830" s="29">
        <f t="shared" si="793"/>
        <v>0</v>
      </c>
      <c r="AB830" s="29">
        <f t="shared" si="794"/>
        <v>0</v>
      </c>
      <c r="AC830" s="29">
        <f t="shared" si="795"/>
        <v>0</v>
      </c>
      <c r="AD830" s="29">
        <f t="shared" si="796"/>
        <v>0</v>
      </c>
      <c r="AE830" s="29">
        <f t="shared" si="797"/>
        <v>0</v>
      </c>
      <c r="AF830" s="29">
        <f t="shared" si="798"/>
        <v>0</v>
      </c>
      <c r="AG830" s="29">
        <f t="shared" si="799"/>
        <v>0</v>
      </c>
      <c r="AH830" s="29">
        <f t="shared" si="800"/>
        <v>0</v>
      </c>
      <c r="AI830" s="28" t="s">
        <v>2882</v>
      </c>
      <c r="AJ830" s="15">
        <f t="shared" si="801"/>
        <v>0</v>
      </c>
      <c r="AK830" s="15">
        <f t="shared" si="802"/>
        <v>0</v>
      </c>
      <c r="AL830" s="15">
        <f t="shared" si="803"/>
        <v>0</v>
      </c>
      <c r="AN830" s="29">
        <v>15</v>
      </c>
      <c r="AO830" s="29">
        <f t="shared" si="804"/>
        <v>0</v>
      </c>
      <c r="AP830" s="29">
        <f t="shared" si="805"/>
        <v>0</v>
      </c>
      <c r="AQ830" s="30" t="s">
        <v>7</v>
      </c>
      <c r="AV830" s="29">
        <f t="shared" si="806"/>
        <v>0</v>
      </c>
      <c r="AW830" s="29">
        <f t="shared" si="807"/>
        <v>0</v>
      </c>
      <c r="AX830" s="29">
        <f t="shared" si="808"/>
        <v>0</v>
      </c>
      <c r="AY830" s="32" t="s">
        <v>2928</v>
      </c>
      <c r="AZ830" s="32" t="s">
        <v>2941</v>
      </c>
      <c r="BA830" s="28" t="s">
        <v>2957</v>
      </c>
      <c r="BC830" s="29">
        <f t="shared" si="809"/>
        <v>0</v>
      </c>
      <c r="BD830" s="29">
        <f t="shared" si="810"/>
        <v>0</v>
      </c>
      <c r="BE830" s="29">
        <v>0</v>
      </c>
      <c r="BF830" s="29">
        <f>830</f>
        <v>830</v>
      </c>
      <c r="BH830" s="15">
        <f t="shared" si="811"/>
        <v>0</v>
      </c>
      <c r="BI830" s="15">
        <f t="shared" si="812"/>
        <v>0</v>
      </c>
      <c r="BJ830" s="15">
        <f t="shared" si="813"/>
        <v>0</v>
      </c>
      <c r="BK830" s="15" t="s">
        <v>2969</v>
      </c>
      <c r="BL830" s="29" t="s">
        <v>1711</v>
      </c>
    </row>
    <row r="831" spans="1:64" ht="12.75">
      <c r="A831" s="4" t="s">
        <v>776</v>
      </c>
      <c r="B831" s="94" t="s">
        <v>1740</v>
      </c>
      <c r="C831" s="152" t="s">
        <v>2671</v>
      </c>
      <c r="D831" s="153"/>
      <c r="E831" s="153"/>
      <c r="F831" s="153"/>
      <c r="G831" s="94" t="s">
        <v>2850</v>
      </c>
      <c r="H831" s="73">
        <v>1</v>
      </c>
      <c r="I831" s="105">
        <v>0</v>
      </c>
      <c r="J831" s="15">
        <f t="shared" si="790"/>
        <v>0</v>
      </c>
      <c r="K831" s="15">
        <f t="shared" si="791"/>
        <v>0</v>
      </c>
      <c r="L831" s="15">
        <f t="shared" si="792"/>
        <v>0</v>
      </c>
      <c r="M831" s="25"/>
      <c r="N831" s="5"/>
      <c r="Z831" s="29">
        <f t="shared" si="793"/>
        <v>0</v>
      </c>
      <c r="AB831" s="29">
        <f t="shared" si="794"/>
        <v>0</v>
      </c>
      <c r="AC831" s="29">
        <f t="shared" si="795"/>
        <v>0</v>
      </c>
      <c r="AD831" s="29">
        <f t="shared" si="796"/>
        <v>0</v>
      </c>
      <c r="AE831" s="29">
        <f t="shared" si="797"/>
        <v>0</v>
      </c>
      <c r="AF831" s="29">
        <f t="shared" si="798"/>
        <v>0</v>
      </c>
      <c r="AG831" s="29">
        <f t="shared" si="799"/>
        <v>0</v>
      </c>
      <c r="AH831" s="29">
        <f t="shared" si="800"/>
        <v>0</v>
      </c>
      <c r="AI831" s="28" t="s">
        <v>2882</v>
      </c>
      <c r="AJ831" s="15">
        <f t="shared" si="801"/>
        <v>0</v>
      </c>
      <c r="AK831" s="15">
        <f t="shared" si="802"/>
        <v>0</v>
      </c>
      <c r="AL831" s="15">
        <f t="shared" si="803"/>
        <v>0</v>
      </c>
      <c r="AN831" s="29">
        <v>15</v>
      </c>
      <c r="AO831" s="29">
        <f t="shared" si="804"/>
        <v>0</v>
      </c>
      <c r="AP831" s="29">
        <f t="shared" si="805"/>
        <v>0</v>
      </c>
      <c r="AQ831" s="30" t="s">
        <v>7</v>
      </c>
      <c r="AV831" s="29">
        <f t="shared" si="806"/>
        <v>0</v>
      </c>
      <c r="AW831" s="29">
        <f t="shared" si="807"/>
        <v>0</v>
      </c>
      <c r="AX831" s="29">
        <f t="shared" si="808"/>
        <v>0</v>
      </c>
      <c r="AY831" s="32" t="s">
        <v>2928</v>
      </c>
      <c r="AZ831" s="32" t="s">
        <v>2941</v>
      </c>
      <c r="BA831" s="28" t="s">
        <v>2957</v>
      </c>
      <c r="BC831" s="29">
        <f t="shared" si="809"/>
        <v>0</v>
      </c>
      <c r="BD831" s="29">
        <f t="shared" si="810"/>
        <v>0</v>
      </c>
      <c r="BE831" s="29">
        <v>0</v>
      </c>
      <c r="BF831" s="29">
        <f>831</f>
        <v>831</v>
      </c>
      <c r="BH831" s="15">
        <f t="shared" si="811"/>
        <v>0</v>
      </c>
      <c r="BI831" s="15">
        <f t="shared" si="812"/>
        <v>0</v>
      </c>
      <c r="BJ831" s="15">
        <f t="shared" si="813"/>
        <v>0</v>
      </c>
      <c r="BK831" s="15" t="s">
        <v>2969</v>
      </c>
      <c r="BL831" s="29" t="s">
        <v>1711</v>
      </c>
    </row>
    <row r="832" spans="1:64" ht="12.75">
      <c r="A832" s="4" t="s">
        <v>777</v>
      </c>
      <c r="B832" s="94" t="s">
        <v>1741</v>
      </c>
      <c r="C832" s="152" t="s">
        <v>2671</v>
      </c>
      <c r="D832" s="153"/>
      <c r="E832" s="153"/>
      <c r="F832" s="153"/>
      <c r="G832" s="94" t="s">
        <v>2850</v>
      </c>
      <c r="H832" s="73">
        <v>1</v>
      </c>
      <c r="I832" s="105">
        <v>0</v>
      </c>
      <c r="J832" s="15">
        <f t="shared" si="790"/>
        <v>0</v>
      </c>
      <c r="K832" s="15">
        <f t="shared" si="791"/>
        <v>0</v>
      </c>
      <c r="L832" s="15">
        <f t="shared" si="792"/>
        <v>0</v>
      </c>
      <c r="M832" s="25"/>
      <c r="N832" s="5"/>
      <c r="Z832" s="29">
        <f t="shared" si="793"/>
        <v>0</v>
      </c>
      <c r="AB832" s="29">
        <f t="shared" si="794"/>
        <v>0</v>
      </c>
      <c r="AC832" s="29">
        <f t="shared" si="795"/>
        <v>0</v>
      </c>
      <c r="AD832" s="29">
        <f t="shared" si="796"/>
        <v>0</v>
      </c>
      <c r="AE832" s="29">
        <f t="shared" si="797"/>
        <v>0</v>
      </c>
      <c r="AF832" s="29">
        <f t="shared" si="798"/>
        <v>0</v>
      </c>
      <c r="AG832" s="29">
        <f t="shared" si="799"/>
        <v>0</v>
      </c>
      <c r="AH832" s="29">
        <f t="shared" si="800"/>
        <v>0</v>
      </c>
      <c r="AI832" s="28" t="s">
        <v>2882</v>
      </c>
      <c r="AJ832" s="15">
        <f t="shared" si="801"/>
        <v>0</v>
      </c>
      <c r="AK832" s="15">
        <f t="shared" si="802"/>
        <v>0</v>
      </c>
      <c r="AL832" s="15">
        <f t="shared" si="803"/>
        <v>0</v>
      </c>
      <c r="AN832" s="29">
        <v>15</v>
      </c>
      <c r="AO832" s="29">
        <f t="shared" si="804"/>
        <v>0</v>
      </c>
      <c r="AP832" s="29">
        <f t="shared" si="805"/>
        <v>0</v>
      </c>
      <c r="AQ832" s="30" t="s">
        <v>7</v>
      </c>
      <c r="AV832" s="29">
        <f t="shared" si="806"/>
        <v>0</v>
      </c>
      <c r="AW832" s="29">
        <f t="shared" si="807"/>
        <v>0</v>
      </c>
      <c r="AX832" s="29">
        <f t="shared" si="808"/>
        <v>0</v>
      </c>
      <c r="AY832" s="32" t="s">
        <v>2928</v>
      </c>
      <c r="AZ832" s="32" t="s">
        <v>2941</v>
      </c>
      <c r="BA832" s="28" t="s">
        <v>2957</v>
      </c>
      <c r="BC832" s="29">
        <f t="shared" si="809"/>
        <v>0</v>
      </c>
      <c r="BD832" s="29">
        <f t="shared" si="810"/>
        <v>0</v>
      </c>
      <c r="BE832" s="29">
        <v>0</v>
      </c>
      <c r="BF832" s="29">
        <f>832</f>
        <v>832</v>
      </c>
      <c r="BH832" s="15">
        <f t="shared" si="811"/>
        <v>0</v>
      </c>
      <c r="BI832" s="15">
        <f t="shared" si="812"/>
        <v>0</v>
      </c>
      <c r="BJ832" s="15">
        <f t="shared" si="813"/>
        <v>0</v>
      </c>
      <c r="BK832" s="15" t="s">
        <v>2969</v>
      </c>
      <c r="BL832" s="29" t="s">
        <v>1711</v>
      </c>
    </row>
    <row r="833" spans="1:64" ht="12.75">
      <c r="A833" s="4" t="s">
        <v>778</v>
      </c>
      <c r="B833" s="94" t="s">
        <v>1742</v>
      </c>
      <c r="C833" s="152" t="s">
        <v>2672</v>
      </c>
      <c r="D833" s="153"/>
      <c r="E833" s="153"/>
      <c r="F833" s="153"/>
      <c r="G833" s="94" t="s">
        <v>2850</v>
      </c>
      <c r="H833" s="73">
        <v>1</v>
      </c>
      <c r="I833" s="105">
        <v>0</v>
      </c>
      <c r="J833" s="15">
        <f t="shared" si="790"/>
        <v>0</v>
      </c>
      <c r="K833" s="15">
        <f t="shared" si="791"/>
        <v>0</v>
      </c>
      <c r="L833" s="15">
        <f t="shared" si="792"/>
        <v>0</v>
      </c>
      <c r="M833" s="25"/>
      <c r="N833" s="5"/>
      <c r="Z833" s="29">
        <f t="shared" si="793"/>
        <v>0</v>
      </c>
      <c r="AB833" s="29">
        <f t="shared" si="794"/>
        <v>0</v>
      </c>
      <c r="AC833" s="29">
        <f t="shared" si="795"/>
        <v>0</v>
      </c>
      <c r="AD833" s="29">
        <f t="shared" si="796"/>
        <v>0</v>
      </c>
      <c r="AE833" s="29">
        <f t="shared" si="797"/>
        <v>0</v>
      </c>
      <c r="AF833" s="29">
        <f t="shared" si="798"/>
        <v>0</v>
      </c>
      <c r="AG833" s="29">
        <f t="shared" si="799"/>
        <v>0</v>
      </c>
      <c r="AH833" s="29">
        <f t="shared" si="800"/>
        <v>0</v>
      </c>
      <c r="AI833" s="28" t="s">
        <v>2882</v>
      </c>
      <c r="AJ833" s="15">
        <f t="shared" si="801"/>
        <v>0</v>
      </c>
      <c r="AK833" s="15">
        <f t="shared" si="802"/>
        <v>0</v>
      </c>
      <c r="AL833" s="15">
        <f t="shared" si="803"/>
        <v>0</v>
      </c>
      <c r="AN833" s="29">
        <v>15</v>
      </c>
      <c r="AO833" s="29">
        <f t="shared" si="804"/>
        <v>0</v>
      </c>
      <c r="AP833" s="29">
        <f t="shared" si="805"/>
        <v>0</v>
      </c>
      <c r="AQ833" s="30" t="s">
        <v>7</v>
      </c>
      <c r="AV833" s="29">
        <f t="shared" si="806"/>
        <v>0</v>
      </c>
      <c r="AW833" s="29">
        <f t="shared" si="807"/>
        <v>0</v>
      </c>
      <c r="AX833" s="29">
        <f t="shared" si="808"/>
        <v>0</v>
      </c>
      <c r="AY833" s="32" t="s">
        <v>2928</v>
      </c>
      <c r="AZ833" s="32" t="s">
        <v>2941</v>
      </c>
      <c r="BA833" s="28" t="s">
        <v>2957</v>
      </c>
      <c r="BC833" s="29">
        <f t="shared" si="809"/>
        <v>0</v>
      </c>
      <c r="BD833" s="29">
        <f t="shared" si="810"/>
        <v>0</v>
      </c>
      <c r="BE833" s="29">
        <v>0</v>
      </c>
      <c r="BF833" s="29">
        <f>833</f>
        <v>833</v>
      </c>
      <c r="BH833" s="15">
        <f t="shared" si="811"/>
        <v>0</v>
      </c>
      <c r="BI833" s="15">
        <f t="shared" si="812"/>
        <v>0</v>
      </c>
      <c r="BJ833" s="15">
        <f t="shared" si="813"/>
        <v>0</v>
      </c>
      <c r="BK833" s="15" t="s">
        <v>2969</v>
      </c>
      <c r="BL833" s="29" t="s">
        <v>1711</v>
      </c>
    </row>
    <row r="834" spans="1:64" ht="12.75">
      <c r="A834" s="4" t="s">
        <v>779</v>
      </c>
      <c r="B834" s="94" t="s">
        <v>1743</v>
      </c>
      <c r="C834" s="152" t="s">
        <v>2673</v>
      </c>
      <c r="D834" s="153"/>
      <c r="E834" s="153"/>
      <c r="F834" s="153"/>
      <c r="G834" s="94" t="s">
        <v>2850</v>
      </c>
      <c r="H834" s="73">
        <v>1</v>
      </c>
      <c r="I834" s="105">
        <v>0</v>
      </c>
      <c r="J834" s="15">
        <f t="shared" si="790"/>
        <v>0</v>
      </c>
      <c r="K834" s="15">
        <f t="shared" si="791"/>
        <v>0</v>
      </c>
      <c r="L834" s="15">
        <f t="shared" si="792"/>
        <v>0</v>
      </c>
      <c r="M834" s="25"/>
      <c r="N834" s="5"/>
      <c r="Z834" s="29">
        <f t="shared" si="793"/>
        <v>0</v>
      </c>
      <c r="AB834" s="29">
        <f t="shared" si="794"/>
        <v>0</v>
      </c>
      <c r="AC834" s="29">
        <f t="shared" si="795"/>
        <v>0</v>
      </c>
      <c r="AD834" s="29">
        <f t="shared" si="796"/>
        <v>0</v>
      </c>
      <c r="AE834" s="29">
        <f t="shared" si="797"/>
        <v>0</v>
      </c>
      <c r="AF834" s="29">
        <f t="shared" si="798"/>
        <v>0</v>
      </c>
      <c r="AG834" s="29">
        <f t="shared" si="799"/>
        <v>0</v>
      </c>
      <c r="AH834" s="29">
        <f t="shared" si="800"/>
        <v>0</v>
      </c>
      <c r="AI834" s="28" t="s">
        <v>2882</v>
      </c>
      <c r="AJ834" s="15">
        <f t="shared" si="801"/>
        <v>0</v>
      </c>
      <c r="AK834" s="15">
        <f t="shared" si="802"/>
        <v>0</v>
      </c>
      <c r="AL834" s="15">
        <f t="shared" si="803"/>
        <v>0</v>
      </c>
      <c r="AN834" s="29">
        <v>15</v>
      </c>
      <c r="AO834" s="29">
        <f t="shared" si="804"/>
        <v>0</v>
      </c>
      <c r="AP834" s="29">
        <f t="shared" si="805"/>
        <v>0</v>
      </c>
      <c r="AQ834" s="30" t="s">
        <v>7</v>
      </c>
      <c r="AV834" s="29">
        <f t="shared" si="806"/>
        <v>0</v>
      </c>
      <c r="AW834" s="29">
        <f t="shared" si="807"/>
        <v>0</v>
      </c>
      <c r="AX834" s="29">
        <f t="shared" si="808"/>
        <v>0</v>
      </c>
      <c r="AY834" s="32" t="s">
        <v>2928</v>
      </c>
      <c r="AZ834" s="32" t="s">
        <v>2941</v>
      </c>
      <c r="BA834" s="28" t="s">
        <v>2957</v>
      </c>
      <c r="BC834" s="29">
        <f t="shared" si="809"/>
        <v>0</v>
      </c>
      <c r="BD834" s="29">
        <f t="shared" si="810"/>
        <v>0</v>
      </c>
      <c r="BE834" s="29">
        <v>0</v>
      </c>
      <c r="BF834" s="29">
        <f>834</f>
        <v>834</v>
      </c>
      <c r="BH834" s="15">
        <f t="shared" si="811"/>
        <v>0</v>
      </c>
      <c r="BI834" s="15">
        <f t="shared" si="812"/>
        <v>0</v>
      </c>
      <c r="BJ834" s="15">
        <f t="shared" si="813"/>
        <v>0</v>
      </c>
      <c r="BK834" s="15" t="s">
        <v>2969</v>
      </c>
      <c r="BL834" s="29" t="s">
        <v>1711</v>
      </c>
    </row>
    <row r="835" spans="1:64" ht="12.75">
      <c r="A835" s="4" t="s">
        <v>780</v>
      </c>
      <c r="B835" s="94" t="s">
        <v>1662</v>
      </c>
      <c r="C835" s="152" t="s">
        <v>2605</v>
      </c>
      <c r="D835" s="153"/>
      <c r="E835" s="153"/>
      <c r="F835" s="153"/>
      <c r="G835" s="94" t="s">
        <v>2850</v>
      </c>
      <c r="H835" s="73">
        <v>1</v>
      </c>
      <c r="I835" s="105">
        <v>0</v>
      </c>
      <c r="J835" s="15">
        <f t="shared" si="790"/>
        <v>0</v>
      </c>
      <c r="K835" s="15">
        <f t="shared" si="791"/>
        <v>0</v>
      </c>
      <c r="L835" s="15">
        <f t="shared" si="792"/>
        <v>0</v>
      </c>
      <c r="M835" s="25"/>
      <c r="N835" s="5"/>
      <c r="Z835" s="29">
        <f t="shared" si="793"/>
        <v>0</v>
      </c>
      <c r="AB835" s="29">
        <f t="shared" si="794"/>
        <v>0</v>
      </c>
      <c r="AC835" s="29">
        <f t="shared" si="795"/>
        <v>0</v>
      </c>
      <c r="AD835" s="29">
        <f t="shared" si="796"/>
        <v>0</v>
      </c>
      <c r="AE835" s="29">
        <f t="shared" si="797"/>
        <v>0</v>
      </c>
      <c r="AF835" s="29">
        <f t="shared" si="798"/>
        <v>0</v>
      </c>
      <c r="AG835" s="29">
        <f t="shared" si="799"/>
        <v>0</v>
      </c>
      <c r="AH835" s="29">
        <f t="shared" si="800"/>
        <v>0</v>
      </c>
      <c r="AI835" s="28" t="s">
        <v>2882</v>
      </c>
      <c r="AJ835" s="15">
        <f t="shared" si="801"/>
        <v>0</v>
      </c>
      <c r="AK835" s="15">
        <f t="shared" si="802"/>
        <v>0</v>
      </c>
      <c r="AL835" s="15">
        <f t="shared" si="803"/>
        <v>0</v>
      </c>
      <c r="AN835" s="29">
        <v>15</v>
      </c>
      <c r="AO835" s="29">
        <f t="shared" si="804"/>
        <v>0</v>
      </c>
      <c r="AP835" s="29">
        <f t="shared" si="805"/>
        <v>0</v>
      </c>
      <c r="AQ835" s="30" t="s">
        <v>7</v>
      </c>
      <c r="AV835" s="29">
        <f t="shared" si="806"/>
        <v>0</v>
      </c>
      <c r="AW835" s="29">
        <f t="shared" si="807"/>
        <v>0</v>
      </c>
      <c r="AX835" s="29">
        <f t="shared" si="808"/>
        <v>0</v>
      </c>
      <c r="AY835" s="32" t="s">
        <v>2928</v>
      </c>
      <c r="AZ835" s="32" t="s">
        <v>2941</v>
      </c>
      <c r="BA835" s="28" t="s">
        <v>2957</v>
      </c>
      <c r="BC835" s="29">
        <f t="shared" si="809"/>
        <v>0</v>
      </c>
      <c r="BD835" s="29">
        <f t="shared" si="810"/>
        <v>0</v>
      </c>
      <c r="BE835" s="29">
        <v>0</v>
      </c>
      <c r="BF835" s="29">
        <f>835</f>
        <v>835</v>
      </c>
      <c r="BH835" s="15">
        <f t="shared" si="811"/>
        <v>0</v>
      </c>
      <c r="BI835" s="15">
        <f t="shared" si="812"/>
        <v>0</v>
      </c>
      <c r="BJ835" s="15">
        <f t="shared" si="813"/>
        <v>0</v>
      </c>
      <c r="BK835" s="15" t="s">
        <v>2969</v>
      </c>
      <c r="BL835" s="29" t="s">
        <v>1711</v>
      </c>
    </row>
    <row r="836" spans="1:64" ht="12.75">
      <c r="A836" s="4" t="s">
        <v>781</v>
      </c>
      <c r="B836" s="94" t="s">
        <v>1702</v>
      </c>
      <c r="C836" s="152" t="s">
        <v>2674</v>
      </c>
      <c r="D836" s="153"/>
      <c r="E836" s="153"/>
      <c r="F836" s="153"/>
      <c r="G836" s="94" t="s">
        <v>2852</v>
      </c>
      <c r="H836" s="73">
        <v>50</v>
      </c>
      <c r="I836" s="105">
        <v>0</v>
      </c>
      <c r="J836" s="15">
        <f t="shared" si="790"/>
        <v>0</v>
      </c>
      <c r="K836" s="15">
        <f t="shared" si="791"/>
        <v>0</v>
      </c>
      <c r="L836" s="15">
        <f t="shared" si="792"/>
        <v>0</v>
      </c>
      <c r="M836" s="25"/>
      <c r="N836" s="5"/>
      <c r="Z836" s="29">
        <f t="shared" si="793"/>
        <v>0</v>
      </c>
      <c r="AB836" s="29">
        <f t="shared" si="794"/>
        <v>0</v>
      </c>
      <c r="AC836" s="29">
        <f t="shared" si="795"/>
        <v>0</v>
      </c>
      <c r="AD836" s="29">
        <f t="shared" si="796"/>
        <v>0</v>
      </c>
      <c r="AE836" s="29">
        <f t="shared" si="797"/>
        <v>0</v>
      </c>
      <c r="AF836" s="29">
        <f t="shared" si="798"/>
        <v>0</v>
      </c>
      <c r="AG836" s="29">
        <f t="shared" si="799"/>
        <v>0</v>
      </c>
      <c r="AH836" s="29">
        <f t="shared" si="800"/>
        <v>0</v>
      </c>
      <c r="AI836" s="28" t="s">
        <v>2882</v>
      </c>
      <c r="AJ836" s="15">
        <f t="shared" si="801"/>
        <v>0</v>
      </c>
      <c r="AK836" s="15">
        <f t="shared" si="802"/>
        <v>0</v>
      </c>
      <c r="AL836" s="15">
        <f t="shared" si="803"/>
        <v>0</v>
      </c>
      <c r="AN836" s="29">
        <v>15</v>
      </c>
      <c r="AO836" s="29">
        <f t="shared" si="804"/>
        <v>0</v>
      </c>
      <c r="AP836" s="29">
        <f t="shared" si="805"/>
        <v>0</v>
      </c>
      <c r="AQ836" s="30" t="s">
        <v>7</v>
      </c>
      <c r="AV836" s="29">
        <f t="shared" si="806"/>
        <v>0</v>
      </c>
      <c r="AW836" s="29">
        <f t="shared" si="807"/>
        <v>0</v>
      </c>
      <c r="AX836" s="29">
        <f t="shared" si="808"/>
        <v>0</v>
      </c>
      <c r="AY836" s="32" t="s">
        <v>2928</v>
      </c>
      <c r="AZ836" s="32" t="s">
        <v>2941</v>
      </c>
      <c r="BA836" s="28" t="s">
        <v>2957</v>
      </c>
      <c r="BC836" s="29">
        <f t="shared" si="809"/>
        <v>0</v>
      </c>
      <c r="BD836" s="29">
        <f t="shared" si="810"/>
        <v>0</v>
      </c>
      <c r="BE836" s="29">
        <v>0</v>
      </c>
      <c r="BF836" s="29">
        <f>836</f>
        <v>836</v>
      </c>
      <c r="BH836" s="15">
        <f t="shared" si="811"/>
        <v>0</v>
      </c>
      <c r="BI836" s="15">
        <f t="shared" si="812"/>
        <v>0</v>
      </c>
      <c r="BJ836" s="15">
        <f t="shared" si="813"/>
        <v>0</v>
      </c>
      <c r="BK836" s="15" t="s">
        <v>2969</v>
      </c>
      <c r="BL836" s="29" t="s">
        <v>1711</v>
      </c>
    </row>
    <row r="837" spans="1:64" ht="12.75">
      <c r="A837" s="4" t="s">
        <v>782</v>
      </c>
      <c r="B837" s="94" t="s">
        <v>1703</v>
      </c>
      <c r="C837" s="152" t="s">
        <v>2674</v>
      </c>
      <c r="D837" s="153"/>
      <c r="E837" s="153"/>
      <c r="F837" s="153"/>
      <c r="G837" s="94" t="s">
        <v>2850</v>
      </c>
      <c r="H837" s="73">
        <v>1</v>
      </c>
      <c r="I837" s="105">
        <v>0</v>
      </c>
      <c r="J837" s="15">
        <f t="shared" si="790"/>
        <v>0</v>
      </c>
      <c r="K837" s="15">
        <f t="shared" si="791"/>
        <v>0</v>
      </c>
      <c r="L837" s="15">
        <f t="shared" si="792"/>
        <v>0</v>
      </c>
      <c r="M837" s="25"/>
      <c r="N837" s="5"/>
      <c r="Z837" s="29">
        <f t="shared" si="793"/>
        <v>0</v>
      </c>
      <c r="AB837" s="29">
        <f t="shared" si="794"/>
        <v>0</v>
      </c>
      <c r="AC837" s="29">
        <f t="shared" si="795"/>
        <v>0</v>
      </c>
      <c r="AD837" s="29">
        <f t="shared" si="796"/>
        <v>0</v>
      </c>
      <c r="AE837" s="29">
        <f t="shared" si="797"/>
        <v>0</v>
      </c>
      <c r="AF837" s="29">
        <f t="shared" si="798"/>
        <v>0</v>
      </c>
      <c r="AG837" s="29">
        <f t="shared" si="799"/>
        <v>0</v>
      </c>
      <c r="AH837" s="29">
        <f t="shared" si="800"/>
        <v>0</v>
      </c>
      <c r="AI837" s="28" t="s">
        <v>2882</v>
      </c>
      <c r="AJ837" s="15">
        <f t="shared" si="801"/>
        <v>0</v>
      </c>
      <c r="AK837" s="15">
        <f t="shared" si="802"/>
        <v>0</v>
      </c>
      <c r="AL837" s="15">
        <f t="shared" si="803"/>
        <v>0</v>
      </c>
      <c r="AN837" s="29">
        <v>15</v>
      </c>
      <c r="AO837" s="29">
        <f t="shared" si="804"/>
        <v>0</v>
      </c>
      <c r="AP837" s="29">
        <f t="shared" si="805"/>
        <v>0</v>
      </c>
      <c r="AQ837" s="30" t="s">
        <v>7</v>
      </c>
      <c r="AV837" s="29">
        <f t="shared" si="806"/>
        <v>0</v>
      </c>
      <c r="AW837" s="29">
        <f t="shared" si="807"/>
        <v>0</v>
      </c>
      <c r="AX837" s="29">
        <f t="shared" si="808"/>
        <v>0</v>
      </c>
      <c r="AY837" s="32" t="s">
        <v>2928</v>
      </c>
      <c r="AZ837" s="32" t="s">
        <v>2941</v>
      </c>
      <c r="BA837" s="28" t="s">
        <v>2957</v>
      </c>
      <c r="BC837" s="29">
        <f t="shared" si="809"/>
        <v>0</v>
      </c>
      <c r="BD837" s="29">
        <f t="shared" si="810"/>
        <v>0</v>
      </c>
      <c r="BE837" s="29">
        <v>0</v>
      </c>
      <c r="BF837" s="29">
        <f>837</f>
        <v>837</v>
      </c>
      <c r="BH837" s="15">
        <f t="shared" si="811"/>
        <v>0</v>
      </c>
      <c r="BI837" s="15">
        <f t="shared" si="812"/>
        <v>0</v>
      </c>
      <c r="BJ837" s="15">
        <f t="shared" si="813"/>
        <v>0</v>
      </c>
      <c r="BK837" s="15" t="s">
        <v>2969</v>
      </c>
      <c r="BL837" s="29" t="s">
        <v>1711</v>
      </c>
    </row>
    <row r="838" spans="1:64" ht="12.75">
      <c r="A838" s="4" t="s">
        <v>783</v>
      </c>
      <c r="B838" s="94" t="s">
        <v>1704</v>
      </c>
      <c r="C838" s="152" t="s">
        <v>2675</v>
      </c>
      <c r="D838" s="153"/>
      <c r="E838" s="153"/>
      <c r="F838" s="153"/>
      <c r="G838" s="94" t="s">
        <v>2856</v>
      </c>
      <c r="H838" s="73">
        <v>1</v>
      </c>
      <c r="I838" s="105">
        <v>0</v>
      </c>
      <c r="J838" s="15">
        <f t="shared" si="790"/>
        <v>0</v>
      </c>
      <c r="K838" s="15">
        <f t="shared" si="791"/>
        <v>0</v>
      </c>
      <c r="L838" s="15">
        <f t="shared" si="792"/>
        <v>0</v>
      </c>
      <c r="M838" s="25"/>
      <c r="N838" s="5"/>
      <c r="Z838" s="29">
        <f t="shared" si="793"/>
        <v>0</v>
      </c>
      <c r="AB838" s="29">
        <f t="shared" si="794"/>
        <v>0</v>
      </c>
      <c r="AC838" s="29">
        <f t="shared" si="795"/>
        <v>0</v>
      </c>
      <c r="AD838" s="29">
        <f t="shared" si="796"/>
        <v>0</v>
      </c>
      <c r="AE838" s="29">
        <f t="shared" si="797"/>
        <v>0</v>
      </c>
      <c r="AF838" s="29">
        <f t="shared" si="798"/>
        <v>0</v>
      </c>
      <c r="AG838" s="29">
        <f t="shared" si="799"/>
        <v>0</v>
      </c>
      <c r="AH838" s="29">
        <f t="shared" si="800"/>
        <v>0</v>
      </c>
      <c r="AI838" s="28" t="s">
        <v>2882</v>
      </c>
      <c r="AJ838" s="15">
        <f t="shared" si="801"/>
        <v>0</v>
      </c>
      <c r="AK838" s="15">
        <f t="shared" si="802"/>
        <v>0</v>
      </c>
      <c r="AL838" s="15">
        <f t="shared" si="803"/>
        <v>0</v>
      </c>
      <c r="AN838" s="29">
        <v>15</v>
      </c>
      <c r="AO838" s="29">
        <f t="shared" si="804"/>
        <v>0</v>
      </c>
      <c r="AP838" s="29">
        <f t="shared" si="805"/>
        <v>0</v>
      </c>
      <c r="AQ838" s="30" t="s">
        <v>7</v>
      </c>
      <c r="AV838" s="29">
        <f t="shared" si="806"/>
        <v>0</v>
      </c>
      <c r="AW838" s="29">
        <f t="shared" si="807"/>
        <v>0</v>
      </c>
      <c r="AX838" s="29">
        <f t="shared" si="808"/>
        <v>0</v>
      </c>
      <c r="AY838" s="32" t="s">
        <v>2928</v>
      </c>
      <c r="AZ838" s="32" t="s">
        <v>2941</v>
      </c>
      <c r="BA838" s="28" t="s">
        <v>2957</v>
      </c>
      <c r="BC838" s="29">
        <f t="shared" si="809"/>
        <v>0</v>
      </c>
      <c r="BD838" s="29">
        <f t="shared" si="810"/>
        <v>0</v>
      </c>
      <c r="BE838" s="29">
        <v>0</v>
      </c>
      <c r="BF838" s="29">
        <f>838</f>
        <v>838</v>
      </c>
      <c r="BH838" s="15">
        <f t="shared" si="811"/>
        <v>0</v>
      </c>
      <c r="BI838" s="15">
        <f t="shared" si="812"/>
        <v>0</v>
      </c>
      <c r="BJ838" s="15">
        <f t="shared" si="813"/>
        <v>0</v>
      </c>
      <c r="BK838" s="15" t="s">
        <v>2969</v>
      </c>
      <c r="BL838" s="29" t="s">
        <v>1711</v>
      </c>
    </row>
    <row r="839" spans="1:64" ht="12.75">
      <c r="A839" s="4" t="s">
        <v>784</v>
      </c>
      <c r="B839" s="94" t="s">
        <v>1706</v>
      </c>
      <c r="C839" s="152" t="s">
        <v>2639</v>
      </c>
      <c r="D839" s="153"/>
      <c r="E839" s="153"/>
      <c r="F839" s="153"/>
      <c r="G839" s="94" t="s">
        <v>2856</v>
      </c>
      <c r="H839" s="73">
        <v>1</v>
      </c>
      <c r="I839" s="105">
        <v>0</v>
      </c>
      <c r="J839" s="15">
        <f t="shared" si="790"/>
        <v>0</v>
      </c>
      <c r="K839" s="15">
        <f t="shared" si="791"/>
        <v>0</v>
      </c>
      <c r="L839" s="15">
        <f t="shared" si="792"/>
        <v>0</v>
      </c>
      <c r="M839" s="25"/>
      <c r="N839" s="5"/>
      <c r="Z839" s="29">
        <f t="shared" si="793"/>
        <v>0</v>
      </c>
      <c r="AB839" s="29">
        <f t="shared" si="794"/>
        <v>0</v>
      </c>
      <c r="AC839" s="29">
        <f t="shared" si="795"/>
        <v>0</v>
      </c>
      <c r="AD839" s="29">
        <f t="shared" si="796"/>
        <v>0</v>
      </c>
      <c r="AE839" s="29">
        <f t="shared" si="797"/>
        <v>0</v>
      </c>
      <c r="AF839" s="29">
        <f t="shared" si="798"/>
        <v>0</v>
      </c>
      <c r="AG839" s="29">
        <f t="shared" si="799"/>
        <v>0</v>
      </c>
      <c r="AH839" s="29">
        <f t="shared" si="800"/>
        <v>0</v>
      </c>
      <c r="AI839" s="28" t="s">
        <v>2882</v>
      </c>
      <c r="AJ839" s="15">
        <f t="shared" si="801"/>
        <v>0</v>
      </c>
      <c r="AK839" s="15">
        <f t="shared" si="802"/>
        <v>0</v>
      </c>
      <c r="AL839" s="15">
        <f t="shared" si="803"/>
        <v>0</v>
      </c>
      <c r="AN839" s="29">
        <v>15</v>
      </c>
      <c r="AO839" s="29">
        <f t="shared" si="804"/>
        <v>0</v>
      </c>
      <c r="AP839" s="29">
        <f t="shared" si="805"/>
        <v>0</v>
      </c>
      <c r="AQ839" s="30" t="s">
        <v>7</v>
      </c>
      <c r="AV839" s="29">
        <f t="shared" si="806"/>
        <v>0</v>
      </c>
      <c r="AW839" s="29">
        <f t="shared" si="807"/>
        <v>0</v>
      </c>
      <c r="AX839" s="29">
        <f t="shared" si="808"/>
        <v>0</v>
      </c>
      <c r="AY839" s="32" t="s">
        <v>2928</v>
      </c>
      <c r="AZ839" s="32" t="s">
        <v>2941</v>
      </c>
      <c r="BA839" s="28" t="s">
        <v>2957</v>
      </c>
      <c r="BC839" s="29">
        <f t="shared" si="809"/>
        <v>0</v>
      </c>
      <c r="BD839" s="29">
        <f t="shared" si="810"/>
        <v>0</v>
      </c>
      <c r="BE839" s="29">
        <v>0</v>
      </c>
      <c r="BF839" s="29">
        <f>839</f>
        <v>839</v>
      </c>
      <c r="BH839" s="15">
        <f t="shared" si="811"/>
        <v>0</v>
      </c>
      <c r="BI839" s="15">
        <f t="shared" si="812"/>
        <v>0</v>
      </c>
      <c r="BJ839" s="15">
        <f t="shared" si="813"/>
        <v>0</v>
      </c>
      <c r="BK839" s="15" t="s">
        <v>2969</v>
      </c>
      <c r="BL839" s="29" t="s">
        <v>1711</v>
      </c>
    </row>
    <row r="840" spans="1:64" ht="12.75">
      <c r="A840" s="4" t="s">
        <v>785</v>
      </c>
      <c r="B840" s="94" t="s">
        <v>1707</v>
      </c>
      <c r="C840" s="152" t="s">
        <v>2640</v>
      </c>
      <c r="D840" s="153"/>
      <c r="E840" s="153"/>
      <c r="F840" s="153"/>
      <c r="G840" s="94" t="s">
        <v>2856</v>
      </c>
      <c r="H840" s="73">
        <v>1</v>
      </c>
      <c r="I840" s="105">
        <v>0</v>
      </c>
      <c r="J840" s="15">
        <f t="shared" si="790"/>
        <v>0</v>
      </c>
      <c r="K840" s="15">
        <f t="shared" si="791"/>
        <v>0</v>
      </c>
      <c r="L840" s="15">
        <f t="shared" si="792"/>
        <v>0</v>
      </c>
      <c r="M840" s="25"/>
      <c r="N840" s="5"/>
      <c r="Z840" s="29">
        <f t="shared" si="793"/>
        <v>0</v>
      </c>
      <c r="AB840" s="29">
        <f t="shared" si="794"/>
        <v>0</v>
      </c>
      <c r="AC840" s="29">
        <f t="shared" si="795"/>
        <v>0</v>
      </c>
      <c r="AD840" s="29">
        <f t="shared" si="796"/>
        <v>0</v>
      </c>
      <c r="AE840" s="29">
        <f t="shared" si="797"/>
        <v>0</v>
      </c>
      <c r="AF840" s="29">
        <f t="shared" si="798"/>
        <v>0</v>
      </c>
      <c r="AG840" s="29">
        <f t="shared" si="799"/>
        <v>0</v>
      </c>
      <c r="AH840" s="29">
        <f t="shared" si="800"/>
        <v>0</v>
      </c>
      <c r="AI840" s="28" t="s">
        <v>2882</v>
      </c>
      <c r="AJ840" s="15">
        <f t="shared" si="801"/>
        <v>0</v>
      </c>
      <c r="AK840" s="15">
        <f t="shared" si="802"/>
        <v>0</v>
      </c>
      <c r="AL840" s="15">
        <f t="shared" si="803"/>
        <v>0</v>
      </c>
      <c r="AN840" s="29">
        <v>15</v>
      </c>
      <c r="AO840" s="29">
        <f t="shared" si="804"/>
        <v>0</v>
      </c>
      <c r="AP840" s="29">
        <f t="shared" si="805"/>
        <v>0</v>
      </c>
      <c r="AQ840" s="30" t="s">
        <v>7</v>
      </c>
      <c r="AV840" s="29">
        <f t="shared" si="806"/>
        <v>0</v>
      </c>
      <c r="AW840" s="29">
        <f t="shared" si="807"/>
        <v>0</v>
      </c>
      <c r="AX840" s="29">
        <f t="shared" si="808"/>
        <v>0</v>
      </c>
      <c r="AY840" s="32" t="s">
        <v>2928</v>
      </c>
      <c r="AZ840" s="32" t="s">
        <v>2941</v>
      </c>
      <c r="BA840" s="28" t="s">
        <v>2957</v>
      </c>
      <c r="BC840" s="29">
        <f t="shared" si="809"/>
        <v>0</v>
      </c>
      <c r="BD840" s="29">
        <f t="shared" si="810"/>
        <v>0</v>
      </c>
      <c r="BE840" s="29">
        <v>0</v>
      </c>
      <c r="BF840" s="29">
        <f>840</f>
        <v>840</v>
      </c>
      <c r="BH840" s="15">
        <f t="shared" si="811"/>
        <v>0</v>
      </c>
      <c r="BI840" s="15">
        <f t="shared" si="812"/>
        <v>0</v>
      </c>
      <c r="BJ840" s="15">
        <f t="shared" si="813"/>
        <v>0</v>
      </c>
      <c r="BK840" s="15" t="s">
        <v>2969</v>
      </c>
      <c r="BL840" s="29" t="s">
        <v>1711</v>
      </c>
    </row>
    <row r="841" spans="1:64" ht="12.75">
      <c r="A841" s="4" t="s">
        <v>786</v>
      </c>
      <c r="B841" s="94" t="s">
        <v>1744</v>
      </c>
      <c r="C841" s="152" t="s">
        <v>2676</v>
      </c>
      <c r="D841" s="153"/>
      <c r="E841" s="153"/>
      <c r="F841" s="153"/>
      <c r="G841" s="94" t="s">
        <v>2852</v>
      </c>
      <c r="H841" s="73">
        <v>10</v>
      </c>
      <c r="I841" s="105">
        <v>0</v>
      </c>
      <c r="J841" s="15">
        <f t="shared" si="790"/>
        <v>0</v>
      </c>
      <c r="K841" s="15">
        <f t="shared" si="791"/>
        <v>0</v>
      </c>
      <c r="L841" s="15">
        <f t="shared" si="792"/>
        <v>0</v>
      </c>
      <c r="M841" s="25"/>
      <c r="N841" s="5"/>
      <c r="Z841" s="29">
        <f t="shared" si="793"/>
        <v>0</v>
      </c>
      <c r="AB841" s="29">
        <f t="shared" si="794"/>
        <v>0</v>
      </c>
      <c r="AC841" s="29">
        <f t="shared" si="795"/>
        <v>0</v>
      </c>
      <c r="AD841" s="29">
        <f t="shared" si="796"/>
        <v>0</v>
      </c>
      <c r="AE841" s="29">
        <f t="shared" si="797"/>
        <v>0</v>
      </c>
      <c r="AF841" s="29">
        <f t="shared" si="798"/>
        <v>0</v>
      </c>
      <c r="AG841" s="29">
        <f t="shared" si="799"/>
        <v>0</v>
      </c>
      <c r="AH841" s="29">
        <f t="shared" si="800"/>
        <v>0</v>
      </c>
      <c r="AI841" s="28" t="s">
        <v>2882</v>
      </c>
      <c r="AJ841" s="15">
        <f t="shared" si="801"/>
        <v>0</v>
      </c>
      <c r="AK841" s="15">
        <f t="shared" si="802"/>
        <v>0</v>
      </c>
      <c r="AL841" s="15">
        <f t="shared" si="803"/>
        <v>0</v>
      </c>
      <c r="AN841" s="29">
        <v>15</v>
      </c>
      <c r="AO841" s="29">
        <f t="shared" si="804"/>
        <v>0</v>
      </c>
      <c r="AP841" s="29">
        <f t="shared" si="805"/>
        <v>0</v>
      </c>
      <c r="AQ841" s="30" t="s">
        <v>7</v>
      </c>
      <c r="AV841" s="29">
        <f t="shared" si="806"/>
        <v>0</v>
      </c>
      <c r="AW841" s="29">
        <f t="shared" si="807"/>
        <v>0</v>
      </c>
      <c r="AX841" s="29">
        <f t="shared" si="808"/>
        <v>0</v>
      </c>
      <c r="AY841" s="32" t="s">
        <v>2928</v>
      </c>
      <c r="AZ841" s="32" t="s">
        <v>2941</v>
      </c>
      <c r="BA841" s="28" t="s">
        <v>2957</v>
      </c>
      <c r="BC841" s="29">
        <f t="shared" si="809"/>
        <v>0</v>
      </c>
      <c r="BD841" s="29">
        <f t="shared" si="810"/>
        <v>0</v>
      </c>
      <c r="BE841" s="29">
        <v>0</v>
      </c>
      <c r="BF841" s="29">
        <f>841</f>
        <v>841</v>
      </c>
      <c r="BH841" s="15">
        <f t="shared" si="811"/>
        <v>0</v>
      </c>
      <c r="BI841" s="15">
        <f t="shared" si="812"/>
        <v>0</v>
      </c>
      <c r="BJ841" s="15">
        <f t="shared" si="813"/>
        <v>0</v>
      </c>
      <c r="BK841" s="15" t="s">
        <v>2969</v>
      </c>
      <c r="BL841" s="29" t="s">
        <v>1711</v>
      </c>
    </row>
    <row r="842" spans="1:64" ht="12.75">
      <c r="A842" s="4" t="s">
        <v>787</v>
      </c>
      <c r="B842" s="94" t="s">
        <v>1745</v>
      </c>
      <c r="C842" s="152" t="s">
        <v>2676</v>
      </c>
      <c r="D842" s="153"/>
      <c r="E842" s="153"/>
      <c r="F842" s="153"/>
      <c r="G842" s="94" t="s">
        <v>2850</v>
      </c>
      <c r="H842" s="73">
        <v>1</v>
      </c>
      <c r="I842" s="105">
        <v>0</v>
      </c>
      <c r="J842" s="15">
        <f t="shared" si="790"/>
        <v>0</v>
      </c>
      <c r="K842" s="15">
        <f t="shared" si="791"/>
        <v>0</v>
      </c>
      <c r="L842" s="15">
        <f t="shared" si="792"/>
        <v>0</v>
      </c>
      <c r="M842" s="25"/>
      <c r="N842" s="5"/>
      <c r="Z842" s="29">
        <f t="shared" si="793"/>
        <v>0</v>
      </c>
      <c r="AB842" s="29">
        <f t="shared" si="794"/>
        <v>0</v>
      </c>
      <c r="AC842" s="29">
        <f t="shared" si="795"/>
        <v>0</v>
      </c>
      <c r="AD842" s="29">
        <f t="shared" si="796"/>
        <v>0</v>
      </c>
      <c r="AE842" s="29">
        <f t="shared" si="797"/>
        <v>0</v>
      </c>
      <c r="AF842" s="29">
        <f t="shared" si="798"/>
        <v>0</v>
      </c>
      <c r="AG842" s="29">
        <f t="shared" si="799"/>
        <v>0</v>
      </c>
      <c r="AH842" s="29">
        <f t="shared" si="800"/>
        <v>0</v>
      </c>
      <c r="AI842" s="28" t="s">
        <v>2882</v>
      </c>
      <c r="AJ842" s="15">
        <f t="shared" si="801"/>
        <v>0</v>
      </c>
      <c r="AK842" s="15">
        <f t="shared" si="802"/>
        <v>0</v>
      </c>
      <c r="AL842" s="15">
        <f t="shared" si="803"/>
        <v>0</v>
      </c>
      <c r="AN842" s="29">
        <v>15</v>
      </c>
      <c r="AO842" s="29">
        <f t="shared" si="804"/>
        <v>0</v>
      </c>
      <c r="AP842" s="29">
        <f t="shared" si="805"/>
        <v>0</v>
      </c>
      <c r="AQ842" s="30" t="s">
        <v>7</v>
      </c>
      <c r="AV842" s="29">
        <f t="shared" si="806"/>
        <v>0</v>
      </c>
      <c r="AW842" s="29">
        <f t="shared" si="807"/>
        <v>0</v>
      </c>
      <c r="AX842" s="29">
        <f t="shared" si="808"/>
        <v>0</v>
      </c>
      <c r="AY842" s="32" t="s">
        <v>2928</v>
      </c>
      <c r="AZ842" s="32" t="s">
        <v>2941</v>
      </c>
      <c r="BA842" s="28" t="s">
        <v>2957</v>
      </c>
      <c r="BC842" s="29">
        <f t="shared" si="809"/>
        <v>0</v>
      </c>
      <c r="BD842" s="29">
        <f t="shared" si="810"/>
        <v>0</v>
      </c>
      <c r="BE842" s="29">
        <v>0</v>
      </c>
      <c r="BF842" s="29">
        <f>842</f>
        <v>842</v>
      </c>
      <c r="BH842" s="15">
        <f t="shared" si="811"/>
        <v>0</v>
      </c>
      <c r="BI842" s="15">
        <f t="shared" si="812"/>
        <v>0</v>
      </c>
      <c r="BJ842" s="15">
        <f t="shared" si="813"/>
        <v>0</v>
      </c>
      <c r="BK842" s="15" t="s">
        <v>2969</v>
      </c>
      <c r="BL842" s="29" t="s">
        <v>1711</v>
      </c>
    </row>
    <row r="843" spans="1:64" ht="12.75">
      <c r="A843" s="4" t="s">
        <v>788</v>
      </c>
      <c r="B843" s="94" t="s">
        <v>1708</v>
      </c>
      <c r="C843" s="152" t="s">
        <v>2643</v>
      </c>
      <c r="D843" s="153"/>
      <c r="E843" s="153"/>
      <c r="F843" s="153"/>
      <c r="G843" s="94" t="s">
        <v>2852</v>
      </c>
      <c r="H843" s="73">
        <v>20</v>
      </c>
      <c r="I843" s="105">
        <v>0</v>
      </c>
      <c r="J843" s="15">
        <f t="shared" si="790"/>
        <v>0</v>
      </c>
      <c r="K843" s="15">
        <f t="shared" si="791"/>
        <v>0</v>
      </c>
      <c r="L843" s="15">
        <f t="shared" si="792"/>
        <v>0</v>
      </c>
      <c r="M843" s="25"/>
      <c r="N843" s="5"/>
      <c r="Z843" s="29">
        <f t="shared" si="793"/>
        <v>0</v>
      </c>
      <c r="AB843" s="29">
        <f t="shared" si="794"/>
        <v>0</v>
      </c>
      <c r="AC843" s="29">
        <f t="shared" si="795"/>
        <v>0</v>
      </c>
      <c r="AD843" s="29">
        <f t="shared" si="796"/>
        <v>0</v>
      </c>
      <c r="AE843" s="29">
        <f t="shared" si="797"/>
        <v>0</v>
      </c>
      <c r="AF843" s="29">
        <f t="shared" si="798"/>
        <v>0</v>
      </c>
      <c r="AG843" s="29">
        <f t="shared" si="799"/>
        <v>0</v>
      </c>
      <c r="AH843" s="29">
        <f t="shared" si="800"/>
        <v>0</v>
      </c>
      <c r="AI843" s="28" t="s">
        <v>2882</v>
      </c>
      <c r="AJ843" s="15">
        <f t="shared" si="801"/>
        <v>0</v>
      </c>
      <c r="AK843" s="15">
        <f t="shared" si="802"/>
        <v>0</v>
      </c>
      <c r="AL843" s="15">
        <f t="shared" si="803"/>
        <v>0</v>
      </c>
      <c r="AN843" s="29">
        <v>15</v>
      </c>
      <c r="AO843" s="29">
        <f t="shared" si="804"/>
        <v>0</v>
      </c>
      <c r="AP843" s="29">
        <f t="shared" si="805"/>
        <v>0</v>
      </c>
      <c r="AQ843" s="30" t="s">
        <v>7</v>
      </c>
      <c r="AV843" s="29">
        <f t="shared" si="806"/>
        <v>0</v>
      </c>
      <c r="AW843" s="29">
        <f t="shared" si="807"/>
        <v>0</v>
      </c>
      <c r="AX843" s="29">
        <f t="shared" si="808"/>
        <v>0</v>
      </c>
      <c r="AY843" s="32" t="s">
        <v>2928</v>
      </c>
      <c r="AZ843" s="32" t="s">
        <v>2941</v>
      </c>
      <c r="BA843" s="28" t="s">
        <v>2957</v>
      </c>
      <c r="BC843" s="29">
        <f t="shared" si="809"/>
        <v>0</v>
      </c>
      <c r="BD843" s="29">
        <f t="shared" si="810"/>
        <v>0</v>
      </c>
      <c r="BE843" s="29">
        <v>0</v>
      </c>
      <c r="BF843" s="29">
        <f>843</f>
        <v>843</v>
      </c>
      <c r="BH843" s="15">
        <f t="shared" si="811"/>
        <v>0</v>
      </c>
      <c r="BI843" s="15">
        <f t="shared" si="812"/>
        <v>0</v>
      </c>
      <c r="BJ843" s="15">
        <f t="shared" si="813"/>
        <v>0</v>
      </c>
      <c r="BK843" s="15" t="s">
        <v>2969</v>
      </c>
      <c r="BL843" s="29" t="s">
        <v>1711</v>
      </c>
    </row>
    <row r="844" spans="1:64" ht="12.75">
      <c r="A844" s="4" t="s">
        <v>789</v>
      </c>
      <c r="B844" s="94" t="s">
        <v>1709</v>
      </c>
      <c r="C844" s="152" t="s">
        <v>2643</v>
      </c>
      <c r="D844" s="153"/>
      <c r="E844" s="153"/>
      <c r="F844" s="153"/>
      <c r="G844" s="94" t="s">
        <v>2850</v>
      </c>
      <c r="H844" s="73">
        <v>1</v>
      </c>
      <c r="I844" s="105">
        <v>0</v>
      </c>
      <c r="J844" s="15">
        <f t="shared" si="790"/>
        <v>0</v>
      </c>
      <c r="K844" s="15">
        <f t="shared" si="791"/>
        <v>0</v>
      </c>
      <c r="L844" s="15">
        <f t="shared" si="792"/>
        <v>0</v>
      </c>
      <c r="M844" s="25"/>
      <c r="N844" s="5"/>
      <c r="Z844" s="29">
        <f t="shared" si="793"/>
        <v>0</v>
      </c>
      <c r="AB844" s="29">
        <f t="shared" si="794"/>
        <v>0</v>
      </c>
      <c r="AC844" s="29">
        <f t="shared" si="795"/>
        <v>0</v>
      </c>
      <c r="AD844" s="29">
        <f t="shared" si="796"/>
        <v>0</v>
      </c>
      <c r="AE844" s="29">
        <f t="shared" si="797"/>
        <v>0</v>
      </c>
      <c r="AF844" s="29">
        <f t="shared" si="798"/>
        <v>0</v>
      </c>
      <c r="AG844" s="29">
        <f t="shared" si="799"/>
        <v>0</v>
      </c>
      <c r="AH844" s="29">
        <f t="shared" si="800"/>
        <v>0</v>
      </c>
      <c r="AI844" s="28" t="s">
        <v>2882</v>
      </c>
      <c r="AJ844" s="15">
        <f t="shared" si="801"/>
        <v>0</v>
      </c>
      <c r="AK844" s="15">
        <f t="shared" si="802"/>
        <v>0</v>
      </c>
      <c r="AL844" s="15">
        <f t="shared" si="803"/>
        <v>0</v>
      </c>
      <c r="AN844" s="29">
        <v>15</v>
      </c>
      <c r="AO844" s="29">
        <f t="shared" si="804"/>
        <v>0</v>
      </c>
      <c r="AP844" s="29">
        <f t="shared" si="805"/>
        <v>0</v>
      </c>
      <c r="AQ844" s="30" t="s">
        <v>7</v>
      </c>
      <c r="AV844" s="29">
        <f t="shared" si="806"/>
        <v>0</v>
      </c>
      <c r="AW844" s="29">
        <f t="shared" si="807"/>
        <v>0</v>
      </c>
      <c r="AX844" s="29">
        <f t="shared" si="808"/>
        <v>0</v>
      </c>
      <c r="AY844" s="32" t="s">
        <v>2928</v>
      </c>
      <c r="AZ844" s="32" t="s">
        <v>2941</v>
      </c>
      <c r="BA844" s="28" t="s">
        <v>2957</v>
      </c>
      <c r="BC844" s="29">
        <f t="shared" si="809"/>
        <v>0</v>
      </c>
      <c r="BD844" s="29">
        <f t="shared" si="810"/>
        <v>0</v>
      </c>
      <c r="BE844" s="29">
        <v>0</v>
      </c>
      <c r="BF844" s="29">
        <f>844</f>
        <v>844</v>
      </c>
      <c r="BH844" s="15">
        <f t="shared" si="811"/>
        <v>0</v>
      </c>
      <c r="BI844" s="15">
        <f t="shared" si="812"/>
        <v>0</v>
      </c>
      <c r="BJ844" s="15">
        <f t="shared" si="813"/>
        <v>0</v>
      </c>
      <c r="BK844" s="15" t="s">
        <v>2969</v>
      </c>
      <c r="BL844" s="29" t="s">
        <v>1711</v>
      </c>
    </row>
    <row r="845" spans="1:64" ht="12.75">
      <c r="A845" s="4" t="s">
        <v>790</v>
      </c>
      <c r="B845" s="94" t="s">
        <v>1710</v>
      </c>
      <c r="C845" s="152" t="s">
        <v>2644</v>
      </c>
      <c r="D845" s="153"/>
      <c r="E845" s="153"/>
      <c r="F845" s="153"/>
      <c r="G845" s="94" t="s">
        <v>2856</v>
      </c>
      <c r="H845" s="73">
        <v>1</v>
      </c>
      <c r="I845" s="105">
        <v>0</v>
      </c>
      <c r="J845" s="15">
        <f t="shared" si="790"/>
        <v>0</v>
      </c>
      <c r="K845" s="15">
        <f t="shared" si="791"/>
        <v>0</v>
      </c>
      <c r="L845" s="15">
        <f t="shared" si="792"/>
        <v>0</v>
      </c>
      <c r="M845" s="25"/>
      <c r="N845" s="5"/>
      <c r="Z845" s="29">
        <f t="shared" si="793"/>
        <v>0</v>
      </c>
      <c r="AB845" s="29">
        <f t="shared" si="794"/>
        <v>0</v>
      </c>
      <c r="AC845" s="29">
        <f t="shared" si="795"/>
        <v>0</v>
      </c>
      <c r="AD845" s="29">
        <f t="shared" si="796"/>
        <v>0</v>
      </c>
      <c r="AE845" s="29">
        <f t="shared" si="797"/>
        <v>0</v>
      </c>
      <c r="AF845" s="29">
        <f t="shared" si="798"/>
        <v>0</v>
      </c>
      <c r="AG845" s="29">
        <f t="shared" si="799"/>
        <v>0</v>
      </c>
      <c r="AH845" s="29">
        <f t="shared" si="800"/>
        <v>0</v>
      </c>
      <c r="AI845" s="28" t="s">
        <v>2882</v>
      </c>
      <c r="AJ845" s="15">
        <f t="shared" si="801"/>
        <v>0</v>
      </c>
      <c r="AK845" s="15">
        <f t="shared" si="802"/>
        <v>0</v>
      </c>
      <c r="AL845" s="15">
        <f t="shared" si="803"/>
        <v>0</v>
      </c>
      <c r="AN845" s="29">
        <v>15</v>
      </c>
      <c r="AO845" s="29">
        <f t="shared" si="804"/>
        <v>0</v>
      </c>
      <c r="AP845" s="29">
        <f t="shared" si="805"/>
        <v>0</v>
      </c>
      <c r="AQ845" s="30" t="s">
        <v>7</v>
      </c>
      <c r="AV845" s="29">
        <f aca="true" t="shared" si="814" ref="AV845">AW845+AX845</f>
        <v>0</v>
      </c>
      <c r="AW845" s="29">
        <f t="shared" si="807"/>
        <v>0</v>
      </c>
      <c r="AX845" s="29">
        <f t="shared" si="808"/>
        <v>0</v>
      </c>
      <c r="AY845" s="32" t="s">
        <v>2928</v>
      </c>
      <c r="AZ845" s="32" t="s">
        <v>2941</v>
      </c>
      <c r="BA845" s="28" t="s">
        <v>2957</v>
      </c>
      <c r="BC845" s="29">
        <f t="shared" si="809"/>
        <v>0</v>
      </c>
      <c r="BD845" s="29">
        <f aca="true" t="shared" si="815" ref="BD845">I845/(100-BE845)*100</f>
        <v>0</v>
      </c>
      <c r="BE845" s="29">
        <v>0</v>
      </c>
      <c r="BF845" s="29">
        <f>845</f>
        <v>845</v>
      </c>
      <c r="BH845" s="15">
        <f t="shared" si="811"/>
        <v>0</v>
      </c>
      <c r="BI845" s="15">
        <f t="shared" si="812"/>
        <v>0</v>
      </c>
      <c r="BJ845" s="15">
        <f t="shared" si="813"/>
        <v>0</v>
      </c>
      <c r="BK845" s="15" t="s">
        <v>2969</v>
      </c>
      <c r="BL845" s="29" t="s">
        <v>1711</v>
      </c>
    </row>
    <row r="846" spans="1:14" ht="12.75">
      <c r="A846" s="83"/>
      <c r="B846" s="96"/>
      <c r="C846" s="159" t="s">
        <v>2677</v>
      </c>
      <c r="D846" s="160"/>
      <c r="E846" s="160"/>
      <c r="F846" s="160"/>
      <c r="G846" s="84" t="s">
        <v>6</v>
      </c>
      <c r="H846" s="84" t="s">
        <v>6</v>
      </c>
      <c r="I846" s="84" t="s">
        <v>6</v>
      </c>
      <c r="J846" s="85">
        <f>J847+J850+J852+J857+J867+J883+J885</f>
        <v>0</v>
      </c>
      <c r="K846" s="85">
        <f>K847+K850+K852+K857+K867+K883+K885</f>
        <v>0</v>
      </c>
      <c r="L846" s="85">
        <f>L847+L850+L852+L857+L867+L883+L885</f>
        <v>0</v>
      </c>
      <c r="M846" s="86"/>
      <c r="N846" s="5"/>
    </row>
    <row r="847" spans="1:47" ht="12.75">
      <c r="A847" s="3"/>
      <c r="B847" s="97" t="s">
        <v>17</v>
      </c>
      <c r="C847" s="161" t="s">
        <v>2678</v>
      </c>
      <c r="D847" s="162"/>
      <c r="E847" s="162"/>
      <c r="F847" s="162"/>
      <c r="G847" s="13" t="s">
        <v>6</v>
      </c>
      <c r="H847" s="13" t="s">
        <v>6</v>
      </c>
      <c r="I847" s="13" t="s">
        <v>6</v>
      </c>
      <c r="J847" s="34">
        <f>SUM(J848:J849)</f>
        <v>0</v>
      </c>
      <c r="K847" s="34">
        <f>SUM(K848:K849)</f>
        <v>0</v>
      </c>
      <c r="L847" s="34">
        <f>SUM(L848:L849)</f>
        <v>0</v>
      </c>
      <c r="M847" s="24"/>
      <c r="N847" s="5"/>
      <c r="AI847" s="28" t="s">
        <v>2883</v>
      </c>
      <c r="AS847" s="34">
        <f>SUM(AJ848:AJ849)</f>
        <v>0</v>
      </c>
      <c r="AT847" s="34">
        <f>SUM(AK848:AK849)</f>
        <v>0</v>
      </c>
      <c r="AU847" s="34">
        <f>SUM(AL848:AL849)</f>
        <v>0</v>
      </c>
    </row>
    <row r="848" spans="1:64" ht="12.75">
      <c r="A848" s="4" t="s">
        <v>791</v>
      </c>
      <c r="B848" s="94" t="s">
        <v>1746</v>
      </c>
      <c r="C848" s="152" t="s">
        <v>2679</v>
      </c>
      <c r="D848" s="153"/>
      <c r="E848" s="153"/>
      <c r="F848" s="153"/>
      <c r="G848" s="94" t="s">
        <v>2849</v>
      </c>
      <c r="H848" s="73">
        <v>158</v>
      </c>
      <c r="I848" s="105">
        <v>0</v>
      </c>
      <c r="J848" s="15">
        <f>H848*AO848</f>
        <v>0</v>
      </c>
      <c r="K848" s="15">
        <f>H848*AP848</f>
        <v>0</v>
      </c>
      <c r="L848" s="15">
        <f>H848*I848</f>
        <v>0</v>
      </c>
      <c r="M848" s="25" t="s">
        <v>2872</v>
      </c>
      <c r="N848" s="5"/>
      <c r="Z848" s="29">
        <f>IF(AQ848="5",BJ848,0)</f>
        <v>0</v>
      </c>
      <c r="AB848" s="29">
        <f>IF(AQ848="1",BH848,0)</f>
        <v>0</v>
      </c>
      <c r="AC848" s="29">
        <f>IF(AQ848="1",BI848,0)</f>
        <v>0</v>
      </c>
      <c r="AD848" s="29">
        <f>IF(AQ848="7",BH848,0)</f>
        <v>0</v>
      </c>
      <c r="AE848" s="29">
        <f>IF(AQ848="7",BI848,0)</f>
        <v>0</v>
      </c>
      <c r="AF848" s="29">
        <f>IF(AQ848="2",BH848,0)</f>
        <v>0</v>
      </c>
      <c r="AG848" s="29">
        <f>IF(AQ848="2",BI848,0)</f>
        <v>0</v>
      </c>
      <c r="AH848" s="29">
        <f>IF(AQ848="0",BJ848,0)</f>
        <v>0</v>
      </c>
      <c r="AI848" s="28" t="s">
        <v>2883</v>
      </c>
      <c r="AJ848" s="15">
        <f>IF(AN848=0,L848,0)</f>
        <v>0</v>
      </c>
      <c r="AK848" s="15">
        <f>IF(AN848=15,L848,0)</f>
        <v>0</v>
      </c>
      <c r="AL848" s="15">
        <f>IF(AN848=21,L848,0)</f>
        <v>0</v>
      </c>
      <c r="AN848" s="29">
        <v>15</v>
      </c>
      <c r="AO848" s="29">
        <f>I848*0</f>
        <v>0</v>
      </c>
      <c r="AP848" s="29">
        <f>I848*(1-0)</f>
        <v>0</v>
      </c>
      <c r="AQ848" s="30" t="s">
        <v>7</v>
      </c>
      <c r="AV848" s="29">
        <f>AW848+AX848</f>
        <v>0</v>
      </c>
      <c r="AW848" s="29">
        <f>H848*AO848</f>
        <v>0</v>
      </c>
      <c r="AX848" s="29">
        <f>H848*AP848</f>
        <v>0</v>
      </c>
      <c r="AY848" s="32" t="s">
        <v>2929</v>
      </c>
      <c r="AZ848" s="32" t="s">
        <v>2948</v>
      </c>
      <c r="BA848" s="28" t="s">
        <v>2958</v>
      </c>
      <c r="BC848" s="29">
        <f>AW848+AX848</f>
        <v>0</v>
      </c>
      <c r="BD848" s="29">
        <f>I848/(100-BE848)*100</f>
        <v>0</v>
      </c>
      <c r="BE848" s="29">
        <v>0</v>
      </c>
      <c r="BF848" s="29">
        <f>848</f>
        <v>848</v>
      </c>
      <c r="BH848" s="15">
        <f>H848*AO848</f>
        <v>0</v>
      </c>
      <c r="BI848" s="15">
        <f>H848*AP848</f>
        <v>0</v>
      </c>
      <c r="BJ848" s="15">
        <f>H848*I848</f>
        <v>0</v>
      </c>
      <c r="BK848" s="15" t="s">
        <v>2969</v>
      </c>
      <c r="BL848" s="29">
        <v>11</v>
      </c>
    </row>
    <row r="849" spans="1:64" ht="12.75">
      <c r="A849" s="4" t="s">
        <v>792</v>
      </c>
      <c r="B849" s="94" t="s">
        <v>1747</v>
      </c>
      <c r="C849" s="152" t="s">
        <v>2680</v>
      </c>
      <c r="D849" s="153"/>
      <c r="E849" s="153"/>
      <c r="F849" s="153"/>
      <c r="G849" s="94" t="s">
        <v>2849</v>
      </c>
      <c r="H849" s="73">
        <v>158</v>
      </c>
      <c r="I849" s="105">
        <v>0</v>
      </c>
      <c r="J849" s="15">
        <f>H849*AO849</f>
        <v>0</v>
      </c>
      <c r="K849" s="15">
        <f>H849*AP849</f>
        <v>0</v>
      </c>
      <c r="L849" s="15">
        <f>H849*I849</f>
        <v>0</v>
      </c>
      <c r="M849" s="25" t="s">
        <v>2872</v>
      </c>
      <c r="N849" s="5"/>
      <c r="Z849" s="29">
        <f>IF(AQ849="5",BJ849,0)</f>
        <v>0</v>
      </c>
      <c r="AB849" s="29">
        <f>IF(AQ849="1",BH849,0)</f>
        <v>0</v>
      </c>
      <c r="AC849" s="29">
        <f>IF(AQ849="1",BI849,0)</f>
        <v>0</v>
      </c>
      <c r="AD849" s="29">
        <f>IF(AQ849="7",BH849,0)</f>
        <v>0</v>
      </c>
      <c r="AE849" s="29">
        <f>IF(AQ849="7",BI849,0)</f>
        <v>0</v>
      </c>
      <c r="AF849" s="29">
        <f>IF(AQ849="2",BH849,0)</f>
        <v>0</v>
      </c>
      <c r="AG849" s="29">
        <f>IF(AQ849="2",BI849,0)</f>
        <v>0</v>
      </c>
      <c r="AH849" s="29">
        <f>IF(AQ849="0",BJ849,0)</f>
        <v>0</v>
      </c>
      <c r="AI849" s="28" t="s">
        <v>2883</v>
      </c>
      <c r="AJ849" s="15">
        <f>IF(AN849=0,L849,0)</f>
        <v>0</v>
      </c>
      <c r="AK849" s="15">
        <f>IF(AN849=15,L849,0)</f>
        <v>0</v>
      </c>
      <c r="AL849" s="15">
        <f>IF(AN849=21,L849,0)</f>
        <v>0</v>
      </c>
      <c r="AN849" s="29">
        <v>15</v>
      </c>
      <c r="AO849" s="29">
        <f>I849*0</f>
        <v>0</v>
      </c>
      <c r="AP849" s="29">
        <f>I849*(1-0)</f>
        <v>0</v>
      </c>
      <c r="AQ849" s="30" t="s">
        <v>7</v>
      </c>
      <c r="AV849" s="29">
        <f>AW849+AX849</f>
        <v>0</v>
      </c>
      <c r="AW849" s="29">
        <f>H849*AO849</f>
        <v>0</v>
      </c>
      <c r="AX849" s="29">
        <f>H849*AP849</f>
        <v>0</v>
      </c>
      <c r="AY849" s="32" t="s">
        <v>2929</v>
      </c>
      <c r="AZ849" s="32" t="s">
        <v>2948</v>
      </c>
      <c r="BA849" s="28" t="s">
        <v>2958</v>
      </c>
      <c r="BC849" s="29">
        <f>AW849+AX849</f>
        <v>0</v>
      </c>
      <c r="BD849" s="29">
        <f>I849/(100-BE849)*100</f>
        <v>0</v>
      </c>
      <c r="BE849" s="29">
        <v>0</v>
      </c>
      <c r="BF849" s="29">
        <f>849</f>
        <v>849</v>
      </c>
      <c r="BH849" s="15">
        <f>H849*AO849</f>
        <v>0</v>
      </c>
      <c r="BI849" s="15">
        <f>H849*AP849</f>
        <v>0</v>
      </c>
      <c r="BJ849" s="15">
        <f>H849*I849</f>
        <v>0</v>
      </c>
      <c r="BK849" s="15" t="s">
        <v>2969</v>
      </c>
      <c r="BL849" s="29">
        <v>11</v>
      </c>
    </row>
    <row r="850" spans="1:47" ht="12.75">
      <c r="A850" s="3"/>
      <c r="B850" s="97" t="s">
        <v>18</v>
      </c>
      <c r="C850" s="161" t="s">
        <v>1935</v>
      </c>
      <c r="D850" s="162"/>
      <c r="E850" s="162"/>
      <c r="F850" s="162"/>
      <c r="G850" s="13" t="s">
        <v>6</v>
      </c>
      <c r="H850" s="13" t="s">
        <v>6</v>
      </c>
      <c r="I850" s="13" t="s">
        <v>6</v>
      </c>
      <c r="J850" s="34">
        <f>SUM(J851:J851)</f>
        <v>0</v>
      </c>
      <c r="K850" s="34">
        <f>SUM(K851:K851)</f>
        <v>0</v>
      </c>
      <c r="L850" s="34">
        <f>SUM(L851:L851)</f>
        <v>0</v>
      </c>
      <c r="M850" s="24"/>
      <c r="N850" s="5"/>
      <c r="AI850" s="28" t="s">
        <v>2883</v>
      </c>
      <c r="AS850" s="34">
        <f>SUM(AJ851:AJ851)</f>
        <v>0</v>
      </c>
      <c r="AT850" s="34">
        <f>SUM(AK851:AK851)</f>
        <v>0</v>
      </c>
      <c r="AU850" s="34">
        <f>SUM(AL851:AL851)</f>
        <v>0</v>
      </c>
    </row>
    <row r="851" spans="1:64" ht="12.75">
      <c r="A851" s="4" t="s">
        <v>793</v>
      </c>
      <c r="B851" s="94" t="s">
        <v>1748</v>
      </c>
      <c r="C851" s="152" t="s">
        <v>2681</v>
      </c>
      <c r="D851" s="153"/>
      <c r="E851" s="153"/>
      <c r="F851" s="153"/>
      <c r="G851" s="94" t="s">
        <v>2847</v>
      </c>
      <c r="H851" s="73">
        <v>132</v>
      </c>
      <c r="I851" s="105">
        <v>0</v>
      </c>
      <c r="J851" s="15">
        <f>H851*AO851</f>
        <v>0</v>
      </c>
      <c r="K851" s="15">
        <f>H851*AP851</f>
        <v>0</v>
      </c>
      <c r="L851" s="15">
        <f>H851*I851</f>
        <v>0</v>
      </c>
      <c r="M851" s="25" t="s">
        <v>2872</v>
      </c>
      <c r="N851" s="5"/>
      <c r="Z851" s="29">
        <f>IF(AQ851="5",BJ851,0)</f>
        <v>0</v>
      </c>
      <c r="AB851" s="29">
        <f>IF(AQ851="1",BH851,0)</f>
        <v>0</v>
      </c>
      <c r="AC851" s="29">
        <f>IF(AQ851="1",BI851,0)</f>
        <v>0</v>
      </c>
      <c r="AD851" s="29">
        <f>IF(AQ851="7",BH851,0)</f>
        <v>0</v>
      </c>
      <c r="AE851" s="29">
        <f>IF(AQ851="7",BI851,0)</f>
        <v>0</v>
      </c>
      <c r="AF851" s="29">
        <f>IF(AQ851="2",BH851,0)</f>
        <v>0</v>
      </c>
      <c r="AG851" s="29">
        <f>IF(AQ851="2",BI851,0)</f>
        <v>0</v>
      </c>
      <c r="AH851" s="29">
        <f>IF(AQ851="0",BJ851,0)</f>
        <v>0</v>
      </c>
      <c r="AI851" s="28" t="s">
        <v>2883</v>
      </c>
      <c r="AJ851" s="15">
        <f>IF(AN851=0,L851,0)</f>
        <v>0</v>
      </c>
      <c r="AK851" s="15">
        <f>IF(AN851=15,L851,0)</f>
        <v>0</v>
      </c>
      <c r="AL851" s="15">
        <f>IF(AN851=21,L851,0)</f>
        <v>0</v>
      </c>
      <c r="AN851" s="29">
        <v>15</v>
      </c>
      <c r="AO851" s="29">
        <f>I851*0</f>
        <v>0</v>
      </c>
      <c r="AP851" s="29">
        <f>I851*(1-0)</f>
        <v>0</v>
      </c>
      <c r="AQ851" s="30" t="s">
        <v>7</v>
      </c>
      <c r="AV851" s="29">
        <f>AW851+AX851</f>
        <v>0</v>
      </c>
      <c r="AW851" s="29">
        <f>H851*AO851</f>
        <v>0</v>
      </c>
      <c r="AX851" s="29">
        <f>H851*AP851</f>
        <v>0</v>
      </c>
      <c r="AY851" s="32" t="s">
        <v>2890</v>
      </c>
      <c r="AZ851" s="32" t="s">
        <v>2948</v>
      </c>
      <c r="BA851" s="28" t="s">
        <v>2958</v>
      </c>
      <c r="BC851" s="29">
        <f>AW851+AX851</f>
        <v>0</v>
      </c>
      <c r="BD851" s="29">
        <f>I851/(100-BE851)*100</f>
        <v>0</v>
      </c>
      <c r="BE851" s="29">
        <v>0</v>
      </c>
      <c r="BF851" s="29">
        <f>851</f>
        <v>851</v>
      </c>
      <c r="BH851" s="15">
        <f>H851*AO851</f>
        <v>0</v>
      </c>
      <c r="BI851" s="15">
        <f>H851*AP851</f>
        <v>0</v>
      </c>
      <c r="BJ851" s="15">
        <f>H851*I851</f>
        <v>0</v>
      </c>
      <c r="BK851" s="15" t="s">
        <v>2969</v>
      </c>
      <c r="BL851" s="29">
        <v>12</v>
      </c>
    </row>
    <row r="852" spans="1:47" ht="12.75">
      <c r="A852" s="3"/>
      <c r="B852" s="97" t="s">
        <v>62</v>
      </c>
      <c r="C852" s="161" t="s">
        <v>2682</v>
      </c>
      <c r="D852" s="162"/>
      <c r="E852" s="162"/>
      <c r="F852" s="162"/>
      <c r="G852" s="13" t="s">
        <v>6</v>
      </c>
      <c r="H852" s="13" t="s">
        <v>6</v>
      </c>
      <c r="I852" s="13" t="s">
        <v>6</v>
      </c>
      <c r="J852" s="34">
        <f>SUM(J853:J856)</f>
        <v>0</v>
      </c>
      <c r="K852" s="34">
        <f>SUM(K853:K856)</f>
        <v>0</v>
      </c>
      <c r="L852" s="34">
        <f>SUM(L853:L856)</f>
        <v>0</v>
      </c>
      <c r="M852" s="24"/>
      <c r="N852" s="5"/>
      <c r="AI852" s="28" t="s">
        <v>2883</v>
      </c>
      <c r="AS852" s="34">
        <f>SUM(AJ853:AJ856)</f>
        <v>0</v>
      </c>
      <c r="AT852" s="34">
        <f>SUM(AK853:AK856)</f>
        <v>0</v>
      </c>
      <c r="AU852" s="34">
        <f>SUM(AL853:AL856)</f>
        <v>0</v>
      </c>
    </row>
    <row r="853" spans="1:64" ht="12.75">
      <c r="A853" s="4" t="s">
        <v>794</v>
      </c>
      <c r="B853" s="94" t="s">
        <v>1749</v>
      </c>
      <c r="C853" s="152" t="s">
        <v>2683</v>
      </c>
      <c r="D853" s="153"/>
      <c r="E853" s="153"/>
      <c r="F853" s="153"/>
      <c r="G853" s="94" t="s">
        <v>2849</v>
      </c>
      <c r="H853" s="73">
        <v>40</v>
      </c>
      <c r="I853" s="105">
        <v>0</v>
      </c>
      <c r="J853" s="15">
        <f>H853*AO853</f>
        <v>0</v>
      </c>
      <c r="K853" s="15">
        <f>H853*AP853</f>
        <v>0</v>
      </c>
      <c r="L853" s="15">
        <f>H853*I853</f>
        <v>0</v>
      </c>
      <c r="M853" s="25" t="s">
        <v>2872</v>
      </c>
      <c r="N853" s="5"/>
      <c r="Z853" s="29">
        <f>IF(AQ853="5",BJ853,0)</f>
        <v>0</v>
      </c>
      <c r="AB853" s="29">
        <f>IF(AQ853="1",BH853,0)</f>
        <v>0</v>
      </c>
      <c r="AC853" s="29">
        <f>IF(AQ853="1",BI853,0)</f>
        <v>0</v>
      </c>
      <c r="AD853" s="29">
        <f>IF(AQ853="7",BH853,0)</f>
        <v>0</v>
      </c>
      <c r="AE853" s="29">
        <f>IF(AQ853="7",BI853,0)</f>
        <v>0</v>
      </c>
      <c r="AF853" s="29">
        <f>IF(AQ853="2",BH853,0)</f>
        <v>0</v>
      </c>
      <c r="AG853" s="29">
        <f>IF(AQ853="2",BI853,0)</f>
        <v>0</v>
      </c>
      <c r="AH853" s="29">
        <f>IF(AQ853="0",BJ853,0)</f>
        <v>0</v>
      </c>
      <c r="AI853" s="28" t="s">
        <v>2883</v>
      </c>
      <c r="AJ853" s="15">
        <f>IF(AN853=0,L853,0)</f>
        <v>0</v>
      </c>
      <c r="AK853" s="15">
        <f>IF(AN853=15,L853,0)</f>
        <v>0</v>
      </c>
      <c r="AL853" s="15">
        <f>IF(AN853=21,L853,0)</f>
        <v>0</v>
      </c>
      <c r="AN853" s="29">
        <v>15</v>
      </c>
      <c r="AO853" s="29">
        <f>I853*0.805659324471865</f>
        <v>0</v>
      </c>
      <c r="AP853" s="29">
        <f>I853*(1-0.805659324471865)</f>
        <v>0</v>
      </c>
      <c r="AQ853" s="30" t="s">
        <v>7</v>
      </c>
      <c r="AV853" s="29">
        <f>AW853+AX853</f>
        <v>0</v>
      </c>
      <c r="AW853" s="29">
        <f>H853*AO853</f>
        <v>0</v>
      </c>
      <c r="AX853" s="29">
        <f>H853*AP853</f>
        <v>0</v>
      </c>
      <c r="AY853" s="32" t="s">
        <v>2930</v>
      </c>
      <c r="AZ853" s="32" t="s">
        <v>2949</v>
      </c>
      <c r="BA853" s="28" t="s">
        <v>2958</v>
      </c>
      <c r="BC853" s="29">
        <f>AW853+AX853</f>
        <v>0</v>
      </c>
      <c r="BD853" s="29">
        <f>I853/(100-BE853)*100</f>
        <v>0</v>
      </c>
      <c r="BE853" s="29">
        <v>0</v>
      </c>
      <c r="BF853" s="29">
        <f>853</f>
        <v>853</v>
      </c>
      <c r="BH853" s="15">
        <f>H853*AO853</f>
        <v>0</v>
      </c>
      <c r="BI853" s="15">
        <f>H853*AP853</f>
        <v>0</v>
      </c>
      <c r="BJ853" s="15">
        <f>H853*I853</f>
        <v>0</v>
      </c>
      <c r="BK853" s="15" t="s">
        <v>2969</v>
      </c>
      <c r="BL853" s="29">
        <v>56</v>
      </c>
    </row>
    <row r="854" spans="1:64" ht="12.75">
      <c r="A854" s="4" t="s">
        <v>795</v>
      </c>
      <c r="B854" s="94" t="s">
        <v>1750</v>
      </c>
      <c r="C854" s="152" t="s">
        <v>2684</v>
      </c>
      <c r="D854" s="153"/>
      <c r="E854" s="153"/>
      <c r="F854" s="153"/>
      <c r="G854" s="94" t="s">
        <v>2849</v>
      </c>
      <c r="H854" s="73">
        <v>40</v>
      </c>
      <c r="I854" s="105">
        <v>0</v>
      </c>
      <c r="J854" s="15">
        <f>H854*AO854</f>
        <v>0</v>
      </c>
      <c r="K854" s="15">
        <f>H854*AP854</f>
        <v>0</v>
      </c>
      <c r="L854" s="15">
        <f>H854*I854</f>
        <v>0</v>
      </c>
      <c r="M854" s="25" t="s">
        <v>2872</v>
      </c>
      <c r="N854" s="5"/>
      <c r="Z854" s="29">
        <f>IF(AQ854="5",BJ854,0)</f>
        <v>0</v>
      </c>
      <c r="AB854" s="29">
        <f>IF(AQ854="1",BH854,0)</f>
        <v>0</v>
      </c>
      <c r="AC854" s="29">
        <f>IF(AQ854="1",BI854,0)</f>
        <v>0</v>
      </c>
      <c r="AD854" s="29">
        <f>IF(AQ854="7",BH854,0)</f>
        <v>0</v>
      </c>
      <c r="AE854" s="29">
        <f>IF(AQ854="7",BI854,0)</f>
        <v>0</v>
      </c>
      <c r="AF854" s="29">
        <f>IF(AQ854="2",BH854,0)</f>
        <v>0</v>
      </c>
      <c r="AG854" s="29">
        <f>IF(AQ854="2",BI854,0)</f>
        <v>0</v>
      </c>
      <c r="AH854" s="29">
        <f>IF(AQ854="0",BJ854,0)</f>
        <v>0</v>
      </c>
      <c r="AI854" s="28" t="s">
        <v>2883</v>
      </c>
      <c r="AJ854" s="15">
        <f>IF(AN854=0,L854,0)</f>
        <v>0</v>
      </c>
      <c r="AK854" s="15">
        <f>IF(AN854=15,L854,0)</f>
        <v>0</v>
      </c>
      <c r="AL854" s="15">
        <f>IF(AN854=21,L854,0)</f>
        <v>0</v>
      </c>
      <c r="AN854" s="29">
        <v>15</v>
      </c>
      <c r="AO854" s="29">
        <f>I854*0.850655270655271</f>
        <v>0</v>
      </c>
      <c r="AP854" s="29">
        <f>I854*(1-0.850655270655271)</f>
        <v>0</v>
      </c>
      <c r="AQ854" s="30" t="s">
        <v>7</v>
      </c>
      <c r="AV854" s="29">
        <f>AW854+AX854</f>
        <v>0</v>
      </c>
      <c r="AW854" s="29">
        <f>H854*AO854</f>
        <v>0</v>
      </c>
      <c r="AX854" s="29">
        <f>H854*AP854</f>
        <v>0</v>
      </c>
      <c r="AY854" s="32" t="s">
        <v>2930</v>
      </c>
      <c r="AZ854" s="32" t="s">
        <v>2949</v>
      </c>
      <c r="BA854" s="28" t="s">
        <v>2958</v>
      </c>
      <c r="BC854" s="29">
        <f>AW854+AX854</f>
        <v>0</v>
      </c>
      <c r="BD854" s="29">
        <f>I854/(100-BE854)*100</f>
        <v>0</v>
      </c>
      <c r="BE854" s="29">
        <v>0</v>
      </c>
      <c r="BF854" s="29">
        <f>854</f>
        <v>854</v>
      </c>
      <c r="BH854" s="15">
        <f>H854*AO854</f>
        <v>0</v>
      </c>
      <c r="BI854" s="15">
        <f>H854*AP854</f>
        <v>0</v>
      </c>
      <c r="BJ854" s="15">
        <f>H854*I854</f>
        <v>0</v>
      </c>
      <c r="BK854" s="15" t="s">
        <v>2969</v>
      </c>
      <c r="BL854" s="29">
        <v>56</v>
      </c>
    </row>
    <row r="855" spans="1:64" ht="12.75">
      <c r="A855" s="4" t="s">
        <v>796</v>
      </c>
      <c r="B855" s="94" t="s">
        <v>1751</v>
      </c>
      <c r="C855" s="152" t="s">
        <v>2685</v>
      </c>
      <c r="D855" s="153"/>
      <c r="E855" s="153"/>
      <c r="F855" s="153"/>
      <c r="G855" s="94" t="s">
        <v>2849</v>
      </c>
      <c r="H855" s="73">
        <v>290</v>
      </c>
      <c r="I855" s="105">
        <v>0</v>
      </c>
      <c r="J855" s="15">
        <f>H855*AO855</f>
        <v>0</v>
      </c>
      <c r="K855" s="15">
        <f>H855*AP855</f>
        <v>0</v>
      </c>
      <c r="L855" s="15">
        <f>H855*I855</f>
        <v>0</v>
      </c>
      <c r="M855" s="25" t="s">
        <v>2872</v>
      </c>
      <c r="N855" s="5"/>
      <c r="Z855" s="29">
        <f>IF(AQ855="5",BJ855,0)</f>
        <v>0</v>
      </c>
      <c r="AB855" s="29">
        <f>IF(AQ855="1",BH855,0)</f>
        <v>0</v>
      </c>
      <c r="AC855" s="29">
        <f>IF(AQ855="1",BI855,0)</f>
        <v>0</v>
      </c>
      <c r="AD855" s="29">
        <f>IF(AQ855="7",BH855,0)</f>
        <v>0</v>
      </c>
      <c r="AE855" s="29">
        <f>IF(AQ855="7",BI855,0)</f>
        <v>0</v>
      </c>
      <c r="AF855" s="29">
        <f>IF(AQ855="2",BH855,0)</f>
        <v>0</v>
      </c>
      <c r="AG855" s="29">
        <f>IF(AQ855="2",BI855,0)</f>
        <v>0</v>
      </c>
      <c r="AH855" s="29">
        <f>IF(AQ855="0",BJ855,0)</f>
        <v>0</v>
      </c>
      <c r="AI855" s="28" t="s">
        <v>2883</v>
      </c>
      <c r="AJ855" s="15">
        <f>IF(AN855=0,L855,0)</f>
        <v>0</v>
      </c>
      <c r="AK855" s="15">
        <f>IF(AN855=15,L855,0)</f>
        <v>0</v>
      </c>
      <c r="AL855" s="15">
        <f>IF(AN855=21,L855,0)</f>
        <v>0</v>
      </c>
      <c r="AN855" s="29">
        <v>15</v>
      </c>
      <c r="AO855" s="29">
        <f>I855*0.865707016457247</f>
        <v>0</v>
      </c>
      <c r="AP855" s="29">
        <f>I855*(1-0.865707016457247)</f>
        <v>0</v>
      </c>
      <c r="AQ855" s="30" t="s">
        <v>7</v>
      </c>
      <c r="AV855" s="29">
        <f>AW855+AX855</f>
        <v>0</v>
      </c>
      <c r="AW855" s="29">
        <f>H855*AO855</f>
        <v>0</v>
      </c>
      <c r="AX855" s="29">
        <f>H855*AP855</f>
        <v>0</v>
      </c>
      <c r="AY855" s="32" t="s">
        <v>2930</v>
      </c>
      <c r="AZ855" s="32" t="s">
        <v>2949</v>
      </c>
      <c r="BA855" s="28" t="s">
        <v>2958</v>
      </c>
      <c r="BC855" s="29">
        <f>AW855+AX855</f>
        <v>0</v>
      </c>
      <c r="BD855" s="29">
        <f>I855/(100-BE855)*100</f>
        <v>0</v>
      </c>
      <c r="BE855" s="29">
        <v>0</v>
      </c>
      <c r="BF855" s="29">
        <f>855</f>
        <v>855</v>
      </c>
      <c r="BH855" s="15">
        <f>H855*AO855</f>
        <v>0</v>
      </c>
      <c r="BI855" s="15">
        <f>H855*AP855</f>
        <v>0</v>
      </c>
      <c r="BJ855" s="15">
        <f>H855*I855</f>
        <v>0</v>
      </c>
      <c r="BK855" s="15" t="s">
        <v>2969</v>
      </c>
      <c r="BL855" s="29">
        <v>56</v>
      </c>
    </row>
    <row r="856" spans="1:64" ht="12.75">
      <c r="A856" s="4" t="s">
        <v>797</v>
      </c>
      <c r="B856" s="94" t="s">
        <v>1752</v>
      </c>
      <c r="C856" s="152" t="s">
        <v>2686</v>
      </c>
      <c r="D856" s="153"/>
      <c r="E856" s="153"/>
      <c r="F856" s="153"/>
      <c r="G856" s="94" t="s">
        <v>2849</v>
      </c>
      <c r="H856" s="73">
        <v>290</v>
      </c>
      <c r="I856" s="105">
        <v>0</v>
      </c>
      <c r="J856" s="15">
        <f>H856*AO856</f>
        <v>0</v>
      </c>
      <c r="K856" s="15">
        <f>H856*AP856</f>
        <v>0</v>
      </c>
      <c r="L856" s="15">
        <f>H856*I856</f>
        <v>0</v>
      </c>
      <c r="M856" s="25" t="s">
        <v>2872</v>
      </c>
      <c r="N856" s="5"/>
      <c r="Z856" s="29">
        <f>IF(AQ856="5",BJ856,0)</f>
        <v>0</v>
      </c>
      <c r="AB856" s="29">
        <f>IF(AQ856="1",BH856,0)</f>
        <v>0</v>
      </c>
      <c r="AC856" s="29">
        <f>IF(AQ856="1",BI856,0)</f>
        <v>0</v>
      </c>
      <c r="AD856" s="29">
        <f>IF(AQ856="7",BH856,0)</f>
        <v>0</v>
      </c>
      <c r="AE856" s="29">
        <f>IF(AQ856="7",BI856,0)</f>
        <v>0</v>
      </c>
      <c r="AF856" s="29">
        <f>IF(AQ856="2",BH856,0)</f>
        <v>0</v>
      </c>
      <c r="AG856" s="29">
        <f>IF(AQ856="2",BI856,0)</f>
        <v>0</v>
      </c>
      <c r="AH856" s="29">
        <f>IF(AQ856="0",BJ856,0)</f>
        <v>0</v>
      </c>
      <c r="AI856" s="28" t="s">
        <v>2883</v>
      </c>
      <c r="AJ856" s="15">
        <f>IF(AN856=0,L856,0)</f>
        <v>0</v>
      </c>
      <c r="AK856" s="15">
        <f>IF(AN856=15,L856,0)</f>
        <v>0</v>
      </c>
      <c r="AL856" s="15">
        <f>IF(AN856=21,L856,0)</f>
        <v>0</v>
      </c>
      <c r="AN856" s="29">
        <v>15</v>
      </c>
      <c r="AO856" s="29">
        <f>I856*0.820599455040872</f>
        <v>0</v>
      </c>
      <c r="AP856" s="29">
        <f>I856*(1-0.820599455040872)</f>
        <v>0</v>
      </c>
      <c r="AQ856" s="30" t="s">
        <v>7</v>
      </c>
      <c r="AV856" s="29">
        <f>AW856+AX856</f>
        <v>0</v>
      </c>
      <c r="AW856" s="29">
        <f>H856*AO856</f>
        <v>0</v>
      </c>
      <c r="AX856" s="29">
        <f>H856*AP856</f>
        <v>0</v>
      </c>
      <c r="AY856" s="32" t="s">
        <v>2930</v>
      </c>
      <c r="AZ856" s="32" t="s">
        <v>2949</v>
      </c>
      <c r="BA856" s="28" t="s">
        <v>2958</v>
      </c>
      <c r="BC856" s="29">
        <f>AW856+AX856</f>
        <v>0</v>
      </c>
      <c r="BD856" s="29">
        <f>I856/(100-BE856)*100</f>
        <v>0</v>
      </c>
      <c r="BE856" s="29">
        <v>0</v>
      </c>
      <c r="BF856" s="29">
        <f>856</f>
        <v>856</v>
      </c>
      <c r="BH856" s="15">
        <f>H856*AO856</f>
        <v>0</v>
      </c>
      <c r="BI856" s="15">
        <f>H856*AP856</f>
        <v>0</v>
      </c>
      <c r="BJ856" s="15">
        <f>H856*I856</f>
        <v>0</v>
      </c>
      <c r="BK856" s="15" t="s">
        <v>2969</v>
      </c>
      <c r="BL856" s="29">
        <v>56</v>
      </c>
    </row>
    <row r="857" spans="1:47" ht="12.75">
      <c r="A857" s="3"/>
      <c r="B857" s="97" t="s">
        <v>65</v>
      </c>
      <c r="C857" s="161" t="s">
        <v>2016</v>
      </c>
      <c r="D857" s="162"/>
      <c r="E857" s="162"/>
      <c r="F857" s="162"/>
      <c r="G857" s="13" t="s">
        <v>6</v>
      </c>
      <c r="H857" s="13" t="s">
        <v>6</v>
      </c>
      <c r="I857" s="13" t="s">
        <v>6</v>
      </c>
      <c r="J857" s="34">
        <f>SUM(J858:J866)</f>
        <v>0</v>
      </c>
      <c r="K857" s="34">
        <f>SUM(K858:K866)</f>
        <v>0</v>
      </c>
      <c r="L857" s="34">
        <f>SUM(L858:L866)</f>
        <v>0</v>
      </c>
      <c r="M857" s="24"/>
      <c r="N857" s="5"/>
      <c r="AI857" s="28" t="s">
        <v>2883</v>
      </c>
      <c r="AS857" s="34">
        <f>SUM(AJ858:AJ866)</f>
        <v>0</v>
      </c>
      <c r="AT857" s="34">
        <f>SUM(AK858:AK866)</f>
        <v>0</v>
      </c>
      <c r="AU857" s="34">
        <f>SUM(AL858:AL866)</f>
        <v>0</v>
      </c>
    </row>
    <row r="858" spans="1:64" ht="12.75">
      <c r="A858" s="4" t="s">
        <v>798</v>
      </c>
      <c r="B858" s="94" t="s">
        <v>1753</v>
      </c>
      <c r="C858" s="152" t="s">
        <v>2687</v>
      </c>
      <c r="D858" s="153"/>
      <c r="E858" s="153"/>
      <c r="F858" s="153"/>
      <c r="G858" s="94" t="s">
        <v>2849</v>
      </c>
      <c r="H858" s="73">
        <v>290</v>
      </c>
      <c r="I858" s="105">
        <v>0</v>
      </c>
      <c r="J858" s="15">
        <f aca="true" t="shared" si="816" ref="J858:J866">H858*AO858</f>
        <v>0</v>
      </c>
      <c r="K858" s="15">
        <f aca="true" t="shared" si="817" ref="K858:K866">H858*AP858</f>
        <v>0</v>
      </c>
      <c r="L858" s="15">
        <f aca="true" t="shared" si="818" ref="L858:L866">H858*I858</f>
        <v>0</v>
      </c>
      <c r="M858" s="25" t="s">
        <v>2872</v>
      </c>
      <c r="N858" s="5"/>
      <c r="Z858" s="29">
        <f aca="true" t="shared" si="819" ref="Z858:Z866">IF(AQ858="5",BJ858,0)</f>
        <v>0</v>
      </c>
      <c r="AB858" s="29">
        <f aca="true" t="shared" si="820" ref="AB858:AB866">IF(AQ858="1",BH858,0)</f>
        <v>0</v>
      </c>
      <c r="AC858" s="29">
        <f aca="true" t="shared" si="821" ref="AC858:AC866">IF(AQ858="1",BI858,0)</f>
        <v>0</v>
      </c>
      <c r="AD858" s="29">
        <f aca="true" t="shared" si="822" ref="AD858:AD866">IF(AQ858="7",BH858,0)</f>
        <v>0</v>
      </c>
      <c r="AE858" s="29">
        <f aca="true" t="shared" si="823" ref="AE858:AE866">IF(AQ858="7",BI858,0)</f>
        <v>0</v>
      </c>
      <c r="AF858" s="29">
        <f aca="true" t="shared" si="824" ref="AF858:AF866">IF(AQ858="2",BH858,0)</f>
        <v>0</v>
      </c>
      <c r="AG858" s="29">
        <f aca="true" t="shared" si="825" ref="AG858:AG866">IF(AQ858="2",BI858,0)</f>
        <v>0</v>
      </c>
      <c r="AH858" s="29">
        <f aca="true" t="shared" si="826" ref="AH858:AH866">IF(AQ858="0",BJ858,0)</f>
        <v>0</v>
      </c>
      <c r="AI858" s="28" t="s">
        <v>2883</v>
      </c>
      <c r="AJ858" s="15">
        <f aca="true" t="shared" si="827" ref="AJ858:AJ866">IF(AN858=0,L858,0)</f>
        <v>0</v>
      </c>
      <c r="AK858" s="15">
        <f aca="true" t="shared" si="828" ref="AK858:AK866">IF(AN858=15,L858,0)</f>
        <v>0</v>
      </c>
      <c r="AL858" s="15">
        <f aca="true" t="shared" si="829" ref="AL858:AL866">IF(AN858=21,L858,0)</f>
        <v>0</v>
      </c>
      <c r="AN858" s="29">
        <v>15</v>
      </c>
      <c r="AO858" s="29">
        <f>I858*0.148812239025931</f>
        <v>0</v>
      </c>
      <c r="AP858" s="29">
        <f>I858*(1-0.148812239025931)</f>
        <v>0</v>
      </c>
      <c r="AQ858" s="30" t="s">
        <v>7</v>
      </c>
      <c r="AV858" s="29">
        <f aca="true" t="shared" si="830" ref="AV858:AV866">AW858+AX858</f>
        <v>0</v>
      </c>
      <c r="AW858" s="29">
        <f aca="true" t="shared" si="831" ref="AW858:AW866">H858*AO858</f>
        <v>0</v>
      </c>
      <c r="AX858" s="29">
        <f aca="true" t="shared" si="832" ref="AX858:AX866">H858*AP858</f>
        <v>0</v>
      </c>
      <c r="AY858" s="32" t="s">
        <v>2900</v>
      </c>
      <c r="AZ858" s="32" t="s">
        <v>2949</v>
      </c>
      <c r="BA858" s="28" t="s">
        <v>2958</v>
      </c>
      <c r="BC858" s="29">
        <f aca="true" t="shared" si="833" ref="BC858:BC866">AW858+AX858</f>
        <v>0</v>
      </c>
      <c r="BD858" s="29">
        <f aca="true" t="shared" si="834" ref="BD858:BD866">I858/(100-BE858)*100</f>
        <v>0</v>
      </c>
      <c r="BE858" s="29">
        <v>0</v>
      </c>
      <c r="BF858" s="29">
        <f>858</f>
        <v>858</v>
      </c>
      <c r="BH858" s="15">
        <f aca="true" t="shared" si="835" ref="BH858:BH866">H858*AO858</f>
        <v>0</v>
      </c>
      <c r="BI858" s="15">
        <f aca="true" t="shared" si="836" ref="BI858:BI866">H858*AP858</f>
        <v>0</v>
      </c>
      <c r="BJ858" s="15">
        <f aca="true" t="shared" si="837" ref="BJ858:BJ866">H858*I858</f>
        <v>0</v>
      </c>
      <c r="BK858" s="15" t="s">
        <v>2969</v>
      </c>
      <c r="BL858" s="29">
        <v>59</v>
      </c>
    </row>
    <row r="859" spans="1:64" ht="12.75">
      <c r="A859" s="6" t="s">
        <v>799</v>
      </c>
      <c r="B859" s="98" t="s">
        <v>1754</v>
      </c>
      <c r="C859" s="163" t="s">
        <v>2688</v>
      </c>
      <c r="D859" s="164"/>
      <c r="E859" s="164"/>
      <c r="F859" s="164"/>
      <c r="G859" s="98" t="s">
        <v>2849</v>
      </c>
      <c r="H859" s="76">
        <v>304.5</v>
      </c>
      <c r="I859" s="106">
        <v>0</v>
      </c>
      <c r="J859" s="16">
        <f t="shared" si="816"/>
        <v>0</v>
      </c>
      <c r="K859" s="16">
        <f t="shared" si="817"/>
        <v>0</v>
      </c>
      <c r="L859" s="16">
        <f t="shared" si="818"/>
        <v>0</v>
      </c>
      <c r="M859" s="26" t="s">
        <v>2872</v>
      </c>
      <c r="N859" s="5"/>
      <c r="Z859" s="29">
        <f t="shared" si="819"/>
        <v>0</v>
      </c>
      <c r="AB859" s="29">
        <f t="shared" si="820"/>
        <v>0</v>
      </c>
      <c r="AC859" s="29">
        <f t="shared" si="821"/>
        <v>0</v>
      </c>
      <c r="AD859" s="29">
        <f t="shared" si="822"/>
        <v>0</v>
      </c>
      <c r="AE859" s="29">
        <f t="shared" si="823"/>
        <v>0</v>
      </c>
      <c r="AF859" s="29">
        <f t="shared" si="824"/>
        <v>0</v>
      </c>
      <c r="AG859" s="29">
        <f t="shared" si="825"/>
        <v>0</v>
      </c>
      <c r="AH859" s="29">
        <f t="shared" si="826"/>
        <v>0</v>
      </c>
      <c r="AI859" s="28" t="s">
        <v>2883</v>
      </c>
      <c r="AJ859" s="16">
        <f t="shared" si="827"/>
        <v>0</v>
      </c>
      <c r="AK859" s="16">
        <f t="shared" si="828"/>
        <v>0</v>
      </c>
      <c r="AL859" s="16">
        <f t="shared" si="829"/>
        <v>0</v>
      </c>
      <c r="AN859" s="29">
        <v>15</v>
      </c>
      <c r="AO859" s="29">
        <f>I859*1</f>
        <v>0</v>
      </c>
      <c r="AP859" s="29">
        <f>I859*(1-1)</f>
        <v>0</v>
      </c>
      <c r="AQ859" s="31" t="s">
        <v>7</v>
      </c>
      <c r="AV859" s="29">
        <f t="shared" si="830"/>
        <v>0</v>
      </c>
      <c r="AW859" s="29">
        <f t="shared" si="831"/>
        <v>0</v>
      </c>
      <c r="AX859" s="29">
        <f t="shared" si="832"/>
        <v>0</v>
      </c>
      <c r="AY859" s="32" t="s">
        <v>2900</v>
      </c>
      <c r="AZ859" s="32" t="s">
        <v>2949</v>
      </c>
      <c r="BA859" s="28" t="s">
        <v>2958</v>
      </c>
      <c r="BC859" s="29">
        <f t="shared" si="833"/>
        <v>0</v>
      </c>
      <c r="BD859" s="29">
        <f t="shared" si="834"/>
        <v>0</v>
      </c>
      <c r="BE859" s="29">
        <v>0</v>
      </c>
      <c r="BF859" s="29">
        <f>859</f>
        <v>859</v>
      </c>
      <c r="BH859" s="16">
        <f t="shared" si="835"/>
        <v>0</v>
      </c>
      <c r="BI859" s="16">
        <f t="shared" si="836"/>
        <v>0</v>
      </c>
      <c r="BJ859" s="16">
        <f t="shared" si="837"/>
        <v>0</v>
      </c>
      <c r="BK859" s="16" t="s">
        <v>2970</v>
      </c>
      <c r="BL859" s="29">
        <v>59</v>
      </c>
    </row>
    <row r="860" spans="1:64" ht="12.75">
      <c r="A860" s="4" t="s">
        <v>800</v>
      </c>
      <c r="B860" s="94" t="s">
        <v>1755</v>
      </c>
      <c r="C860" s="152" t="s">
        <v>2689</v>
      </c>
      <c r="D860" s="153"/>
      <c r="E860" s="153"/>
      <c r="F860" s="153"/>
      <c r="G860" s="94" t="s">
        <v>2849</v>
      </c>
      <c r="H860" s="73">
        <v>158</v>
      </c>
      <c r="I860" s="105">
        <v>0</v>
      </c>
      <c r="J860" s="15">
        <f t="shared" si="816"/>
        <v>0</v>
      </c>
      <c r="K860" s="15">
        <f t="shared" si="817"/>
        <v>0</v>
      </c>
      <c r="L860" s="15">
        <f t="shared" si="818"/>
        <v>0</v>
      </c>
      <c r="M860" s="25" t="s">
        <v>2872</v>
      </c>
      <c r="N860" s="5"/>
      <c r="Z860" s="29">
        <f t="shared" si="819"/>
        <v>0</v>
      </c>
      <c r="AB860" s="29">
        <f t="shared" si="820"/>
        <v>0</v>
      </c>
      <c r="AC860" s="29">
        <f t="shared" si="821"/>
        <v>0</v>
      </c>
      <c r="AD860" s="29">
        <f t="shared" si="822"/>
        <v>0</v>
      </c>
      <c r="AE860" s="29">
        <f t="shared" si="823"/>
        <v>0</v>
      </c>
      <c r="AF860" s="29">
        <f t="shared" si="824"/>
        <v>0</v>
      </c>
      <c r="AG860" s="29">
        <f t="shared" si="825"/>
        <v>0</v>
      </c>
      <c r="AH860" s="29">
        <f t="shared" si="826"/>
        <v>0</v>
      </c>
      <c r="AI860" s="28" t="s">
        <v>2883</v>
      </c>
      <c r="AJ860" s="15">
        <f t="shared" si="827"/>
        <v>0</v>
      </c>
      <c r="AK860" s="15">
        <f t="shared" si="828"/>
        <v>0</v>
      </c>
      <c r="AL860" s="15">
        <f t="shared" si="829"/>
        <v>0</v>
      </c>
      <c r="AN860" s="29">
        <v>15</v>
      </c>
      <c r="AO860" s="29">
        <f>I860*0.146013986013986</f>
        <v>0</v>
      </c>
      <c r="AP860" s="29">
        <f>I860*(1-0.146013986013986)</f>
        <v>0</v>
      </c>
      <c r="AQ860" s="30" t="s">
        <v>7</v>
      </c>
      <c r="AV860" s="29">
        <f t="shared" si="830"/>
        <v>0</v>
      </c>
      <c r="AW860" s="29">
        <f t="shared" si="831"/>
        <v>0</v>
      </c>
      <c r="AX860" s="29">
        <f t="shared" si="832"/>
        <v>0</v>
      </c>
      <c r="AY860" s="32" t="s">
        <v>2900</v>
      </c>
      <c r="AZ860" s="32" t="s">
        <v>2949</v>
      </c>
      <c r="BA860" s="28" t="s">
        <v>2958</v>
      </c>
      <c r="BC860" s="29">
        <f t="shared" si="833"/>
        <v>0</v>
      </c>
      <c r="BD860" s="29">
        <f t="shared" si="834"/>
        <v>0</v>
      </c>
      <c r="BE860" s="29">
        <v>0</v>
      </c>
      <c r="BF860" s="29">
        <f>860</f>
        <v>860</v>
      </c>
      <c r="BH860" s="15">
        <f t="shared" si="835"/>
        <v>0</v>
      </c>
      <c r="BI860" s="15">
        <f t="shared" si="836"/>
        <v>0</v>
      </c>
      <c r="BJ860" s="15">
        <f t="shared" si="837"/>
        <v>0</v>
      </c>
      <c r="BK860" s="15" t="s">
        <v>2969</v>
      </c>
      <c r="BL860" s="29">
        <v>59</v>
      </c>
    </row>
    <row r="861" spans="1:64" ht="12.75">
      <c r="A861" s="4" t="s">
        <v>801</v>
      </c>
      <c r="B861" s="94" t="s">
        <v>1756</v>
      </c>
      <c r="C861" s="152" t="s">
        <v>2690</v>
      </c>
      <c r="D861" s="153"/>
      <c r="E861" s="153"/>
      <c r="F861" s="153"/>
      <c r="G861" s="94" t="s">
        <v>2849</v>
      </c>
      <c r="H861" s="73">
        <v>40</v>
      </c>
      <c r="I861" s="105">
        <v>0</v>
      </c>
      <c r="J861" s="15">
        <f t="shared" si="816"/>
        <v>0</v>
      </c>
      <c r="K861" s="15">
        <f t="shared" si="817"/>
        <v>0</v>
      </c>
      <c r="L861" s="15">
        <f t="shared" si="818"/>
        <v>0</v>
      </c>
      <c r="M861" s="25" t="s">
        <v>2872</v>
      </c>
      <c r="N861" s="5"/>
      <c r="Z861" s="29">
        <f t="shared" si="819"/>
        <v>0</v>
      </c>
      <c r="AB861" s="29">
        <f t="shared" si="820"/>
        <v>0</v>
      </c>
      <c r="AC861" s="29">
        <f t="shared" si="821"/>
        <v>0</v>
      </c>
      <c r="AD861" s="29">
        <f t="shared" si="822"/>
        <v>0</v>
      </c>
      <c r="AE861" s="29">
        <f t="shared" si="823"/>
        <v>0</v>
      </c>
      <c r="AF861" s="29">
        <f t="shared" si="824"/>
        <v>0</v>
      </c>
      <c r="AG861" s="29">
        <f t="shared" si="825"/>
        <v>0</v>
      </c>
      <c r="AH861" s="29">
        <f t="shared" si="826"/>
        <v>0</v>
      </c>
      <c r="AI861" s="28" t="s">
        <v>2883</v>
      </c>
      <c r="AJ861" s="15">
        <f t="shared" si="827"/>
        <v>0</v>
      </c>
      <c r="AK861" s="15">
        <f t="shared" si="828"/>
        <v>0</v>
      </c>
      <c r="AL861" s="15">
        <f t="shared" si="829"/>
        <v>0</v>
      </c>
      <c r="AN861" s="29">
        <v>15</v>
      </c>
      <c r="AO861" s="29">
        <f>I861*0.0568359941944848</f>
        <v>0</v>
      </c>
      <c r="AP861" s="29">
        <f>I861*(1-0.0568359941944848)</f>
        <v>0</v>
      </c>
      <c r="AQ861" s="30" t="s">
        <v>7</v>
      </c>
      <c r="AV861" s="29">
        <f t="shared" si="830"/>
        <v>0</v>
      </c>
      <c r="AW861" s="29">
        <f t="shared" si="831"/>
        <v>0</v>
      </c>
      <c r="AX861" s="29">
        <f t="shared" si="832"/>
        <v>0</v>
      </c>
      <c r="AY861" s="32" t="s">
        <v>2900</v>
      </c>
      <c r="AZ861" s="32" t="s">
        <v>2949</v>
      </c>
      <c r="BA861" s="28" t="s">
        <v>2958</v>
      </c>
      <c r="BC861" s="29">
        <f t="shared" si="833"/>
        <v>0</v>
      </c>
      <c r="BD861" s="29">
        <f t="shared" si="834"/>
        <v>0</v>
      </c>
      <c r="BE861" s="29">
        <v>0</v>
      </c>
      <c r="BF861" s="29">
        <f>861</f>
        <v>861</v>
      </c>
      <c r="BH861" s="15">
        <f t="shared" si="835"/>
        <v>0</v>
      </c>
      <c r="BI861" s="15">
        <f t="shared" si="836"/>
        <v>0</v>
      </c>
      <c r="BJ861" s="15">
        <f t="shared" si="837"/>
        <v>0</v>
      </c>
      <c r="BK861" s="15" t="s">
        <v>2969</v>
      </c>
      <c r="BL861" s="29">
        <v>59</v>
      </c>
    </row>
    <row r="862" spans="1:64" ht="12.75">
      <c r="A862" s="4" t="s">
        <v>802</v>
      </c>
      <c r="B862" s="94" t="s">
        <v>1757</v>
      </c>
      <c r="C862" s="152" t="s">
        <v>2691</v>
      </c>
      <c r="D862" s="153"/>
      <c r="E862" s="153"/>
      <c r="F862" s="153"/>
      <c r="G862" s="94" t="s">
        <v>2847</v>
      </c>
      <c r="H862" s="73">
        <v>3.2</v>
      </c>
      <c r="I862" s="105">
        <v>0</v>
      </c>
      <c r="J862" s="15">
        <f t="shared" si="816"/>
        <v>0</v>
      </c>
      <c r="K862" s="15">
        <f t="shared" si="817"/>
        <v>0</v>
      </c>
      <c r="L862" s="15">
        <f t="shared" si="818"/>
        <v>0</v>
      </c>
      <c r="M862" s="25" t="s">
        <v>2872</v>
      </c>
      <c r="N862" s="5"/>
      <c r="Z862" s="29">
        <f t="shared" si="819"/>
        <v>0</v>
      </c>
      <c r="AB862" s="29">
        <f t="shared" si="820"/>
        <v>0</v>
      </c>
      <c r="AC862" s="29">
        <f t="shared" si="821"/>
        <v>0</v>
      </c>
      <c r="AD862" s="29">
        <f t="shared" si="822"/>
        <v>0</v>
      </c>
      <c r="AE862" s="29">
        <f t="shared" si="823"/>
        <v>0</v>
      </c>
      <c r="AF862" s="29">
        <f t="shared" si="824"/>
        <v>0</v>
      </c>
      <c r="AG862" s="29">
        <f t="shared" si="825"/>
        <v>0</v>
      </c>
      <c r="AH862" s="29">
        <f t="shared" si="826"/>
        <v>0</v>
      </c>
      <c r="AI862" s="28" t="s">
        <v>2883</v>
      </c>
      <c r="AJ862" s="15">
        <f t="shared" si="827"/>
        <v>0</v>
      </c>
      <c r="AK862" s="15">
        <f t="shared" si="828"/>
        <v>0</v>
      </c>
      <c r="AL862" s="15">
        <f t="shared" si="829"/>
        <v>0</v>
      </c>
      <c r="AN862" s="29">
        <v>15</v>
      </c>
      <c r="AO862" s="29">
        <f>I862*0</f>
        <v>0</v>
      </c>
      <c r="AP862" s="29">
        <f>I862*(1-0)</f>
        <v>0</v>
      </c>
      <c r="AQ862" s="30" t="s">
        <v>7</v>
      </c>
      <c r="AV862" s="29">
        <f t="shared" si="830"/>
        <v>0</v>
      </c>
      <c r="AW862" s="29">
        <f t="shared" si="831"/>
        <v>0</v>
      </c>
      <c r="AX862" s="29">
        <f t="shared" si="832"/>
        <v>0</v>
      </c>
      <c r="AY862" s="32" t="s">
        <v>2900</v>
      </c>
      <c r="AZ862" s="32" t="s">
        <v>2949</v>
      </c>
      <c r="BA862" s="28" t="s">
        <v>2958</v>
      </c>
      <c r="BC862" s="29">
        <f t="shared" si="833"/>
        <v>0</v>
      </c>
      <c r="BD862" s="29">
        <f t="shared" si="834"/>
        <v>0</v>
      </c>
      <c r="BE862" s="29">
        <v>0</v>
      </c>
      <c r="BF862" s="29">
        <f>862</f>
        <v>862</v>
      </c>
      <c r="BH862" s="15">
        <f t="shared" si="835"/>
        <v>0</v>
      </c>
      <c r="BI862" s="15">
        <f t="shared" si="836"/>
        <v>0</v>
      </c>
      <c r="BJ862" s="15">
        <f t="shared" si="837"/>
        <v>0</v>
      </c>
      <c r="BK862" s="15" t="s">
        <v>2969</v>
      </c>
      <c r="BL862" s="29">
        <v>59</v>
      </c>
    </row>
    <row r="863" spans="1:64" ht="12.75">
      <c r="A863" s="6" t="s">
        <v>803</v>
      </c>
      <c r="B863" s="98" t="s">
        <v>1758</v>
      </c>
      <c r="C863" s="163" t="s">
        <v>2692</v>
      </c>
      <c r="D863" s="164"/>
      <c r="E863" s="164"/>
      <c r="F863" s="164"/>
      <c r="G863" s="98" t="s">
        <v>2850</v>
      </c>
      <c r="H863" s="76">
        <v>175.14</v>
      </c>
      <c r="I863" s="106">
        <v>0</v>
      </c>
      <c r="J863" s="16">
        <f t="shared" si="816"/>
        <v>0</v>
      </c>
      <c r="K863" s="16">
        <f t="shared" si="817"/>
        <v>0</v>
      </c>
      <c r="L863" s="16">
        <f t="shared" si="818"/>
        <v>0</v>
      </c>
      <c r="M863" s="26" t="s">
        <v>2872</v>
      </c>
      <c r="N863" s="5"/>
      <c r="Z863" s="29">
        <f t="shared" si="819"/>
        <v>0</v>
      </c>
      <c r="AB863" s="29">
        <f t="shared" si="820"/>
        <v>0</v>
      </c>
      <c r="AC863" s="29">
        <f t="shared" si="821"/>
        <v>0</v>
      </c>
      <c r="AD863" s="29">
        <f t="shared" si="822"/>
        <v>0</v>
      </c>
      <c r="AE863" s="29">
        <f t="shared" si="823"/>
        <v>0</v>
      </c>
      <c r="AF863" s="29">
        <f t="shared" si="824"/>
        <v>0</v>
      </c>
      <c r="AG863" s="29">
        <f t="shared" si="825"/>
        <v>0</v>
      </c>
      <c r="AH863" s="29">
        <f t="shared" si="826"/>
        <v>0</v>
      </c>
      <c r="AI863" s="28" t="s">
        <v>2883</v>
      </c>
      <c r="AJ863" s="16">
        <f t="shared" si="827"/>
        <v>0</v>
      </c>
      <c r="AK863" s="16">
        <f t="shared" si="828"/>
        <v>0</v>
      </c>
      <c r="AL863" s="16">
        <f t="shared" si="829"/>
        <v>0</v>
      </c>
      <c r="AN863" s="29">
        <v>15</v>
      </c>
      <c r="AO863" s="29">
        <f>I863*1</f>
        <v>0</v>
      </c>
      <c r="AP863" s="29">
        <f>I863*(1-1)</f>
        <v>0</v>
      </c>
      <c r="AQ863" s="31" t="s">
        <v>7</v>
      </c>
      <c r="AV863" s="29">
        <f t="shared" si="830"/>
        <v>0</v>
      </c>
      <c r="AW863" s="29">
        <f t="shared" si="831"/>
        <v>0</v>
      </c>
      <c r="AX863" s="29">
        <f t="shared" si="832"/>
        <v>0</v>
      </c>
      <c r="AY863" s="32" t="s">
        <v>2900</v>
      </c>
      <c r="AZ863" s="32" t="s">
        <v>2949</v>
      </c>
      <c r="BA863" s="28" t="s">
        <v>2958</v>
      </c>
      <c r="BC863" s="29">
        <f t="shared" si="833"/>
        <v>0</v>
      </c>
      <c r="BD863" s="29">
        <f t="shared" si="834"/>
        <v>0</v>
      </c>
      <c r="BE863" s="29">
        <v>0</v>
      </c>
      <c r="BF863" s="29">
        <f>863</f>
        <v>863</v>
      </c>
      <c r="BH863" s="16">
        <f t="shared" si="835"/>
        <v>0</v>
      </c>
      <c r="BI863" s="16">
        <f t="shared" si="836"/>
        <v>0</v>
      </c>
      <c r="BJ863" s="16">
        <f t="shared" si="837"/>
        <v>0</v>
      </c>
      <c r="BK863" s="16" t="s">
        <v>2970</v>
      </c>
      <c r="BL863" s="29">
        <v>59</v>
      </c>
    </row>
    <row r="864" spans="1:64" ht="12.75">
      <c r="A864" s="4" t="s">
        <v>804</v>
      </c>
      <c r="B864" s="94" t="s">
        <v>1759</v>
      </c>
      <c r="C864" s="152" t="s">
        <v>2693</v>
      </c>
      <c r="D864" s="153"/>
      <c r="E864" s="153"/>
      <c r="F864" s="153"/>
      <c r="G864" s="94" t="s">
        <v>2851</v>
      </c>
      <c r="H864" s="73">
        <v>12</v>
      </c>
      <c r="I864" s="105">
        <v>0</v>
      </c>
      <c r="J864" s="15">
        <f t="shared" si="816"/>
        <v>0</v>
      </c>
      <c r="K864" s="15">
        <f t="shared" si="817"/>
        <v>0</v>
      </c>
      <c r="L864" s="15">
        <f t="shared" si="818"/>
        <v>0</v>
      </c>
      <c r="M864" s="25" t="s">
        <v>2872</v>
      </c>
      <c r="N864" s="5"/>
      <c r="Z864" s="29">
        <f t="shared" si="819"/>
        <v>0</v>
      </c>
      <c r="AB864" s="29">
        <f t="shared" si="820"/>
        <v>0</v>
      </c>
      <c r="AC864" s="29">
        <f t="shared" si="821"/>
        <v>0</v>
      </c>
      <c r="AD864" s="29">
        <f t="shared" si="822"/>
        <v>0</v>
      </c>
      <c r="AE864" s="29">
        <f t="shared" si="823"/>
        <v>0</v>
      </c>
      <c r="AF864" s="29">
        <f t="shared" si="824"/>
        <v>0</v>
      </c>
      <c r="AG864" s="29">
        <f t="shared" si="825"/>
        <v>0</v>
      </c>
      <c r="AH864" s="29">
        <f t="shared" si="826"/>
        <v>0</v>
      </c>
      <c r="AI864" s="28" t="s">
        <v>2883</v>
      </c>
      <c r="AJ864" s="15">
        <f t="shared" si="827"/>
        <v>0</v>
      </c>
      <c r="AK864" s="15">
        <f t="shared" si="828"/>
        <v>0</v>
      </c>
      <c r="AL864" s="15">
        <f t="shared" si="829"/>
        <v>0</v>
      </c>
      <c r="AN864" s="29">
        <v>15</v>
      </c>
      <c r="AO864" s="29">
        <f>I864*0</f>
        <v>0</v>
      </c>
      <c r="AP864" s="29">
        <f>I864*(1-0)</f>
        <v>0</v>
      </c>
      <c r="AQ864" s="30" t="s">
        <v>7</v>
      </c>
      <c r="AV864" s="29">
        <f t="shared" si="830"/>
        <v>0</v>
      </c>
      <c r="AW864" s="29">
        <f t="shared" si="831"/>
        <v>0</v>
      </c>
      <c r="AX864" s="29">
        <f t="shared" si="832"/>
        <v>0</v>
      </c>
      <c r="AY864" s="32" t="s">
        <v>2900</v>
      </c>
      <c r="AZ864" s="32" t="s">
        <v>2949</v>
      </c>
      <c r="BA864" s="28" t="s">
        <v>2958</v>
      </c>
      <c r="BC864" s="29">
        <f t="shared" si="833"/>
        <v>0</v>
      </c>
      <c r="BD864" s="29">
        <f t="shared" si="834"/>
        <v>0</v>
      </c>
      <c r="BE864" s="29">
        <v>0</v>
      </c>
      <c r="BF864" s="29">
        <f>864</f>
        <v>864</v>
      </c>
      <c r="BH864" s="15">
        <f t="shared" si="835"/>
        <v>0</v>
      </c>
      <c r="BI864" s="15">
        <f t="shared" si="836"/>
        <v>0</v>
      </c>
      <c r="BJ864" s="15">
        <f t="shared" si="837"/>
        <v>0</v>
      </c>
      <c r="BK864" s="15" t="s">
        <v>2969</v>
      </c>
      <c r="BL864" s="29">
        <v>59</v>
      </c>
    </row>
    <row r="865" spans="1:64" ht="12.75">
      <c r="A865" s="4" t="s">
        <v>805</v>
      </c>
      <c r="B865" s="94" t="s">
        <v>1760</v>
      </c>
      <c r="C865" s="152" t="s">
        <v>2694</v>
      </c>
      <c r="D865" s="153"/>
      <c r="E865" s="153"/>
      <c r="F865" s="153"/>
      <c r="G865" s="94" t="s">
        <v>2851</v>
      </c>
      <c r="H865" s="73">
        <v>19</v>
      </c>
      <c r="I865" s="105">
        <v>0</v>
      </c>
      <c r="J865" s="15">
        <f t="shared" si="816"/>
        <v>0</v>
      </c>
      <c r="K865" s="15">
        <f t="shared" si="817"/>
        <v>0</v>
      </c>
      <c r="L865" s="15">
        <f t="shared" si="818"/>
        <v>0</v>
      </c>
      <c r="M865" s="25" t="s">
        <v>2872</v>
      </c>
      <c r="N865" s="5"/>
      <c r="Z865" s="29">
        <f t="shared" si="819"/>
        <v>0</v>
      </c>
      <c r="AB865" s="29">
        <f t="shared" si="820"/>
        <v>0</v>
      </c>
      <c r="AC865" s="29">
        <f t="shared" si="821"/>
        <v>0</v>
      </c>
      <c r="AD865" s="29">
        <f t="shared" si="822"/>
        <v>0</v>
      </c>
      <c r="AE865" s="29">
        <f t="shared" si="823"/>
        <v>0</v>
      </c>
      <c r="AF865" s="29">
        <f t="shared" si="824"/>
        <v>0</v>
      </c>
      <c r="AG865" s="29">
        <f t="shared" si="825"/>
        <v>0</v>
      </c>
      <c r="AH865" s="29">
        <f t="shared" si="826"/>
        <v>0</v>
      </c>
      <c r="AI865" s="28" t="s">
        <v>2883</v>
      </c>
      <c r="AJ865" s="15">
        <f t="shared" si="827"/>
        <v>0</v>
      </c>
      <c r="AK865" s="15">
        <f t="shared" si="828"/>
        <v>0</v>
      </c>
      <c r="AL865" s="15">
        <f t="shared" si="829"/>
        <v>0</v>
      </c>
      <c r="AN865" s="29">
        <v>15</v>
      </c>
      <c r="AO865" s="29">
        <f>I865*0.90738422069056</f>
        <v>0</v>
      </c>
      <c r="AP865" s="29">
        <f>I865*(1-0.90738422069056)</f>
        <v>0</v>
      </c>
      <c r="AQ865" s="30" t="s">
        <v>7</v>
      </c>
      <c r="AV865" s="29">
        <f t="shared" si="830"/>
        <v>0</v>
      </c>
      <c r="AW865" s="29">
        <f t="shared" si="831"/>
        <v>0</v>
      </c>
      <c r="AX865" s="29">
        <f t="shared" si="832"/>
        <v>0</v>
      </c>
      <c r="AY865" s="32" t="s">
        <v>2900</v>
      </c>
      <c r="AZ865" s="32" t="s">
        <v>2949</v>
      </c>
      <c r="BA865" s="28" t="s">
        <v>2958</v>
      </c>
      <c r="BC865" s="29">
        <f t="shared" si="833"/>
        <v>0</v>
      </c>
      <c r="BD865" s="29">
        <f t="shared" si="834"/>
        <v>0</v>
      </c>
      <c r="BE865" s="29">
        <v>0</v>
      </c>
      <c r="BF865" s="29">
        <f>865</f>
        <v>865</v>
      </c>
      <c r="BH865" s="15">
        <f t="shared" si="835"/>
        <v>0</v>
      </c>
      <c r="BI865" s="15">
        <f t="shared" si="836"/>
        <v>0</v>
      </c>
      <c r="BJ865" s="15">
        <f t="shared" si="837"/>
        <v>0</v>
      </c>
      <c r="BK865" s="15" t="s">
        <v>2969</v>
      </c>
      <c r="BL865" s="29">
        <v>59</v>
      </c>
    </row>
    <row r="866" spans="1:64" ht="12.75">
      <c r="A866" s="4" t="s">
        <v>806</v>
      </c>
      <c r="B866" s="94" t="s">
        <v>1761</v>
      </c>
      <c r="C866" s="152" t="s">
        <v>2695</v>
      </c>
      <c r="D866" s="153"/>
      <c r="E866" s="153"/>
      <c r="F866" s="153"/>
      <c r="G866" s="94" t="s">
        <v>2850</v>
      </c>
      <c r="H866" s="73">
        <v>1</v>
      </c>
      <c r="I866" s="105">
        <v>0</v>
      </c>
      <c r="J866" s="15">
        <f t="shared" si="816"/>
        <v>0</v>
      </c>
      <c r="K866" s="15">
        <f t="shared" si="817"/>
        <v>0</v>
      </c>
      <c r="L866" s="15">
        <f t="shared" si="818"/>
        <v>0</v>
      </c>
      <c r="M866" s="25" t="s">
        <v>2872</v>
      </c>
      <c r="N866" s="5"/>
      <c r="Z866" s="29">
        <f t="shared" si="819"/>
        <v>0</v>
      </c>
      <c r="AB866" s="29">
        <f t="shared" si="820"/>
        <v>0</v>
      </c>
      <c r="AC866" s="29">
        <f t="shared" si="821"/>
        <v>0</v>
      </c>
      <c r="AD866" s="29">
        <f t="shared" si="822"/>
        <v>0</v>
      </c>
      <c r="AE866" s="29">
        <f t="shared" si="823"/>
        <v>0</v>
      </c>
      <c r="AF866" s="29">
        <f t="shared" si="824"/>
        <v>0</v>
      </c>
      <c r="AG866" s="29">
        <f t="shared" si="825"/>
        <v>0</v>
      </c>
      <c r="AH866" s="29">
        <f t="shared" si="826"/>
        <v>0</v>
      </c>
      <c r="AI866" s="28" t="s">
        <v>2883</v>
      </c>
      <c r="AJ866" s="15">
        <f t="shared" si="827"/>
        <v>0</v>
      </c>
      <c r="AK866" s="15">
        <f t="shared" si="828"/>
        <v>0</v>
      </c>
      <c r="AL866" s="15">
        <f t="shared" si="829"/>
        <v>0</v>
      </c>
      <c r="AN866" s="29">
        <v>15</v>
      </c>
      <c r="AO866" s="29">
        <f>I866*0.949963377206754</f>
        <v>0</v>
      </c>
      <c r="AP866" s="29">
        <f>I866*(1-0.949963377206754)</f>
        <v>0</v>
      </c>
      <c r="AQ866" s="30" t="s">
        <v>7</v>
      </c>
      <c r="AV866" s="29">
        <f t="shared" si="830"/>
        <v>0</v>
      </c>
      <c r="AW866" s="29">
        <f t="shared" si="831"/>
        <v>0</v>
      </c>
      <c r="AX866" s="29">
        <f t="shared" si="832"/>
        <v>0</v>
      </c>
      <c r="AY866" s="32" t="s">
        <v>2900</v>
      </c>
      <c r="AZ866" s="32" t="s">
        <v>2949</v>
      </c>
      <c r="BA866" s="28" t="s">
        <v>2958</v>
      </c>
      <c r="BC866" s="29">
        <f t="shared" si="833"/>
        <v>0</v>
      </c>
      <c r="BD866" s="29">
        <f t="shared" si="834"/>
        <v>0</v>
      </c>
      <c r="BE866" s="29">
        <v>0</v>
      </c>
      <c r="BF866" s="29">
        <f>866</f>
        <v>866</v>
      </c>
      <c r="BH866" s="15">
        <f t="shared" si="835"/>
        <v>0</v>
      </c>
      <c r="BI866" s="15">
        <f t="shared" si="836"/>
        <v>0</v>
      </c>
      <c r="BJ866" s="15">
        <f t="shared" si="837"/>
        <v>0</v>
      </c>
      <c r="BK866" s="15" t="s">
        <v>2969</v>
      </c>
      <c r="BL866" s="29">
        <v>59</v>
      </c>
    </row>
    <row r="867" spans="1:47" ht="12.75">
      <c r="A867" s="3"/>
      <c r="B867" s="97" t="s">
        <v>97</v>
      </c>
      <c r="C867" s="161" t="s">
        <v>2072</v>
      </c>
      <c r="D867" s="162"/>
      <c r="E867" s="162"/>
      <c r="F867" s="162"/>
      <c r="G867" s="13" t="s">
        <v>6</v>
      </c>
      <c r="H867" s="13" t="s">
        <v>6</v>
      </c>
      <c r="I867" s="13" t="s">
        <v>6</v>
      </c>
      <c r="J867" s="34">
        <f>SUM(J868:J882)</f>
        <v>0</v>
      </c>
      <c r="K867" s="34">
        <f>SUM(K868:K882)</f>
        <v>0</v>
      </c>
      <c r="L867" s="34">
        <f>SUM(L868:L882)</f>
        <v>0</v>
      </c>
      <c r="M867" s="24"/>
      <c r="N867" s="5"/>
      <c r="AI867" s="28" t="s">
        <v>2883</v>
      </c>
      <c r="AS867" s="34">
        <f>SUM(AJ868:AJ882)</f>
        <v>0</v>
      </c>
      <c r="AT867" s="34">
        <f>SUM(AK868:AK882)</f>
        <v>0</v>
      </c>
      <c r="AU867" s="34">
        <f>SUM(AL868:AL882)</f>
        <v>0</v>
      </c>
    </row>
    <row r="868" spans="1:64" ht="12.75">
      <c r="A868" s="4" t="s">
        <v>807</v>
      </c>
      <c r="B868" s="94" t="s">
        <v>1762</v>
      </c>
      <c r="C868" s="152" t="s">
        <v>2696</v>
      </c>
      <c r="D868" s="153"/>
      <c r="E868" s="153"/>
      <c r="F868" s="153"/>
      <c r="G868" s="94" t="s">
        <v>2850</v>
      </c>
      <c r="H868" s="73">
        <v>3</v>
      </c>
      <c r="I868" s="105">
        <v>0</v>
      </c>
      <c r="J868" s="15">
        <f aca="true" t="shared" si="838" ref="J868:J882">H868*AO868</f>
        <v>0</v>
      </c>
      <c r="K868" s="15">
        <f aca="true" t="shared" si="839" ref="K868:K882">H868*AP868</f>
        <v>0</v>
      </c>
      <c r="L868" s="15">
        <f aca="true" t="shared" si="840" ref="L868:L882">H868*I868</f>
        <v>0</v>
      </c>
      <c r="M868" s="25" t="s">
        <v>2872</v>
      </c>
      <c r="N868" s="5"/>
      <c r="Z868" s="29">
        <f aca="true" t="shared" si="841" ref="Z868:Z882">IF(AQ868="5",BJ868,0)</f>
        <v>0</v>
      </c>
      <c r="AB868" s="29">
        <f aca="true" t="shared" si="842" ref="AB868:AB882">IF(AQ868="1",BH868,0)</f>
        <v>0</v>
      </c>
      <c r="AC868" s="29">
        <f aca="true" t="shared" si="843" ref="AC868:AC882">IF(AQ868="1",BI868,0)</f>
        <v>0</v>
      </c>
      <c r="AD868" s="29">
        <f aca="true" t="shared" si="844" ref="AD868:AD882">IF(AQ868="7",BH868,0)</f>
        <v>0</v>
      </c>
      <c r="AE868" s="29">
        <f aca="true" t="shared" si="845" ref="AE868:AE882">IF(AQ868="7",BI868,0)</f>
        <v>0</v>
      </c>
      <c r="AF868" s="29">
        <f aca="true" t="shared" si="846" ref="AF868:AF882">IF(AQ868="2",BH868,0)</f>
        <v>0</v>
      </c>
      <c r="AG868" s="29">
        <f aca="true" t="shared" si="847" ref="AG868:AG882">IF(AQ868="2",BI868,0)</f>
        <v>0</v>
      </c>
      <c r="AH868" s="29">
        <f aca="true" t="shared" si="848" ref="AH868:AH882">IF(AQ868="0",BJ868,0)</f>
        <v>0</v>
      </c>
      <c r="AI868" s="28" t="s">
        <v>2883</v>
      </c>
      <c r="AJ868" s="15">
        <f aca="true" t="shared" si="849" ref="AJ868:AJ882">IF(AN868=0,L868,0)</f>
        <v>0</v>
      </c>
      <c r="AK868" s="15">
        <f aca="true" t="shared" si="850" ref="AK868:AK882">IF(AN868=15,L868,0)</f>
        <v>0</v>
      </c>
      <c r="AL868" s="15">
        <f aca="true" t="shared" si="851" ref="AL868:AL882">IF(AN868=21,L868,0)</f>
        <v>0</v>
      </c>
      <c r="AN868" s="29">
        <v>15</v>
      </c>
      <c r="AO868" s="29">
        <f>I868*0.635979393262319</f>
        <v>0</v>
      </c>
      <c r="AP868" s="29">
        <f>I868*(1-0.635979393262319)</f>
        <v>0</v>
      </c>
      <c r="AQ868" s="30" t="s">
        <v>7</v>
      </c>
      <c r="AV868" s="29">
        <f aca="true" t="shared" si="852" ref="AV868:AV882">AW868+AX868</f>
        <v>0</v>
      </c>
      <c r="AW868" s="29">
        <f aca="true" t="shared" si="853" ref="AW868:AW882">H868*AO868</f>
        <v>0</v>
      </c>
      <c r="AX868" s="29">
        <f aca="true" t="shared" si="854" ref="AX868:AX882">H868*AP868</f>
        <v>0</v>
      </c>
      <c r="AY868" s="32" t="s">
        <v>2906</v>
      </c>
      <c r="AZ868" s="32" t="s">
        <v>2950</v>
      </c>
      <c r="BA868" s="28" t="s">
        <v>2958</v>
      </c>
      <c r="BC868" s="29">
        <f aca="true" t="shared" si="855" ref="BC868:BC882">AW868+AX868</f>
        <v>0</v>
      </c>
      <c r="BD868" s="29">
        <f aca="true" t="shared" si="856" ref="BD868:BD882">I868/(100-BE868)*100</f>
        <v>0</v>
      </c>
      <c r="BE868" s="29">
        <v>0</v>
      </c>
      <c r="BF868" s="29">
        <f>868</f>
        <v>868</v>
      </c>
      <c r="BH868" s="15">
        <f aca="true" t="shared" si="857" ref="BH868:BH882">H868*AO868</f>
        <v>0</v>
      </c>
      <c r="BI868" s="15">
        <f aca="true" t="shared" si="858" ref="BI868:BI882">H868*AP868</f>
        <v>0</v>
      </c>
      <c r="BJ868" s="15">
        <f aca="true" t="shared" si="859" ref="BJ868:BJ882">H868*I868</f>
        <v>0</v>
      </c>
      <c r="BK868" s="15" t="s">
        <v>2969</v>
      </c>
      <c r="BL868" s="29">
        <v>91</v>
      </c>
    </row>
    <row r="869" spans="1:64" ht="12.75">
      <c r="A869" s="6" t="s">
        <v>808</v>
      </c>
      <c r="B869" s="98" t="s">
        <v>1763</v>
      </c>
      <c r="C869" s="163" t="s">
        <v>2697</v>
      </c>
      <c r="D869" s="164"/>
      <c r="E869" s="164"/>
      <c r="F869" s="164"/>
      <c r="G869" s="98" t="s">
        <v>2850</v>
      </c>
      <c r="H869" s="76">
        <v>3</v>
      </c>
      <c r="I869" s="106">
        <v>0</v>
      </c>
      <c r="J869" s="16">
        <f t="shared" si="838"/>
        <v>0</v>
      </c>
      <c r="K869" s="16">
        <f t="shared" si="839"/>
        <v>0</v>
      </c>
      <c r="L869" s="16">
        <f t="shared" si="840"/>
        <v>0</v>
      </c>
      <c r="M869" s="26" t="s">
        <v>2872</v>
      </c>
      <c r="N869" s="5"/>
      <c r="Z869" s="29">
        <f t="shared" si="841"/>
        <v>0</v>
      </c>
      <c r="AB869" s="29">
        <f t="shared" si="842"/>
        <v>0</v>
      </c>
      <c r="AC869" s="29">
        <f t="shared" si="843"/>
        <v>0</v>
      </c>
      <c r="AD869" s="29">
        <f t="shared" si="844"/>
        <v>0</v>
      </c>
      <c r="AE869" s="29">
        <f t="shared" si="845"/>
        <v>0</v>
      </c>
      <c r="AF869" s="29">
        <f t="shared" si="846"/>
        <v>0</v>
      </c>
      <c r="AG869" s="29">
        <f t="shared" si="847"/>
        <v>0</v>
      </c>
      <c r="AH869" s="29">
        <f t="shared" si="848"/>
        <v>0</v>
      </c>
      <c r="AI869" s="28" t="s">
        <v>2883</v>
      </c>
      <c r="AJ869" s="16">
        <f t="shared" si="849"/>
        <v>0</v>
      </c>
      <c r="AK869" s="16">
        <f t="shared" si="850"/>
        <v>0</v>
      </c>
      <c r="AL869" s="16">
        <f t="shared" si="851"/>
        <v>0</v>
      </c>
      <c r="AN869" s="29">
        <v>15</v>
      </c>
      <c r="AO869" s="29">
        <f>I869*1</f>
        <v>0</v>
      </c>
      <c r="AP869" s="29">
        <f>I869*(1-1)</f>
        <v>0</v>
      </c>
      <c r="AQ869" s="31" t="s">
        <v>7</v>
      </c>
      <c r="AV869" s="29">
        <f t="shared" si="852"/>
        <v>0</v>
      </c>
      <c r="AW869" s="29">
        <f t="shared" si="853"/>
        <v>0</v>
      </c>
      <c r="AX869" s="29">
        <f t="shared" si="854"/>
        <v>0</v>
      </c>
      <c r="AY869" s="32" t="s">
        <v>2906</v>
      </c>
      <c r="AZ869" s="32" t="s">
        <v>2950</v>
      </c>
      <c r="BA869" s="28" t="s">
        <v>2958</v>
      </c>
      <c r="BC869" s="29">
        <f t="shared" si="855"/>
        <v>0</v>
      </c>
      <c r="BD869" s="29">
        <f t="shared" si="856"/>
        <v>0</v>
      </c>
      <c r="BE869" s="29">
        <v>0</v>
      </c>
      <c r="BF869" s="29">
        <f>869</f>
        <v>869</v>
      </c>
      <c r="BH869" s="16">
        <f t="shared" si="857"/>
        <v>0</v>
      </c>
      <c r="BI869" s="16">
        <f t="shared" si="858"/>
        <v>0</v>
      </c>
      <c r="BJ869" s="16">
        <f t="shared" si="859"/>
        <v>0</v>
      </c>
      <c r="BK869" s="16" t="s">
        <v>2970</v>
      </c>
      <c r="BL869" s="29">
        <v>91</v>
      </c>
    </row>
    <row r="870" spans="1:64" ht="12.75">
      <c r="A870" s="6" t="s">
        <v>809</v>
      </c>
      <c r="B870" s="98" t="s">
        <v>1764</v>
      </c>
      <c r="C870" s="163" t="s">
        <v>2698</v>
      </c>
      <c r="D870" s="164"/>
      <c r="E870" s="164"/>
      <c r="F870" s="164"/>
      <c r="G870" s="98" t="s">
        <v>2850</v>
      </c>
      <c r="H870" s="76">
        <v>3</v>
      </c>
      <c r="I870" s="106">
        <v>0</v>
      </c>
      <c r="J870" s="16">
        <f t="shared" si="838"/>
        <v>0</v>
      </c>
      <c r="K870" s="16">
        <f t="shared" si="839"/>
        <v>0</v>
      </c>
      <c r="L870" s="16">
        <f t="shared" si="840"/>
        <v>0</v>
      </c>
      <c r="M870" s="26" t="s">
        <v>2872</v>
      </c>
      <c r="N870" s="5"/>
      <c r="Z870" s="29">
        <f t="shared" si="841"/>
        <v>0</v>
      </c>
      <c r="AB870" s="29">
        <f t="shared" si="842"/>
        <v>0</v>
      </c>
      <c r="AC870" s="29">
        <f t="shared" si="843"/>
        <v>0</v>
      </c>
      <c r="AD870" s="29">
        <f t="shared" si="844"/>
        <v>0</v>
      </c>
      <c r="AE870" s="29">
        <f t="shared" si="845"/>
        <v>0</v>
      </c>
      <c r="AF870" s="29">
        <f t="shared" si="846"/>
        <v>0</v>
      </c>
      <c r="AG870" s="29">
        <f t="shared" si="847"/>
        <v>0</v>
      </c>
      <c r="AH870" s="29">
        <f t="shared" si="848"/>
        <v>0</v>
      </c>
      <c r="AI870" s="28" t="s">
        <v>2883</v>
      </c>
      <c r="AJ870" s="16">
        <f t="shared" si="849"/>
        <v>0</v>
      </c>
      <c r="AK870" s="16">
        <f t="shared" si="850"/>
        <v>0</v>
      </c>
      <c r="AL870" s="16">
        <f t="shared" si="851"/>
        <v>0</v>
      </c>
      <c r="AN870" s="29">
        <v>15</v>
      </c>
      <c r="AO870" s="29">
        <f>I870*1</f>
        <v>0</v>
      </c>
      <c r="AP870" s="29">
        <f>I870*(1-1)</f>
        <v>0</v>
      </c>
      <c r="AQ870" s="31" t="s">
        <v>7</v>
      </c>
      <c r="AV870" s="29">
        <f t="shared" si="852"/>
        <v>0</v>
      </c>
      <c r="AW870" s="29">
        <f t="shared" si="853"/>
        <v>0</v>
      </c>
      <c r="AX870" s="29">
        <f t="shared" si="854"/>
        <v>0</v>
      </c>
      <c r="AY870" s="32" t="s">
        <v>2906</v>
      </c>
      <c r="AZ870" s="32" t="s">
        <v>2950</v>
      </c>
      <c r="BA870" s="28" t="s">
        <v>2958</v>
      </c>
      <c r="BC870" s="29">
        <f t="shared" si="855"/>
        <v>0</v>
      </c>
      <c r="BD870" s="29">
        <f t="shared" si="856"/>
        <v>0</v>
      </c>
      <c r="BE870" s="29">
        <v>0</v>
      </c>
      <c r="BF870" s="29">
        <f>870</f>
        <v>870</v>
      </c>
      <c r="BH870" s="16">
        <f t="shared" si="857"/>
        <v>0</v>
      </c>
      <c r="BI870" s="16">
        <f t="shared" si="858"/>
        <v>0</v>
      </c>
      <c r="BJ870" s="16">
        <f t="shared" si="859"/>
        <v>0</v>
      </c>
      <c r="BK870" s="16" t="s">
        <v>2970</v>
      </c>
      <c r="BL870" s="29">
        <v>91</v>
      </c>
    </row>
    <row r="871" spans="1:64" ht="12.75">
      <c r="A871" s="4" t="s">
        <v>810</v>
      </c>
      <c r="B871" s="94" t="s">
        <v>1765</v>
      </c>
      <c r="C871" s="152" t="s">
        <v>2699</v>
      </c>
      <c r="D871" s="153"/>
      <c r="E871" s="153"/>
      <c r="F871" s="153"/>
      <c r="G871" s="94" t="s">
        <v>2850</v>
      </c>
      <c r="H871" s="73">
        <v>6</v>
      </c>
      <c r="I871" s="105">
        <v>0</v>
      </c>
      <c r="J871" s="15">
        <f t="shared" si="838"/>
        <v>0</v>
      </c>
      <c r="K871" s="15">
        <f t="shared" si="839"/>
        <v>0</v>
      </c>
      <c r="L871" s="15">
        <f t="shared" si="840"/>
        <v>0</v>
      </c>
      <c r="M871" s="25" t="s">
        <v>2872</v>
      </c>
      <c r="N871" s="5"/>
      <c r="Z871" s="29">
        <f t="shared" si="841"/>
        <v>0</v>
      </c>
      <c r="AB871" s="29">
        <f t="shared" si="842"/>
        <v>0</v>
      </c>
      <c r="AC871" s="29">
        <f t="shared" si="843"/>
        <v>0</v>
      </c>
      <c r="AD871" s="29">
        <f t="shared" si="844"/>
        <v>0</v>
      </c>
      <c r="AE871" s="29">
        <f t="shared" si="845"/>
        <v>0</v>
      </c>
      <c r="AF871" s="29">
        <f t="shared" si="846"/>
        <v>0</v>
      </c>
      <c r="AG871" s="29">
        <f t="shared" si="847"/>
        <v>0</v>
      </c>
      <c r="AH871" s="29">
        <f t="shared" si="848"/>
        <v>0</v>
      </c>
      <c r="AI871" s="28" t="s">
        <v>2883</v>
      </c>
      <c r="AJ871" s="15">
        <f t="shared" si="849"/>
        <v>0</v>
      </c>
      <c r="AK871" s="15">
        <f t="shared" si="850"/>
        <v>0</v>
      </c>
      <c r="AL871" s="15">
        <f t="shared" si="851"/>
        <v>0</v>
      </c>
      <c r="AN871" s="29">
        <v>15</v>
      </c>
      <c r="AO871" s="29">
        <f>I871*0.649662027833002</f>
        <v>0</v>
      </c>
      <c r="AP871" s="29">
        <f>I871*(1-0.649662027833002)</f>
        <v>0</v>
      </c>
      <c r="AQ871" s="30" t="s">
        <v>7</v>
      </c>
      <c r="AV871" s="29">
        <f t="shared" si="852"/>
        <v>0</v>
      </c>
      <c r="AW871" s="29">
        <f t="shared" si="853"/>
        <v>0</v>
      </c>
      <c r="AX871" s="29">
        <f t="shared" si="854"/>
        <v>0</v>
      </c>
      <c r="AY871" s="32" t="s">
        <v>2906</v>
      </c>
      <c r="AZ871" s="32" t="s">
        <v>2950</v>
      </c>
      <c r="BA871" s="28" t="s">
        <v>2958</v>
      </c>
      <c r="BC871" s="29">
        <f t="shared" si="855"/>
        <v>0</v>
      </c>
      <c r="BD871" s="29">
        <f t="shared" si="856"/>
        <v>0</v>
      </c>
      <c r="BE871" s="29">
        <v>0</v>
      </c>
      <c r="BF871" s="29">
        <f>871</f>
        <v>871</v>
      </c>
      <c r="BH871" s="15">
        <f t="shared" si="857"/>
        <v>0</v>
      </c>
      <c r="BI871" s="15">
        <f t="shared" si="858"/>
        <v>0</v>
      </c>
      <c r="BJ871" s="15">
        <f t="shared" si="859"/>
        <v>0</v>
      </c>
      <c r="BK871" s="15" t="s">
        <v>2969</v>
      </c>
      <c r="BL871" s="29">
        <v>91</v>
      </c>
    </row>
    <row r="872" spans="1:64" ht="12.75">
      <c r="A872" s="6" t="s">
        <v>811</v>
      </c>
      <c r="B872" s="98" t="s">
        <v>1766</v>
      </c>
      <c r="C872" s="163" t="s">
        <v>2700</v>
      </c>
      <c r="D872" s="164"/>
      <c r="E872" s="164"/>
      <c r="F872" s="164"/>
      <c r="G872" s="98" t="s">
        <v>2850</v>
      </c>
      <c r="H872" s="76">
        <v>3</v>
      </c>
      <c r="I872" s="106">
        <v>0</v>
      </c>
      <c r="J872" s="16">
        <f t="shared" si="838"/>
        <v>0</v>
      </c>
      <c r="K872" s="16">
        <f t="shared" si="839"/>
        <v>0</v>
      </c>
      <c r="L872" s="16">
        <f t="shared" si="840"/>
        <v>0</v>
      </c>
      <c r="M872" s="26" t="s">
        <v>2872</v>
      </c>
      <c r="N872" s="5"/>
      <c r="Z872" s="29">
        <f t="shared" si="841"/>
        <v>0</v>
      </c>
      <c r="AB872" s="29">
        <f t="shared" si="842"/>
        <v>0</v>
      </c>
      <c r="AC872" s="29">
        <f t="shared" si="843"/>
        <v>0</v>
      </c>
      <c r="AD872" s="29">
        <f t="shared" si="844"/>
        <v>0</v>
      </c>
      <c r="AE872" s="29">
        <f t="shared" si="845"/>
        <v>0</v>
      </c>
      <c r="AF872" s="29">
        <f t="shared" si="846"/>
        <v>0</v>
      </c>
      <c r="AG872" s="29">
        <f t="shared" si="847"/>
        <v>0</v>
      </c>
      <c r="AH872" s="29">
        <f t="shared" si="848"/>
        <v>0</v>
      </c>
      <c r="AI872" s="28" t="s">
        <v>2883</v>
      </c>
      <c r="AJ872" s="16">
        <f t="shared" si="849"/>
        <v>0</v>
      </c>
      <c r="AK872" s="16">
        <f t="shared" si="850"/>
        <v>0</v>
      </c>
      <c r="AL872" s="16">
        <f t="shared" si="851"/>
        <v>0</v>
      </c>
      <c r="AN872" s="29">
        <v>15</v>
      </c>
      <c r="AO872" s="29">
        <f>I872*1</f>
        <v>0</v>
      </c>
      <c r="AP872" s="29">
        <f>I872*(1-1)</f>
        <v>0</v>
      </c>
      <c r="AQ872" s="31" t="s">
        <v>7</v>
      </c>
      <c r="AV872" s="29">
        <f t="shared" si="852"/>
        <v>0</v>
      </c>
      <c r="AW872" s="29">
        <f t="shared" si="853"/>
        <v>0</v>
      </c>
      <c r="AX872" s="29">
        <f t="shared" si="854"/>
        <v>0</v>
      </c>
      <c r="AY872" s="32" t="s">
        <v>2906</v>
      </c>
      <c r="AZ872" s="32" t="s">
        <v>2950</v>
      </c>
      <c r="BA872" s="28" t="s">
        <v>2958</v>
      </c>
      <c r="BC872" s="29">
        <f t="shared" si="855"/>
        <v>0</v>
      </c>
      <c r="BD872" s="29">
        <f t="shared" si="856"/>
        <v>0</v>
      </c>
      <c r="BE872" s="29">
        <v>0</v>
      </c>
      <c r="BF872" s="29">
        <f>872</f>
        <v>872</v>
      </c>
      <c r="BH872" s="16">
        <f t="shared" si="857"/>
        <v>0</v>
      </c>
      <c r="BI872" s="16">
        <f t="shared" si="858"/>
        <v>0</v>
      </c>
      <c r="BJ872" s="16">
        <f t="shared" si="859"/>
        <v>0</v>
      </c>
      <c r="BK872" s="16" t="s">
        <v>2970</v>
      </c>
      <c r="BL872" s="29">
        <v>91</v>
      </c>
    </row>
    <row r="873" spans="1:64" ht="12.75">
      <c r="A873" s="6" t="s">
        <v>812</v>
      </c>
      <c r="B873" s="98" t="s">
        <v>1767</v>
      </c>
      <c r="C873" s="163" t="s">
        <v>2701</v>
      </c>
      <c r="D873" s="164"/>
      <c r="E873" s="164"/>
      <c r="F873" s="164"/>
      <c r="G873" s="98" t="s">
        <v>2850</v>
      </c>
      <c r="H873" s="76">
        <v>3</v>
      </c>
      <c r="I873" s="106">
        <v>0</v>
      </c>
      <c r="J873" s="16">
        <f t="shared" si="838"/>
        <v>0</v>
      </c>
      <c r="K873" s="16">
        <f t="shared" si="839"/>
        <v>0</v>
      </c>
      <c r="L873" s="16">
        <f t="shared" si="840"/>
        <v>0</v>
      </c>
      <c r="M873" s="26" t="s">
        <v>2872</v>
      </c>
      <c r="N873" s="5"/>
      <c r="Z873" s="29">
        <f t="shared" si="841"/>
        <v>0</v>
      </c>
      <c r="AB873" s="29">
        <f t="shared" si="842"/>
        <v>0</v>
      </c>
      <c r="AC873" s="29">
        <f t="shared" si="843"/>
        <v>0</v>
      </c>
      <c r="AD873" s="29">
        <f t="shared" si="844"/>
        <v>0</v>
      </c>
      <c r="AE873" s="29">
        <f t="shared" si="845"/>
        <v>0</v>
      </c>
      <c r="AF873" s="29">
        <f t="shared" si="846"/>
        <v>0</v>
      </c>
      <c r="AG873" s="29">
        <f t="shared" si="847"/>
        <v>0</v>
      </c>
      <c r="AH873" s="29">
        <f t="shared" si="848"/>
        <v>0</v>
      </c>
      <c r="AI873" s="28" t="s">
        <v>2883</v>
      </c>
      <c r="AJ873" s="16">
        <f t="shared" si="849"/>
        <v>0</v>
      </c>
      <c r="AK873" s="16">
        <f t="shared" si="850"/>
        <v>0</v>
      </c>
      <c r="AL873" s="16">
        <f t="shared" si="851"/>
        <v>0</v>
      </c>
      <c r="AN873" s="29">
        <v>15</v>
      </c>
      <c r="AO873" s="29">
        <f>I873*1</f>
        <v>0</v>
      </c>
      <c r="AP873" s="29">
        <f>I873*(1-1)</f>
        <v>0</v>
      </c>
      <c r="AQ873" s="31" t="s">
        <v>7</v>
      </c>
      <c r="AV873" s="29">
        <f t="shared" si="852"/>
        <v>0</v>
      </c>
      <c r="AW873" s="29">
        <f t="shared" si="853"/>
        <v>0</v>
      </c>
      <c r="AX873" s="29">
        <f t="shared" si="854"/>
        <v>0</v>
      </c>
      <c r="AY873" s="32" t="s">
        <v>2906</v>
      </c>
      <c r="AZ873" s="32" t="s">
        <v>2950</v>
      </c>
      <c r="BA873" s="28" t="s">
        <v>2958</v>
      </c>
      <c r="BC873" s="29">
        <f t="shared" si="855"/>
        <v>0</v>
      </c>
      <c r="BD873" s="29">
        <f t="shared" si="856"/>
        <v>0</v>
      </c>
      <c r="BE873" s="29">
        <v>0</v>
      </c>
      <c r="BF873" s="29">
        <f>873</f>
        <v>873</v>
      </c>
      <c r="BH873" s="16">
        <f t="shared" si="857"/>
        <v>0</v>
      </c>
      <c r="BI873" s="16">
        <f t="shared" si="858"/>
        <v>0</v>
      </c>
      <c r="BJ873" s="16">
        <f t="shared" si="859"/>
        <v>0</v>
      </c>
      <c r="BK873" s="16" t="s">
        <v>2970</v>
      </c>
      <c r="BL873" s="29">
        <v>91</v>
      </c>
    </row>
    <row r="874" spans="1:64" ht="12.75">
      <c r="A874" s="4" t="s">
        <v>813</v>
      </c>
      <c r="B874" s="94" t="s">
        <v>1768</v>
      </c>
      <c r="C874" s="152" t="s">
        <v>2702</v>
      </c>
      <c r="D874" s="153"/>
      <c r="E874" s="153"/>
      <c r="F874" s="153"/>
      <c r="G874" s="94" t="s">
        <v>2850</v>
      </c>
      <c r="H874" s="73">
        <v>1</v>
      </c>
      <c r="I874" s="105">
        <v>0</v>
      </c>
      <c r="J874" s="15">
        <f t="shared" si="838"/>
        <v>0</v>
      </c>
      <c r="K874" s="15">
        <f t="shared" si="839"/>
        <v>0</v>
      </c>
      <c r="L874" s="15">
        <f t="shared" si="840"/>
        <v>0</v>
      </c>
      <c r="M874" s="25" t="s">
        <v>2872</v>
      </c>
      <c r="N874" s="5"/>
      <c r="Z874" s="29">
        <f t="shared" si="841"/>
        <v>0</v>
      </c>
      <c r="AB874" s="29">
        <f t="shared" si="842"/>
        <v>0</v>
      </c>
      <c r="AC874" s="29">
        <f t="shared" si="843"/>
        <v>0</v>
      </c>
      <c r="AD874" s="29">
        <f t="shared" si="844"/>
        <v>0</v>
      </c>
      <c r="AE874" s="29">
        <f t="shared" si="845"/>
        <v>0</v>
      </c>
      <c r="AF874" s="29">
        <f t="shared" si="846"/>
        <v>0</v>
      </c>
      <c r="AG874" s="29">
        <f t="shared" si="847"/>
        <v>0</v>
      </c>
      <c r="AH874" s="29">
        <f t="shared" si="848"/>
        <v>0</v>
      </c>
      <c r="AI874" s="28" t="s">
        <v>2883</v>
      </c>
      <c r="AJ874" s="15">
        <f t="shared" si="849"/>
        <v>0</v>
      </c>
      <c r="AK874" s="15">
        <f t="shared" si="850"/>
        <v>0</v>
      </c>
      <c r="AL874" s="15">
        <f t="shared" si="851"/>
        <v>0</v>
      </c>
      <c r="AN874" s="29">
        <v>15</v>
      </c>
      <c r="AO874" s="29">
        <f>I874*0</f>
        <v>0</v>
      </c>
      <c r="AP874" s="29">
        <f>I874*(1-0)</f>
        <v>0</v>
      </c>
      <c r="AQ874" s="30" t="s">
        <v>7</v>
      </c>
      <c r="AV874" s="29">
        <f t="shared" si="852"/>
        <v>0</v>
      </c>
      <c r="AW874" s="29">
        <f t="shared" si="853"/>
        <v>0</v>
      </c>
      <c r="AX874" s="29">
        <f t="shared" si="854"/>
        <v>0</v>
      </c>
      <c r="AY874" s="32" t="s">
        <v>2906</v>
      </c>
      <c r="AZ874" s="32" t="s">
        <v>2950</v>
      </c>
      <c r="BA874" s="28" t="s">
        <v>2958</v>
      </c>
      <c r="BC874" s="29">
        <f t="shared" si="855"/>
        <v>0</v>
      </c>
      <c r="BD874" s="29">
        <f t="shared" si="856"/>
        <v>0</v>
      </c>
      <c r="BE874" s="29">
        <v>0</v>
      </c>
      <c r="BF874" s="29">
        <f>874</f>
        <v>874</v>
      </c>
      <c r="BH874" s="15">
        <f t="shared" si="857"/>
        <v>0</v>
      </c>
      <c r="BI874" s="15">
        <f t="shared" si="858"/>
        <v>0</v>
      </c>
      <c r="BJ874" s="15">
        <f t="shared" si="859"/>
        <v>0</v>
      </c>
      <c r="BK874" s="15" t="s">
        <v>2969</v>
      </c>
      <c r="BL874" s="29">
        <v>91</v>
      </c>
    </row>
    <row r="875" spans="1:64" ht="12.75">
      <c r="A875" s="4" t="s">
        <v>814</v>
      </c>
      <c r="B875" s="94" t="s">
        <v>1769</v>
      </c>
      <c r="C875" s="152" t="s">
        <v>2703</v>
      </c>
      <c r="D875" s="153"/>
      <c r="E875" s="153"/>
      <c r="F875" s="153"/>
      <c r="G875" s="94" t="s">
        <v>2851</v>
      </c>
      <c r="H875" s="73">
        <v>110.5</v>
      </c>
      <c r="I875" s="105">
        <v>0</v>
      </c>
      <c r="J875" s="15">
        <f t="shared" si="838"/>
        <v>0</v>
      </c>
      <c r="K875" s="15">
        <f t="shared" si="839"/>
        <v>0</v>
      </c>
      <c r="L875" s="15">
        <f t="shared" si="840"/>
        <v>0</v>
      </c>
      <c r="M875" s="25" t="s">
        <v>2872</v>
      </c>
      <c r="N875" s="5"/>
      <c r="Z875" s="29">
        <f t="shared" si="841"/>
        <v>0</v>
      </c>
      <c r="AB875" s="29">
        <f t="shared" si="842"/>
        <v>0</v>
      </c>
      <c r="AC875" s="29">
        <f t="shared" si="843"/>
        <v>0</v>
      </c>
      <c r="AD875" s="29">
        <f t="shared" si="844"/>
        <v>0</v>
      </c>
      <c r="AE875" s="29">
        <f t="shared" si="845"/>
        <v>0</v>
      </c>
      <c r="AF875" s="29">
        <f t="shared" si="846"/>
        <v>0</v>
      </c>
      <c r="AG875" s="29">
        <f t="shared" si="847"/>
        <v>0</v>
      </c>
      <c r="AH875" s="29">
        <f t="shared" si="848"/>
        <v>0</v>
      </c>
      <c r="AI875" s="28" t="s">
        <v>2883</v>
      </c>
      <c r="AJ875" s="15">
        <f t="shared" si="849"/>
        <v>0</v>
      </c>
      <c r="AK875" s="15">
        <f t="shared" si="850"/>
        <v>0</v>
      </c>
      <c r="AL875" s="15">
        <f t="shared" si="851"/>
        <v>0</v>
      </c>
      <c r="AN875" s="29">
        <v>15</v>
      </c>
      <c r="AO875" s="29">
        <f>I875*0.600784747087999</f>
        <v>0</v>
      </c>
      <c r="AP875" s="29">
        <f>I875*(1-0.600784747087999)</f>
        <v>0</v>
      </c>
      <c r="AQ875" s="30" t="s">
        <v>7</v>
      </c>
      <c r="AV875" s="29">
        <f t="shared" si="852"/>
        <v>0</v>
      </c>
      <c r="AW875" s="29">
        <f t="shared" si="853"/>
        <v>0</v>
      </c>
      <c r="AX875" s="29">
        <f t="shared" si="854"/>
        <v>0</v>
      </c>
      <c r="AY875" s="32" t="s">
        <v>2906</v>
      </c>
      <c r="AZ875" s="32" t="s">
        <v>2950</v>
      </c>
      <c r="BA875" s="28" t="s">
        <v>2958</v>
      </c>
      <c r="BC875" s="29">
        <f t="shared" si="855"/>
        <v>0</v>
      </c>
      <c r="BD875" s="29">
        <f t="shared" si="856"/>
        <v>0</v>
      </c>
      <c r="BE875" s="29">
        <v>0</v>
      </c>
      <c r="BF875" s="29">
        <f>875</f>
        <v>875</v>
      </c>
      <c r="BH875" s="15">
        <f t="shared" si="857"/>
        <v>0</v>
      </c>
      <c r="BI875" s="15">
        <f t="shared" si="858"/>
        <v>0</v>
      </c>
      <c r="BJ875" s="15">
        <f t="shared" si="859"/>
        <v>0</v>
      </c>
      <c r="BK875" s="15" t="s">
        <v>2969</v>
      </c>
      <c r="BL875" s="29">
        <v>91</v>
      </c>
    </row>
    <row r="876" spans="1:64" ht="12.75">
      <c r="A876" s="4" t="s">
        <v>815</v>
      </c>
      <c r="B876" s="94" t="s">
        <v>1770</v>
      </c>
      <c r="C876" s="152" t="s">
        <v>2704</v>
      </c>
      <c r="D876" s="153"/>
      <c r="E876" s="153"/>
      <c r="F876" s="153"/>
      <c r="G876" s="94" t="s">
        <v>2851</v>
      </c>
      <c r="H876" s="73">
        <v>34</v>
      </c>
      <c r="I876" s="105">
        <v>0</v>
      </c>
      <c r="J876" s="15">
        <f t="shared" si="838"/>
        <v>0</v>
      </c>
      <c r="K876" s="15">
        <f t="shared" si="839"/>
        <v>0</v>
      </c>
      <c r="L876" s="15">
        <f t="shared" si="840"/>
        <v>0</v>
      </c>
      <c r="M876" s="25" t="s">
        <v>2872</v>
      </c>
      <c r="N876" s="5"/>
      <c r="Z876" s="29">
        <f t="shared" si="841"/>
        <v>0</v>
      </c>
      <c r="AB876" s="29">
        <f t="shared" si="842"/>
        <v>0</v>
      </c>
      <c r="AC876" s="29">
        <f t="shared" si="843"/>
        <v>0</v>
      </c>
      <c r="AD876" s="29">
        <f t="shared" si="844"/>
        <v>0</v>
      </c>
      <c r="AE876" s="29">
        <f t="shared" si="845"/>
        <v>0</v>
      </c>
      <c r="AF876" s="29">
        <f t="shared" si="846"/>
        <v>0</v>
      </c>
      <c r="AG876" s="29">
        <f t="shared" si="847"/>
        <v>0</v>
      </c>
      <c r="AH876" s="29">
        <f t="shared" si="848"/>
        <v>0</v>
      </c>
      <c r="AI876" s="28" t="s">
        <v>2883</v>
      </c>
      <c r="AJ876" s="15">
        <f t="shared" si="849"/>
        <v>0</v>
      </c>
      <c r="AK876" s="15">
        <f t="shared" si="850"/>
        <v>0</v>
      </c>
      <c r="AL876" s="15">
        <f t="shared" si="851"/>
        <v>0</v>
      </c>
      <c r="AN876" s="29">
        <v>15</v>
      </c>
      <c r="AO876" s="29">
        <f>I876*0.729975326808786</f>
        <v>0</v>
      </c>
      <c r="AP876" s="29">
        <f>I876*(1-0.729975326808786)</f>
        <v>0</v>
      </c>
      <c r="AQ876" s="30" t="s">
        <v>7</v>
      </c>
      <c r="AV876" s="29">
        <f t="shared" si="852"/>
        <v>0</v>
      </c>
      <c r="AW876" s="29">
        <f t="shared" si="853"/>
        <v>0</v>
      </c>
      <c r="AX876" s="29">
        <f t="shared" si="854"/>
        <v>0</v>
      </c>
      <c r="AY876" s="32" t="s">
        <v>2906</v>
      </c>
      <c r="AZ876" s="32" t="s">
        <v>2950</v>
      </c>
      <c r="BA876" s="28" t="s">
        <v>2958</v>
      </c>
      <c r="BC876" s="29">
        <f t="shared" si="855"/>
        <v>0</v>
      </c>
      <c r="BD876" s="29">
        <f t="shared" si="856"/>
        <v>0</v>
      </c>
      <c r="BE876" s="29">
        <v>0</v>
      </c>
      <c r="BF876" s="29">
        <f>876</f>
        <v>876</v>
      </c>
      <c r="BH876" s="15">
        <f t="shared" si="857"/>
        <v>0</v>
      </c>
      <c r="BI876" s="15">
        <f t="shared" si="858"/>
        <v>0</v>
      </c>
      <c r="BJ876" s="15">
        <f t="shared" si="859"/>
        <v>0</v>
      </c>
      <c r="BK876" s="15" t="s">
        <v>2969</v>
      </c>
      <c r="BL876" s="29">
        <v>91</v>
      </c>
    </row>
    <row r="877" spans="1:64" ht="12.75">
      <c r="A877" s="4" t="s">
        <v>816</v>
      </c>
      <c r="B877" s="94" t="s">
        <v>1771</v>
      </c>
      <c r="C877" s="152" t="s">
        <v>2705</v>
      </c>
      <c r="D877" s="153"/>
      <c r="E877" s="153"/>
      <c r="F877" s="153"/>
      <c r="G877" s="94" t="s">
        <v>2849</v>
      </c>
      <c r="H877" s="73">
        <v>1</v>
      </c>
      <c r="I877" s="105">
        <v>0</v>
      </c>
      <c r="J877" s="15">
        <f t="shared" si="838"/>
        <v>0</v>
      </c>
      <c r="K877" s="15">
        <f t="shared" si="839"/>
        <v>0</v>
      </c>
      <c r="L877" s="15">
        <f t="shared" si="840"/>
        <v>0</v>
      </c>
      <c r="M877" s="25" t="s">
        <v>2872</v>
      </c>
      <c r="N877" s="5"/>
      <c r="Z877" s="29">
        <f t="shared" si="841"/>
        <v>0</v>
      </c>
      <c r="AB877" s="29">
        <f t="shared" si="842"/>
        <v>0</v>
      </c>
      <c r="AC877" s="29">
        <f t="shared" si="843"/>
        <v>0</v>
      </c>
      <c r="AD877" s="29">
        <f t="shared" si="844"/>
        <v>0</v>
      </c>
      <c r="AE877" s="29">
        <f t="shared" si="845"/>
        <v>0</v>
      </c>
      <c r="AF877" s="29">
        <f t="shared" si="846"/>
        <v>0</v>
      </c>
      <c r="AG877" s="29">
        <f t="shared" si="847"/>
        <v>0</v>
      </c>
      <c r="AH877" s="29">
        <f t="shared" si="848"/>
        <v>0</v>
      </c>
      <c r="AI877" s="28" t="s">
        <v>2883</v>
      </c>
      <c r="AJ877" s="15">
        <f t="shared" si="849"/>
        <v>0</v>
      </c>
      <c r="AK877" s="15">
        <f t="shared" si="850"/>
        <v>0</v>
      </c>
      <c r="AL877" s="15">
        <f t="shared" si="851"/>
        <v>0</v>
      </c>
      <c r="AN877" s="29">
        <v>15</v>
      </c>
      <c r="AO877" s="29">
        <f>I877*0.372917847025496</f>
        <v>0</v>
      </c>
      <c r="AP877" s="29">
        <f>I877*(1-0.372917847025496)</f>
        <v>0</v>
      </c>
      <c r="AQ877" s="30" t="s">
        <v>7</v>
      </c>
      <c r="AV877" s="29">
        <f t="shared" si="852"/>
        <v>0</v>
      </c>
      <c r="AW877" s="29">
        <f t="shared" si="853"/>
        <v>0</v>
      </c>
      <c r="AX877" s="29">
        <f t="shared" si="854"/>
        <v>0</v>
      </c>
      <c r="AY877" s="32" t="s">
        <v>2906</v>
      </c>
      <c r="AZ877" s="32" t="s">
        <v>2950</v>
      </c>
      <c r="BA877" s="28" t="s">
        <v>2958</v>
      </c>
      <c r="BC877" s="29">
        <f t="shared" si="855"/>
        <v>0</v>
      </c>
      <c r="BD877" s="29">
        <f t="shared" si="856"/>
        <v>0</v>
      </c>
      <c r="BE877" s="29">
        <v>0</v>
      </c>
      <c r="BF877" s="29">
        <f>877</f>
        <v>877</v>
      </c>
      <c r="BH877" s="15">
        <f t="shared" si="857"/>
        <v>0</v>
      </c>
      <c r="BI877" s="15">
        <f t="shared" si="858"/>
        <v>0</v>
      </c>
      <c r="BJ877" s="15">
        <f t="shared" si="859"/>
        <v>0</v>
      </c>
      <c r="BK877" s="15" t="s">
        <v>2969</v>
      </c>
      <c r="BL877" s="29">
        <v>91</v>
      </c>
    </row>
    <row r="878" spans="1:64" ht="12.75">
      <c r="A878" s="4" t="s">
        <v>817</v>
      </c>
      <c r="B878" s="94" t="s">
        <v>1772</v>
      </c>
      <c r="C878" s="152" t="s">
        <v>2706</v>
      </c>
      <c r="D878" s="153"/>
      <c r="E878" s="153"/>
      <c r="F878" s="153"/>
      <c r="G878" s="94" t="s">
        <v>2851</v>
      </c>
      <c r="H878" s="73">
        <v>144.5</v>
      </c>
      <c r="I878" s="105">
        <v>0</v>
      </c>
      <c r="J878" s="15">
        <f t="shared" si="838"/>
        <v>0</v>
      </c>
      <c r="K878" s="15">
        <f t="shared" si="839"/>
        <v>0</v>
      </c>
      <c r="L878" s="15">
        <f t="shared" si="840"/>
        <v>0</v>
      </c>
      <c r="M878" s="25" t="s">
        <v>2872</v>
      </c>
      <c r="N878" s="5"/>
      <c r="Z878" s="29">
        <f t="shared" si="841"/>
        <v>0</v>
      </c>
      <c r="AB878" s="29">
        <f t="shared" si="842"/>
        <v>0</v>
      </c>
      <c r="AC878" s="29">
        <f t="shared" si="843"/>
        <v>0</v>
      </c>
      <c r="AD878" s="29">
        <f t="shared" si="844"/>
        <v>0</v>
      </c>
      <c r="AE878" s="29">
        <f t="shared" si="845"/>
        <v>0</v>
      </c>
      <c r="AF878" s="29">
        <f t="shared" si="846"/>
        <v>0</v>
      </c>
      <c r="AG878" s="29">
        <f t="shared" si="847"/>
        <v>0</v>
      </c>
      <c r="AH878" s="29">
        <f t="shared" si="848"/>
        <v>0</v>
      </c>
      <c r="AI878" s="28" t="s">
        <v>2883</v>
      </c>
      <c r="AJ878" s="15">
        <f t="shared" si="849"/>
        <v>0</v>
      </c>
      <c r="AK878" s="15">
        <f t="shared" si="850"/>
        <v>0</v>
      </c>
      <c r="AL878" s="15">
        <f t="shared" si="851"/>
        <v>0</v>
      </c>
      <c r="AN878" s="29">
        <v>15</v>
      </c>
      <c r="AO878" s="29">
        <f>I878*0.1086586554076</f>
        <v>0</v>
      </c>
      <c r="AP878" s="29">
        <f>I878*(1-0.1086586554076)</f>
        <v>0</v>
      </c>
      <c r="AQ878" s="30" t="s">
        <v>7</v>
      </c>
      <c r="AV878" s="29">
        <f t="shared" si="852"/>
        <v>0</v>
      </c>
      <c r="AW878" s="29">
        <f t="shared" si="853"/>
        <v>0</v>
      </c>
      <c r="AX878" s="29">
        <f t="shared" si="854"/>
        <v>0</v>
      </c>
      <c r="AY878" s="32" t="s">
        <v>2906</v>
      </c>
      <c r="AZ878" s="32" t="s">
        <v>2950</v>
      </c>
      <c r="BA878" s="28" t="s">
        <v>2958</v>
      </c>
      <c r="BC878" s="29">
        <f t="shared" si="855"/>
        <v>0</v>
      </c>
      <c r="BD878" s="29">
        <f t="shared" si="856"/>
        <v>0</v>
      </c>
      <c r="BE878" s="29">
        <v>0</v>
      </c>
      <c r="BF878" s="29">
        <f>878</f>
        <v>878</v>
      </c>
      <c r="BH878" s="15">
        <f t="shared" si="857"/>
        <v>0</v>
      </c>
      <c r="BI878" s="15">
        <f t="shared" si="858"/>
        <v>0</v>
      </c>
      <c r="BJ878" s="15">
        <f t="shared" si="859"/>
        <v>0</v>
      </c>
      <c r="BK878" s="15" t="s">
        <v>2969</v>
      </c>
      <c r="BL878" s="29">
        <v>91</v>
      </c>
    </row>
    <row r="879" spans="1:64" ht="12.75">
      <c r="A879" s="4" t="s">
        <v>818</v>
      </c>
      <c r="B879" s="94" t="s">
        <v>1773</v>
      </c>
      <c r="C879" s="152" t="s">
        <v>2707</v>
      </c>
      <c r="D879" s="153"/>
      <c r="E879" s="153"/>
      <c r="F879" s="153"/>
      <c r="G879" s="94" t="s">
        <v>2849</v>
      </c>
      <c r="H879" s="73">
        <v>1</v>
      </c>
      <c r="I879" s="105">
        <v>0</v>
      </c>
      <c r="J879" s="15">
        <f t="shared" si="838"/>
        <v>0</v>
      </c>
      <c r="K879" s="15">
        <f t="shared" si="839"/>
        <v>0</v>
      </c>
      <c r="L879" s="15">
        <f t="shared" si="840"/>
        <v>0</v>
      </c>
      <c r="M879" s="25" t="s">
        <v>2872</v>
      </c>
      <c r="N879" s="5"/>
      <c r="Z879" s="29">
        <f t="shared" si="841"/>
        <v>0</v>
      </c>
      <c r="AB879" s="29">
        <f t="shared" si="842"/>
        <v>0</v>
      </c>
      <c r="AC879" s="29">
        <f t="shared" si="843"/>
        <v>0</v>
      </c>
      <c r="AD879" s="29">
        <f t="shared" si="844"/>
        <v>0</v>
      </c>
      <c r="AE879" s="29">
        <f t="shared" si="845"/>
        <v>0</v>
      </c>
      <c r="AF879" s="29">
        <f t="shared" si="846"/>
        <v>0</v>
      </c>
      <c r="AG879" s="29">
        <f t="shared" si="847"/>
        <v>0</v>
      </c>
      <c r="AH879" s="29">
        <f t="shared" si="848"/>
        <v>0</v>
      </c>
      <c r="AI879" s="28" t="s">
        <v>2883</v>
      </c>
      <c r="AJ879" s="15">
        <f t="shared" si="849"/>
        <v>0</v>
      </c>
      <c r="AK879" s="15">
        <f t="shared" si="850"/>
        <v>0</v>
      </c>
      <c r="AL879" s="15">
        <f t="shared" si="851"/>
        <v>0</v>
      </c>
      <c r="AN879" s="29">
        <v>15</v>
      </c>
      <c r="AO879" s="29">
        <f>I879*0.00577549523110785</f>
        <v>0</v>
      </c>
      <c r="AP879" s="29">
        <f>I879*(1-0.00577549523110785)</f>
        <v>0</v>
      </c>
      <c r="AQ879" s="30" t="s">
        <v>7</v>
      </c>
      <c r="AV879" s="29">
        <f t="shared" si="852"/>
        <v>0</v>
      </c>
      <c r="AW879" s="29">
        <f t="shared" si="853"/>
        <v>0</v>
      </c>
      <c r="AX879" s="29">
        <f t="shared" si="854"/>
        <v>0</v>
      </c>
      <c r="AY879" s="32" t="s">
        <v>2906</v>
      </c>
      <c r="AZ879" s="32" t="s">
        <v>2950</v>
      </c>
      <c r="BA879" s="28" t="s">
        <v>2958</v>
      </c>
      <c r="BC879" s="29">
        <f t="shared" si="855"/>
        <v>0</v>
      </c>
      <c r="BD879" s="29">
        <f t="shared" si="856"/>
        <v>0</v>
      </c>
      <c r="BE879" s="29">
        <v>0</v>
      </c>
      <c r="BF879" s="29">
        <f>879</f>
        <v>879</v>
      </c>
      <c r="BH879" s="15">
        <f t="shared" si="857"/>
        <v>0</v>
      </c>
      <c r="BI879" s="15">
        <f t="shared" si="858"/>
        <v>0</v>
      </c>
      <c r="BJ879" s="15">
        <f t="shared" si="859"/>
        <v>0</v>
      </c>
      <c r="BK879" s="15" t="s">
        <v>2969</v>
      </c>
      <c r="BL879" s="29">
        <v>91</v>
      </c>
    </row>
    <row r="880" spans="1:64" ht="12.75">
      <c r="A880" s="4" t="s">
        <v>819</v>
      </c>
      <c r="B880" s="94" t="s">
        <v>1774</v>
      </c>
      <c r="C880" s="152" t="s">
        <v>2708</v>
      </c>
      <c r="D880" s="153"/>
      <c r="E880" s="153"/>
      <c r="F880" s="153"/>
      <c r="G880" s="94" t="s">
        <v>2851</v>
      </c>
      <c r="H880" s="73">
        <v>45</v>
      </c>
      <c r="I880" s="105">
        <v>0</v>
      </c>
      <c r="J880" s="15">
        <f t="shared" si="838"/>
        <v>0</v>
      </c>
      <c r="K880" s="15">
        <f t="shared" si="839"/>
        <v>0</v>
      </c>
      <c r="L880" s="15">
        <f t="shared" si="840"/>
        <v>0</v>
      </c>
      <c r="M880" s="25" t="s">
        <v>2872</v>
      </c>
      <c r="N880" s="5"/>
      <c r="Z880" s="29">
        <f t="shared" si="841"/>
        <v>0</v>
      </c>
      <c r="AB880" s="29">
        <f t="shared" si="842"/>
        <v>0</v>
      </c>
      <c r="AC880" s="29">
        <f t="shared" si="843"/>
        <v>0</v>
      </c>
      <c r="AD880" s="29">
        <f t="shared" si="844"/>
        <v>0</v>
      </c>
      <c r="AE880" s="29">
        <f t="shared" si="845"/>
        <v>0</v>
      </c>
      <c r="AF880" s="29">
        <f t="shared" si="846"/>
        <v>0</v>
      </c>
      <c r="AG880" s="29">
        <f t="shared" si="847"/>
        <v>0</v>
      </c>
      <c r="AH880" s="29">
        <f t="shared" si="848"/>
        <v>0</v>
      </c>
      <c r="AI880" s="28" t="s">
        <v>2883</v>
      </c>
      <c r="AJ880" s="15">
        <f t="shared" si="849"/>
        <v>0</v>
      </c>
      <c r="AK880" s="15">
        <f t="shared" si="850"/>
        <v>0</v>
      </c>
      <c r="AL880" s="15">
        <f t="shared" si="851"/>
        <v>0</v>
      </c>
      <c r="AN880" s="29">
        <v>15</v>
      </c>
      <c r="AO880" s="29">
        <f>I880*0.510075549995757</f>
        <v>0</v>
      </c>
      <c r="AP880" s="29">
        <f>I880*(1-0.510075549995757)</f>
        <v>0</v>
      </c>
      <c r="AQ880" s="30" t="s">
        <v>7</v>
      </c>
      <c r="AV880" s="29">
        <f t="shared" si="852"/>
        <v>0</v>
      </c>
      <c r="AW880" s="29">
        <f t="shared" si="853"/>
        <v>0</v>
      </c>
      <c r="AX880" s="29">
        <f t="shared" si="854"/>
        <v>0</v>
      </c>
      <c r="AY880" s="32" t="s">
        <v>2906</v>
      </c>
      <c r="AZ880" s="32" t="s">
        <v>2950</v>
      </c>
      <c r="BA880" s="28" t="s">
        <v>2958</v>
      </c>
      <c r="BC880" s="29">
        <f t="shared" si="855"/>
        <v>0</v>
      </c>
      <c r="BD880" s="29">
        <f t="shared" si="856"/>
        <v>0</v>
      </c>
      <c r="BE880" s="29">
        <v>0</v>
      </c>
      <c r="BF880" s="29">
        <f>880</f>
        <v>880</v>
      </c>
      <c r="BH880" s="15">
        <f t="shared" si="857"/>
        <v>0</v>
      </c>
      <c r="BI880" s="15">
        <f t="shared" si="858"/>
        <v>0</v>
      </c>
      <c r="BJ880" s="15">
        <f t="shared" si="859"/>
        <v>0</v>
      </c>
      <c r="BK880" s="15" t="s">
        <v>2969</v>
      </c>
      <c r="BL880" s="29">
        <v>91</v>
      </c>
    </row>
    <row r="881" spans="1:64" ht="12.75">
      <c r="A881" s="6" t="s">
        <v>820</v>
      </c>
      <c r="B881" s="98" t="s">
        <v>1775</v>
      </c>
      <c r="C881" s="163" t="s">
        <v>2709</v>
      </c>
      <c r="D881" s="164"/>
      <c r="E881" s="164"/>
      <c r="F881" s="164"/>
      <c r="G881" s="98" t="s">
        <v>2850</v>
      </c>
      <c r="H881" s="76">
        <v>47.25</v>
      </c>
      <c r="I881" s="106">
        <v>0</v>
      </c>
      <c r="J881" s="16">
        <f t="shared" si="838"/>
        <v>0</v>
      </c>
      <c r="K881" s="16">
        <f t="shared" si="839"/>
        <v>0</v>
      </c>
      <c r="L881" s="16">
        <f t="shared" si="840"/>
        <v>0</v>
      </c>
      <c r="M881" s="26" t="s">
        <v>2872</v>
      </c>
      <c r="N881" s="5"/>
      <c r="Z881" s="29">
        <f t="shared" si="841"/>
        <v>0</v>
      </c>
      <c r="AB881" s="29">
        <f t="shared" si="842"/>
        <v>0</v>
      </c>
      <c r="AC881" s="29">
        <f t="shared" si="843"/>
        <v>0</v>
      </c>
      <c r="AD881" s="29">
        <f t="shared" si="844"/>
        <v>0</v>
      </c>
      <c r="AE881" s="29">
        <f t="shared" si="845"/>
        <v>0</v>
      </c>
      <c r="AF881" s="29">
        <f t="shared" si="846"/>
        <v>0</v>
      </c>
      <c r="AG881" s="29">
        <f t="shared" si="847"/>
        <v>0</v>
      </c>
      <c r="AH881" s="29">
        <f t="shared" si="848"/>
        <v>0</v>
      </c>
      <c r="AI881" s="28" t="s">
        <v>2883</v>
      </c>
      <c r="AJ881" s="16">
        <f t="shared" si="849"/>
        <v>0</v>
      </c>
      <c r="AK881" s="16">
        <f t="shared" si="850"/>
        <v>0</v>
      </c>
      <c r="AL881" s="16">
        <f t="shared" si="851"/>
        <v>0</v>
      </c>
      <c r="AN881" s="29">
        <v>15</v>
      </c>
      <c r="AO881" s="29">
        <f>I881*1</f>
        <v>0</v>
      </c>
      <c r="AP881" s="29">
        <f>I881*(1-1)</f>
        <v>0</v>
      </c>
      <c r="AQ881" s="31" t="s">
        <v>7</v>
      </c>
      <c r="AV881" s="29">
        <f t="shared" si="852"/>
        <v>0</v>
      </c>
      <c r="AW881" s="29">
        <f t="shared" si="853"/>
        <v>0</v>
      </c>
      <c r="AX881" s="29">
        <f t="shared" si="854"/>
        <v>0</v>
      </c>
      <c r="AY881" s="32" t="s">
        <v>2906</v>
      </c>
      <c r="AZ881" s="32" t="s">
        <v>2950</v>
      </c>
      <c r="BA881" s="28" t="s">
        <v>2958</v>
      </c>
      <c r="BC881" s="29">
        <f t="shared" si="855"/>
        <v>0</v>
      </c>
      <c r="BD881" s="29">
        <f t="shared" si="856"/>
        <v>0</v>
      </c>
      <c r="BE881" s="29">
        <v>0</v>
      </c>
      <c r="BF881" s="29">
        <f>881</f>
        <v>881</v>
      </c>
      <c r="BH881" s="16">
        <f t="shared" si="857"/>
        <v>0</v>
      </c>
      <c r="BI881" s="16">
        <f t="shared" si="858"/>
        <v>0</v>
      </c>
      <c r="BJ881" s="16">
        <f t="shared" si="859"/>
        <v>0</v>
      </c>
      <c r="BK881" s="16" t="s">
        <v>2970</v>
      </c>
      <c r="BL881" s="29">
        <v>91</v>
      </c>
    </row>
    <row r="882" spans="1:64" ht="12.75">
      <c r="A882" s="4" t="s">
        <v>821</v>
      </c>
      <c r="B882" s="94" t="s">
        <v>1121</v>
      </c>
      <c r="C882" s="152" t="s">
        <v>2710</v>
      </c>
      <c r="D882" s="153"/>
      <c r="E882" s="153"/>
      <c r="F882" s="153"/>
      <c r="G882" s="94" t="s">
        <v>2847</v>
      </c>
      <c r="H882" s="73">
        <v>3.15</v>
      </c>
      <c r="I882" s="105">
        <v>0</v>
      </c>
      <c r="J882" s="15">
        <f t="shared" si="838"/>
        <v>0</v>
      </c>
      <c r="K882" s="15">
        <f t="shared" si="839"/>
        <v>0</v>
      </c>
      <c r="L882" s="15">
        <f t="shared" si="840"/>
        <v>0</v>
      </c>
      <c r="M882" s="25" t="s">
        <v>2872</v>
      </c>
      <c r="N882" s="5"/>
      <c r="Z882" s="29">
        <f t="shared" si="841"/>
        <v>0</v>
      </c>
      <c r="AB882" s="29">
        <f t="shared" si="842"/>
        <v>0</v>
      </c>
      <c r="AC882" s="29">
        <f t="shared" si="843"/>
        <v>0</v>
      </c>
      <c r="AD882" s="29">
        <f t="shared" si="844"/>
        <v>0</v>
      </c>
      <c r="AE882" s="29">
        <f t="shared" si="845"/>
        <v>0</v>
      </c>
      <c r="AF882" s="29">
        <f t="shared" si="846"/>
        <v>0</v>
      </c>
      <c r="AG882" s="29">
        <f t="shared" si="847"/>
        <v>0</v>
      </c>
      <c r="AH882" s="29">
        <f t="shared" si="848"/>
        <v>0</v>
      </c>
      <c r="AI882" s="28" t="s">
        <v>2883</v>
      </c>
      <c r="AJ882" s="15">
        <f t="shared" si="849"/>
        <v>0</v>
      </c>
      <c r="AK882" s="15">
        <f t="shared" si="850"/>
        <v>0</v>
      </c>
      <c r="AL882" s="15">
        <f t="shared" si="851"/>
        <v>0</v>
      </c>
      <c r="AN882" s="29">
        <v>15</v>
      </c>
      <c r="AO882" s="29">
        <f>I882*0.783546676122923</f>
        <v>0</v>
      </c>
      <c r="AP882" s="29">
        <f>I882*(1-0.783546676122923)</f>
        <v>0</v>
      </c>
      <c r="AQ882" s="30" t="s">
        <v>7</v>
      </c>
      <c r="AV882" s="29">
        <f t="shared" si="852"/>
        <v>0</v>
      </c>
      <c r="AW882" s="29">
        <f t="shared" si="853"/>
        <v>0</v>
      </c>
      <c r="AX882" s="29">
        <f t="shared" si="854"/>
        <v>0</v>
      </c>
      <c r="AY882" s="32" t="s">
        <v>2906</v>
      </c>
      <c r="AZ882" s="32" t="s">
        <v>2950</v>
      </c>
      <c r="BA882" s="28" t="s">
        <v>2958</v>
      </c>
      <c r="BC882" s="29">
        <f t="shared" si="855"/>
        <v>0</v>
      </c>
      <c r="BD882" s="29">
        <f t="shared" si="856"/>
        <v>0</v>
      </c>
      <c r="BE882" s="29">
        <v>0</v>
      </c>
      <c r="BF882" s="29">
        <f>882</f>
        <v>882</v>
      </c>
      <c r="BH882" s="15">
        <f t="shared" si="857"/>
        <v>0</v>
      </c>
      <c r="BI882" s="15">
        <f t="shared" si="858"/>
        <v>0</v>
      </c>
      <c r="BJ882" s="15">
        <f t="shared" si="859"/>
        <v>0</v>
      </c>
      <c r="BK882" s="15" t="s">
        <v>2969</v>
      </c>
      <c r="BL882" s="29">
        <v>91</v>
      </c>
    </row>
    <row r="883" spans="1:47" ht="12.75">
      <c r="A883" s="3"/>
      <c r="B883" s="97" t="s">
        <v>103</v>
      </c>
      <c r="C883" s="161" t="s">
        <v>2711</v>
      </c>
      <c r="D883" s="162"/>
      <c r="E883" s="162"/>
      <c r="F883" s="162"/>
      <c r="G883" s="13" t="s">
        <v>6</v>
      </c>
      <c r="H883" s="13" t="s">
        <v>6</v>
      </c>
      <c r="I883" s="13" t="s">
        <v>6</v>
      </c>
      <c r="J883" s="34">
        <f>SUM(J884:J884)</f>
        <v>0</v>
      </c>
      <c r="K883" s="34">
        <f>SUM(K884:K884)</f>
        <v>0</v>
      </c>
      <c r="L883" s="34">
        <f>SUM(L884:L884)</f>
        <v>0</v>
      </c>
      <c r="M883" s="24"/>
      <c r="N883" s="5"/>
      <c r="AI883" s="28" t="s">
        <v>2883</v>
      </c>
      <c r="AS883" s="34">
        <f>SUM(AJ884:AJ884)</f>
        <v>0</v>
      </c>
      <c r="AT883" s="34">
        <f>SUM(AK884:AK884)</f>
        <v>0</v>
      </c>
      <c r="AU883" s="34">
        <f>SUM(AL884:AL884)</f>
        <v>0</v>
      </c>
    </row>
    <row r="884" spans="1:64" ht="12.75">
      <c r="A884" s="4" t="s">
        <v>822</v>
      </c>
      <c r="B884" s="94" t="s">
        <v>1776</v>
      </c>
      <c r="C884" s="152" t="s">
        <v>2712</v>
      </c>
      <c r="D884" s="153"/>
      <c r="E884" s="153"/>
      <c r="F884" s="153"/>
      <c r="G884" s="94" t="s">
        <v>2849</v>
      </c>
      <c r="H884" s="73">
        <v>158</v>
      </c>
      <c r="I884" s="105">
        <v>0</v>
      </c>
      <c r="J884" s="15">
        <f>H884*AO884</f>
        <v>0</v>
      </c>
      <c r="K884" s="15">
        <f>H884*AP884</f>
        <v>0</v>
      </c>
      <c r="L884" s="15">
        <f>H884*I884</f>
        <v>0</v>
      </c>
      <c r="M884" s="25" t="s">
        <v>2872</v>
      </c>
      <c r="N884" s="5"/>
      <c r="Z884" s="29">
        <f>IF(AQ884="5",BJ884,0)</f>
        <v>0</v>
      </c>
      <c r="AB884" s="29">
        <f>IF(AQ884="1",BH884,0)</f>
        <v>0</v>
      </c>
      <c r="AC884" s="29">
        <f>IF(AQ884="1",BI884,0)</f>
        <v>0</v>
      </c>
      <c r="AD884" s="29">
        <f>IF(AQ884="7",BH884,0)</f>
        <v>0</v>
      </c>
      <c r="AE884" s="29">
        <f>IF(AQ884="7",BI884,0)</f>
        <v>0</v>
      </c>
      <c r="AF884" s="29">
        <f>IF(AQ884="2",BH884,0)</f>
        <v>0</v>
      </c>
      <c r="AG884" s="29">
        <f>IF(AQ884="2",BI884,0)</f>
        <v>0</v>
      </c>
      <c r="AH884" s="29">
        <f>IF(AQ884="0",BJ884,0)</f>
        <v>0</v>
      </c>
      <c r="AI884" s="28" t="s">
        <v>2883</v>
      </c>
      <c r="AJ884" s="15">
        <f>IF(AN884=0,L884,0)</f>
        <v>0</v>
      </c>
      <c r="AK884" s="15">
        <f>IF(AN884=15,L884,0)</f>
        <v>0</v>
      </c>
      <c r="AL884" s="15">
        <f>IF(AN884=21,L884,0)</f>
        <v>0</v>
      </c>
      <c r="AN884" s="29">
        <v>15</v>
      </c>
      <c r="AO884" s="29">
        <f>I884*0</f>
        <v>0</v>
      </c>
      <c r="AP884" s="29">
        <f>I884*(1-0)</f>
        <v>0</v>
      </c>
      <c r="AQ884" s="30" t="s">
        <v>7</v>
      </c>
      <c r="AV884" s="29">
        <f>AW884+AX884</f>
        <v>0</v>
      </c>
      <c r="AW884" s="29">
        <f>H884*AO884</f>
        <v>0</v>
      </c>
      <c r="AX884" s="29">
        <f>H884*AP884</f>
        <v>0</v>
      </c>
      <c r="AY884" s="32" t="s">
        <v>2931</v>
      </c>
      <c r="AZ884" s="32" t="s">
        <v>2950</v>
      </c>
      <c r="BA884" s="28" t="s">
        <v>2958</v>
      </c>
      <c r="BC884" s="29">
        <f>AW884+AX884</f>
        <v>0</v>
      </c>
      <c r="BD884" s="29">
        <f>I884/(100-BE884)*100</f>
        <v>0</v>
      </c>
      <c r="BE884" s="29">
        <v>0</v>
      </c>
      <c r="BF884" s="29">
        <f>884</f>
        <v>884</v>
      </c>
      <c r="BH884" s="15">
        <f>H884*AO884</f>
        <v>0</v>
      </c>
      <c r="BI884" s="15">
        <f>H884*AP884</f>
        <v>0</v>
      </c>
      <c r="BJ884" s="15">
        <f>H884*I884</f>
        <v>0</v>
      </c>
      <c r="BK884" s="15" t="s">
        <v>2969</v>
      </c>
      <c r="BL884" s="29">
        <v>97</v>
      </c>
    </row>
    <row r="885" spans="1:47" ht="12.75">
      <c r="A885" s="3"/>
      <c r="B885" s="97" t="s">
        <v>1777</v>
      </c>
      <c r="C885" s="161" t="s">
        <v>2713</v>
      </c>
      <c r="D885" s="162"/>
      <c r="E885" s="162"/>
      <c r="F885" s="162"/>
      <c r="G885" s="13" t="s">
        <v>6</v>
      </c>
      <c r="H885" s="13" t="s">
        <v>6</v>
      </c>
      <c r="I885" s="13" t="s">
        <v>6</v>
      </c>
      <c r="J885" s="34">
        <f>SUM(J886:J886)</f>
        <v>0</v>
      </c>
      <c r="K885" s="34">
        <f>SUM(K886:K886)</f>
        <v>0</v>
      </c>
      <c r="L885" s="34">
        <f>SUM(L886:L886)</f>
        <v>0</v>
      </c>
      <c r="M885" s="24"/>
      <c r="N885" s="5"/>
      <c r="AI885" s="28" t="s">
        <v>2883</v>
      </c>
      <c r="AS885" s="34">
        <f>SUM(AJ886:AJ886)</f>
        <v>0</v>
      </c>
      <c r="AT885" s="34">
        <f>SUM(AK886:AK886)</f>
        <v>0</v>
      </c>
      <c r="AU885" s="34">
        <f>SUM(AL886:AL886)</f>
        <v>0</v>
      </c>
    </row>
    <row r="886" spans="1:64" ht="12.75">
      <c r="A886" s="4" t="s">
        <v>823</v>
      </c>
      <c r="B886" s="94" t="s">
        <v>1778</v>
      </c>
      <c r="C886" s="152" t="s">
        <v>2714</v>
      </c>
      <c r="D886" s="153"/>
      <c r="E886" s="153"/>
      <c r="F886" s="153"/>
      <c r="G886" s="94" t="s">
        <v>2848</v>
      </c>
      <c r="H886" s="73">
        <v>425.619</v>
      </c>
      <c r="I886" s="105">
        <v>0</v>
      </c>
      <c r="J886" s="15">
        <f>H886*AO886</f>
        <v>0</v>
      </c>
      <c r="K886" s="15">
        <f>H886*AP886</f>
        <v>0</v>
      </c>
      <c r="L886" s="15">
        <f>H886*I886</f>
        <v>0</v>
      </c>
      <c r="M886" s="25" t="s">
        <v>2872</v>
      </c>
      <c r="N886" s="5"/>
      <c r="Z886" s="29">
        <f>IF(AQ886="5",BJ886,0)</f>
        <v>0</v>
      </c>
      <c r="AB886" s="29">
        <f>IF(AQ886="1",BH886,0)</f>
        <v>0</v>
      </c>
      <c r="AC886" s="29">
        <f>IF(AQ886="1",BI886,0)</f>
        <v>0</v>
      </c>
      <c r="AD886" s="29">
        <f>IF(AQ886="7",BH886,0)</f>
        <v>0</v>
      </c>
      <c r="AE886" s="29">
        <f>IF(AQ886="7",BI886,0)</f>
        <v>0</v>
      </c>
      <c r="AF886" s="29">
        <f>IF(AQ886="2",BH886,0)</f>
        <v>0</v>
      </c>
      <c r="AG886" s="29">
        <f>IF(AQ886="2",BI886,0)</f>
        <v>0</v>
      </c>
      <c r="AH886" s="29">
        <f>IF(AQ886="0",BJ886,0)</f>
        <v>0</v>
      </c>
      <c r="AI886" s="28" t="s">
        <v>2883</v>
      </c>
      <c r="AJ886" s="15">
        <f>IF(AN886=0,L886,0)</f>
        <v>0</v>
      </c>
      <c r="AK886" s="15">
        <f>IF(AN886=15,L886,0)</f>
        <v>0</v>
      </c>
      <c r="AL886" s="15">
        <f>IF(AN886=21,L886,0)</f>
        <v>0</v>
      </c>
      <c r="AN886" s="29">
        <v>15</v>
      </c>
      <c r="AO886" s="29">
        <f>I886*0</f>
        <v>0</v>
      </c>
      <c r="AP886" s="29">
        <f>I886*(1-0)</f>
        <v>0</v>
      </c>
      <c r="AQ886" s="30" t="s">
        <v>11</v>
      </c>
      <c r="AV886" s="29">
        <f>AW886+AX886</f>
        <v>0</v>
      </c>
      <c r="AW886" s="29">
        <f>H886*AO886</f>
        <v>0</v>
      </c>
      <c r="AX886" s="29">
        <f>H886*AP886</f>
        <v>0</v>
      </c>
      <c r="AY886" s="32" t="s">
        <v>2932</v>
      </c>
      <c r="AZ886" s="32" t="s">
        <v>2950</v>
      </c>
      <c r="BA886" s="28" t="s">
        <v>2958</v>
      </c>
      <c r="BC886" s="29">
        <f>AW886+AX886</f>
        <v>0</v>
      </c>
      <c r="BD886" s="29">
        <f>I886/(100-BE886)*100</f>
        <v>0</v>
      </c>
      <c r="BE886" s="29">
        <v>0</v>
      </c>
      <c r="BF886" s="29">
        <f>886</f>
        <v>886</v>
      </c>
      <c r="BH886" s="15">
        <f>H886*AO886</f>
        <v>0</v>
      </c>
      <c r="BI886" s="15">
        <f>H886*AP886</f>
        <v>0</v>
      </c>
      <c r="BJ886" s="15">
        <f>H886*I886</f>
        <v>0</v>
      </c>
      <c r="BK886" s="15" t="s">
        <v>2969</v>
      </c>
      <c r="BL886" s="29" t="s">
        <v>1777</v>
      </c>
    </row>
    <row r="887" spans="1:14" ht="12.75">
      <c r="A887" s="83"/>
      <c r="B887" s="96"/>
      <c r="C887" s="159" t="s">
        <v>2715</v>
      </c>
      <c r="D887" s="160"/>
      <c r="E887" s="160"/>
      <c r="F887" s="160"/>
      <c r="G887" s="84" t="s">
        <v>6</v>
      </c>
      <c r="H887" s="84" t="s">
        <v>6</v>
      </c>
      <c r="I887" s="84" t="s">
        <v>6</v>
      </c>
      <c r="J887" s="85">
        <f>J888</f>
        <v>0</v>
      </c>
      <c r="K887" s="85">
        <f>K888</f>
        <v>0</v>
      </c>
      <c r="L887" s="85">
        <f>L888</f>
        <v>0</v>
      </c>
      <c r="M887" s="86"/>
      <c r="N887" s="5"/>
    </row>
    <row r="888" spans="1:47" ht="12.75">
      <c r="A888" s="3"/>
      <c r="B888" s="97" t="s">
        <v>14</v>
      </c>
      <c r="C888" s="161" t="s">
        <v>2716</v>
      </c>
      <c r="D888" s="162"/>
      <c r="E888" s="162"/>
      <c r="F888" s="162"/>
      <c r="G888" s="13" t="s">
        <v>6</v>
      </c>
      <c r="H888" s="13" t="s">
        <v>6</v>
      </c>
      <c r="I888" s="13" t="s">
        <v>6</v>
      </c>
      <c r="J888" s="34">
        <f>SUM(J889:J921)</f>
        <v>0</v>
      </c>
      <c r="K888" s="34">
        <f>SUM(K889:K921)</f>
        <v>0</v>
      </c>
      <c r="L888" s="34">
        <f>SUM(L889:L921)</f>
        <v>0</v>
      </c>
      <c r="M888" s="24"/>
      <c r="N888" s="5"/>
      <c r="AI888" s="28" t="s">
        <v>2884</v>
      </c>
      <c r="AS888" s="34">
        <f>SUM(AJ889:AJ921)</f>
        <v>0</v>
      </c>
      <c r="AT888" s="34">
        <f>SUM(AK889:AK921)</f>
        <v>0</v>
      </c>
      <c r="AU888" s="34">
        <f>SUM(AL889:AL921)</f>
        <v>0</v>
      </c>
    </row>
    <row r="889" spans="1:64" ht="12.75">
      <c r="A889" s="4" t="s">
        <v>824</v>
      </c>
      <c r="B889" s="94" t="s">
        <v>1779</v>
      </c>
      <c r="C889" s="152" t="s">
        <v>2717</v>
      </c>
      <c r="D889" s="153"/>
      <c r="E889" s="153"/>
      <c r="F889" s="153"/>
      <c r="G889" s="94" t="s">
        <v>2851</v>
      </c>
      <c r="H889" s="73">
        <v>7.5</v>
      </c>
      <c r="I889" s="105">
        <v>0</v>
      </c>
      <c r="J889" s="15">
        <f aca="true" t="shared" si="860" ref="J889:J921">H889*AO889</f>
        <v>0</v>
      </c>
      <c r="K889" s="15">
        <f aca="true" t="shared" si="861" ref="K889:K921">H889*AP889</f>
        <v>0</v>
      </c>
      <c r="L889" s="15">
        <f aca="true" t="shared" si="862" ref="L889:L921">H889*I889</f>
        <v>0</v>
      </c>
      <c r="M889" s="25"/>
      <c r="N889" s="5"/>
      <c r="Z889" s="29">
        <f aca="true" t="shared" si="863" ref="Z889:Z921">IF(AQ889="5",BJ889,0)</f>
        <v>0</v>
      </c>
      <c r="AB889" s="29">
        <f aca="true" t="shared" si="864" ref="AB889:AB921">IF(AQ889="1",BH889,0)</f>
        <v>0</v>
      </c>
      <c r="AC889" s="29">
        <f aca="true" t="shared" si="865" ref="AC889:AC921">IF(AQ889="1",BI889,0)</f>
        <v>0</v>
      </c>
      <c r="AD889" s="29">
        <f aca="true" t="shared" si="866" ref="AD889:AD921">IF(AQ889="7",BH889,0)</f>
        <v>0</v>
      </c>
      <c r="AE889" s="29">
        <f aca="true" t="shared" si="867" ref="AE889:AE921">IF(AQ889="7",BI889,0)</f>
        <v>0</v>
      </c>
      <c r="AF889" s="29">
        <f aca="true" t="shared" si="868" ref="AF889:AF921">IF(AQ889="2",BH889,0)</f>
        <v>0</v>
      </c>
      <c r="AG889" s="29">
        <f aca="true" t="shared" si="869" ref="AG889:AG921">IF(AQ889="2",BI889,0)</f>
        <v>0</v>
      </c>
      <c r="AH889" s="29">
        <f aca="true" t="shared" si="870" ref="AH889:AH921">IF(AQ889="0",BJ889,0)</f>
        <v>0</v>
      </c>
      <c r="AI889" s="28" t="s">
        <v>2884</v>
      </c>
      <c r="AJ889" s="15">
        <f aca="true" t="shared" si="871" ref="AJ889:AJ921">IF(AN889=0,L889,0)</f>
        <v>0</v>
      </c>
      <c r="AK889" s="15">
        <f aca="true" t="shared" si="872" ref="AK889:AK921">IF(AN889=15,L889,0)</f>
        <v>0</v>
      </c>
      <c r="AL889" s="15">
        <f aca="true" t="shared" si="873" ref="AL889:AL921">IF(AN889=21,L889,0)</f>
        <v>0</v>
      </c>
      <c r="AN889" s="29">
        <v>15</v>
      </c>
      <c r="AO889" s="29">
        <f aca="true" t="shared" si="874" ref="AO889:AO921">I889*0</f>
        <v>0</v>
      </c>
      <c r="AP889" s="29">
        <f aca="true" t="shared" si="875" ref="AP889:AP921">I889*(1-0)</f>
        <v>0</v>
      </c>
      <c r="AQ889" s="30" t="s">
        <v>7</v>
      </c>
      <c r="AV889" s="29">
        <f aca="true" t="shared" si="876" ref="AV889:AV921">AW889+AX889</f>
        <v>0</v>
      </c>
      <c r="AW889" s="29">
        <f aca="true" t="shared" si="877" ref="AW889:AW921">H889*AO889</f>
        <v>0</v>
      </c>
      <c r="AX889" s="29">
        <f aca="true" t="shared" si="878" ref="AX889:AX921">H889*AP889</f>
        <v>0</v>
      </c>
      <c r="AY889" s="32" t="s">
        <v>2933</v>
      </c>
      <c r="AZ889" s="32" t="s">
        <v>2951</v>
      </c>
      <c r="BA889" s="28" t="s">
        <v>2959</v>
      </c>
      <c r="BC889" s="29">
        <f aca="true" t="shared" si="879" ref="BC889:BC921">AW889+AX889</f>
        <v>0</v>
      </c>
      <c r="BD889" s="29">
        <f aca="true" t="shared" si="880" ref="BD889:BD921">I889/(100-BE889)*100</f>
        <v>0</v>
      </c>
      <c r="BE889" s="29">
        <v>0</v>
      </c>
      <c r="BF889" s="29">
        <f>889</f>
        <v>889</v>
      </c>
      <c r="BH889" s="15">
        <f aca="true" t="shared" si="881" ref="BH889:BH921">H889*AO889</f>
        <v>0</v>
      </c>
      <c r="BI889" s="15">
        <f aca="true" t="shared" si="882" ref="BI889:BI921">H889*AP889</f>
        <v>0</v>
      </c>
      <c r="BJ889" s="15">
        <f aca="true" t="shared" si="883" ref="BJ889:BJ921">H889*I889</f>
        <v>0</v>
      </c>
      <c r="BK889" s="15" t="s">
        <v>2969</v>
      </c>
      <c r="BL889" s="29">
        <v>8</v>
      </c>
    </row>
    <row r="890" spans="1:64" ht="12.75">
      <c r="A890" s="4" t="s">
        <v>825</v>
      </c>
      <c r="B890" s="94" t="s">
        <v>1780</v>
      </c>
      <c r="C890" s="152" t="s">
        <v>2718</v>
      </c>
      <c r="D890" s="153"/>
      <c r="E890" s="153"/>
      <c r="F890" s="153"/>
      <c r="G890" s="94" t="s">
        <v>2850</v>
      </c>
      <c r="H890" s="73">
        <v>1</v>
      </c>
      <c r="I890" s="105">
        <v>0</v>
      </c>
      <c r="J890" s="15">
        <f t="shared" si="860"/>
        <v>0</v>
      </c>
      <c r="K890" s="15">
        <f t="shared" si="861"/>
        <v>0</v>
      </c>
      <c r="L890" s="15">
        <f t="shared" si="862"/>
        <v>0</v>
      </c>
      <c r="M890" s="25"/>
      <c r="N890" s="5"/>
      <c r="Z890" s="29">
        <f t="shared" si="863"/>
        <v>0</v>
      </c>
      <c r="AB890" s="29">
        <f t="shared" si="864"/>
        <v>0</v>
      </c>
      <c r="AC890" s="29">
        <f t="shared" si="865"/>
        <v>0</v>
      </c>
      <c r="AD890" s="29">
        <f t="shared" si="866"/>
        <v>0</v>
      </c>
      <c r="AE890" s="29">
        <f t="shared" si="867"/>
        <v>0</v>
      </c>
      <c r="AF890" s="29">
        <f t="shared" si="868"/>
        <v>0</v>
      </c>
      <c r="AG890" s="29">
        <f t="shared" si="869"/>
        <v>0</v>
      </c>
      <c r="AH890" s="29">
        <f t="shared" si="870"/>
        <v>0</v>
      </c>
      <c r="AI890" s="28" t="s">
        <v>2884</v>
      </c>
      <c r="AJ890" s="15">
        <f t="shared" si="871"/>
        <v>0</v>
      </c>
      <c r="AK890" s="15">
        <f t="shared" si="872"/>
        <v>0</v>
      </c>
      <c r="AL890" s="15">
        <f t="shared" si="873"/>
        <v>0</v>
      </c>
      <c r="AN890" s="29">
        <v>15</v>
      </c>
      <c r="AO890" s="29">
        <f t="shared" si="874"/>
        <v>0</v>
      </c>
      <c r="AP890" s="29">
        <f t="shared" si="875"/>
        <v>0</v>
      </c>
      <c r="AQ890" s="30" t="s">
        <v>7</v>
      </c>
      <c r="AV890" s="29">
        <f t="shared" si="876"/>
        <v>0</v>
      </c>
      <c r="AW890" s="29">
        <f t="shared" si="877"/>
        <v>0</v>
      </c>
      <c r="AX890" s="29">
        <f t="shared" si="878"/>
        <v>0</v>
      </c>
      <c r="AY890" s="32" t="s">
        <v>2933</v>
      </c>
      <c r="AZ890" s="32" t="s">
        <v>2951</v>
      </c>
      <c r="BA890" s="28" t="s">
        <v>2959</v>
      </c>
      <c r="BC890" s="29">
        <f t="shared" si="879"/>
        <v>0</v>
      </c>
      <c r="BD890" s="29">
        <f t="shared" si="880"/>
        <v>0</v>
      </c>
      <c r="BE890" s="29">
        <v>0</v>
      </c>
      <c r="BF890" s="29">
        <f>890</f>
        <v>890</v>
      </c>
      <c r="BH890" s="15">
        <f t="shared" si="881"/>
        <v>0</v>
      </c>
      <c r="BI890" s="15">
        <f t="shared" si="882"/>
        <v>0</v>
      </c>
      <c r="BJ890" s="15">
        <f t="shared" si="883"/>
        <v>0</v>
      </c>
      <c r="BK890" s="15" t="s">
        <v>2969</v>
      </c>
      <c r="BL890" s="29">
        <v>8</v>
      </c>
    </row>
    <row r="891" spans="1:64" ht="12.75">
      <c r="A891" s="4" t="s">
        <v>826</v>
      </c>
      <c r="B891" s="94" t="s">
        <v>1781</v>
      </c>
      <c r="C891" s="152" t="s">
        <v>2719</v>
      </c>
      <c r="D891" s="153"/>
      <c r="E891" s="153"/>
      <c r="F891" s="153"/>
      <c r="G891" s="94" t="s">
        <v>2851</v>
      </c>
      <c r="H891" s="73">
        <v>7.5</v>
      </c>
      <c r="I891" s="105">
        <v>0</v>
      </c>
      <c r="J891" s="15">
        <f t="shared" si="860"/>
        <v>0</v>
      </c>
      <c r="K891" s="15">
        <f t="shared" si="861"/>
        <v>0</v>
      </c>
      <c r="L891" s="15">
        <f t="shared" si="862"/>
        <v>0</v>
      </c>
      <c r="M891" s="25"/>
      <c r="N891" s="5"/>
      <c r="Z891" s="29">
        <f t="shared" si="863"/>
        <v>0</v>
      </c>
      <c r="AB891" s="29">
        <f t="shared" si="864"/>
        <v>0</v>
      </c>
      <c r="AC891" s="29">
        <f t="shared" si="865"/>
        <v>0</v>
      </c>
      <c r="AD891" s="29">
        <f t="shared" si="866"/>
        <v>0</v>
      </c>
      <c r="AE891" s="29">
        <f t="shared" si="867"/>
        <v>0</v>
      </c>
      <c r="AF891" s="29">
        <f t="shared" si="868"/>
        <v>0</v>
      </c>
      <c r="AG891" s="29">
        <f t="shared" si="869"/>
        <v>0</v>
      </c>
      <c r="AH891" s="29">
        <f t="shared" si="870"/>
        <v>0</v>
      </c>
      <c r="AI891" s="28" t="s">
        <v>2884</v>
      </c>
      <c r="AJ891" s="15">
        <f t="shared" si="871"/>
        <v>0</v>
      </c>
      <c r="AK891" s="15">
        <f t="shared" si="872"/>
        <v>0</v>
      </c>
      <c r="AL891" s="15">
        <f t="shared" si="873"/>
        <v>0</v>
      </c>
      <c r="AN891" s="29">
        <v>15</v>
      </c>
      <c r="AO891" s="29">
        <f t="shared" si="874"/>
        <v>0</v>
      </c>
      <c r="AP891" s="29">
        <f t="shared" si="875"/>
        <v>0</v>
      </c>
      <c r="AQ891" s="30" t="s">
        <v>7</v>
      </c>
      <c r="AV891" s="29">
        <f t="shared" si="876"/>
        <v>0</v>
      </c>
      <c r="AW891" s="29">
        <f t="shared" si="877"/>
        <v>0</v>
      </c>
      <c r="AX891" s="29">
        <f t="shared" si="878"/>
        <v>0</v>
      </c>
      <c r="AY891" s="32" t="s">
        <v>2933</v>
      </c>
      <c r="AZ891" s="32" t="s">
        <v>2951</v>
      </c>
      <c r="BA891" s="28" t="s">
        <v>2959</v>
      </c>
      <c r="BC891" s="29">
        <f t="shared" si="879"/>
        <v>0</v>
      </c>
      <c r="BD891" s="29">
        <f t="shared" si="880"/>
        <v>0</v>
      </c>
      <c r="BE891" s="29">
        <v>0</v>
      </c>
      <c r="BF891" s="29">
        <f>891</f>
        <v>891</v>
      </c>
      <c r="BH891" s="15">
        <f t="shared" si="881"/>
        <v>0</v>
      </c>
      <c r="BI891" s="15">
        <f t="shared" si="882"/>
        <v>0</v>
      </c>
      <c r="BJ891" s="15">
        <f t="shared" si="883"/>
        <v>0</v>
      </c>
      <c r="BK891" s="15" t="s">
        <v>2969</v>
      </c>
      <c r="BL891" s="29">
        <v>8</v>
      </c>
    </row>
    <row r="892" spans="1:64" ht="12.75">
      <c r="A892" s="4" t="s">
        <v>827</v>
      </c>
      <c r="B892" s="94" t="s">
        <v>1782</v>
      </c>
      <c r="C892" s="152" t="s">
        <v>2720</v>
      </c>
      <c r="D892" s="153"/>
      <c r="E892" s="153"/>
      <c r="F892" s="153"/>
      <c r="G892" s="94" t="s">
        <v>2851</v>
      </c>
      <c r="H892" s="73">
        <v>22.5</v>
      </c>
      <c r="I892" s="105">
        <v>0</v>
      </c>
      <c r="J892" s="15">
        <f t="shared" si="860"/>
        <v>0</v>
      </c>
      <c r="K892" s="15">
        <f t="shared" si="861"/>
        <v>0</v>
      </c>
      <c r="L892" s="15">
        <f t="shared" si="862"/>
        <v>0</v>
      </c>
      <c r="M892" s="25"/>
      <c r="N892" s="5"/>
      <c r="Z892" s="29">
        <f t="shared" si="863"/>
        <v>0</v>
      </c>
      <c r="AB892" s="29">
        <f t="shared" si="864"/>
        <v>0</v>
      </c>
      <c r="AC892" s="29">
        <f t="shared" si="865"/>
        <v>0</v>
      </c>
      <c r="AD892" s="29">
        <f t="shared" si="866"/>
        <v>0</v>
      </c>
      <c r="AE892" s="29">
        <f t="shared" si="867"/>
        <v>0</v>
      </c>
      <c r="AF892" s="29">
        <f t="shared" si="868"/>
        <v>0</v>
      </c>
      <c r="AG892" s="29">
        <f t="shared" si="869"/>
        <v>0</v>
      </c>
      <c r="AH892" s="29">
        <f t="shared" si="870"/>
        <v>0</v>
      </c>
      <c r="AI892" s="28" t="s">
        <v>2884</v>
      </c>
      <c r="AJ892" s="15">
        <f t="shared" si="871"/>
        <v>0</v>
      </c>
      <c r="AK892" s="15">
        <f t="shared" si="872"/>
        <v>0</v>
      </c>
      <c r="AL892" s="15">
        <f t="shared" si="873"/>
        <v>0</v>
      </c>
      <c r="AN892" s="29">
        <v>15</v>
      </c>
      <c r="AO892" s="29">
        <f t="shared" si="874"/>
        <v>0</v>
      </c>
      <c r="AP892" s="29">
        <f t="shared" si="875"/>
        <v>0</v>
      </c>
      <c r="AQ892" s="30" t="s">
        <v>7</v>
      </c>
      <c r="AV892" s="29">
        <f t="shared" si="876"/>
        <v>0</v>
      </c>
      <c r="AW892" s="29">
        <f t="shared" si="877"/>
        <v>0</v>
      </c>
      <c r="AX892" s="29">
        <f t="shared" si="878"/>
        <v>0</v>
      </c>
      <c r="AY892" s="32" t="s">
        <v>2933</v>
      </c>
      <c r="AZ892" s="32" t="s">
        <v>2951</v>
      </c>
      <c r="BA892" s="28" t="s">
        <v>2959</v>
      </c>
      <c r="BC892" s="29">
        <f t="shared" si="879"/>
        <v>0</v>
      </c>
      <c r="BD892" s="29">
        <f t="shared" si="880"/>
        <v>0</v>
      </c>
      <c r="BE892" s="29">
        <v>0</v>
      </c>
      <c r="BF892" s="29">
        <f>892</f>
        <v>892</v>
      </c>
      <c r="BH892" s="15">
        <f t="shared" si="881"/>
        <v>0</v>
      </c>
      <c r="BI892" s="15">
        <f t="shared" si="882"/>
        <v>0</v>
      </c>
      <c r="BJ892" s="15">
        <f t="shared" si="883"/>
        <v>0</v>
      </c>
      <c r="BK892" s="15" t="s">
        <v>2969</v>
      </c>
      <c r="BL892" s="29">
        <v>8</v>
      </c>
    </row>
    <row r="893" spans="1:64" ht="12.75">
      <c r="A893" s="4" t="s">
        <v>828</v>
      </c>
      <c r="B893" s="94" t="s">
        <v>1783</v>
      </c>
      <c r="C893" s="152" t="s">
        <v>2721</v>
      </c>
      <c r="D893" s="153"/>
      <c r="E893" s="153"/>
      <c r="F893" s="153"/>
      <c r="G893" s="94" t="s">
        <v>2850</v>
      </c>
      <c r="H893" s="73">
        <v>2</v>
      </c>
      <c r="I893" s="105">
        <v>0</v>
      </c>
      <c r="J893" s="15">
        <f t="shared" si="860"/>
        <v>0</v>
      </c>
      <c r="K893" s="15">
        <f t="shared" si="861"/>
        <v>0</v>
      </c>
      <c r="L893" s="15">
        <f t="shared" si="862"/>
        <v>0</v>
      </c>
      <c r="M893" s="25"/>
      <c r="N893" s="5"/>
      <c r="Z893" s="29">
        <f t="shared" si="863"/>
        <v>0</v>
      </c>
      <c r="AB893" s="29">
        <f t="shared" si="864"/>
        <v>0</v>
      </c>
      <c r="AC893" s="29">
        <f t="shared" si="865"/>
        <v>0</v>
      </c>
      <c r="AD893" s="29">
        <f t="shared" si="866"/>
        <v>0</v>
      </c>
      <c r="AE893" s="29">
        <f t="shared" si="867"/>
        <v>0</v>
      </c>
      <c r="AF893" s="29">
        <f t="shared" si="868"/>
        <v>0</v>
      </c>
      <c r="AG893" s="29">
        <f t="shared" si="869"/>
        <v>0</v>
      </c>
      <c r="AH893" s="29">
        <f t="shared" si="870"/>
        <v>0</v>
      </c>
      <c r="AI893" s="28" t="s">
        <v>2884</v>
      </c>
      <c r="AJ893" s="15">
        <f t="shared" si="871"/>
        <v>0</v>
      </c>
      <c r="AK893" s="15">
        <f t="shared" si="872"/>
        <v>0</v>
      </c>
      <c r="AL893" s="15">
        <f t="shared" si="873"/>
        <v>0</v>
      </c>
      <c r="AN893" s="29">
        <v>15</v>
      </c>
      <c r="AO893" s="29">
        <f t="shared" si="874"/>
        <v>0</v>
      </c>
      <c r="AP893" s="29">
        <f t="shared" si="875"/>
        <v>0</v>
      </c>
      <c r="AQ893" s="30" t="s">
        <v>7</v>
      </c>
      <c r="AV893" s="29">
        <f t="shared" si="876"/>
        <v>0</v>
      </c>
      <c r="AW893" s="29">
        <f t="shared" si="877"/>
        <v>0</v>
      </c>
      <c r="AX893" s="29">
        <f t="shared" si="878"/>
        <v>0</v>
      </c>
      <c r="AY893" s="32" t="s">
        <v>2933</v>
      </c>
      <c r="AZ893" s="32" t="s">
        <v>2951</v>
      </c>
      <c r="BA893" s="28" t="s">
        <v>2959</v>
      </c>
      <c r="BC893" s="29">
        <f t="shared" si="879"/>
        <v>0</v>
      </c>
      <c r="BD893" s="29">
        <f t="shared" si="880"/>
        <v>0</v>
      </c>
      <c r="BE893" s="29">
        <v>0</v>
      </c>
      <c r="BF893" s="29">
        <f>893</f>
        <v>893</v>
      </c>
      <c r="BH893" s="15">
        <f t="shared" si="881"/>
        <v>0</v>
      </c>
      <c r="BI893" s="15">
        <f t="shared" si="882"/>
        <v>0</v>
      </c>
      <c r="BJ893" s="15">
        <f t="shared" si="883"/>
        <v>0</v>
      </c>
      <c r="BK893" s="15" t="s">
        <v>2969</v>
      </c>
      <c r="BL893" s="29">
        <v>8</v>
      </c>
    </row>
    <row r="894" spans="1:64" ht="12.75">
      <c r="A894" s="4" t="s">
        <v>829</v>
      </c>
      <c r="B894" s="94" t="s">
        <v>1784</v>
      </c>
      <c r="C894" s="152" t="s">
        <v>2722</v>
      </c>
      <c r="D894" s="153"/>
      <c r="E894" s="153"/>
      <c r="F894" s="153"/>
      <c r="G894" s="94" t="s">
        <v>2851</v>
      </c>
      <c r="H894" s="73">
        <v>22.5</v>
      </c>
      <c r="I894" s="105">
        <v>0</v>
      </c>
      <c r="J894" s="15">
        <f t="shared" si="860"/>
        <v>0</v>
      </c>
      <c r="K894" s="15">
        <f t="shared" si="861"/>
        <v>0</v>
      </c>
      <c r="L894" s="15">
        <f t="shared" si="862"/>
        <v>0</v>
      </c>
      <c r="M894" s="25"/>
      <c r="N894" s="5"/>
      <c r="Z894" s="29">
        <f t="shared" si="863"/>
        <v>0</v>
      </c>
      <c r="AB894" s="29">
        <f t="shared" si="864"/>
        <v>0</v>
      </c>
      <c r="AC894" s="29">
        <f t="shared" si="865"/>
        <v>0</v>
      </c>
      <c r="AD894" s="29">
        <f t="shared" si="866"/>
        <v>0</v>
      </c>
      <c r="AE894" s="29">
        <f t="shared" si="867"/>
        <v>0</v>
      </c>
      <c r="AF894" s="29">
        <f t="shared" si="868"/>
        <v>0</v>
      </c>
      <c r="AG894" s="29">
        <f t="shared" si="869"/>
        <v>0</v>
      </c>
      <c r="AH894" s="29">
        <f t="shared" si="870"/>
        <v>0</v>
      </c>
      <c r="AI894" s="28" t="s">
        <v>2884</v>
      </c>
      <c r="AJ894" s="15">
        <f t="shared" si="871"/>
        <v>0</v>
      </c>
      <c r="AK894" s="15">
        <f t="shared" si="872"/>
        <v>0</v>
      </c>
      <c r="AL894" s="15">
        <f t="shared" si="873"/>
        <v>0</v>
      </c>
      <c r="AN894" s="29">
        <v>15</v>
      </c>
      <c r="AO894" s="29">
        <f t="shared" si="874"/>
        <v>0</v>
      </c>
      <c r="AP894" s="29">
        <f t="shared" si="875"/>
        <v>0</v>
      </c>
      <c r="AQ894" s="30" t="s">
        <v>7</v>
      </c>
      <c r="AV894" s="29">
        <f t="shared" si="876"/>
        <v>0</v>
      </c>
      <c r="AW894" s="29">
        <f t="shared" si="877"/>
        <v>0</v>
      </c>
      <c r="AX894" s="29">
        <f t="shared" si="878"/>
        <v>0</v>
      </c>
      <c r="AY894" s="32" t="s">
        <v>2933</v>
      </c>
      <c r="AZ894" s="32" t="s">
        <v>2951</v>
      </c>
      <c r="BA894" s="28" t="s">
        <v>2959</v>
      </c>
      <c r="BC894" s="29">
        <f t="shared" si="879"/>
        <v>0</v>
      </c>
      <c r="BD894" s="29">
        <f t="shared" si="880"/>
        <v>0</v>
      </c>
      <c r="BE894" s="29">
        <v>0</v>
      </c>
      <c r="BF894" s="29">
        <f>894</f>
        <v>894</v>
      </c>
      <c r="BH894" s="15">
        <f t="shared" si="881"/>
        <v>0</v>
      </c>
      <c r="BI894" s="15">
        <f t="shared" si="882"/>
        <v>0</v>
      </c>
      <c r="BJ894" s="15">
        <f t="shared" si="883"/>
        <v>0</v>
      </c>
      <c r="BK894" s="15" t="s">
        <v>2969</v>
      </c>
      <c r="BL894" s="29">
        <v>8</v>
      </c>
    </row>
    <row r="895" spans="1:64" ht="12.75">
      <c r="A895" s="4" t="s">
        <v>830</v>
      </c>
      <c r="B895" s="94" t="s">
        <v>1785</v>
      </c>
      <c r="C895" s="152" t="s">
        <v>2723</v>
      </c>
      <c r="D895" s="153"/>
      <c r="E895" s="153"/>
      <c r="F895" s="153"/>
      <c r="G895" s="94" t="s">
        <v>2851</v>
      </c>
      <c r="H895" s="73">
        <v>22.5</v>
      </c>
      <c r="I895" s="105">
        <v>0</v>
      </c>
      <c r="J895" s="15">
        <f t="shared" si="860"/>
        <v>0</v>
      </c>
      <c r="K895" s="15">
        <f t="shared" si="861"/>
        <v>0</v>
      </c>
      <c r="L895" s="15">
        <f t="shared" si="862"/>
        <v>0</v>
      </c>
      <c r="M895" s="25"/>
      <c r="N895" s="5"/>
      <c r="Z895" s="29">
        <f t="shared" si="863"/>
        <v>0</v>
      </c>
      <c r="AB895" s="29">
        <f t="shared" si="864"/>
        <v>0</v>
      </c>
      <c r="AC895" s="29">
        <f t="shared" si="865"/>
        <v>0</v>
      </c>
      <c r="AD895" s="29">
        <f t="shared" si="866"/>
        <v>0</v>
      </c>
      <c r="AE895" s="29">
        <f t="shared" si="867"/>
        <v>0</v>
      </c>
      <c r="AF895" s="29">
        <f t="shared" si="868"/>
        <v>0</v>
      </c>
      <c r="AG895" s="29">
        <f t="shared" si="869"/>
        <v>0</v>
      </c>
      <c r="AH895" s="29">
        <f t="shared" si="870"/>
        <v>0</v>
      </c>
      <c r="AI895" s="28" t="s">
        <v>2884</v>
      </c>
      <c r="AJ895" s="15">
        <f t="shared" si="871"/>
        <v>0</v>
      </c>
      <c r="AK895" s="15">
        <f t="shared" si="872"/>
        <v>0</v>
      </c>
      <c r="AL895" s="15">
        <f t="shared" si="873"/>
        <v>0</v>
      </c>
      <c r="AN895" s="29">
        <v>15</v>
      </c>
      <c r="AO895" s="29">
        <f t="shared" si="874"/>
        <v>0</v>
      </c>
      <c r="AP895" s="29">
        <f t="shared" si="875"/>
        <v>0</v>
      </c>
      <c r="AQ895" s="30" t="s">
        <v>7</v>
      </c>
      <c r="AV895" s="29">
        <f t="shared" si="876"/>
        <v>0</v>
      </c>
      <c r="AW895" s="29">
        <f t="shared" si="877"/>
        <v>0</v>
      </c>
      <c r="AX895" s="29">
        <f t="shared" si="878"/>
        <v>0</v>
      </c>
      <c r="AY895" s="32" t="s">
        <v>2933</v>
      </c>
      <c r="AZ895" s="32" t="s">
        <v>2951</v>
      </c>
      <c r="BA895" s="28" t="s">
        <v>2959</v>
      </c>
      <c r="BC895" s="29">
        <f t="shared" si="879"/>
        <v>0</v>
      </c>
      <c r="BD895" s="29">
        <f t="shared" si="880"/>
        <v>0</v>
      </c>
      <c r="BE895" s="29">
        <v>0</v>
      </c>
      <c r="BF895" s="29">
        <f>895</f>
        <v>895</v>
      </c>
      <c r="BH895" s="15">
        <f t="shared" si="881"/>
        <v>0</v>
      </c>
      <c r="BI895" s="15">
        <f t="shared" si="882"/>
        <v>0</v>
      </c>
      <c r="BJ895" s="15">
        <f t="shared" si="883"/>
        <v>0</v>
      </c>
      <c r="BK895" s="15" t="s">
        <v>2969</v>
      </c>
      <c r="BL895" s="29">
        <v>8</v>
      </c>
    </row>
    <row r="896" spans="1:64" ht="12.75">
      <c r="A896" s="4" t="s">
        <v>831</v>
      </c>
      <c r="B896" s="94" t="s">
        <v>1786</v>
      </c>
      <c r="C896" s="152" t="s">
        <v>2724</v>
      </c>
      <c r="D896" s="153"/>
      <c r="E896" s="153"/>
      <c r="F896" s="153"/>
      <c r="G896" s="94" t="s">
        <v>2851</v>
      </c>
      <c r="H896" s="73">
        <v>22.5</v>
      </c>
      <c r="I896" s="105">
        <v>0</v>
      </c>
      <c r="J896" s="15">
        <f t="shared" si="860"/>
        <v>0</v>
      </c>
      <c r="K896" s="15">
        <f t="shared" si="861"/>
        <v>0</v>
      </c>
      <c r="L896" s="15">
        <f t="shared" si="862"/>
        <v>0</v>
      </c>
      <c r="M896" s="25"/>
      <c r="N896" s="5"/>
      <c r="Z896" s="29">
        <f t="shared" si="863"/>
        <v>0</v>
      </c>
      <c r="AB896" s="29">
        <f t="shared" si="864"/>
        <v>0</v>
      </c>
      <c r="AC896" s="29">
        <f t="shared" si="865"/>
        <v>0</v>
      </c>
      <c r="AD896" s="29">
        <f t="shared" si="866"/>
        <v>0</v>
      </c>
      <c r="AE896" s="29">
        <f t="shared" si="867"/>
        <v>0</v>
      </c>
      <c r="AF896" s="29">
        <f t="shared" si="868"/>
        <v>0</v>
      </c>
      <c r="AG896" s="29">
        <f t="shared" si="869"/>
        <v>0</v>
      </c>
      <c r="AH896" s="29">
        <f t="shared" si="870"/>
        <v>0</v>
      </c>
      <c r="AI896" s="28" t="s">
        <v>2884</v>
      </c>
      <c r="AJ896" s="15">
        <f t="shared" si="871"/>
        <v>0</v>
      </c>
      <c r="AK896" s="15">
        <f t="shared" si="872"/>
        <v>0</v>
      </c>
      <c r="AL896" s="15">
        <f t="shared" si="873"/>
        <v>0</v>
      </c>
      <c r="AN896" s="29">
        <v>15</v>
      </c>
      <c r="AO896" s="29">
        <f t="shared" si="874"/>
        <v>0</v>
      </c>
      <c r="AP896" s="29">
        <f t="shared" si="875"/>
        <v>0</v>
      </c>
      <c r="AQ896" s="30" t="s">
        <v>7</v>
      </c>
      <c r="AV896" s="29">
        <f t="shared" si="876"/>
        <v>0</v>
      </c>
      <c r="AW896" s="29">
        <f t="shared" si="877"/>
        <v>0</v>
      </c>
      <c r="AX896" s="29">
        <f t="shared" si="878"/>
        <v>0</v>
      </c>
      <c r="AY896" s="32" t="s">
        <v>2933</v>
      </c>
      <c r="AZ896" s="32" t="s">
        <v>2951</v>
      </c>
      <c r="BA896" s="28" t="s">
        <v>2959</v>
      </c>
      <c r="BC896" s="29">
        <f t="shared" si="879"/>
        <v>0</v>
      </c>
      <c r="BD896" s="29">
        <f t="shared" si="880"/>
        <v>0</v>
      </c>
      <c r="BE896" s="29">
        <v>0</v>
      </c>
      <c r="BF896" s="29">
        <f>896</f>
        <v>896</v>
      </c>
      <c r="BH896" s="15">
        <f t="shared" si="881"/>
        <v>0</v>
      </c>
      <c r="BI896" s="15">
        <f t="shared" si="882"/>
        <v>0</v>
      </c>
      <c r="BJ896" s="15">
        <f t="shared" si="883"/>
        <v>0</v>
      </c>
      <c r="BK896" s="15" t="s">
        <v>2969</v>
      </c>
      <c r="BL896" s="29">
        <v>8</v>
      </c>
    </row>
    <row r="897" spans="1:64" ht="12.75">
      <c r="A897" s="4" t="s">
        <v>832</v>
      </c>
      <c r="B897" s="94" t="s">
        <v>1787</v>
      </c>
      <c r="C897" s="152" t="s">
        <v>2725</v>
      </c>
      <c r="D897" s="153"/>
      <c r="E897" s="153"/>
      <c r="F897" s="153"/>
      <c r="G897" s="94" t="s">
        <v>2847</v>
      </c>
      <c r="H897" s="73">
        <v>1.5</v>
      </c>
      <c r="I897" s="105">
        <v>0</v>
      </c>
      <c r="J897" s="15">
        <f t="shared" si="860"/>
        <v>0</v>
      </c>
      <c r="K897" s="15">
        <f t="shared" si="861"/>
        <v>0</v>
      </c>
      <c r="L897" s="15">
        <f t="shared" si="862"/>
        <v>0</v>
      </c>
      <c r="M897" s="25"/>
      <c r="N897" s="5"/>
      <c r="Z897" s="29">
        <f t="shared" si="863"/>
        <v>0</v>
      </c>
      <c r="AB897" s="29">
        <f t="shared" si="864"/>
        <v>0</v>
      </c>
      <c r="AC897" s="29">
        <f t="shared" si="865"/>
        <v>0</v>
      </c>
      <c r="AD897" s="29">
        <f t="shared" si="866"/>
        <v>0</v>
      </c>
      <c r="AE897" s="29">
        <f t="shared" si="867"/>
        <v>0</v>
      </c>
      <c r="AF897" s="29">
        <f t="shared" si="868"/>
        <v>0</v>
      </c>
      <c r="AG897" s="29">
        <f t="shared" si="869"/>
        <v>0</v>
      </c>
      <c r="AH897" s="29">
        <f t="shared" si="870"/>
        <v>0</v>
      </c>
      <c r="AI897" s="28" t="s">
        <v>2884</v>
      </c>
      <c r="AJ897" s="15">
        <f t="shared" si="871"/>
        <v>0</v>
      </c>
      <c r="AK897" s="15">
        <f t="shared" si="872"/>
        <v>0</v>
      </c>
      <c r="AL897" s="15">
        <f t="shared" si="873"/>
        <v>0</v>
      </c>
      <c r="AN897" s="29">
        <v>15</v>
      </c>
      <c r="AO897" s="29">
        <f t="shared" si="874"/>
        <v>0</v>
      </c>
      <c r="AP897" s="29">
        <f t="shared" si="875"/>
        <v>0</v>
      </c>
      <c r="AQ897" s="30" t="s">
        <v>7</v>
      </c>
      <c r="AV897" s="29">
        <f t="shared" si="876"/>
        <v>0</v>
      </c>
      <c r="AW897" s="29">
        <f t="shared" si="877"/>
        <v>0</v>
      </c>
      <c r="AX897" s="29">
        <f t="shared" si="878"/>
        <v>0</v>
      </c>
      <c r="AY897" s="32" t="s">
        <v>2933</v>
      </c>
      <c r="AZ897" s="32" t="s">
        <v>2951</v>
      </c>
      <c r="BA897" s="28" t="s">
        <v>2959</v>
      </c>
      <c r="BC897" s="29">
        <f t="shared" si="879"/>
        <v>0</v>
      </c>
      <c r="BD897" s="29">
        <f t="shared" si="880"/>
        <v>0</v>
      </c>
      <c r="BE897" s="29">
        <v>0</v>
      </c>
      <c r="BF897" s="29">
        <f>897</f>
        <v>897</v>
      </c>
      <c r="BH897" s="15">
        <f t="shared" si="881"/>
        <v>0</v>
      </c>
      <c r="BI897" s="15">
        <f t="shared" si="882"/>
        <v>0</v>
      </c>
      <c r="BJ897" s="15">
        <f t="shared" si="883"/>
        <v>0</v>
      </c>
      <c r="BK897" s="15" t="s">
        <v>2969</v>
      </c>
      <c r="BL897" s="29">
        <v>8</v>
      </c>
    </row>
    <row r="898" spans="1:64" ht="12.75">
      <c r="A898" s="4" t="s">
        <v>833</v>
      </c>
      <c r="B898" s="94" t="s">
        <v>1788</v>
      </c>
      <c r="C898" s="152" t="s">
        <v>2726</v>
      </c>
      <c r="D898" s="153"/>
      <c r="E898" s="153"/>
      <c r="F898" s="153"/>
      <c r="G898" s="94" t="s">
        <v>2847</v>
      </c>
      <c r="H898" s="73">
        <v>4.5</v>
      </c>
      <c r="I898" s="105">
        <v>0</v>
      </c>
      <c r="J898" s="15">
        <f t="shared" si="860"/>
        <v>0</v>
      </c>
      <c r="K898" s="15">
        <f t="shared" si="861"/>
        <v>0</v>
      </c>
      <c r="L898" s="15">
        <f t="shared" si="862"/>
        <v>0</v>
      </c>
      <c r="M898" s="25"/>
      <c r="N898" s="5"/>
      <c r="Z898" s="29">
        <f t="shared" si="863"/>
        <v>0</v>
      </c>
      <c r="AB898" s="29">
        <f t="shared" si="864"/>
        <v>0</v>
      </c>
      <c r="AC898" s="29">
        <f t="shared" si="865"/>
        <v>0</v>
      </c>
      <c r="AD898" s="29">
        <f t="shared" si="866"/>
        <v>0</v>
      </c>
      <c r="AE898" s="29">
        <f t="shared" si="867"/>
        <v>0</v>
      </c>
      <c r="AF898" s="29">
        <f t="shared" si="868"/>
        <v>0</v>
      </c>
      <c r="AG898" s="29">
        <f t="shared" si="869"/>
        <v>0</v>
      </c>
      <c r="AH898" s="29">
        <f t="shared" si="870"/>
        <v>0</v>
      </c>
      <c r="AI898" s="28" t="s">
        <v>2884</v>
      </c>
      <c r="AJ898" s="15">
        <f t="shared" si="871"/>
        <v>0</v>
      </c>
      <c r="AK898" s="15">
        <f t="shared" si="872"/>
        <v>0</v>
      </c>
      <c r="AL898" s="15">
        <f t="shared" si="873"/>
        <v>0</v>
      </c>
      <c r="AN898" s="29">
        <v>15</v>
      </c>
      <c r="AO898" s="29">
        <f t="shared" si="874"/>
        <v>0</v>
      </c>
      <c r="AP898" s="29">
        <f t="shared" si="875"/>
        <v>0</v>
      </c>
      <c r="AQ898" s="30" t="s">
        <v>7</v>
      </c>
      <c r="AV898" s="29">
        <f t="shared" si="876"/>
        <v>0</v>
      </c>
      <c r="AW898" s="29">
        <f t="shared" si="877"/>
        <v>0</v>
      </c>
      <c r="AX898" s="29">
        <f t="shared" si="878"/>
        <v>0</v>
      </c>
      <c r="AY898" s="32" t="s">
        <v>2933</v>
      </c>
      <c r="AZ898" s="32" t="s">
        <v>2951</v>
      </c>
      <c r="BA898" s="28" t="s">
        <v>2959</v>
      </c>
      <c r="BC898" s="29">
        <f t="shared" si="879"/>
        <v>0</v>
      </c>
      <c r="BD898" s="29">
        <f t="shared" si="880"/>
        <v>0</v>
      </c>
      <c r="BE898" s="29">
        <v>0</v>
      </c>
      <c r="BF898" s="29">
        <f>898</f>
        <v>898</v>
      </c>
      <c r="BH898" s="15">
        <f t="shared" si="881"/>
        <v>0</v>
      </c>
      <c r="BI898" s="15">
        <f t="shared" si="882"/>
        <v>0</v>
      </c>
      <c r="BJ898" s="15">
        <f t="shared" si="883"/>
        <v>0</v>
      </c>
      <c r="BK898" s="15" t="s">
        <v>2969</v>
      </c>
      <c r="BL898" s="29">
        <v>8</v>
      </c>
    </row>
    <row r="899" spans="1:64" ht="12.75">
      <c r="A899" s="4" t="s">
        <v>834</v>
      </c>
      <c r="B899" s="94" t="s">
        <v>1789</v>
      </c>
      <c r="C899" s="152" t="s">
        <v>2727</v>
      </c>
      <c r="D899" s="153"/>
      <c r="E899" s="153"/>
      <c r="F899" s="153"/>
      <c r="G899" s="94" t="s">
        <v>2847</v>
      </c>
      <c r="H899" s="73">
        <v>37</v>
      </c>
      <c r="I899" s="105">
        <v>0</v>
      </c>
      <c r="J899" s="15">
        <f t="shared" si="860"/>
        <v>0</v>
      </c>
      <c r="K899" s="15">
        <f t="shared" si="861"/>
        <v>0</v>
      </c>
      <c r="L899" s="15">
        <f t="shared" si="862"/>
        <v>0</v>
      </c>
      <c r="M899" s="25"/>
      <c r="N899" s="5"/>
      <c r="Z899" s="29">
        <f t="shared" si="863"/>
        <v>0</v>
      </c>
      <c r="AB899" s="29">
        <f t="shared" si="864"/>
        <v>0</v>
      </c>
      <c r="AC899" s="29">
        <f t="shared" si="865"/>
        <v>0</v>
      </c>
      <c r="AD899" s="29">
        <f t="shared" si="866"/>
        <v>0</v>
      </c>
      <c r="AE899" s="29">
        <f t="shared" si="867"/>
        <v>0</v>
      </c>
      <c r="AF899" s="29">
        <f t="shared" si="868"/>
        <v>0</v>
      </c>
      <c r="AG899" s="29">
        <f t="shared" si="869"/>
        <v>0</v>
      </c>
      <c r="AH899" s="29">
        <f t="shared" si="870"/>
        <v>0</v>
      </c>
      <c r="AI899" s="28" t="s">
        <v>2884</v>
      </c>
      <c r="AJ899" s="15">
        <f t="shared" si="871"/>
        <v>0</v>
      </c>
      <c r="AK899" s="15">
        <f t="shared" si="872"/>
        <v>0</v>
      </c>
      <c r="AL899" s="15">
        <f t="shared" si="873"/>
        <v>0</v>
      </c>
      <c r="AN899" s="29">
        <v>15</v>
      </c>
      <c r="AO899" s="29">
        <f t="shared" si="874"/>
        <v>0</v>
      </c>
      <c r="AP899" s="29">
        <f t="shared" si="875"/>
        <v>0</v>
      </c>
      <c r="AQ899" s="30" t="s">
        <v>7</v>
      </c>
      <c r="AV899" s="29">
        <f t="shared" si="876"/>
        <v>0</v>
      </c>
      <c r="AW899" s="29">
        <f t="shared" si="877"/>
        <v>0</v>
      </c>
      <c r="AX899" s="29">
        <f t="shared" si="878"/>
        <v>0</v>
      </c>
      <c r="AY899" s="32" t="s">
        <v>2933</v>
      </c>
      <c r="AZ899" s="32" t="s">
        <v>2951</v>
      </c>
      <c r="BA899" s="28" t="s">
        <v>2959</v>
      </c>
      <c r="BC899" s="29">
        <f t="shared" si="879"/>
        <v>0</v>
      </c>
      <c r="BD899" s="29">
        <f t="shared" si="880"/>
        <v>0</v>
      </c>
      <c r="BE899" s="29">
        <v>0</v>
      </c>
      <c r="BF899" s="29">
        <f>899</f>
        <v>899</v>
      </c>
      <c r="BH899" s="15">
        <f t="shared" si="881"/>
        <v>0</v>
      </c>
      <c r="BI899" s="15">
        <f t="shared" si="882"/>
        <v>0</v>
      </c>
      <c r="BJ899" s="15">
        <f t="shared" si="883"/>
        <v>0</v>
      </c>
      <c r="BK899" s="15" t="s">
        <v>2969</v>
      </c>
      <c r="BL899" s="29">
        <v>8</v>
      </c>
    </row>
    <row r="900" spans="1:64" ht="12.75">
      <c r="A900" s="4" t="s">
        <v>835</v>
      </c>
      <c r="B900" s="94" t="s">
        <v>1790</v>
      </c>
      <c r="C900" s="152" t="s">
        <v>2728</v>
      </c>
      <c r="D900" s="153"/>
      <c r="E900" s="153"/>
      <c r="F900" s="153"/>
      <c r="G900" s="94" t="s">
        <v>2851</v>
      </c>
      <c r="H900" s="73">
        <v>22.5</v>
      </c>
      <c r="I900" s="105">
        <v>0</v>
      </c>
      <c r="J900" s="15">
        <f t="shared" si="860"/>
        <v>0</v>
      </c>
      <c r="K900" s="15">
        <f t="shared" si="861"/>
        <v>0</v>
      </c>
      <c r="L900" s="15">
        <f t="shared" si="862"/>
        <v>0</v>
      </c>
      <c r="M900" s="25"/>
      <c r="N900" s="5"/>
      <c r="Z900" s="29">
        <f t="shared" si="863"/>
        <v>0</v>
      </c>
      <c r="AB900" s="29">
        <f t="shared" si="864"/>
        <v>0</v>
      </c>
      <c r="AC900" s="29">
        <f t="shared" si="865"/>
        <v>0</v>
      </c>
      <c r="AD900" s="29">
        <f t="shared" si="866"/>
        <v>0</v>
      </c>
      <c r="AE900" s="29">
        <f t="shared" si="867"/>
        <v>0</v>
      </c>
      <c r="AF900" s="29">
        <f t="shared" si="868"/>
        <v>0</v>
      </c>
      <c r="AG900" s="29">
        <f t="shared" si="869"/>
        <v>0</v>
      </c>
      <c r="AH900" s="29">
        <f t="shared" si="870"/>
        <v>0</v>
      </c>
      <c r="AI900" s="28" t="s">
        <v>2884</v>
      </c>
      <c r="AJ900" s="15">
        <f t="shared" si="871"/>
        <v>0</v>
      </c>
      <c r="AK900" s="15">
        <f t="shared" si="872"/>
        <v>0</v>
      </c>
      <c r="AL900" s="15">
        <f t="shared" si="873"/>
        <v>0</v>
      </c>
      <c r="AN900" s="29">
        <v>15</v>
      </c>
      <c r="AO900" s="29">
        <f t="shared" si="874"/>
        <v>0</v>
      </c>
      <c r="AP900" s="29">
        <f t="shared" si="875"/>
        <v>0</v>
      </c>
      <c r="AQ900" s="30" t="s">
        <v>7</v>
      </c>
      <c r="AV900" s="29">
        <f t="shared" si="876"/>
        <v>0</v>
      </c>
      <c r="AW900" s="29">
        <f t="shared" si="877"/>
        <v>0</v>
      </c>
      <c r="AX900" s="29">
        <f t="shared" si="878"/>
        <v>0</v>
      </c>
      <c r="AY900" s="32" t="s">
        <v>2933</v>
      </c>
      <c r="AZ900" s="32" t="s">
        <v>2951</v>
      </c>
      <c r="BA900" s="28" t="s">
        <v>2959</v>
      </c>
      <c r="BC900" s="29">
        <f t="shared" si="879"/>
        <v>0</v>
      </c>
      <c r="BD900" s="29">
        <f t="shared" si="880"/>
        <v>0</v>
      </c>
      <c r="BE900" s="29">
        <v>0</v>
      </c>
      <c r="BF900" s="29">
        <f>900</f>
        <v>900</v>
      </c>
      <c r="BH900" s="15">
        <f t="shared" si="881"/>
        <v>0</v>
      </c>
      <c r="BI900" s="15">
        <f t="shared" si="882"/>
        <v>0</v>
      </c>
      <c r="BJ900" s="15">
        <f t="shared" si="883"/>
        <v>0</v>
      </c>
      <c r="BK900" s="15" t="s">
        <v>2969</v>
      </c>
      <c r="BL900" s="29">
        <v>8</v>
      </c>
    </row>
    <row r="901" spans="1:64" ht="12.75">
      <c r="A901" s="4" t="s">
        <v>836</v>
      </c>
      <c r="B901" s="94" t="s">
        <v>1791</v>
      </c>
      <c r="C901" s="152" t="s">
        <v>2729</v>
      </c>
      <c r="D901" s="153"/>
      <c r="E901" s="153"/>
      <c r="F901" s="153"/>
      <c r="G901" s="94" t="s">
        <v>2851</v>
      </c>
      <c r="H901" s="73">
        <v>4.5</v>
      </c>
      <c r="I901" s="105">
        <v>0</v>
      </c>
      <c r="J901" s="15">
        <f t="shared" si="860"/>
        <v>0</v>
      </c>
      <c r="K901" s="15">
        <f t="shared" si="861"/>
        <v>0</v>
      </c>
      <c r="L901" s="15">
        <f t="shared" si="862"/>
        <v>0</v>
      </c>
      <c r="M901" s="25"/>
      <c r="N901" s="5"/>
      <c r="Z901" s="29">
        <f t="shared" si="863"/>
        <v>0</v>
      </c>
      <c r="AB901" s="29">
        <f t="shared" si="864"/>
        <v>0</v>
      </c>
      <c r="AC901" s="29">
        <f t="shared" si="865"/>
        <v>0</v>
      </c>
      <c r="AD901" s="29">
        <f t="shared" si="866"/>
        <v>0</v>
      </c>
      <c r="AE901" s="29">
        <f t="shared" si="867"/>
        <v>0</v>
      </c>
      <c r="AF901" s="29">
        <f t="shared" si="868"/>
        <v>0</v>
      </c>
      <c r="AG901" s="29">
        <f t="shared" si="869"/>
        <v>0</v>
      </c>
      <c r="AH901" s="29">
        <f t="shared" si="870"/>
        <v>0</v>
      </c>
      <c r="AI901" s="28" t="s">
        <v>2884</v>
      </c>
      <c r="AJ901" s="15">
        <f t="shared" si="871"/>
        <v>0</v>
      </c>
      <c r="AK901" s="15">
        <f t="shared" si="872"/>
        <v>0</v>
      </c>
      <c r="AL901" s="15">
        <f t="shared" si="873"/>
        <v>0</v>
      </c>
      <c r="AN901" s="29">
        <v>15</v>
      </c>
      <c r="AO901" s="29">
        <f t="shared" si="874"/>
        <v>0</v>
      </c>
      <c r="AP901" s="29">
        <f t="shared" si="875"/>
        <v>0</v>
      </c>
      <c r="AQ901" s="30" t="s">
        <v>7</v>
      </c>
      <c r="AV901" s="29">
        <f t="shared" si="876"/>
        <v>0</v>
      </c>
      <c r="AW901" s="29">
        <f t="shared" si="877"/>
        <v>0</v>
      </c>
      <c r="AX901" s="29">
        <f t="shared" si="878"/>
        <v>0</v>
      </c>
      <c r="AY901" s="32" t="s">
        <v>2933</v>
      </c>
      <c r="AZ901" s="32" t="s">
        <v>2951</v>
      </c>
      <c r="BA901" s="28" t="s">
        <v>2959</v>
      </c>
      <c r="BC901" s="29">
        <f t="shared" si="879"/>
        <v>0</v>
      </c>
      <c r="BD901" s="29">
        <f t="shared" si="880"/>
        <v>0</v>
      </c>
      <c r="BE901" s="29">
        <v>0</v>
      </c>
      <c r="BF901" s="29">
        <f>901</f>
        <v>901</v>
      </c>
      <c r="BH901" s="15">
        <f t="shared" si="881"/>
        <v>0</v>
      </c>
      <c r="BI901" s="15">
        <f t="shared" si="882"/>
        <v>0</v>
      </c>
      <c r="BJ901" s="15">
        <f t="shared" si="883"/>
        <v>0</v>
      </c>
      <c r="BK901" s="15" t="s">
        <v>2969</v>
      </c>
      <c r="BL901" s="29">
        <v>8</v>
      </c>
    </row>
    <row r="902" spans="1:64" ht="12.75">
      <c r="A902" s="4" t="s">
        <v>837</v>
      </c>
      <c r="B902" s="94" t="s">
        <v>1792</v>
      </c>
      <c r="C902" s="152" t="s">
        <v>2730</v>
      </c>
      <c r="D902" s="153"/>
      <c r="E902" s="153"/>
      <c r="F902" s="153"/>
      <c r="G902" s="94" t="s">
        <v>2850</v>
      </c>
      <c r="H902" s="73">
        <v>2</v>
      </c>
      <c r="I902" s="105">
        <v>0</v>
      </c>
      <c r="J902" s="15">
        <f t="shared" si="860"/>
        <v>0</v>
      </c>
      <c r="K902" s="15">
        <f t="shared" si="861"/>
        <v>0</v>
      </c>
      <c r="L902" s="15">
        <f t="shared" si="862"/>
        <v>0</v>
      </c>
      <c r="M902" s="25"/>
      <c r="N902" s="5"/>
      <c r="Z902" s="29">
        <f t="shared" si="863"/>
        <v>0</v>
      </c>
      <c r="AB902" s="29">
        <f t="shared" si="864"/>
        <v>0</v>
      </c>
      <c r="AC902" s="29">
        <f t="shared" si="865"/>
        <v>0</v>
      </c>
      <c r="AD902" s="29">
        <f t="shared" si="866"/>
        <v>0</v>
      </c>
      <c r="AE902" s="29">
        <f t="shared" si="867"/>
        <v>0</v>
      </c>
      <c r="AF902" s="29">
        <f t="shared" si="868"/>
        <v>0</v>
      </c>
      <c r="AG902" s="29">
        <f t="shared" si="869"/>
        <v>0</v>
      </c>
      <c r="AH902" s="29">
        <f t="shared" si="870"/>
        <v>0</v>
      </c>
      <c r="AI902" s="28" t="s">
        <v>2884</v>
      </c>
      <c r="AJ902" s="15">
        <f t="shared" si="871"/>
        <v>0</v>
      </c>
      <c r="AK902" s="15">
        <f t="shared" si="872"/>
        <v>0</v>
      </c>
      <c r="AL902" s="15">
        <f t="shared" si="873"/>
        <v>0</v>
      </c>
      <c r="AN902" s="29">
        <v>15</v>
      </c>
      <c r="AO902" s="29">
        <f t="shared" si="874"/>
        <v>0</v>
      </c>
      <c r="AP902" s="29">
        <f t="shared" si="875"/>
        <v>0</v>
      </c>
      <c r="AQ902" s="30" t="s">
        <v>7</v>
      </c>
      <c r="AV902" s="29">
        <f t="shared" si="876"/>
        <v>0</v>
      </c>
      <c r="AW902" s="29">
        <f t="shared" si="877"/>
        <v>0</v>
      </c>
      <c r="AX902" s="29">
        <f t="shared" si="878"/>
        <v>0</v>
      </c>
      <c r="AY902" s="32" t="s">
        <v>2933</v>
      </c>
      <c r="AZ902" s="32" t="s">
        <v>2951</v>
      </c>
      <c r="BA902" s="28" t="s">
        <v>2959</v>
      </c>
      <c r="BC902" s="29">
        <f t="shared" si="879"/>
        <v>0</v>
      </c>
      <c r="BD902" s="29">
        <f t="shared" si="880"/>
        <v>0</v>
      </c>
      <c r="BE902" s="29">
        <v>0</v>
      </c>
      <c r="BF902" s="29">
        <f>902</f>
        <v>902</v>
      </c>
      <c r="BH902" s="15">
        <f t="shared" si="881"/>
        <v>0</v>
      </c>
      <c r="BI902" s="15">
        <f t="shared" si="882"/>
        <v>0</v>
      </c>
      <c r="BJ902" s="15">
        <f t="shared" si="883"/>
        <v>0</v>
      </c>
      <c r="BK902" s="15" t="s">
        <v>2969</v>
      </c>
      <c r="BL902" s="29">
        <v>8</v>
      </c>
    </row>
    <row r="903" spans="1:64" ht="12.75">
      <c r="A903" s="4" t="s">
        <v>838</v>
      </c>
      <c r="B903" s="94" t="s">
        <v>1793</v>
      </c>
      <c r="C903" s="152" t="s">
        <v>2731</v>
      </c>
      <c r="D903" s="153"/>
      <c r="E903" s="153"/>
      <c r="F903" s="153"/>
      <c r="G903" s="94" t="s">
        <v>2850</v>
      </c>
      <c r="H903" s="73">
        <v>2</v>
      </c>
      <c r="I903" s="105">
        <v>0</v>
      </c>
      <c r="J903" s="15">
        <f t="shared" si="860"/>
        <v>0</v>
      </c>
      <c r="K903" s="15">
        <f t="shared" si="861"/>
        <v>0</v>
      </c>
      <c r="L903" s="15">
        <f t="shared" si="862"/>
        <v>0</v>
      </c>
      <c r="M903" s="25"/>
      <c r="N903" s="5"/>
      <c r="Z903" s="29">
        <f t="shared" si="863"/>
        <v>0</v>
      </c>
      <c r="AB903" s="29">
        <f t="shared" si="864"/>
        <v>0</v>
      </c>
      <c r="AC903" s="29">
        <f t="shared" si="865"/>
        <v>0</v>
      </c>
      <c r="AD903" s="29">
        <f t="shared" si="866"/>
        <v>0</v>
      </c>
      <c r="AE903" s="29">
        <f t="shared" si="867"/>
        <v>0</v>
      </c>
      <c r="AF903" s="29">
        <f t="shared" si="868"/>
        <v>0</v>
      </c>
      <c r="AG903" s="29">
        <f t="shared" si="869"/>
        <v>0</v>
      </c>
      <c r="AH903" s="29">
        <f t="shared" si="870"/>
        <v>0</v>
      </c>
      <c r="AI903" s="28" t="s">
        <v>2884</v>
      </c>
      <c r="AJ903" s="15">
        <f t="shared" si="871"/>
        <v>0</v>
      </c>
      <c r="AK903" s="15">
        <f t="shared" si="872"/>
        <v>0</v>
      </c>
      <c r="AL903" s="15">
        <f t="shared" si="873"/>
        <v>0</v>
      </c>
      <c r="AN903" s="29">
        <v>15</v>
      </c>
      <c r="AO903" s="29">
        <f t="shared" si="874"/>
        <v>0</v>
      </c>
      <c r="AP903" s="29">
        <f t="shared" si="875"/>
        <v>0</v>
      </c>
      <c r="AQ903" s="30" t="s">
        <v>7</v>
      </c>
      <c r="AV903" s="29">
        <f t="shared" si="876"/>
        <v>0</v>
      </c>
      <c r="AW903" s="29">
        <f t="shared" si="877"/>
        <v>0</v>
      </c>
      <c r="AX903" s="29">
        <f t="shared" si="878"/>
        <v>0</v>
      </c>
      <c r="AY903" s="32" t="s">
        <v>2933</v>
      </c>
      <c r="AZ903" s="32" t="s">
        <v>2951</v>
      </c>
      <c r="BA903" s="28" t="s">
        <v>2959</v>
      </c>
      <c r="BC903" s="29">
        <f t="shared" si="879"/>
        <v>0</v>
      </c>
      <c r="BD903" s="29">
        <f t="shared" si="880"/>
        <v>0</v>
      </c>
      <c r="BE903" s="29">
        <v>0</v>
      </c>
      <c r="BF903" s="29">
        <f>903</f>
        <v>903</v>
      </c>
      <c r="BH903" s="15">
        <f t="shared" si="881"/>
        <v>0</v>
      </c>
      <c r="BI903" s="15">
        <f t="shared" si="882"/>
        <v>0</v>
      </c>
      <c r="BJ903" s="15">
        <f t="shared" si="883"/>
        <v>0</v>
      </c>
      <c r="BK903" s="15" t="s">
        <v>2969</v>
      </c>
      <c r="BL903" s="29">
        <v>8</v>
      </c>
    </row>
    <row r="904" spans="1:64" ht="12.75">
      <c r="A904" s="4" t="s">
        <v>839</v>
      </c>
      <c r="B904" s="94" t="s">
        <v>1794</v>
      </c>
      <c r="C904" s="152" t="s">
        <v>2732</v>
      </c>
      <c r="D904" s="153"/>
      <c r="E904" s="153"/>
      <c r="F904" s="153"/>
      <c r="G904" s="94" t="s">
        <v>2850</v>
      </c>
      <c r="H904" s="73">
        <v>4</v>
      </c>
      <c r="I904" s="105">
        <v>0</v>
      </c>
      <c r="J904" s="15">
        <f t="shared" si="860"/>
        <v>0</v>
      </c>
      <c r="K904" s="15">
        <f t="shared" si="861"/>
        <v>0</v>
      </c>
      <c r="L904" s="15">
        <f t="shared" si="862"/>
        <v>0</v>
      </c>
      <c r="M904" s="25"/>
      <c r="N904" s="5"/>
      <c r="Z904" s="29">
        <f t="shared" si="863"/>
        <v>0</v>
      </c>
      <c r="AB904" s="29">
        <f t="shared" si="864"/>
        <v>0</v>
      </c>
      <c r="AC904" s="29">
        <f t="shared" si="865"/>
        <v>0</v>
      </c>
      <c r="AD904" s="29">
        <f t="shared" si="866"/>
        <v>0</v>
      </c>
      <c r="AE904" s="29">
        <f t="shared" si="867"/>
        <v>0</v>
      </c>
      <c r="AF904" s="29">
        <f t="shared" si="868"/>
        <v>0</v>
      </c>
      <c r="AG904" s="29">
        <f t="shared" si="869"/>
        <v>0</v>
      </c>
      <c r="AH904" s="29">
        <f t="shared" si="870"/>
        <v>0</v>
      </c>
      <c r="AI904" s="28" t="s">
        <v>2884</v>
      </c>
      <c r="AJ904" s="15">
        <f t="shared" si="871"/>
        <v>0</v>
      </c>
      <c r="AK904" s="15">
        <f t="shared" si="872"/>
        <v>0</v>
      </c>
      <c r="AL904" s="15">
        <f t="shared" si="873"/>
        <v>0</v>
      </c>
      <c r="AN904" s="29">
        <v>15</v>
      </c>
      <c r="AO904" s="29">
        <f t="shared" si="874"/>
        <v>0</v>
      </c>
      <c r="AP904" s="29">
        <f t="shared" si="875"/>
        <v>0</v>
      </c>
      <c r="AQ904" s="30" t="s">
        <v>7</v>
      </c>
      <c r="AV904" s="29">
        <f t="shared" si="876"/>
        <v>0</v>
      </c>
      <c r="AW904" s="29">
        <f t="shared" si="877"/>
        <v>0</v>
      </c>
      <c r="AX904" s="29">
        <f t="shared" si="878"/>
        <v>0</v>
      </c>
      <c r="AY904" s="32" t="s">
        <v>2933</v>
      </c>
      <c r="AZ904" s="32" t="s">
        <v>2951</v>
      </c>
      <c r="BA904" s="28" t="s">
        <v>2959</v>
      </c>
      <c r="BC904" s="29">
        <f t="shared" si="879"/>
        <v>0</v>
      </c>
      <c r="BD904" s="29">
        <f t="shared" si="880"/>
        <v>0</v>
      </c>
      <c r="BE904" s="29">
        <v>0</v>
      </c>
      <c r="BF904" s="29">
        <f>904</f>
        <v>904</v>
      </c>
      <c r="BH904" s="15">
        <f t="shared" si="881"/>
        <v>0</v>
      </c>
      <c r="BI904" s="15">
        <f t="shared" si="882"/>
        <v>0</v>
      </c>
      <c r="BJ904" s="15">
        <f t="shared" si="883"/>
        <v>0</v>
      </c>
      <c r="BK904" s="15" t="s">
        <v>2969</v>
      </c>
      <c r="BL904" s="29">
        <v>8</v>
      </c>
    </row>
    <row r="905" spans="1:64" ht="12.75">
      <c r="A905" s="4" t="s">
        <v>840</v>
      </c>
      <c r="B905" s="94" t="s">
        <v>1795</v>
      </c>
      <c r="C905" s="152" t="s">
        <v>2733</v>
      </c>
      <c r="D905" s="153"/>
      <c r="E905" s="153"/>
      <c r="F905" s="153"/>
      <c r="G905" s="94" t="s">
        <v>2850</v>
      </c>
      <c r="H905" s="73">
        <v>2</v>
      </c>
      <c r="I905" s="105">
        <v>0</v>
      </c>
      <c r="J905" s="15">
        <f t="shared" si="860"/>
        <v>0</v>
      </c>
      <c r="K905" s="15">
        <f t="shared" si="861"/>
        <v>0</v>
      </c>
      <c r="L905" s="15">
        <f t="shared" si="862"/>
        <v>0</v>
      </c>
      <c r="M905" s="25"/>
      <c r="N905" s="5"/>
      <c r="Z905" s="29">
        <f t="shared" si="863"/>
        <v>0</v>
      </c>
      <c r="AB905" s="29">
        <f t="shared" si="864"/>
        <v>0</v>
      </c>
      <c r="AC905" s="29">
        <f t="shared" si="865"/>
        <v>0</v>
      </c>
      <c r="AD905" s="29">
        <f t="shared" si="866"/>
        <v>0</v>
      </c>
      <c r="AE905" s="29">
        <f t="shared" si="867"/>
        <v>0</v>
      </c>
      <c r="AF905" s="29">
        <f t="shared" si="868"/>
        <v>0</v>
      </c>
      <c r="AG905" s="29">
        <f t="shared" si="869"/>
        <v>0</v>
      </c>
      <c r="AH905" s="29">
        <f t="shared" si="870"/>
        <v>0</v>
      </c>
      <c r="AI905" s="28" t="s">
        <v>2884</v>
      </c>
      <c r="AJ905" s="15">
        <f t="shared" si="871"/>
        <v>0</v>
      </c>
      <c r="AK905" s="15">
        <f t="shared" si="872"/>
        <v>0</v>
      </c>
      <c r="AL905" s="15">
        <f t="shared" si="873"/>
        <v>0</v>
      </c>
      <c r="AN905" s="29">
        <v>15</v>
      </c>
      <c r="AO905" s="29">
        <f t="shared" si="874"/>
        <v>0</v>
      </c>
      <c r="AP905" s="29">
        <f t="shared" si="875"/>
        <v>0</v>
      </c>
      <c r="AQ905" s="30" t="s">
        <v>7</v>
      </c>
      <c r="AV905" s="29">
        <f t="shared" si="876"/>
        <v>0</v>
      </c>
      <c r="AW905" s="29">
        <f t="shared" si="877"/>
        <v>0</v>
      </c>
      <c r="AX905" s="29">
        <f t="shared" si="878"/>
        <v>0</v>
      </c>
      <c r="AY905" s="32" t="s">
        <v>2933</v>
      </c>
      <c r="AZ905" s="32" t="s">
        <v>2951</v>
      </c>
      <c r="BA905" s="28" t="s">
        <v>2959</v>
      </c>
      <c r="BC905" s="29">
        <f t="shared" si="879"/>
        <v>0</v>
      </c>
      <c r="BD905" s="29">
        <f t="shared" si="880"/>
        <v>0</v>
      </c>
      <c r="BE905" s="29">
        <v>0</v>
      </c>
      <c r="BF905" s="29">
        <f>905</f>
        <v>905</v>
      </c>
      <c r="BH905" s="15">
        <f t="shared" si="881"/>
        <v>0</v>
      </c>
      <c r="BI905" s="15">
        <f t="shared" si="882"/>
        <v>0</v>
      </c>
      <c r="BJ905" s="15">
        <f t="shared" si="883"/>
        <v>0</v>
      </c>
      <c r="BK905" s="15" t="s">
        <v>2969</v>
      </c>
      <c r="BL905" s="29">
        <v>8</v>
      </c>
    </row>
    <row r="906" spans="1:64" ht="12.75">
      <c r="A906" s="4" t="s">
        <v>841</v>
      </c>
      <c r="B906" s="94" t="s">
        <v>1796</v>
      </c>
      <c r="C906" s="152" t="s">
        <v>2734</v>
      </c>
      <c r="D906" s="153"/>
      <c r="E906" s="153"/>
      <c r="F906" s="153"/>
      <c r="G906" s="94" t="s">
        <v>2850</v>
      </c>
      <c r="H906" s="73">
        <v>2</v>
      </c>
      <c r="I906" s="105">
        <v>0</v>
      </c>
      <c r="J906" s="15">
        <f t="shared" si="860"/>
        <v>0</v>
      </c>
      <c r="K906" s="15">
        <f t="shared" si="861"/>
        <v>0</v>
      </c>
      <c r="L906" s="15">
        <f t="shared" si="862"/>
        <v>0</v>
      </c>
      <c r="M906" s="25"/>
      <c r="N906" s="5"/>
      <c r="Z906" s="29">
        <f t="shared" si="863"/>
        <v>0</v>
      </c>
      <c r="AB906" s="29">
        <f t="shared" si="864"/>
        <v>0</v>
      </c>
      <c r="AC906" s="29">
        <f t="shared" si="865"/>
        <v>0</v>
      </c>
      <c r="AD906" s="29">
        <f t="shared" si="866"/>
        <v>0</v>
      </c>
      <c r="AE906" s="29">
        <f t="shared" si="867"/>
        <v>0</v>
      </c>
      <c r="AF906" s="29">
        <f t="shared" si="868"/>
        <v>0</v>
      </c>
      <c r="AG906" s="29">
        <f t="shared" si="869"/>
        <v>0</v>
      </c>
      <c r="AH906" s="29">
        <f t="shared" si="870"/>
        <v>0</v>
      </c>
      <c r="AI906" s="28" t="s">
        <v>2884</v>
      </c>
      <c r="AJ906" s="15">
        <f t="shared" si="871"/>
        <v>0</v>
      </c>
      <c r="AK906" s="15">
        <f t="shared" si="872"/>
        <v>0</v>
      </c>
      <c r="AL906" s="15">
        <f t="shared" si="873"/>
        <v>0</v>
      </c>
      <c r="AN906" s="29">
        <v>15</v>
      </c>
      <c r="AO906" s="29">
        <f t="shared" si="874"/>
        <v>0</v>
      </c>
      <c r="AP906" s="29">
        <f t="shared" si="875"/>
        <v>0</v>
      </c>
      <c r="AQ906" s="30" t="s">
        <v>7</v>
      </c>
      <c r="AV906" s="29">
        <f t="shared" si="876"/>
        <v>0</v>
      </c>
      <c r="AW906" s="29">
        <f t="shared" si="877"/>
        <v>0</v>
      </c>
      <c r="AX906" s="29">
        <f t="shared" si="878"/>
        <v>0</v>
      </c>
      <c r="AY906" s="32" t="s">
        <v>2933</v>
      </c>
      <c r="AZ906" s="32" t="s">
        <v>2951</v>
      </c>
      <c r="BA906" s="28" t="s">
        <v>2959</v>
      </c>
      <c r="BC906" s="29">
        <f t="shared" si="879"/>
        <v>0</v>
      </c>
      <c r="BD906" s="29">
        <f t="shared" si="880"/>
        <v>0</v>
      </c>
      <c r="BE906" s="29">
        <v>0</v>
      </c>
      <c r="BF906" s="29">
        <f>906</f>
        <v>906</v>
      </c>
      <c r="BH906" s="15">
        <f t="shared" si="881"/>
        <v>0</v>
      </c>
      <c r="BI906" s="15">
        <f t="shared" si="882"/>
        <v>0</v>
      </c>
      <c r="BJ906" s="15">
        <f t="shared" si="883"/>
        <v>0</v>
      </c>
      <c r="BK906" s="15" t="s">
        <v>2969</v>
      </c>
      <c r="BL906" s="29">
        <v>8</v>
      </c>
    </row>
    <row r="907" spans="1:64" ht="12.75">
      <c r="A907" s="4" t="s">
        <v>842</v>
      </c>
      <c r="B907" s="94" t="s">
        <v>1797</v>
      </c>
      <c r="C907" s="152" t="s">
        <v>2735</v>
      </c>
      <c r="D907" s="153"/>
      <c r="E907" s="153"/>
      <c r="F907" s="153"/>
      <c r="G907" s="94" t="s">
        <v>2850</v>
      </c>
      <c r="H907" s="73">
        <v>2</v>
      </c>
      <c r="I907" s="105">
        <v>0</v>
      </c>
      <c r="J907" s="15">
        <f t="shared" si="860"/>
        <v>0</v>
      </c>
      <c r="K907" s="15">
        <f t="shared" si="861"/>
        <v>0</v>
      </c>
      <c r="L907" s="15">
        <f t="shared" si="862"/>
        <v>0</v>
      </c>
      <c r="M907" s="25"/>
      <c r="N907" s="5"/>
      <c r="Z907" s="29">
        <f t="shared" si="863"/>
        <v>0</v>
      </c>
      <c r="AB907" s="29">
        <f t="shared" si="864"/>
        <v>0</v>
      </c>
      <c r="AC907" s="29">
        <f t="shared" si="865"/>
        <v>0</v>
      </c>
      <c r="AD907" s="29">
        <f t="shared" si="866"/>
        <v>0</v>
      </c>
      <c r="AE907" s="29">
        <f t="shared" si="867"/>
        <v>0</v>
      </c>
      <c r="AF907" s="29">
        <f t="shared" si="868"/>
        <v>0</v>
      </c>
      <c r="AG907" s="29">
        <f t="shared" si="869"/>
        <v>0</v>
      </c>
      <c r="AH907" s="29">
        <f t="shared" si="870"/>
        <v>0</v>
      </c>
      <c r="AI907" s="28" t="s">
        <v>2884</v>
      </c>
      <c r="AJ907" s="15">
        <f t="shared" si="871"/>
        <v>0</v>
      </c>
      <c r="AK907" s="15">
        <f t="shared" si="872"/>
        <v>0</v>
      </c>
      <c r="AL907" s="15">
        <f t="shared" si="873"/>
        <v>0</v>
      </c>
      <c r="AN907" s="29">
        <v>15</v>
      </c>
      <c r="AO907" s="29">
        <f t="shared" si="874"/>
        <v>0</v>
      </c>
      <c r="AP907" s="29">
        <f t="shared" si="875"/>
        <v>0</v>
      </c>
      <c r="AQ907" s="30" t="s">
        <v>7</v>
      </c>
      <c r="AV907" s="29">
        <f t="shared" si="876"/>
        <v>0</v>
      </c>
      <c r="AW907" s="29">
        <f t="shared" si="877"/>
        <v>0</v>
      </c>
      <c r="AX907" s="29">
        <f t="shared" si="878"/>
        <v>0</v>
      </c>
      <c r="AY907" s="32" t="s">
        <v>2933</v>
      </c>
      <c r="AZ907" s="32" t="s">
        <v>2951</v>
      </c>
      <c r="BA907" s="28" t="s">
        <v>2959</v>
      </c>
      <c r="BC907" s="29">
        <f t="shared" si="879"/>
        <v>0</v>
      </c>
      <c r="BD907" s="29">
        <f t="shared" si="880"/>
        <v>0</v>
      </c>
      <c r="BE907" s="29">
        <v>0</v>
      </c>
      <c r="BF907" s="29">
        <f>907</f>
        <v>907</v>
      </c>
      <c r="BH907" s="15">
        <f t="shared" si="881"/>
        <v>0</v>
      </c>
      <c r="BI907" s="15">
        <f t="shared" si="882"/>
        <v>0</v>
      </c>
      <c r="BJ907" s="15">
        <f t="shared" si="883"/>
        <v>0</v>
      </c>
      <c r="BK907" s="15" t="s">
        <v>2969</v>
      </c>
      <c r="BL907" s="29">
        <v>8</v>
      </c>
    </row>
    <row r="908" spans="1:64" ht="12.75">
      <c r="A908" s="4" t="s">
        <v>843</v>
      </c>
      <c r="B908" s="94" t="s">
        <v>1798</v>
      </c>
      <c r="C908" s="152" t="s">
        <v>2736</v>
      </c>
      <c r="D908" s="153"/>
      <c r="E908" s="153"/>
      <c r="F908" s="153"/>
      <c r="G908" s="94" t="s">
        <v>2850</v>
      </c>
      <c r="H908" s="73">
        <v>2</v>
      </c>
      <c r="I908" s="105">
        <v>0</v>
      </c>
      <c r="J908" s="15">
        <f t="shared" si="860"/>
        <v>0</v>
      </c>
      <c r="K908" s="15">
        <f t="shared" si="861"/>
        <v>0</v>
      </c>
      <c r="L908" s="15">
        <f t="shared" si="862"/>
        <v>0</v>
      </c>
      <c r="M908" s="25"/>
      <c r="N908" s="5"/>
      <c r="Z908" s="29">
        <f t="shared" si="863"/>
        <v>0</v>
      </c>
      <c r="AB908" s="29">
        <f t="shared" si="864"/>
        <v>0</v>
      </c>
      <c r="AC908" s="29">
        <f t="shared" si="865"/>
        <v>0</v>
      </c>
      <c r="AD908" s="29">
        <f t="shared" si="866"/>
        <v>0</v>
      </c>
      <c r="AE908" s="29">
        <f t="shared" si="867"/>
        <v>0</v>
      </c>
      <c r="AF908" s="29">
        <f t="shared" si="868"/>
        <v>0</v>
      </c>
      <c r="AG908" s="29">
        <f t="shared" si="869"/>
        <v>0</v>
      </c>
      <c r="AH908" s="29">
        <f t="shared" si="870"/>
        <v>0</v>
      </c>
      <c r="AI908" s="28" t="s">
        <v>2884</v>
      </c>
      <c r="AJ908" s="15">
        <f t="shared" si="871"/>
        <v>0</v>
      </c>
      <c r="AK908" s="15">
        <f t="shared" si="872"/>
        <v>0</v>
      </c>
      <c r="AL908" s="15">
        <f t="shared" si="873"/>
        <v>0</v>
      </c>
      <c r="AN908" s="29">
        <v>15</v>
      </c>
      <c r="AO908" s="29">
        <f t="shared" si="874"/>
        <v>0</v>
      </c>
      <c r="AP908" s="29">
        <f t="shared" si="875"/>
        <v>0</v>
      </c>
      <c r="AQ908" s="30" t="s">
        <v>7</v>
      </c>
      <c r="AV908" s="29">
        <f t="shared" si="876"/>
        <v>0</v>
      </c>
      <c r="AW908" s="29">
        <f t="shared" si="877"/>
        <v>0</v>
      </c>
      <c r="AX908" s="29">
        <f t="shared" si="878"/>
        <v>0</v>
      </c>
      <c r="AY908" s="32" t="s">
        <v>2933</v>
      </c>
      <c r="AZ908" s="32" t="s">
        <v>2951</v>
      </c>
      <c r="BA908" s="28" t="s">
        <v>2959</v>
      </c>
      <c r="BC908" s="29">
        <f t="shared" si="879"/>
        <v>0</v>
      </c>
      <c r="BD908" s="29">
        <f t="shared" si="880"/>
        <v>0</v>
      </c>
      <c r="BE908" s="29">
        <v>0</v>
      </c>
      <c r="BF908" s="29">
        <f>908</f>
        <v>908</v>
      </c>
      <c r="BH908" s="15">
        <f t="shared" si="881"/>
        <v>0</v>
      </c>
      <c r="BI908" s="15">
        <f t="shared" si="882"/>
        <v>0</v>
      </c>
      <c r="BJ908" s="15">
        <f t="shared" si="883"/>
        <v>0</v>
      </c>
      <c r="BK908" s="15" t="s">
        <v>2969</v>
      </c>
      <c r="BL908" s="29">
        <v>8</v>
      </c>
    </row>
    <row r="909" spans="1:64" ht="12.75">
      <c r="A909" s="4" t="s">
        <v>844</v>
      </c>
      <c r="B909" s="94" t="s">
        <v>1799</v>
      </c>
      <c r="C909" s="152" t="s">
        <v>2737</v>
      </c>
      <c r="D909" s="153"/>
      <c r="E909" s="153"/>
      <c r="F909" s="153"/>
      <c r="G909" s="94" t="s">
        <v>2850</v>
      </c>
      <c r="H909" s="73">
        <v>2</v>
      </c>
      <c r="I909" s="105">
        <v>0</v>
      </c>
      <c r="J909" s="15">
        <f t="shared" si="860"/>
        <v>0</v>
      </c>
      <c r="K909" s="15">
        <f t="shared" si="861"/>
        <v>0</v>
      </c>
      <c r="L909" s="15">
        <f t="shared" si="862"/>
        <v>0</v>
      </c>
      <c r="M909" s="25"/>
      <c r="N909" s="5"/>
      <c r="Z909" s="29">
        <f t="shared" si="863"/>
        <v>0</v>
      </c>
      <c r="AB909" s="29">
        <f t="shared" si="864"/>
        <v>0</v>
      </c>
      <c r="AC909" s="29">
        <f t="shared" si="865"/>
        <v>0</v>
      </c>
      <c r="AD909" s="29">
        <f t="shared" si="866"/>
        <v>0</v>
      </c>
      <c r="AE909" s="29">
        <f t="shared" si="867"/>
        <v>0</v>
      </c>
      <c r="AF909" s="29">
        <f t="shared" si="868"/>
        <v>0</v>
      </c>
      <c r="AG909" s="29">
        <f t="shared" si="869"/>
        <v>0</v>
      </c>
      <c r="AH909" s="29">
        <f t="shared" si="870"/>
        <v>0</v>
      </c>
      <c r="AI909" s="28" t="s">
        <v>2884</v>
      </c>
      <c r="AJ909" s="15">
        <f t="shared" si="871"/>
        <v>0</v>
      </c>
      <c r="AK909" s="15">
        <f t="shared" si="872"/>
        <v>0</v>
      </c>
      <c r="AL909" s="15">
        <f t="shared" si="873"/>
        <v>0</v>
      </c>
      <c r="AN909" s="29">
        <v>15</v>
      </c>
      <c r="AO909" s="29">
        <f t="shared" si="874"/>
        <v>0</v>
      </c>
      <c r="AP909" s="29">
        <f t="shared" si="875"/>
        <v>0</v>
      </c>
      <c r="AQ909" s="30" t="s">
        <v>7</v>
      </c>
      <c r="AV909" s="29">
        <f t="shared" si="876"/>
        <v>0</v>
      </c>
      <c r="AW909" s="29">
        <f t="shared" si="877"/>
        <v>0</v>
      </c>
      <c r="AX909" s="29">
        <f t="shared" si="878"/>
        <v>0</v>
      </c>
      <c r="AY909" s="32" t="s">
        <v>2933</v>
      </c>
      <c r="AZ909" s="32" t="s">
        <v>2951</v>
      </c>
      <c r="BA909" s="28" t="s">
        <v>2959</v>
      </c>
      <c r="BC909" s="29">
        <f t="shared" si="879"/>
        <v>0</v>
      </c>
      <c r="BD909" s="29">
        <f t="shared" si="880"/>
        <v>0</v>
      </c>
      <c r="BE909" s="29">
        <v>0</v>
      </c>
      <c r="BF909" s="29">
        <f>909</f>
        <v>909</v>
      </c>
      <c r="BH909" s="15">
        <f t="shared" si="881"/>
        <v>0</v>
      </c>
      <c r="BI909" s="15">
        <f t="shared" si="882"/>
        <v>0</v>
      </c>
      <c r="BJ909" s="15">
        <f t="shared" si="883"/>
        <v>0</v>
      </c>
      <c r="BK909" s="15" t="s">
        <v>2969</v>
      </c>
      <c r="BL909" s="29">
        <v>8</v>
      </c>
    </row>
    <row r="910" spans="1:64" ht="12.75">
      <c r="A910" s="4" t="s">
        <v>845</v>
      </c>
      <c r="B910" s="94" t="s">
        <v>1800</v>
      </c>
      <c r="C910" s="152" t="s">
        <v>2738</v>
      </c>
      <c r="D910" s="153"/>
      <c r="E910" s="153"/>
      <c r="F910" s="153"/>
      <c r="G910" s="94" t="s">
        <v>2850</v>
      </c>
      <c r="H910" s="73">
        <v>2</v>
      </c>
      <c r="I910" s="105">
        <v>0</v>
      </c>
      <c r="J910" s="15">
        <f t="shared" si="860"/>
        <v>0</v>
      </c>
      <c r="K910" s="15">
        <f t="shared" si="861"/>
        <v>0</v>
      </c>
      <c r="L910" s="15">
        <f t="shared" si="862"/>
        <v>0</v>
      </c>
      <c r="M910" s="25"/>
      <c r="N910" s="5"/>
      <c r="Z910" s="29">
        <f t="shared" si="863"/>
        <v>0</v>
      </c>
      <c r="AB910" s="29">
        <f t="shared" si="864"/>
        <v>0</v>
      </c>
      <c r="AC910" s="29">
        <f t="shared" si="865"/>
        <v>0</v>
      </c>
      <c r="AD910" s="29">
        <f t="shared" si="866"/>
        <v>0</v>
      </c>
      <c r="AE910" s="29">
        <f t="shared" si="867"/>
        <v>0</v>
      </c>
      <c r="AF910" s="29">
        <f t="shared" si="868"/>
        <v>0</v>
      </c>
      <c r="AG910" s="29">
        <f t="shared" si="869"/>
        <v>0</v>
      </c>
      <c r="AH910" s="29">
        <f t="shared" si="870"/>
        <v>0</v>
      </c>
      <c r="AI910" s="28" t="s">
        <v>2884</v>
      </c>
      <c r="AJ910" s="15">
        <f t="shared" si="871"/>
        <v>0</v>
      </c>
      <c r="AK910" s="15">
        <f t="shared" si="872"/>
        <v>0</v>
      </c>
      <c r="AL910" s="15">
        <f t="shared" si="873"/>
        <v>0</v>
      </c>
      <c r="AN910" s="29">
        <v>15</v>
      </c>
      <c r="AO910" s="29">
        <f t="shared" si="874"/>
        <v>0</v>
      </c>
      <c r="AP910" s="29">
        <f t="shared" si="875"/>
        <v>0</v>
      </c>
      <c r="AQ910" s="30" t="s">
        <v>7</v>
      </c>
      <c r="AV910" s="29">
        <f t="shared" si="876"/>
        <v>0</v>
      </c>
      <c r="AW910" s="29">
        <f t="shared" si="877"/>
        <v>0</v>
      </c>
      <c r="AX910" s="29">
        <f t="shared" si="878"/>
        <v>0</v>
      </c>
      <c r="AY910" s="32" t="s">
        <v>2933</v>
      </c>
      <c r="AZ910" s="32" t="s">
        <v>2951</v>
      </c>
      <c r="BA910" s="28" t="s">
        <v>2959</v>
      </c>
      <c r="BC910" s="29">
        <f t="shared" si="879"/>
        <v>0</v>
      </c>
      <c r="BD910" s="29">
        <f t="shared" si="880"/>
        <v>0</v>
      </c>
      <c r="BE910" s="29">
        <v>0</v>
      </c>
      <c r="BF910" s="29">
        <f>910</f>
        <v>910</v>
      </c>
      <c r="BH910" s="15">
        <f t="shared" si="881"/>
        <v>0</v>
      </c>
      <c r="BI910" s="15">
        <f t="shared" si="882"/>
        <v>0</v>
      </c>
      <c r="BJ910" s="15">
        <f t="shared" si="883"/>
        <v>0</v>
      </c>
      <c r="BK910" s="15" t="s">
        <v>2969</v>
      </c>
      <c r="BL910" s="29">
        <v>8</v>
      </c>
    </row>
    <row r="911" spans="1:64" ht="12.75">
      <c r="A911" s="4" t="s">
        <v>846</v>
      </c>
      <c r="B911" s="94" t="s">
        <v>1801</v>
      </c>
      <c r="C911" s="152" t="s">
        <v>2739</v>
      </c>
      <c r="D911" s="153"/>
      <c r="E911" s="153"/>
      <c r="F911" s="153"/>
      <c r="G911" s="94" t="s">
        <v>2850</v>
      </c>
      <c r="H911" s="73">
        <v>2</v>
      </c>
      <c r="I911" s="105">
        <v>0</v>
      </c>
      <c r="J911" s="15">
        <f t="shared" si="860"/>
        <v>0</v>
      </c>
      <c r="K911" s="15">
        <f t="shared" si="861"/>
        <v>0</v>
      </c>
      <c r="L911" s="15">
        <f t="shared" si="862"/>
        <v>0</v>
      </c>
      <c r="M911" s="25"/>
      <c r="N911" s="5"/>
      <c r="Z911" s="29">
        <f t="shared" si="863"/>
        <v>0</v>
      </c>
      <c r="AB911" s="29">
        <f t="shared" si="864"/>
        <v>0</v>
      </c>
      <c r="AC911" s="29">
        <f t="shared" si="865"/>
        <v>0</v>
      </c>
      <c r="AD911" s="29">
        <f t="shared" si="866"/>
        <v>0</v>
      </c>
      <c r="AE911" s="29">
        <f t="shared" si="867"/>
        <v>0</v>
      </c>
      <c r="AF911" s="29">
        <f t="shared" si="868"/>
        <v>0</v>
      </c>
      <c r="AG911" s="29">
        <f t="shared" si="869"/>
        <v>0</v>
      </c>
      <c r="AH911" s="29">
        <f t="shared" si="870"/>
        <v>0</v>
      </c>
      <c r="AI911" s="28" t="s">
        <v>2884</v>
      </c>
      <c r="AJ911" s="15">
        <f t="shared" si="871"/>
        <v>0</v>
      </c>
      <c r="AK911" s="15">
        <f t="shared" si="872"/>
        <v>0</v>
      </c>
      <c r="AL911" s="15">
        <f t="shared" si="873"/>
        <v>0</v>
      </c>
      <c r="AN911" s="29">
        <v>15</v>
      </c>
      <c r="AO911" s="29">
        <f t="shared" si="874"/>
        <v>0</v>
      </c>
      <c r="AP911" s="29">
        <f t="shared" si="875"/>
        <v>0</v>
      </c>
      <c r="AQ911" s="30" t="s">
        <v>7</v>
      </c>
      <c r="AV911" s="29">
        <f t="shared" si="876"/>
        <v>0</v>
      </c>
      <c r="AW911" s="29">
        <f t="shared" si="877"/>
        <v>0</v>
      </c>
      <c r="AX911" s="29">
        <f t="shared" si="878"/>
        <v>0</v>
      </c>
      <c r="AY911" s="32" t="s">
        <v>2933</v>
      </c>
      <c r="AZ911" s="32" t="s">
        <v>2951</v>
      </c>
      <c r="BA911" s="28" t="s">
        <v>2959</v>
      </c>
      <c r="BC911" s="29">
        <f t="shared" si="879"/>
        <v>0</v>
      </c>
      <c r="BD911" s="29">
        <f t="shared" si="880"/>
        <v>0</v>
      </c>
      <c r="BE911" s="29">
        <v>0</v>
      </c>
      <c r="BF911" s="29">
        <f>911</f>
        <v>911</v>
      </c>
      <c r="BH911" s="15">
        <f t="shared" si="881"/>
        <v>0</v>
      </c>
      <c r="BI911" s="15">
        <f t="shared" si="882"/>
        <v>0</v>
      </c>
      <c r="BJ911" s="15">
        <f t="shared" si="883"/>
        <v>0</v>
      </c>
      <c r="BK911" s="15" t="s">
        <v>2969</v>
      </c>
      <c r="BL911" s="29">
        <v>8</v>
      </c>
    </row>
    <row r="912" spans="1:64" ht="12.75">
      <c r="A912" s="4" t="s">
        <v>847</v>
      </c>
      <c r="B912" s="94" t="s">
        <v>1802</v>
      </c>
      <c r="C912" s="152" t="s">
        <v>2740</v>
      </c>
      <c r="D912" s="153"/>
      <c r="E912" s="153"/>
      <c r="F912" s="153"/>
      <c r="G912" s="94" t="s">
        <v>2850</v>
      </c>
      <c r="H912" s="73">
        <v>2</v>
      </c>
      <c r="I912" s="105">
        <v>0</v>
      </c>
      <c r="J912" s="15">
        <f t="shared" si="860"/>
        <v>0</v>
      </c>
      <c r="K912" s="15">
        <f t="shared" si="861"/>
        <v>0</v>
      </c>
      <c r="L912" s="15">
        <f t="shared" si="862"/>
        <v>0</v>
      </c>
      <c r="M912" s="25"/>
      <c r="N912" s="5"/>
      <c r="Z912" s="29">
        <f t="shared" si="863"/>
        <v>0</v>
      </c>
      <c r="AB912" s="29">
        <f t="shared" si="864"/>
        <v>0</v>
      </c>
      <c r="AC912" s="29">
        <f t="shared" si="865"/>
        <v>0</v>
      </c>
      <c r="AD912" s="29">
        <f t="shared" si="866"/>
        <v>0</v>
      </c>
      <c r="AE912" s="29">
        <f t="shared" si="867"/>
        <v>0</v>
      </c>
      <c r="AF912" s="29">
        <f t="shared" si="868"/>
        <v>0</v>
      </c>
      <c r="AG912" s="29">
        <f t="shared" si="869"/>
        <v>0</v>
      </c>
      <c r="AH912" s="29">
        <f t="shared" si="870"/>
        <v>0</v>
      </c>
      <c r="AI912" s="28" t="s">
        <v>2884</v>
      </c>
      <c r="AJ912" s="15">
        <f t="shared" si="871"/>
        <v>0</v>
      </c>
      <c r="AK912" s="15">
        <f t="shared" si="872"/>
        <v>0</v>
      </c>
      <c r="AL912" s="15">
        <f t="shared" si="873"/>
        <v>0</v>
      </c>
      <c r="AN912" s="29">
        <v>15</v>
      </c>
      <c r="AO912" s="29">
        <f t="shared" si="874"/>
        <v>0</v>
      </c>
      <c r="AP912" s="29">
        <f t="shared" si="875"/>
        <v>0</v>
      </c>
      <c r="AQ912" s="30" t="s">
        <v>7</v>
      </c>
      <c r="AV912" s="29">
        <f t="shared" si="876"/>
        <v>0</v>
      </c>
      <c r="AW912" s="29">
        <f t="shared" si="877"/>
        <v>0</v>
      </c>
      <c r="AX912" s="29">
        <f t="shared" si="878"/>
        <v>0</v>
      </c>
      <c r="AY912" s="32" t="s">
        <v>2933</v>
      </c>
      <c r="AZ912" s="32" t="s">
        <v>2951</v>
      </c>
      <c r="BA912" s="28" t="s">
        <v>2959</v>
      </c>
      <c r="BC912" s="29">
        <f t="shared" si="879"/>
        <v>0</v>
      </c>
      <c r="BD912" s="29">
        <f t="shared" si="880"/>
        <v>0</v>
      </c>
      <c r="BE912" s="29">
        <v>0</v>
      </c>
      <c r="BF912" s="29">
        <f>912</f>
        <v>912</v>
      </c>
      <c r="BH912" s="15">
        <f t="shared" si="881"/>
        <v>0</v>
      </c>
      <c r="BI912" s="15">
        <f t="shared" si="882"/>
        <v>0</v>
      </c>
      <c r="BJ912" s="15">
        <f t="shared" si="883"/>
        <v>0</v>
      </c>
      <c r="BK912" s="15" t="s">
        <v>2969</v>
      </c>
      <c r="BL912" s="29">
        <v>8</v>
      </c>
    </row>
    <row r="913" spans="1:64" ht="12.75">
      <c r="A913" s="4" t="s">
        <v>848</v>
      </c>
      <c r="B913" s="94" t="s">
        <v>1803</v>
      </c>
      <c r="C913" s="152" t="s">
        <v>2189</v>
      </c>
      <c r="D913" s="153"/>
      <c r="E913" s="153"/>
      <c r="F913" s="153"/>
      <c r="G913" s="94" t="s">
        <v>2852</v>
      </c>
      <c r="H913" s="73">
        <v>50</v>
      </c>
      <c r="I913" s="105">
        <v>0</v>
      </c>
      <c r="J913" s="15">
        <f t="shared" si="860"/>
        <v>0</v>
      </c>
      <c r="K913" s="15">
        <f t="shared" si="861"/>
        <v>0</v>
      </c>
      <c r="L913" s="15">
        <f t="shared" si="862"/>
        <v>0</v>
      </c>
      <c r="M913" s="25"/>
      <c r="N913" s="5"/>
      <c r="Z913" s="29">
        <f t="shared" si="863"/>
        <v>0</v>
      </c>
      <c r="AB913" s="29">
        <f t="shared" si="864"/>
        <v>0</v>
      </c>
      <c r="AC913" s="29">
        <f t="shared" si="865"/>
        <v>0</v>
      </c>
      <c r="AD913" s="29">
        <f t="shared" si="866"/>
        <v>0</v>
      </c>
      <c r="AE913" s="29">
        <f t="shared" si="867"/>
        <v>0</v>
      </c>
      <c r="AF913" s="29">
        <f t="shared" si="868"/>
        <v>0</v>
      </c>
      <c r="AG913" s="29">
        <f t="shared" si="869"/>
        <v>0</v>
      </c>
      <c r="AH913" s="29">
        <f t="shared" si="870"/>
        <v>0</v>
      </c>
      <c r="AI913" s="28" t="s">
        <v>2884</v>
      </c>
      <c r="AJ913" s="15">
        <f t="shared" si="871"/>
        <v>0</v>
      </c>
      <c r="AK913" s="15">
        <f t="shared" si="872"/>
        <v>0</v>
      </c>
      <c r="AL913" s="15">
        <f t="shared" si="873"/>
        <v>0</v>
      </c>
      <c r="AN913" s="29">
        <v>15</v>
      </c>
      <c r="AO913" s="29">
        <f t="shared" si="874"/>
        <v>0</v>
      </c>
      <c r="AP913" s="29">
        <f t="shared" si="875"/>
        <v>0</v>
      </c>
      <c r="AQ913" s="30" t="s">
        <v>7</v>
      </c>
      <c r="AV913" s="29">
        <f t="shared" si="876"/>
        <v>0</v>
      </c>
      <c r="AW913" s="29">
        <f t="shared" si="877"/>
        <v>0</v>
      </c>
      <c r="AX913" s="29">
        <f t="shared" si="878"/>
        <v>0</v>
      </c>
      <c r="AY913" s="32" t="s">
        <v>2933</v>
      </c>
      <c r="AZ913" s="32" t="s">
        <v>2951</v>
      </c>
      <c r="BA913" s="28" t="s">
        <v>2959</v>
      </c>
      <c r="BC913" s="29">
        <f t="shared" si="879"/>
        <v>0</v>
      </c>
      <c r="BD913" s="29">
        <f t="shared" si="880"/>
        <v>0</v>
      </c>
      <c r="BE913" s="29">
        <v>0</v>
      </c>
      <c r="BF913" s="29">
        <f>913</f>
        <v>913</v>
      </c>
      <c r="BH913" s="15">
        <f t="shared" si="881"/>
        <v>0</v>
      </c>
      <c r="BI913" s="15">
        <f t="shared" si="882"/>
        <v>0</v>
      </c>
      <c r="BJ913" s="15">
        <f t="shared" si="883"/>
        <v>0</v>
      </c>
      <c r="BK913" s="15" t="s">
        <v>2969</v>
      </c>
      <c r="BL913" s="29">
        <v>8</v>
      </c>
    </row>
    <row r="914" spans="1:64" ht="12.75">
      <c r="A914" s="4" t="s">
        <v>849</v>
      </c>
      <c r="B914" s="94" t="s">
        <v>1804</v>
      </c>
      <c r="C914" s="152" t="s">
        <v>2741</v>
      </c>
      <c r="D914" s="153"/>
      <c r="E914" s="153"/>
      <c r="F914" s="153"/>
      <c r="G914" s="94" t="s">
        <v>2851</v>
      </c>
      <c r="H914" s="73">
        <v>22.5</v>
      </c>
      <c r="I914" s="105">
        <v>0</v>
      </c>
      <c r="J914" s="15">
        <f t="shared" si="860"/>
        <v>0</v>
      </c>
      <c r="K914" s="15">
        <f t="shared" si="861"/>
        <v>0</v>
      </c>
      <c r="L914" s="15">
        <f t="shared" si="862"/>
        <v>0</v>
      </c>
      <c r="M914" s="25"/>
      <c r="N914" s="5"/>
      <c r="Z914" s="29">
        <f t="shared" si="863"/>
        <v>0</v>
      </c>
      <c r="AB914" s="29">
        <f t="shared" si="864"/>
        <v>0</v>
      </c>
      <c r="AC914" s="29">
        <f t="shared" si="865"/>
        <v>0</v>
      </c>
      <c r="AD914" s="29">
        <f t="shared" si="866"/>
        <v>0</v>
      </c>
      <c r="AE914" s="29">
        <f t="shared" si="867"/>
        <v>0</v>
      </c>
      <c r="AF914" s="29">
        <f t="shared" si="868"/>
        <v>0</v>
      </c>
      <c r="AG914" s="29">
        <f t="shared" si="869"/>
        <v>0</v>
      </c>
      <c r="AH914" s="29">
        <f t="shared" si="870"/>
        <v>0</v>
      </c>
      <c r="AI914" s="28" t="s">
        <v>2884</v>
      </c>
      <c r="AJ914" s="15">
        <f t="shared" si="871"/>
        <v>0</v>
      </c>
      <c r="AK914" s="15">
        <f t="shared" si="872"/>
        <v>0</v>
      </c>
      <c r="AL914" s="15">
        <f t="shared" si="873"/>
        <v>0</v>
      </c>
      <c r="AN914" s="29">
        <v>15</v>
      </c>
      <c r="AO914" s="29">
        <f t="shared" si="874"/>
        <v>0</v>
      </c>
      <c r="AP914" s="29">
        <f t="shared" si="875"/>
        <v>0</v>
      </c>
      <c r="AQ914" s="30" t="s">
        <v>7</v>
      </c>
      <c r="AV914" s="29">
        <f t="shared" si="876"/>
        <v>0</v>
      </c>
      <c r="AW914" s="29">
        <f t="shared" si="877"/>
        <v>0</v>
      </c>
      <c r="AX914" s="29">
        <f t="shared" si="878"/>
        <v>0</v>
      </c>
      <c r="AY914" s="32" t="s">
        <v>2933</v>
      </c>
      <c r="AZ914" s="32" t="s">
        <v>2951</v>
      </c>
      <c r="BA914" s="28" t="s">
        <v>2959</v>
      </c>
      <c r="BC914" s="29">
        <f t="shared" si="879"/>
        <v>0</v>
      </c>
      <c r="BD914" s="29">
        <f t="shared" si="880"/>
        <v>0</v>
      </c>
      <c r="BE914" s="29">
        <v>0</v>
      </c>
      <c r="BF914" s="29">
        <f>914</f>
        <v>914</v>
      </c>
      <c r="BH914" s="15">
        <f t="shared" si="881"/>
        <v>0</v>
      </c>
      <c r="BI914" s="15">
        <f t="shared" si="882"/>
        <v>0</v>
      </c>
      <c r="BJ914" s="15">
        <f t="shared" si="883"/>
        <v>0</v>
      </c>
      <c r="BK914" s="15" t="s">
        <v>2969</v>
      </c>
      <c r="BL914" s="29">
        <v>8</v>
      </c>
    </row>
    <row r="915" spans="1:64" ht="12.75">
      <c r="A915" s="4" t="s">
        <v>850</v>
      </c>
      <c r="B915" s="94" t="s">
        <v>1805</v>
      </c>
      <c r="C915" s="152" t="s">
        <v>2742</v>
      </c>
      <c r="D915" s="153"/>
      <c r="E915" s="153"/>
      <c r="F915" s="153"/>
      <c r="G915" s="94" t="s">
        <v>2851</v>
      </c>
      <c r="H915" s="73">
        <v>22.5</v>
      </c>
      <c r="I915" s="105">
        <v>0</v>
      </c>
      <c r="J915" s="15">
        <f t="shared" si="860"/>
        <v>0</v>
      </c>
      <c r="K915" s="15">
        <f t="shared" si="861"/>
        <v>0</v>
      </c>
      <c r="L915" s="15">
        <f t="shared" si="862"/>
        <v>0</v>
      </c>
      <c r="M915" s="25"/>
      <c r="N915" s="5"/>
      <c r="Z915" s="29">
        <f t="shared" si="863"/>
        <v>0</v>
      </c>
      <c r="AB915" s="29">
        <f t="shared" si="864"/>
        <v>0</v>
      </c>
      <c r="AC915" s="29">
        <f t="shared" si="865"/>
        <v>0</v>
      </c>
      <c r="AD915" s="29">
        <f t="shared" si="866"/>
        <v>0</v>
      </c>
      <c r="AE915" s="29">
        <f t="shared" si="867"/>
        <v>0</v>
      </c>
      <c r="AF915" s="29">
        <f t="shared" si="868"/>
        <v>0</v>
      </c>
      <c r="AG915" s="29">
        <f t="shared" si="869"/>
        <v>0</v>
      </c>
      <c r="AH915" s="29">
        <f t="shared" si="870"/>
        <v>0</v>
      </c>
      <c r="AI915" s="28" t="s">
        <v>2884</v>
      </c>
      <c r="AJ915" s="15">
        <f t="shared" si="871"/>
        <v>0</v>
      </c>
      <c r="AK915" s="15">
        <f t="shared" si="872"/>
        <v>0</v>
      </c>
      <c r="AL915" s="15">
        <f t="shared" si="873"/>
        <v>0</v>
      </c>
      <c r="AN915" s="29">
        <v>15</v>
      </c>
      <c r="AO915" s="29">
        <f t="shared" si="874"/>
        <v>0</v>
      </c>
      <c r="AP915" s="29">
        <f t="shared" si="875"/>
        <v>0</v>
      </c>
      <c r="AQ915" s="30" t="s">
        <v>7</v>
      </c>
      <c r="AV915" s="29">
        <f t="shared" si="876"/>
        <v>0</v>
      </c>
      <c r="AW915" s="29">
        <f t="shared" si="877"/>
        <v>0</v>
      </c>
      <c r="AX915" s="29">
        <f t="shared" si="878"/>
        <v>0</v>
      </c>
      <c r="AY915" s="32" t="s">
        <v>2933</v>
      </c>
      <c r="AZ915" s="32" t="s">
        <v>2951</v>
      </c>
      <c r="BA915" s="28" t="s">
        <v>2959</v>
      </c>
      <c r="BC915" s="29">
        <f t="shared" si="879"/>
        <v>0</v>
      </c>
      <c r="BD915" s="29">
        <f t="shared" si="880"/>
        <v>0</v>
      </c>
      <c r="BE915" s="29">
        <v>0</v>
      </c>
      <c r="BF915" s="29">
        <f>915</f>
        <v>915</v>
      </c>
      <c r="BH915" s="15">
        <f t="shared" si="881"/>
        <v>0</v>
      </c>
      <c r="BI915" s="15">
        <f t="shared" si="882"/>
        <v>0</v>
      </c>
      <c r="BJ915" s="15">
        <f t="shared" si="883"/>
        <v>0</v>
      </c>
      <c r="BK915" s="15" t="s">
        <v>2969</v>
      </c>
      <c r="BL915" s="29">
        <v>8</v>
      </c>
    </row>
    <row r="916" spans="1:64" ht="12.75">
      <c r="A916" s="4" t="s">
        <v>851</v>
      </c>
      <c r="B916" s="94" t="s">
        <v>1806</v>
      </c>
      <c r="C916" s="152" t="s">
        <v>2743</v>
      </c>
      <c r="D916" s="153"/>
      <c r="E916" s="153"/>
      <c r="F916" s="153"/>
      <c r="G916" s="94" t="s">
        <v>2851</v>
      </c>
      <c r="H916" s="73">
        <v>22.5</v>
      </c>
      <c r="I916" s="105">
        <v>0</v>
      </c>
      <c r="J916" s="15">
        <f t="shared" si="860"/>
        <v>0</v>
      </c>
      <c r="K916" s="15">
        <f t="shared" si="861"/>
        <v>0</v>
      </c>
      <c r="L916" s="15">
        <f t="shared" si="862"/>
        <v>0</v>
      </c>
      <c r="M916" s="25"/>
      <c r="N916" s="5"/>
      <c r="Z916" s="29">
        <f t="shared" si="863"/>
        <v>0</v>
      </c>
      <c r="AB916" s="29">
        <f t="shared" si="864"/>
        <v>0</v>
      </c>
      <c r="AC916" s="29">
        <f t="shared" si="865"/>
        <v>0</v>
      </c>
      <c r="AD916" s="29">
        <f t="shared" si="866"/>
        <v>0</v>
      </c>
      <c r="AE916" s="29">
        <f t="shared" si="867"/>
        <v>0</v>
      </c>
      <c r="AF916" s="29">
        <f t="shared" si="868"/>
        <v>0</v>
      </c>
      <c r="AG916" s="29">
        <f t="shared" si="869"/>
        <v>0</v>
      </c>
      <c r="AH916" s="29">
        <f t="shared" si="870"/>
        <v>0</v>
      </c>
      <c r="AI916" s="28" t="s">
        <v>2884</v>
      </c>
      <c r="AJ916" s="15">
        <f t="shared" si="871"/>
        <v>0</v>
      </c>
      <c r="AK916" s="15">
        <f t="shared" si="872"/>
        <v>0</v>
      </c>
      <c r="AL916" s="15">
        <f t="shared" si="873"/>
        <v>0</v>
      </c>
      <c r="AN916" s="29">
        <v>15</v>
      </c>
      <c r="AO916" s="29">
        <f t="shared" si="874"/>
        <v>0</v>
      </c>
      <c r="AP916" s="29">
        <f t="shared" si="875"/>
        <v>0</v>
      </c>
      <c r="AQ916" s="30" t="s">
        <v>7</v>
      </c>
      <c r="AV916" s="29">
        <f t="shared" si="876"/>
        <v>0</v>
      </c>
      <c r="AW916" s="29">
        <f t="shared" si="877"/>
        <v>0</v>
      </c>
      <c r="AX916" s="29">
        <f t="shared" si="878"/>
        <v>0</v>
      </c>
      <c r="AY916" s="32" t="s">
        <v>2933</v>
      </c>
      <c r="AZ916" s="32" t="s">
        <v>2951</v>
      </c>
      <c r="BA916" s="28" t="s">
        <v>2959</v>
      </c>
      <c r="BC916" s="29">
        <f t="shared" si="879"/>
        <v>0</v>
      </c>
      <c r="BD916" s="29">
        <f t="shared" si="880"/>
        <v>0</v>
      </c>
      <c r="BE916" s="29">
        <v>0</v>
      </c>
      <c r="BF916" s="29">
        <f>916</f>
        <v>916</v>
      </c>
      <c r="BH916" s="15">
        <f t="shared" si="881"/>
        <v>0</v>
      </c>
      <c r="BI916" s="15">
        <f t="shared" si="882"/>
        <v>0</v>
      </c>
      <c r="BJ916" s="15">
        <f t="shared" si="883"/>
        <v>0</v>
      </c>
      <c r="BK916" s="15" t="s">
        <v>2969</v>
      </c>
      <c r="BL916" s="29">
        <v>8</v>
      </c>
    </row>
    <row r="917" spans="1:64" ht="12.75">
      <c r="A917" s="4" t="s">
        <v>852</v>
      </c>
      <c r="B917" s="94" t="s">
        <v>1807</v>
      </c>
      <c r="C917" s="152" t="s">
        <v>2744</v>
      </c>
      <c r="D917" s="153"/>
      <c r="E917" s="153"/>
      <c r="F917" s="153"/>
      <c r="G917" s="94" t="s">
        <v>2850</v>
      </c>
      <c r="H917" s="73">
        <v>2</v>
      </c>
      <c r="I917" s="105">
        <v>0</v>
      </c>
      <c r="J917" s="15">
        <f t="shared" si="860"/>
        <v>0</v>
      </c>
      <c r="K917" s="15">
        <f t="shared" si="861"/>
        <v>0</v>
      </c>
      <c r="L917" s="15">
        <f t="shared" si="862"/>
        <v>0</v>
      </c>
      <c r="M917" s="25"/>
      <c r="N917" s="5"/>
      <c r="Z917" s="29">
        <f t="shared" si="863"/>
        <v>0</v>
      </c>
      <c r="AB917" s="29">
        <f t="shared" si="864"/>
        <v>0</v>
      </c>
      <c r="AC917" s="29">
        <f t="shared" si="865"/>
        <v>0</v>
      </c>
      <c r="AD917" s="29">
        <f t="shared" si="866"/>
        <v>0</v>
      </c>
      <c r="AE917" s="29">
        <f t="shared" si="867"/>
        <v>0</v>
      </c>
      <c r="AF917" s="29">
        <f t="shared" si="868"/>
        <v>0</v>
      </c>
      <c r="AG917" s="29">
        <f t="shared" si="869"/>
        <v>0</v>
      </c>
      <c r="AH917" s="29">
        <f t="shared" si="870"/>
        <v>0</v>
      </c>
      <c r="AI917" s="28" t="s">
        <v>2884</v>
      </c>
      <c r="AJ917" s="15">
        <f t="shared" si="871"/>
        <v>0</v>
      </c>
      <c r="AK917" s="15">
        <f t="shared" si="872"/>
        <v>0</v>
      </c>
      <c r="AL917" s="15">
        <f t="shared" si="873"/>
        <v>0</v>
      </c>
      <c r="AN917" s="29">
        <v>15</v>
      </c>
      <c r="AO917" s="29">
        <f t="shared" si="874"/>
        <v>0</v>
      </c>
      <c r="AP917" s="29">
        <f t="shared" si="875"/>
        <v>0</v>
      </c>
      <c r="AQ917" s="30" t="s">
        <v>7</v>
      </c>
      <c r="AV917" s="29">
        <f t="shared" si="876"/>
        <v>0</v>
      </c>
      <c r="AW917" s="29">
        <f t="shared" si="877"/>
        <v>0</v>
      </c>
      <c r="AX917" s="29">
        <f t="shared" si="878"/>
        <v>0</v>
      </c>
      <c r="AY917" s="32" t="s">
        <v>2933</v>
      </c>
      <c r="AZ917" s="32" t="s">
        <v>2951</v>
      </c>
      <c r="BA917" s="28" t="s">
        <v>2959</v>
      </c>
      <c r="BC917" s="29">
        <f t="shared" si="879"/>
        <v>0</v>
      </c>
      <c r="BD917" s="29">
        <f t="shared" si="880"/>
        <v>0</v>
      </c>
      <c r="BE917" s="29">
        <v>0</v>
      </c>
      <c r="BF917" s="29">
        <f>917</f>
        <v>917</v>
      </c>
      <c r="BH917" s="15">
        <f t="shared" si="881"/>
        <v>0</v>
      </c>
      <c r="BI917" s="15">
        <f t="shared" si="882"/>
        <v>0</v>
      </c>
      <c r="BJ917" s="15">
        <f t="shared" si="883"/>
        <v>0</v>
      </c>
      <c r="BK917" s="15" t="s">
        <v>2969</v>
      </c>
      <c r="BL917" s="29">
        <v>8</v>
      </c>
    </row>
    <row r="918" spans="1:64" ht="12.75">
      <c r="A918" s="4" t="s">
        <v>853</v>
      </c>
      <c r="B918" s="94" t="s">
        <v>1808</v>
      </c>
      <c r="C918" s="152" t="s">
        <v>2745</v>
      </c>
      <c r="D918" s="153"/>
      <c r="E918" s="153"/>
      <c r="F918" s="153"/>
      <c r="G918" s="94" t="s">
        <v>2850</v>
      </c>
      <c r="H918" s="73">
        <v>2</v>
      </c>
      <c r="I918" s="105">
        <v>0</v>
      </c>
      <c r="J918" s="15">
        <f t="shared" si="860"/>
        <v>0</v>
      </c>
      <c r="K918" s="15">
        <f t="shared" si="861"/>
        <v>0</v>
      </c>
      <c r="L918" s="15">
        <f t="shared" si="862"/>
        <v>0</v>
      </c>
      <c r="M918" s="25"/>
      <c r="N918" s="5"/>
      <c r="Z918" s="29">
        <f t="shared" si="863"/>
        <v>0</v>
      </c>
      <c r="AB918" s="29">
        <f t="shared" si="864"/>
        <v>0</v>
      </c>
      <c r="AC918" s="29">
        <f t="shared" si="865"/>
        <v>0</v>
      </c>
      <c r="AD918" s="29">
        <f t="shared" si="866"/>
        <v>0</v>
      </c>
      <c r="AE918" s="29">
        <f t="shared" si="867"/>
        <v>0</v>
      </c>
      <c r="AF918" s="29">
        <f t="shared" si="868"/>
        <v>0</v>
      </c>
      <c r="AG918" s="29">
        <f t="shared" si="869"/>
        <v>0</v>
      </c>
      <c r="AH918" s="29">
        <f t="shared" si="870"/>
        <v>0</v>
      </c>
      <c r="AI918" s="28" t="s">
        <v>2884</v>
      </c>
      <c r="AJ918" s="15">
        <f t="shared" si="871"/>
        <v>0</v>
      </c>
      <c r="AK918" s="15">
        <f t="shared" si="872"/>
        <v>0</v>
      </c>
      <c r="AL918" s="15">
        <f t="shared" si="873"/>
        <v>0</v>
      </c>
      <c r="AN918" s="29">
        <v>15</v>
      </c>
      <c r="AO918" s="29">
        <f t="shared" si="874"/>
        <v>0</v>
      </c>
      <c r="AP918" s="29">
        <f t="shared" si="875"/>
        <v>0</v>
      </c>
      <c r="AQ918" s="30" t="s">
        <v>7</v>
      </c>
      <c r="AV918" s="29">
        <f t="shared" si="876"/>
        <v>0</v>
      </c>
      <c r="AW918" s="29">
        <f t="shared" si="877"/>
        <v>0</v>
      </c>
      <c r="AX918" s="29">
        <f t="shared" si="878"/>
        <v>0</v>
      </c>
      <c r="AY918" s="32" t="s">
        <v>2933</v>
      </c>
      <c r="AZ918" s="32" t="s">
        <v>2951</v>
      </c>
      <c r="BA918" s="28" t="s">
        <v>2959</v>
      </c>
      <c r="BC918" s="29">
        <f t="shared" si="879"/>
        <v>0</v>
      </c>
      <c r="BD918" s="29">
        <f t="shared" si="880"/>
        <v>0</v>
      </c>
      <c r="BE918" s="29">
        <v>0</v>
      </c>
      <c r="BF918" s="29">
        <f>918</f>
        <v>918</v>
      </c>
      <c r="BH918" s="15">
        <f t="shared" si="881"/>
        <v>0</v>
      </c>
      <c r="BI918" s="15">
        <f t="shared" si="882"/>
        <v>0</v>
      </c>
      <c r="BJ918" s="15">
        <f t="shared" si="883"/>
        <v>0</v>
      </c>
      <c r="BK918" s="15" t="s">
        <v>2969</v>
      </c>
      <c r="BL918" s="29">
        <v>8</v>
      </c>
    </row>
    <row r="919" spans="1:64" ht="12.75">
      <c r="A919" s="4" t="s">
        <v>854</v>
      </c>
      <c r="B919" s="94" t="s">
        <v>1809</v>
      </c>
      <c r="C919" s="152" t="s">
        <v>2194</v>
      </c>
      <c r="D919" s="153"/>
      <c r="E919" s="153"/>
      <c r="F919" s="153"/>
      <c r="G919" s="94" t="s">
        <v>2850</v>
      </c>
      <c r="H919" s="73">
        <v>1</v>
      </c>
      <c r="I919" s="105">
        <v>0</v>
      </c>
      <c r="J919" s="15">
        <f t="shared" si="860"/>
        <v>0</v>
      </c>
      <c r="K919" s="15">
        <f t="shared" si="861"/>
        <v>0</v>
      </c>
      <c r="L919" s="15">
        <f t="shared" si="862"/>
        <v>0</v>
      </c>
      <c r="M919" s="25"/>
      <c r="N919" s="5"/>
      <c r="Z919" s="29">
        <f t="shared" si="863"/>
        <v>0</v>
      </c>
      <c r="AB919" s="29">
        <f t="shared" si="864"/>
        <v>0</v>
      </c>
      <c r="AC919" s="29">
        <f t="shared" si="865"/>
        <v>0</v>
      </c>
      <c r="AD919" s="29">
        <f t="shared" si="866"/>
        <v>0</v>
      </c>
      <c r="AE919" s="29">
        <f t="shared" si="867"/>
        <v>0</v>
      </c>
      <c r="AF919" s="29">
        <f t="shared" si="868"/>
        <v>0</v>
      </c>
      <c r="AG919" s="29">
        <f t="shared" si="869"/>
        <v>0</v>
      </c>
      <c r="AH919" s="29">
        <f t="shared" si="870"/>
        <v>0</v>
      </c>
      <c r="AI919" s="28" t="s">
        <v>2884</v>
      </c>
      <c r="AJ919" s="15">
        <f t="shared" si="871"/>
        <v>0</v>
      </c>
      <c r="AK919" s="15">
        <f t="shared" si="872"/>
        <v>0</v>
      </c>
      <c r="AL919" s="15">
        <f t="shared" si="873"/>
        <v>0</v>
      </c>
      <c r="AN919" s="29">
        <v>15</v>
      </c>
      <c r="AO919" s="29">
        <f t="shared" si="874"/>
        <v>0</v>
      </c>
      <c r="AP919" s="29">
        <f t="shared" si="875"/>
        <v>0</v>
      </c>
      <c r="AQ919" s="30" t="s">
        <v>7</v>
      </c>
      <c r="AV919" s="29">
        <f t="shared" si="876"/>
        <v>0</v>
      </c>
      <c r="AW919" s="29">
        <f t="shared" si="877"/>
        <v>0</v>
      </c>
      <c r="AX919" s="29">
        <f t="shared" si="878"/>
        <v>0</v>
      </c>
      <c r="AY919" s="32" t="s">
        <v>2933</v>
      </c>
      <c r="AZ919" s="32" t="s">
        <v>2951</v>
      </c>
      <c r="BA919" s="28" t="s">
        <v>2959</v>
      </c>
      <c r="BC919" s="29">
        <f t="shared" si="879"/>
        <v>0</v>
      </c>
      <c r="BD919" s="29">
        <f t="shared" si="880"/>
        <v>0</v>
      </c>
      <c r="BE919" s="29">
        <v>0</v>
      </c>
      <c r="BF919" s="29">
        <f>919</f>
        <v>919</v>
      </c>
      <c r="BH919" s="15">
        <f t="shared" si="881"/>
        <v>0</v>
      </c>
      <c r="BI919" s="15">
        <f t="shared" si="882"/>
        <v>0</v>
      </c>
      <c r="BJ919" s="15">
        <f t="shared" si="883"/>
        <v>0</v>
      </c>
      <c r="BK919" s="15" t="s">
        <v>2969</v>
      </c>
      <c r="BL919" s="29">
        <v>8</v>
      </c>
    </row>
    <row r="920" spans="1:64" ht="12.75">
      <c r="A920" s="4" t="s">
        <v>855</v>
      </c>
      <c r="B920" s="94" t="s">
        <v>1810</v>
      </c>
      <c r="C920" s="152" t="s">
        <v>2195</v>
      </c>
      <c r="D920" s="153"/>
      <c r="E920" s="153"/>
      <c r="F920" s="153"/>
      <c r="G920" s="94" t="s">
        <v>2850</v>
      </c>
      <c r="H920" s="73">
        <v>1</v>
      </c>
      <c r="I920" s="105">
        <v>0</v>
      </c>
      <c r="J920" s="15">
        <f t="shared" si="860"/>
        <v>0</v>
      </c>
      <c r="K920" s="15">
        <f t="shared" si="861"/>
        <v>0</v>
      </c>
      <c r="L920" s="15">
        <f t="shared" si="862"/>
        <v>0</v>
      </c>
      <c r="M920" s="25"/>
      <c r="N920" s="5"/>
      <c r="Z920" s="29">
        <f t="shared" si="863"/>
        <v>0</v>
      </c>
      <c r="AB920" s="29">
        <f t="shared" si="864"/>
        <v>0</v>
      </c>
      <c r="AC920" s="29">
        <f t="shared" si="865"/>
        <v>0</v>
      </c>
      <c r="AD920" s="29">
        <f t="shared" si="866"/>
        <v>0</v>
      </c>
      <c r="AE920" s="29">
        <f t="shared" si="867"/>
        <v>0</v>
      </c>
      <c r="AF920" s="29">
        <f t="shared" si="868"/>
        <v>0</v>
      </c>
      <c r="AG920" s="29">
        <f t="shared" si="869"/>
        <v>0</v>
      </c>
      <c r="AH920" s="29">
        <f t="shared" si="870"/>
        <v>0</v>
      </c>
      <c r="AI920" s="28" t="s">
        <v>2884</v>
      </c>
      <c r="AJ920" s="15">
        <f t="shared" si="871"/>
        <v>0</v>
      </c>
      <c r="AK920" s="15">
        <f t="shared" si="872"/>
        <v>0</v>
      </c>
      <c r="AL920" s="15">
        <f t="shared" si="873"/>
        <v>0</v>
      </c>
      <c r="AN920" s="29">
        <v>15</v>
      </c>
      <c r="AO920" s="29">
        <f t="shared" si="874"/>
        <v>0</v>
      </c>
      <c r="AP920" s="29">
        <f t="shared" si="875"/>
        <v>0</v>
      </c>
      <c r="AQ920" s="30" t="s">
        <v>7</v>
      </c>
      <c r="AV920" s="29">
        <f t="shared" si="876"/>
        <v>0</v>
      </c>
      <c r="AW920" s="29">
        <f t="shared" si="877"/>
        <v>0</v>
      </c>
      <c r="AX920" s="29">
        <f t="shared" si="878"/>
        <v>0</v>
      </c>
      <c r="AY920" s="32" t="s">
        <v>2933</v>
      </c>
      <c r="AZ920" s="32" t="s">
        <v>2951</v>
      </c>
      <c r="BA920" s="28" t="s">
        <v>2959</v>
      </c>
      <c r="BC920" s="29">
        <f t="shared" si="879"/>
        <v>0</v>
      </c>
      <c r="BD920" s="29">
        <f t="shared" si="880"/>
        <v>0</v>
      </c>
      <c r="BE920" s="29">
        <v>0</v>
      </c>
      <c r="BF920" s="29">
        <f>920</f>
        <v>920</v>
      </c>
      <c r="BH920" s="15">
        <f t="shared" si="881"/>
        <v>0</v>
      </c>
      <c r="BI920" s="15">
        <f t="shared" si="882"/>
        <v>0</v>
      </c>
      <c r="BJ920" s="15">
        <f t="shared" si="883"/>
        <v>0</v>
      </c>
      <c r="BK920" s="15" t="s">
        <v>2969</v>
      </c>
      <c r="BL920" s="29">
        <v>8</v>
      </c>
    </row>
    <row r="921" spans="1:64" ht="12.75">
      <c r="A921" s="4" t="s">
        <v>856</v>
      </c>
      <c r="B921" s="94" t="s">
        <v>1811</v>
      </c>
      <c r="C921" s="152" t="s">
        <v>2196</v>
      </c>
      <c r="D921" s="153"/>
      <c r="E921" s="153"/>
      <c r="F921" s="153"/>
      <c r="G921" s="94" t="s">
        <v>2850</v>
      </c>
      <c r="H921" s="73">
        <v>1</v>
      </c>
      <c r="I921" s="105">
        <v>0</v>
      </c>
      <c r="J921" s="15">
        <f t="shared" si="860"/>
        <v>0</v>
      </c>
      <c r="K921" s="15">
        <f t="shared" si="861"/>
        <v>0</v>
      </c>
      <c r="L921" s="15">
        <f t="shared" si="862"/>
        <v>0</v>
      </c>
      <c r="M921" s="25"/>
      <c r="N921" s="5"/>
      <c r="Z921" s="29">
        <f t="shared" si="863"/>
        <v>0</v>
      </c>
      <c r="AB921" s="29">
        <f t="shared" si="864"/>
        <v>0</v>
      </c>
      <c r="AC921" s="29">
        <f t="shared" si="865"/>
        <v>0</v>
      </c>
      <c r="AD921" s="29">
        <f t="shared" si="866"/>
        <v>0</v>
      </c>
      <c r="AE921" s="29">
        <f t="shared" si="867"/>
        <v>0</v>
      </c>
      <c r="AF921" s="29">
        <f t="shared" si="868"/>
        <v>0</v>
      </c>
      <c r="AG921" s="29">
        <f t="shared" si="869"/>
        <v>0</v>
      </c>
      <c r="AH921" s="29">
        <f t="shared" si="870"/>
        <v>0</v>
      </c>
      <c r="AI921" s="28" t="s">
        <v>2884</v>
      </c>
      <c r="AJ921" s="15">
        <f t="shared" si="871"/>
        <v>0</v>
      </c>
      <c r="AK921" s="15">
        <f t="shared" si="872"/>
        <v>0</v>
      </c>
      <c r="AL921" s="15">
        <f t="shared" si="873"/>
        <v>0</v>
      </c>
      <c r="AN921" s="29">
        <v>15</v>
      </c>
      <c r="AO921" s="29">
        <f t="shared" si="874"/>
        <v>0</v>
      </c>
      <c r="AP921" s="29">
        <f t="shared" si="875"/>
        <v>0</v>
      </c>
      <c r="AQ921" s="30" t="s">
        <v>7</v>
      </c>
      <c r="AV921" s="29">
        <f t="shared" si="876"/>
        <v>0</v>
      </c>
      <c r="AW921" s="29">
        <f t="shared" si="877"/>
        <v>0</v>
      </c>
      <c r="AX921" s="29">
        <f t="shared" si="878"/>
        <v>0</v>
      </c>
      <c r="AY921" s="32" t="s">
        <v>2933</v>
      </c>
      <c r="AZ921" s="32" t="s">
        <v>2951</v>
      </c>
      <c r="BA921" s="28" t="s">
        <v>2959</v>
      </c>
      <c r="BC921" s="29">
        <f t="shared" si="879"/>
        <v>0</v>
      </c>
      <c r="BD921" s="29">
        <f t="shared" si="880"/>
        <v>0</v>
      </c>
      <c r="BE921" s="29">
        <v>0</v>
      </c>
      <c r="BF921" s="29">
        <f>921</f>
        <v>921</v>
      </c>
      <c r="BH921" s="15">
        <f t="shared" si="881"/>
        <v>0</v>
      </c>
      <c r="BI921" s="15">
        <f t="shared" si="882"/>
        <v>0</v>
      </c>
      <c r="BJ921" s="15">
        <f t="shared" si="883"/>
        <v>0</v>
      </c>
      <c r="BK921" s="15" t="s">
        <v>2969</v>
      </c>
      <c r="BL921" s="29">
        <v>8</v>
      </c>
    </row>
    <row r="922" spans="1:14" ht="12.75">
      <c r="A922" s="83"/>
      <c r="B922" s="96"/>
      <c r="C922" s="159" t="s">
        <v>2746</v>
      </c>
      <c r="D922" s="160"/>
      <c r="E922" s="160"/>
      <c r="F922" s="160"/>
      <c r="G922" s="84" t="s">
        <v>6</v>
      </c>
      <c r="H922" s="84" t="s">
        <v>6</v>
      </c>
      <c r="I922" s="84" t="s">
        <v>6</v>
      </c>
      <c r="J922" s="85">
        <f>J923</f>
        <v>0</v>
      </c>
      <c r="K922" s="85">
        <f>K923</f>
        <v>0</v>
      </c>
      <c r="L922" s="85">
        <f>L923</f>
        <v>0</v>
      </c>
      <c r="M922" s="86"/>
      <c r="N922" s="5"/>
    </row>
    <row r="923" spans="1:47" ht="12.75">
      <c r="A923" s="3"/>
      <c r="B923" s="97" t="s">
        <v>14</v>
      </c>
      <c r="C923" s="161" t="s">
        <v>2716</v>
      </c>
      <c r="D923" s="162"/>
      <c r="E923" s="162"/>
      <c r="F923" s="162"/>
      <c r="G923" s="13" t="s">
        <v>6</v>
      </c>
      <c r="H923" s="13" t="s">
        <v>6</v>
      </c>
      <c r="I923" s="13" t="s">
        <v>6</v>
      </c>
      <c r="J923" s="34">
        <f>SUM(J924:J944)</f>
        <v>0</v>
      </c>
      <c r="K923" s="34">
        <f>SUM(K924:K944)</f>
        <v>0</v>
      </c>
      <c r="L923" s="34">
        <f>SUM(L924:L944)</f>
        <v>0</v>
      </c>
      <c r="M923" s="24"/>
      <c r="N923" s="5"/>
      <c r="AI923" s="28" t="s">
        <v>2885</v>
      </c>
      <c r="AS923" s="34">
        <f>SUM(AJ924:AJ944)</f>
        <v>0</v>
      </c>
      <c r="AT923" s="34">
        <f>SUM(AK924:AK944)</f>
        <v>0</v>
      </c>
      <c r="AU923" s="34">
        <f>SUM(AL924:AL944)</f>
        <v>0</v>
      </c>
    </row>
    <row r="924" spans="1:64" ht="12.75">
      <c r="A924" s="4" t="s">
        <v>857</v>
      </c>
      <c r="B924" s="94" t="s">
        <v>1812</v>
      </c>
      <c r="C924" s="152" t="s">
        <v>2747</v>
      </c>
      <c r="D924" s="153"/>
      <c r="E924" s="153"/>
      <c r="F924" s="153"/>
      <c r="G924" s="94" t="s">
        <v>2851</v>
      </c>
      <c r="H924" s="73">
        <v>2.5</v>
      </c>
      <c r="I924" s="105">
        <v>0</v>
      </c>
      <c r="J924" s="15">
        <f aca="true" t="shared" si="884" ref="J924:J944">H924*AO924</f>
        <v>0</v>
      </c>
      <c r="K924" s="15">
        <f aca="true" t="shared" si="885" ref="K924:K944">H924*AP924</f>
        <v>0</v>
      </c>
      <c r="L924" s="15">
        <f aca="true" t="shared" si="886" ref="L924:L944">H924*I924</f>
        <v>0</v>
      </c>
      <c r="M924" s="25"/>
      <c r="N924" s="5"/>
      <c r="Z924" s="29">
        <f aca="true" t="shared" si="887" ref="Z924:Z944">IF(AQ924="5",BJ924,0)</f>
        <v>0</v>
      </c>
      <c r="AB924" s="29">
        <f aca="true" t="shared" si="888" ref="AB924:AB944">IF(AQ924="1",BH924,0)</f>
        <v>0</v>
      </c>
      <c r="AC924" s="29">
        <f aca="true" t="shared" si="889" ref="AC924:AC944">IF(AQ924="1",BI924,0)</f>
        <v>0</v>
      </c>
      <c r="AD924" s="29">
        <f aca="true" t="shared" si="890" ref="AD924:AD944">IF(AQ924="7",BH924,0)</f>
        <v>0</v>
      </c>
      <c r="AE924" s="29">
        <f aca="true" t="shared" si="891" ref="AE924:AE944">IF(AQ924="7",BI924,0)</f>
        <v>0</v>
      </c>
      <c r="AF924" s="29">
        <f aca="true" t="shared" si="892" ref="AF924:AF944">IF(AQ924="2",BH924,0)</f>
        <v>0</v>
      </c>
      <c r="AG924" s="29">
        <f aca="true" t="shared" si="893" ref="AG924:AG944">IF(AQ924="2",BI924,0)</f>
        <v>0</v>
      </c>
      <c r="AH924" s="29">
        <f aca="true" t="shared" si="894" ref="AH924:AH944">IF(AQ924="0",BJ924,0)</f>
        <v>0</v>
      </c>
      <c r="AI924" s="28" t="s">
        <v>2885</v>
      </c>
      <c r="AJ924" s="15">
        <f aca="true" t="shared" si="895" ref="AJ924:AJ944">IF(AN924=0,L924,0)</f>
        <v>0</v>
      </c>
      <c r="AK924" s="15">
        <f aca="true" t="shared" si="896" ref="AK924:AK944">IF(AN924=15,L924,0)</f>
        <v>0</v>
      </c>
      <c r="AL924" s="15">
        <f aca="true" t="shared" si="897" ref="AL924:AL944">IF(AN924=21,L924,0)</f>
        <v>0</v>
      </c>
      <c r="AN924" s="29">
        <v>15</v>
      </c>
      <c r="AO924" s="29">
        <f aca="true" t="shared" si="898" ref="AO924:AO944">I924*0</f>
        <v>0</v>
      </c>
      <c r="AP924" s="29">
        <f aca="true" t="shared" si="899" ref="AP924:AP944">I924*(1-0)</f>
        <v>0</v>
      </c>
      <c r="AQ924" s="30" t="s">
        <v>7</v>
      </c>
      <c r="AV924" s="29">
        <f aca="true" t="shared" si="900" ref="AV924:AV944">AW924+AX924</f>
        <v>0</v>
      </c>
      <c r="AW924" s="29">
        <f aca="true" t="shared" si="901" ref="AW924:AW944">H924*AO924</f>
        <v>0</v>
      </c>
      <c r="AX924" s="29">
        <f aca="true" t="shared" si="902" ref="AX924:AX944">H924*AP924</f>
        <v>0</v>
      </c>
      <c r="AY924" s="32" t="s">
        <v>2933</v>
      </c>
      <c r="AZ924" s="32" t="s">
        <v>2952</v>
      </c>
      <c r="BA924" s="28" t="s">
        <v>2960</v>
      </c>
      <c r="BC924" s="29">
        <f aca="true" t="shared" si="903" ref="BC924:BC944">AW924+AX924</f>
        <v>0</v>
      </c>
      <c r="BD924" s="29">
        <f aca="true" t="shared" si="904" ref="BD924:BD944">I924/(100-BE924)*100</f>
        <v>0</v>
      </c>
      <c r="BE924" s="29">
        <v>0</v>
      </c>
      <c r="BF924" s="29">
        <f>924</f>
        <v>924</v>
      </c>
      <c r="BH924" s="15">
        <f aca="true" t="shared" si="905" ref="BH924:BH944">H924*AO924</f>
        <v>0</v>
      </c>
      <c r="BI924" s="15">
        <f aca="true" t="shared" si="906" ref="BI924:BI944">H924*AP924</f>
        <v>0</v>
      </c>
      <c r="BJ924" s="15">
        <f aca="true" t="shared" si="907" ref="BJ924:BJ944">H924*I924</f>
        <v>0</v>
      </c>
      <c r="BK924" s="15" t="s">
        <v>2969</v>
      </c>
      <c r="BL924" s="29">
        <v>8</v>
      </c>
    </row>
    <row r="925" spans="1:64" ht="12.75">
      <c r="A925" s="4" t="s">
        <v>858</v>
      </c>
      <c r="B925" s="94" t="s">
        <v>1813</v>
      </c>
      <c r="C925" s="152" t="s">
        <v>2748</v>
      </c>
      <c r="D925" s="153"/>
      <c r="E925" s="153"/>
      <c r="F925" s="153"/>
      <c r="G925" s="94" t="s">
        <v>2851</v>
      </c>
      <c r="H925" s="73">
        <v>2.5</v>
      </c>
      <c r="I925" s="105">
        <v>0</v>
      </c>
      <c r="J925" s="15">
        <f t="shared" si="884"/>
        <v>0</v>
      </c>
      <c r="K925" s="15">
        <f t="shared" si="885"/>
        <v>0</v>
      </c>
      <c r="L925" s="15">
        <f t="shared" si="886"/>
        <v>0</v>
      </c>
      <c r="M925" s="25"/>
      <c r="N925" s="5"/>
      <c r="Z925" s="29">
        <f t="shared" si="887"/>
        <v>0</v>
      </c>
      <c r="AB925" s="29">
        <f t="shared" si="888"/>
        <v>0</v>
      </c>
      <c r="AC925" s="29">
        <f t="shared" si="889"/>
        <v>0</v>
      </c>
      <c r="AD925" s="29">
        <f t="shared" si="890"/>
        <v>0</v>
      </c>
      <c r="AE925" s="29">
        <f t="shared" si="891"/>
        <v>0</v>
      </c>
      <c r="AF925" s="29">
        <f t="shared" si="892"/>
        <v>0</v>
      </c>
      <c r="AG925" s="29">
        <f t="shared" si="893"/>
        <v>0</v>
      </c>
      <c r="AH925" s="29">
        <f t="shared" si="894"/>
        <v>0</v>
      </c>
      <c r="AI925" s="28" t="s">
        <v>2885</v>
      </c>
      <c r="AJ925" s="15">
        <f t="shared" si="895"/>
        <v>0</v>
      </c>
      <c r="AK925" s="15">
        <f t="shared" si="896"/>
        <v>0</v>
      </c>
      <c r="AL925" s="15">
        <f t="shared" si="897"/>
        <v>0</v>
      </c>
      <c r="AN925" s="29">
        <v>15</v>
      </c>
      <c r="AO925" s="29">
        <f t="shared" si="898"/>
        <v>0</v>
      </c>
      <c r="AP925" s="29">
        <f t="shared" si="899"/>
        <v>0</v>
      </c>
      <c r="AQ925" s="30" t="s">
        <v>7</v>
      </c>
      <c r="AV925" s="29">
        <f t="shared" si="900"/>
        <v>0</v>
      </c>
      <c r="AW925" s="29">
        <f t="shared" si="901"/>
        <v>0</v>
      </c>
      <c r="AX925" s="29">
        <f t="shared" si="902"/>
        <v>0</v>
      </c>
      <c r="AY925" s="32" t="s">
        <v>2933</v>
      </c>
      <c r="AZ925" s="32" t="s">
        <v>2952</v>
      </c>
      <c r="BA925" s="28" t="s">
        <v>2960</v>
      </c>
      <c r="BC925" s="29">
        <f t="shared" si="903"/>
        <v>0</v>
      </c>
      <c r="BD925" s="29">
        <f t="shared" si="904"/>
        <v>0</v>
      </c>
      <c r="BE925" s="29">
        <v>0</v>
      </c>
      <c r="BF925" s="29">
        <f>925</f>
        <v>925</v>
      </c>
      <c r="BH925" s="15">
        <f t="shared" si="905"/>
        <v>0</v>
      </c>
      <c r="BI925" s="15">
        <f t="shared" si="906"/>
        <v>0</v>
      </c>
      <c r="BJ925" s="15">
        <f t="shared" si="907"/>
        <v>0</v>
      </c>
      <c r="BK925" s="15" t="s">
        <v>2969</v>
      </c>
      <c r="BL925" s="29">
        <v>8</v>
      </c>
    </row>
    <row r="926" spans="1:64" ht="12.75">
      <c r="A926" s="4" t="s">
        <v>859</v>
      </c>
      <c r="B926" s="94" t="s">
        <v>1814</v>
      </c>
      <c r="C926" s="152" t="s">
        <v>2749</v>
      </c>
      <c r="D926" s="153"/>
      <c r="E926" s="153"/>
      <c r="F926" s="153"/>
      <c r="G926" s="94" t="s">
        <v>2851</v>
      </c>
      <c r="H926" s="73">
        <v>17.5</v>
      </c>
      <c r="I926" s="105">
        <v>0</v>
      </c>
      <c r="J926" s="15">
        <f t="shared" si="884"/>
        <v>0</v>
      </c>
      <c r="K926" s="15">
        <f t="shared" si="885"/>
        <v>0</v>
      </c>
      <c r="L926" s="15">
        <f t="shared" si="886"/>
        <v>0</v>
      </c>
      <c r="M926" s="25"/>
      <c r="N926" s="5"/>
      <c r="Z926" s="29">
        <f t="shared" si="887"/>
        <v>0</v>
      </c>
      <c r="AB926" s="29">
        <f t="shared" si="888"/>
        <v>0</v>
      </c>
      <c r="AC926" s="29">
        <f t="shared" si="889"/>
        <v>0</v>
      </c>
      <c r="AD926" s="29">
        <f t="shared" si="890"/>
        <v>0</v>
      </c>
      <c r="AE926" s="29">
        <f t="shared" si="891"/>
        <v>0</v>
      </c>
      <c r="AF926" s="29">
        <f t="shared" si="892"/>
        <v>0</v>
      </c>
      <c r="AG926" s="29">
        <f t="shared" si="893"/>
        <v>0</v>
      </c>
      <c r="AH926" s="29">
        <f t="shared" si="894"/>
        <v>0</v>
      </c>
      <c r="AI926" s="28" t="s">
        <v>2885</v>
      </c>
      <c r="AJ926" s="15">
        <f t="shared" si="895"/>
        <v>0</v>
      </c>
      <c r="AK926" s="15">
        <f t="shared" si="896"/>
        <v>0</v>
      </c>
      <c r="AL926" s="15">
        <f t="shared" si="897"/>
        <v>0</v>
      </c>
      <c r="AN926" s="29">
        <v>15</v>
      </c>
      <c r="AO926" s="29">
        <f t="shared" si="898"/>
        <v>0</v>
      </c>
      <c r="AP926" s="29">
        <f t="shared" si="899"/>
        <v>0</v>
      </c>
      <c r="AQ926" s="30" t="s">
        <v>7</v>
      </c>
      <c r="AV926" s="29">
        <f t="shared" si="900"/>
        <v>0</v>
      </c>
      <c r="AW926" s="29">
        <f t="shared" si="901"/>
        <v>0</v>
      </c>
      <c r="AX926" s="29">
        <f t="shared" si="902"/>
        <v>0</v>
      </c>
      <c r="AY926" s="32" t="s">
        <v>2933</v>
      </c>
      <c r="AZ926" s="32" t="s">
        <v>2952</v>
      </c>
      <c r="BA926" s="28" t="s">
        <v>2960</v>
      </c>
      <c r="BC926" s="29">
        <f t="shared" si="903"/>
        <v>0</v>
      </c>
      <c r="BD926" s="29">
        <f t="shared" si="904"/>
        <v>0</v>
      </c>
      <c r="BE926" s="29">
        <v>0</v>
      </c>
      <c r="BF926" s="29">
        <f>926</f>
        <v>926</v>
      </c>
      <c r="BH926" s="15">
        <f t="shared" si="905"/>
        <v>0</v>
      </c>
      <c r="BI926" s="15">
        <f t="shared" si="906"/>
        <v>0</v>
      </c>
      <c r="BJ926" s="15">
        <f t="shared" si="907"/>
        <v>0</v>
      </c>
      <c r="BK926" s="15" t="s">
        <v>2969</v>
      </c>
      <c r="BL926" s="29">
        <v>8</v>
      </c>
    </row>
    <row r="927" spans="1:64" ht="12.75">
      <c r="A927" s="4" t="s">
        <v>860</v>
      </c>
      <c r="B927" s="94" t="s">
        <v>1815</v>
      </c>
      <c r="C927" s="152" t="s">
        <v>2750</v>
      </c>
      <c r="D927" s="153"/>
      <c r="E927" s="153"/>
      <c r="F927" s="153"/>
      <c r="G927" s="94" t="s">
        <v>2850</v>
      </c>
      <c r="H927" s="73">
        <v>3</v>
      </c>
      <c r="I927" s="105">
        <v>0</v>
      </c>
      <c r="J927" s="15">
        <f t="shared" si="884"/>
        <v>0</v>
      </c>
      <c r="K927" s="15">
        <f t="shared" si="885"/>
        <v>0</v>
      </c>
      <c r="L927" s="15">
        <f t="shared" si="886"/>
        <v>0</v>
      </c>
      <c r="M927" s="25"/>
      <c r="N927" s="5"/>
      <c r="Z927" s="29">
        <f t="shared" si="887"/>
        <v>0</v>
      </c>
      <c r="AB927" s="29">
        <f t="shared" si="888"/>
        <v>0</v>
      </c>
      <c r="AC927" s="29">
        <f t="shared" si="889"/>
        <v>0</v>
      </c>
      <c r="AD927" s="29">
        <f t="shared" si="890"/>
        <v>0</v>
      </c>
      <c r="AE927" s="29">
        <f t="shared" si="891"/>
        <v>0</v>
      </c>
      <c r="AF927" s="29">
        <f t="shared" si="892"/>
        <v>0</v>
      </c>
      <c r="AG927" s="29">
        <f t="shared" si="893"/>
        <v>0</v>
      </c>
      <c r="AH927" s="29">
        <f t="shared" si="894"/>
        <v>0</v>
      </c>
      <c r="AI927" s="28" t="s">
        <v>2885</v>
      </c>
      <c r="AJ927" s="15">
        <f t="shared" si="895"/>
        <v>0</v>
      </c>
      <c r="AK927" s="15">
        <f t="shared" si="896"/>
        <v>0</v>
      </c>
      <c r="AL927" s="15">
        <f t="shared" si="897"/>
        <v>0</v>
      </c>
      <c r="AN927" s="29">
        <v>15</v>
      </c>
      <c r="AO927" s="29">
        <f t="shared" si="898"/>
        <v>0</v>
      </c>
      <c r="AP927" s="29">
        <f t="shared" si="899"/>
        <v>0</v>
      </c>
      <c r="AQ927" s="30" t="s">
        <v>7</v>
      </c>
      <c r="AV927" s="29">
        <f t="shared" si="900"/>
        <v>0</v>
      </c>
      <c r="AW927" s="29">
        <f t="shared" si="901"/>
        <v>0</v>
      </c>
      <c r="AX927" s="29">
        <f t="shared" si="902"/>
        <v>0</v>
      </c>
      <c r="AY927" s="32" t="s">
        <v>2933</v>
      </c>
      <c r="AZ927" s="32" t="s">
        <v>2952</v>
      </c>
      <c r="BA927" s="28" t="s">
        <v>2960</v>
      </c>
      <c r="BC927" s="29">
        <f t="shared" si="903"/>
        <v>0</v>
      </c>
      <c r="BD927" s="29">
        <f t="shared" si="904"/>
        <v>0</v>
      </c>
      <c r="BE927" s="29">
        <v>0</v>
      </c>
      <c r="BF927" s="29">
        <f>927</f>
        <v>927</v>
      </c>
      <c r="BH927" s="15">
        <f t="shared" si="905"/>
        <v>0</v>
      </c>
      <c r="BI927" s="15">
        <f t="shared" si="906"/>
        <v>0</v>
      </c>
      <c r="BJ927" s="15">
        <f t="shared" si="907"/>
        <v>0</v>
      </c>
      <c r="BK927" s="15" t="s">
        <v>2969</v>
      </c>
      <c r="BL927" s="29">
        <v>8</v>
      </c>
    </row>
    <row r="928" spans="1:64" ht="12.75">
      <c r="A928" s="4" t="s">
        <v>861</v>
      </c>
      <c r="B928" s="94" t="s">
        <v>1816</v>
      </c>
      <c r="C928" s="152" t="s">
        <v>2722</v>
      </c>
      <c r="D928" s="153"/>
      <c r="E928" s="153"/>
      <c r="F928" s="153"/>
      <c r="G928" s="94" t="s">
        <v>2851</v>
      </c>
      <c r="H928" s="73">
        <v>17.5</v>
      </c>
      <c r="I928" s="105">
        <v>0</v>
      </c>
      <c r="J928" s="15">
        <f t="shared" si="884"/>
        <v>0</v>
      </c>
      <c r="K928" s="15">
        <f t="shared" si="885"/>
        <v>0</v>
      </c>
      <c r="L928" s="15">
        <f t="shared" si="886"/>
        <v>0</v>
      </c>
      <c r="M928" s="25"/>
      <c r="N928" s="5"/>
      <c r="Z928" s="29">
        <f t="shared" si="887"/>
        <v>0</v>
      </c>
      <c r="AB928" s="29">
        <f t="shared" si="888"/>
        <v>0</v>
      </c>
      <c r="AC928" s="29">
        <f t="shared" si="889"/>
        <v>0</v>
      </c>
      <c r="AD928" s="29">
        <f t="shared" si="890"/>
        <v>0</v>
      </c>
      <c r="AE928" s="29">
        <f t="shared" si="891"/>
        <v>0</v>
      </c>
      <c r="AF928" s="29">
        <f t="shared" si="892"/>
        <v>0</v>
      </c>
      <c r="AG928" s="29">
        <f t="shared" si="893"/>
        <v>0</v>
      </c>
      <c r="AH928" s="29">
        <f t="shared" si="894"/>
        <v>0</v>
      </c>
      <c r="AI928" s="28" t="s">
        <v>2885</v>
      </c>
      <c r="AJ928" s="15">
        <f t="shared" si="895"/>
        <v>0</v>
      </c>
      <c r="AK928" s="15">
        <f t="shared" si="896"/>
        <v>0</v>
      </c>
      <c r="AL928" s="15">
        <f t="shared" si="897"/>
        <v>0</v>
      </c>
      <c r="AN928" s="29">
        <v>15</v>
      </c>
      <c r="AO928" s="29">
        <f t="shared" si="898"/>
        <v>0</v>
      </c>
      <c r="AP928" s="29">
        <f t="shared" si="899"/>
        <v>0</v>
      </c>
      <c r="AQ928" s="30" t="s">
        <v>7</v>
      </c>
      <c r="AV928" s="29">
        <f t="shared" si="900"/>
        <v>0</v>
      </c>
      <c r="AW928" s="29">
        <f t="shared" si="901"/>
        <v>0</v>
      </c>
      <c r="AX928" s="29">
        <f t="shared" si="902"/>
        <v>0</v>
      </c>
      <c r="AY928" s="32" t="s">
        <v>2933</v>
      </c>
      <c r="AZ928" s="32" t="s">
        <v>2952</v>
      </c>
      <c r="BA928" s="28" t="s">
        <v>2960</v>
      </c>
      <c r="BC928" s="29">
        <f t="shared" si="903"/>
        <v>0</v>
      </c>
      <c r="BD928" s="29">
        <f t="shared" si="904"/>
        <v>0</v>
      </c>
      <c r="BE928" s="29">
        <v>0</v>
      </c>
      <c r="BF928" s="29">
        <f>928</f>
        <v>928</v>
      </c>
      <c r="BH928" s="15">
        <f t="shared" si="905"/>
        <v>0</v>
      </c>
      <c r="BI928" s="15">
        <f t="shared" si="906"/>
        <v>0</v>
      </c>
      <c r="BJ928" s="15">
        <f t="shared" si="907"/>
        <v>0</v>
      </c>
      <c r="BK928" s="15" t="s">
        <v>2969</v>
      </c>
      <c r="BL928" s="29">
        <v>8</v>
      </c>
    </row>
    <row r="929" spans="1:64" ht="12.75">
      <c r="A929" s="4" t="s">
        <v>862</v>
      </c>
      <c r="B929" s="94" t="s">
        <v>1817</v>
      </c>
      <c r="C929" s="152" t="s">
        <v>2724</v>
      </c>
      <c r="D929" s="153"/>
      <c r="E929" s="153"/>
      <c r="F929" s="153"/>
      <c r="G929" s="94" t="s">
        <v>2851</v>
      </c>
      <c r="H929" s="73">
        <v>17.5</v>
      </c>
      <c r="I929" s="105">
        <v>0</v>
      </c>
      <c r="J929" s="15">
        <f t="shared" si="884"/>
        <v>0</v>
      </c>
      <c r="K929" s="15">
        <f t="shared" si="885"/>
        <v>0</v>
      </c>
      <c r="L929" s="15">
        <f t="shared" si="886"/>
        <v>0</v>
      </c>
      <c r="M929" s="25"/>
      <c r="N929" s="5"/>
      <c r="Z929" s="29">
        <f t="shared" si="887"/>
        <v>0</v>
      </c>
      <c r="AB929" s="29">
        <f t="shared" si="888"/>
        <v>0</v>
      </c>
      <c r="AC929" s="29">
        <f t="shared" si="889"/>
        <v>0</v>
      </c>
      <c r="AD929" s="29">
        <f t="shared" si="890"/>
        <v>0</v>
      </c>
      <c r="AE929" s="29">
        <f t="shared" si="891"/>
        <v>0</v>
      </c>
      <c r="AF929" s="29">
        <f t="shared" si="892"/>
        <v>0</v>
      </c>
      <c r="AG929" s="29">
        <f t="shared" si="893"/>
        <v>0</v>
      </c>
      <c r="AH929" s="29">
        <f t="shared" si="894"/>
        <v>0</v>
      </c>
      <c r="AI929" s="28" t="s">
        <v>2885</v>
      </c>
      <c r="AJ929" s="15">
        <f t="shared" si="895"/>
        <v>0</v>
      </c>
      <c r="AK929" s="15">
        <f t="shared" si="896"/>
        <v>0</v>
      </c>
      <c r="AL929" s="15">
        <f t="shared" si="897"/>
        <v>0</v>
      </c>
      <c r="AN929" s="29">
        <v>15</v>
      </c>
      <c r="AO929" s="29">
        <f t="shared" si="898"/>
        <v>0</v>
      </c>
      <c r="AP929" s="29">
        <f t="shared" si="899"/>
        <v>0</v>
      </c>
      <c r="AQ929" s="30" t="s">
        <v>7</v>
      </c>
      <c r="AV929" s="29">
        <f t="shared" si="900"/>
        <v>0</v>
      </c>
      <c r="AW929" s="29">
        <f t="shared" si="901"/>
        <v>0</v>
      </c>
      <c r="AX929" s="29">
        <f t="shared" si="902"/>
        <v>0</v>
      </c>
      <c r="AY929" s="32" t="s">
        <v>2933</v>
      </c>
      <c r="AZ929" s="32" t="s">
        <v>2952</v>
      </c>
      <c r="BA929" s="28" t="s">
        <v>2960</v>
      </c>
      <c r="BC929" s="29">
        <f t="shared" si="903"/>
        <v>0</v>
      </c>
      <c r="BD929" s="29">
        <f t="shared" si="904"/>
        <v>0</v>
      </c>
      <c r="BE929" s="29">
        <v>0</v>
      </c>
      <c r="BF929" s="29">
        <f>929</f>
        <v>929</v>
      </c>
      <c r="BH929" s="15">
        <f t="shared" si="905"/>
        <v>0</v>
      </c>
      <c r="BI929" s="15">
        <f t="shared" si="906"/>
        <v>0</v>
      </c>
      <c r="BJ929" s="15">
        <f t="shared" si="907"/>
        <v>0</v>
      </c>
      <c r="BK929" s="15" t="s">
        <v>2969</v>
      </c>
      <c r="BL929" s="29">
        <v>8</v>
      </c>
    </row>
    <row r="930" spans="1:64" ht="12.75">
      <c r="A930" s="4" t="s">
        <v>863</v>
      </c>
      <c r="B930" s="94" t="s">
        <v>1818</v>
      </c>
      <c r="C930" s="152" t="s">
        <v>2725</v>
      </c>
      <c r="D930" s="153"/>
      <c r="E930" s="153"/>
      <c r="F930" s="153"/>
      <c r="G930" s="94" t="s">
        <v>2847</v>
      </c>
      <c r="H930" s="73">
        <v>2</v>
      </c>
      <c r="I930" s="105">
        <v>0</v>
      </c>
      <c r="J930" s="15">
        <f t="shared" si="884"/>
        <v>0</v>
      </c>
      <c r="K930" s="15">
        <f t="shared" si="885"/>
        <v>0</v>
      </c>
      <c r="L930" s="15">
        <f t="shared" si="886"/>
        <v>0</v>
      </c>
      <c r="M930" s="25"/>
      <c r="N930" s="5"/>
      <c r="Z930" s="29">
        <f t="shared" si="887"/>
        <v>0</v>
      </c>
      <c r="AB930" s="29">
        <f t="shared" si="888"/>
        <v>0</v>
      </c>
      <c r="AC930" s="29">
        <f t="shared" si="889"/>
        <v>0</v>
      </c>
      <c r="AD930" s="29">
        <f t="shared" si="890"/>
        <v>0</v>
      </c>
      <c r="AE930" s="29">
        <f t="shared" si="891"/>
        <v>0</v>
      </c>
      <c r="AF930" s="29">
        <f t="shared" si="892"/>
        <v>0</v>
      </c>
      <c r="AG930" s="29">
        <f t="shared" si="893"/>
        <v>0</v>
      </c>
      <c r="AH930" s="29">
        <f t="shared" si="894"/>
        <v>0</v>
      </c>
      <c r="AI930" s="28" t="s">
        <v>2885</v>
      </c>
      <c r="AJ930" s="15">
        <f t="shared" si="895"/>
        <v>0</v>
      </c>
      <c r="AK930" s="15">
        <f t="shared" si="896"/>
        <v>0</v>
      </c>
      <c r="AL930" s="15">
        <f t="shared" si="897"/>
        <v>0</v>
      </c>
      <c r="AN930" s="29">
        <v>15</v>
      </c>
      <c r="AO930" s="29">
        <f t="shared" si="898"/>
        <v>0</v>
      </c>
      <c r="AP930" s="29">
        <f t="shared" si="899"/>
        <v>0</v>
      </c>
      <c r="AQ930" s="30" t="s">
        <v>7</v>
      </c>
      <c r="AV930" s="29">
        <f t="shared" si="900"/>
        <v>0</v>
      </c>
      <c r="AW930" s="29">
        <f t="shared" si="901"/>
        <v>0</v>
      </c>
      <c r="AX930" s="29">
        <f t="shared" si="902"/>
        <v>0</v>
      </c>
      <c r="AY930" s="32" t="s">
        <v>2933</v>
      </c>
      <c r="AZ930" s="32" t="s">
        <v>2952</v>
      </c>
      <c r="BA930" s="28" t="s">
        <v>2960</v>
      </c>
      <c r="BC930" s="29">
        <f t="shared" si="903"/>
        <v>0</v>
      </c>
      <c r="BD930" s="29">
        <f t="shared" si="904"/>
        <v>0</v>
      </c>
      <c r="BE930" s="29">
        <v>0</v>
      </c>
      <c r="BF930" s="29">
        <f>930</f>
        <v>930</v>
      </c>
      <c r="BH930" s="15">
        <f t="shared" si="905"/>
        <v>0</v>
      </c>
      <c r="BI930" s="15">
        <f t="shared" si="906"/>
        <v>0</v>
      </c>
      <c r="BJ930" s="15">
        <f t="shared" si="907"/>
        <v>0</v>
      </c>
      <c r="BK930" s="15" t="s">
        <v>2969</v>
      </c>
      <c r="BL930" s="29">
        <v>8</v>
      </c>
    </row>
    <row r="931" spans="1:64" ht="12.75">
      <c r="A931" s="4" t="s">
        <v>864</v>
      </c>
      <c r="B931" s="94" t="s">
        <v>1819</v>
      </c>
      <c r="C931" s="152" t="s">
        <v>2751</v>
      </c>
      <c r="D931" s="153"/>
      <c r="E931" s="153"/>
      <c r="F931" s="153"/>
      <c r="G931" s="94" t="s">
        <v>2847</v>
      </c>
      <c r="H931" s="73">
        <v>6</v>
      </c>
      <c r="I931" s="105">
        <v>0</v>
      </c>
      <c r="J931" s="15">
        <f t="shared" si="884"/>
        <v>0</v>
      </c>
      <c r="K931" s="15">
        <f t="shared" si="885"/>
        <v>0</v>
      </c>
      <c r="L931" s="15">
        <f t="shared" si="886"/>
        <v>0</v>
      </c>
      <c r="M931" s="25"/>
      <c r="N931" s="5"/>
      <c r="Z931" s="29">
        <f t="shared" si="887"/>
        <v>0</v>
      </c>
      <c r="AB931" s="29">
        <f t="shared" si="888"/>
        <v>0</v>
      </c>
      <c r="AC931" s="29">
        <f t="shared" si="889"/>
        <v>0</v>
      </c>
      <c r="AD931" s="29">
        <f t="shared" si="890"/>
        <v>0</v>
      </c>
      <c r="AE931" s="29">
        <f t="shared" si="891"/>
        <v>0</v>
      </c>
      <c r="AF931" s="29">
        <f t="shared" si="892"/>
        <v>0</v>
      </c>
      <c r="AG931" s="29">
        <f t="shared" si="893"/>
        <v>0</v>
      </c>
      <c r="AH931" s="29">
        <f t="shared" si="894"/>
        <v>0</v>
      </c>
      <c r="AI931" s="28" t="s">
        <v>2885</v>
      </c>
      <c r="AJ931" s="15">
        <f t="shared" si="895"/>
        <v>0</v>
      </c>
      <c r="AK931" s="15">
        <f t="shared" si="896"/>
        <v>0</v>
      </c>
      <c r="AL931" s="15">
        <f t="shared" si="897"/>
        <v>0</v>
      </c>
      <c r="AN931" s="29">
        <v>15</v>
      </c>
      <c r="AO931" s="29">
        <f t="shared" si="898"/>
        <v>0</v>
      </c>
      <c r="AP931" s="29">
        <f t="shared" si="899"/>
        <v>0</v>
      </c>
      <c r="AQ931" s="30" t="s">
        <v>7</v>
      </c>
      <c r="AV931" s="29">
        <f t="shared" si="900"/>
        <v>0</v>
      </c>
      <c r="AW931" s="29">
        <f t="shared" si="901"/>
        <v>0</v>
      </c>
      <c r="AX931" s="29">
        <f t="shared" si="902"/>
        <v>0</v>
      </c>
      <c r="AY931" s="32" t="s">
        <v>2933</v>
      </c>
      <c r="AZ931" s="32" t="s">
        <v>2952</v>
      </c>
      <c r="BA931" s="28" t="s">
        <v>2960</v>
      </c>
      <c r="BC931" s="29">
        <f t="shared" si="903"/>
        <v>0</v>
      </c>
      <c r="BD931" s="29">
        <f t="shared" si="904"/>
        <v>0</v>
      </c>
      <c r="BE931" s="29">
        <v>0</v>
      </c>
      <c r="BF931" s="29">
        <f>931</f>
        <v>931</v>
      </c>
      <c r="BH931" s="15">
        <f t="shared" si="905"/>
        <v>0</v>
      </c>
      <c r="BI931" s="15">
        <f t="shared" si="906"/>
        <v>0</v>
      </c>
      <c r="BJ931" s="15">
        <f t="shared" si="907"/>
        <v>0</v>
      </c>
      <c r="BK931" s="15" t="s">
        <v>2969</v>
      </c>
      <c r="BL931" s="29">
        <v>8</v>
      </c>
    </row>
    <row r="932" spans="1:64" ht="12.75">
      <c r="A932" s="4" t="s">
        <v>865</v>
      </c>
      <c r="B932" s="94" t="s">
        <v>1820</v>
      </c>
      <c r="C932" s="152" t="s">
        <v>2727</v>
      </c>
      <c r="D932" s="153"/>
      <c r="E932" s="153"/>
      <c r="F932" s="153"/>
      <c r="G932" s="94" t="s">
        <v>2847</v>
      </c>
      <c r="H932" s="73">
        <v>38.5</v>
      </c>
      <c r="I932" s="105">
        <v>0</v>
      </c>
      <c r="J932" s="15">
        <f t="shared" si="884"/>
        <v>0</v>
      </c>
      <c r="K932" s="15">
        <f t="shared" si="885"/>
        <v>0</v>
      </c>
      <c r="L932" s="15">
        <f t="shared" si="886"/>
        <v>0</v>
      </c>
      <c r="M932" s="25"/>
      <c r="N932" s="5"/>
      <c r="Z932" s="29">
        <f t="shared" si="887"/>
        <v>0</v>
      </c>
      <c r="AB932" s="29">
        <f t="shared" si="888"/>
        <v>0</v>
      </c>
      <c r="AC932" s="29">
        <f t="shared" si="889"/>
        <v>0</v>
      </c>
      <c r="AD932" s="29">
        <f t="shared" si="890"/>
        <v>0</v>
      </c>
      <c r="AE932" s="29">
        <f t="shared" si="891"/>
        <v>0</v>
      </c>
      <c r="AF932" s="29">
        <f t="shared" si="892"/>
        <v>0</v>
      </c>
      <c r="AG932" s="29">
        <f t="shared" si="893"/>
        <v>0</v>
      </c>
      <c r="AH932" s="29">
        <f t="shared" si="894"/>
        <v>0</v>
      </c>
      <c r="AI932" s="28" t="s">
        <v>2885</v>
      </c>
      <c r="AJ932" s="15">
        <f t="shared" si="895"/>
        <v>0</v>
      </c>
      <c r="AK932" s="15">
        <f t="shared" si="896"/>
        <v>0</v>
      </c>
      <c r="AL932" s="15">
        <f t="shared" si="897"/>
        <v>0</v>
      </c>
      <c r="AN932" s="29">
        <v>15</v>
      </c>
      <c r="AO932" s="29">
        <f t="shared" si="898"/>
        <v>0</v>
      </c>
      <c r="AP932" s="29">
        <f t="shared" si="899"/>
        <v>0</v>
      </c>
      <c r="AQ932" s="30" t="s">
        <v>7</v>
      </c>
      <c r="AV932" s="29">
        <f t="shared" si="900"/>
        <v>0</v>
      </c>
      <c r="AW932" s="29">
        <f t="shared" si="901"/>
        <v>0</v>
      </c>
      <c r="AX932" s="29">
        <f t="shared" si="902"/>
        <v>0</v>
      </c>
      <c r="AY932" s="32" t="s">
        <v>2933</v>
      </c>
      <c r="AZ932" s="32" t="s">
        <v>2952</v>
      </c>
      <c r="BA932" s="28" t="s">
        <v>2960</v>
      </c>
      <c r="BC932" s="29">
        <f t="shared" si="903"/>
        <v>0</v>
      </c>
      <c r="BD932" s="29">
        <f t="shared" si="904"/>
        <v>0</v>
      </c>
      <c r="BE932" s="29">
        <v>0</v>
      </c>
      <c r="BF932" s="29">
        <f>932</f>
        <v>932</v>
      </c>
      <c r="BH932" s="15">
        <f t="shared" si="905"/>
        <v>0</v>
      </c>
      <c r="BI932" s="15">
        <f t="shared" si="906"/>
        <v>0</v>
      </c>
      <c r="BJ932" s="15">
        <f t="shared" si="907"/>
        <v>0</v>
      </c>
      <c r="BK932" s="15" t="s">
        <v>2969</v>
      </c>
      <c r="BL932" s="29">
        <v>8</v>
      </c>
    </row>
    <row r="933" spans="1:64" ht="12.75">
      <c r="A933" s="4" t="s">
        <v>866</v>
      </c>
      <c r="B933" s="94" t="s">
        <v>1821</v>
      </c>
      <c r="C933" s="152" t="s">
        <v>2752</v>
      </c>
      <c r="D933" s="153"/>
      <c r="E933" s="153"/>
      <c r="F933" s="153"/>
      <c r="G933" s="94" t="s">
        <v>2851</v>
      </c>
      <c r="H933" s="73">
        <v>17.5</v>
      </c>
      <c r="I933" s="105">
        <v>0</v>
      </c>
      <c r="J933" s="15">
        <f t="shared" si="884"/>
        <v>0</v>
      </c>
      <c r="K933" s="15">
        <f t="shared" si="885"/>
        <v>0</v>
      </c>
      <c r="L933" s="15">
        <f t="shared" si="886"/>
        <v>0</v>
      </c>
      <c r="M933" s="25"/>
      <c r="N933" s="5"/>
      <c r="Z933" s="29">
        <f t="shared" si="887"/>
        <v>0</v>
      </c>
      <c r="AB933" s="29">
        <f t="shared" si="888"/>
        <v>0</v>
      </c>
      <c r="AC933" s="29">
        <f t="shared" si="889"/>
        <v>0</v>
      </c>
      <c r="AD933" s="29">
        <f t="shared" si="890"/>
        <v>0</v>
      </c>
      <c r="AE933" s="29">
        <f t="shared" si="891"/>
        <v>0</v>
      </c>
      <c r="AF933" s="29">
        <f t="shared" si="892"/>
        <v>0</v>
      </c>
      <c r="AG933" s="29">
        <f t="shared" si="893"/>
        <v>0</v>
      </c>
      <c r="AH933" s="29">
        <f t="shared" si="894"/>
        <v>0</v>
      </c>
      <c r="AI933" s="28" t="s">
        <v>2885</v>
      </c>
      <c r="AJ933" s="15">
        <f t="shared" si="895"/>
        <v>0</v>
      </c>
      <c r="AK933" s="15">
        <f t="shared" si="896"/>
        <v>0</v>
      </c>
      <c r="AL933" s="15">
        <f t="shared" si="897"/>
        <v>0</v>
      </c>
      <c r="AN933" s="29">
        <v>15</v>
      </c>
      <c r="AO933" s="29">
        <f t="shared" si="898"/>
        <v>0</v>
      </c>
      <c r="AP933" s="29">
        <f t="shared" si="899"/>
        <v>0</v>
      </c>
      <c r="AQ933" s="30" t="s">
        <v>7</v>
      </c>
      <c r="AV933" s="29">
        <f t="shared" si="900"/>
        <v>0</v>
      </c>
      <c r="AW933" s="29">
        <f t="shared" si="901"/>
        <v>0</v>
      </c>
      <c r="AX933" s="29">
        <f t="shared" si="902"/>
        <v>0</v>
      </c>
      <c r="AY933" s="32" t="s">
        <v>2933</v>
      </c>
      <c r="AZ933" s="32" t="s">
        <v>2952</v>
      </c>
      <c r="BA933" s="28" t="s">
        <v>2960</v>
      </c>
      <c r="BC933" s="29">
        <f t="shared" si="903"/>
        <v>0</v>
      </c>
      <c r="BD933" s="29">
        <f t="shared" si="904"/>
        <v>0</v>
      </c>
      <c r="BE933" s="29">
        <v>0</v>
      </c>
      <c r="BF933" s="29">
        <f>933</f>
        <v>933</v>
      </c>
      <c r="BH933" s="15">
        <f t="shared" si="905"/>
        <v>0</v>
      </c>
      <c r="BI933" s="15">
        <f t="shared" si="906"/>
        <v>0</v>
      </c>
      <c r="BJ933" s="15">
        <f t="shared" si="907"/>
        <v>0</v>
      </c>
      <c r="BK933" s="15" t="s">
        <v>2969</v>
      </c>
      <c r="BL933" s="29">
        <v>8</v>
      </c>
    </row>
    <row r="934" spans="1:64" ht="12.75">
      <c r="A934" s="4" t="s">
        <v>867</v>
      </c>
      <c r="B934" s="94" t="s">
        <v>1822</v>
      </c>
      <c r="C934" s="152" t="s">
        <v>2753</v>
      </c>
      <c r="D934" s="153"/>
      <c r="E934" s="153"/>
      <c r="F934" s="153"/>
      <c r="G934" s="94" t="s">
        <v>2850</v>
      </c>
      <c r="H934" s="73">
        <v>3</v>
      </c>
      <c r="I934" s="105">
        <v>0</v>
      </c>
      <c r="J934" s="15">
        <f t="shared" si="884"/>
        <v>0</v>
      </c>
      <c r="K934" s="15">
        <f t="shared" si="885"/>
        <v>0</v>
      </c>
      <c r="L934" s="15">
        <f t="shared" si="886"/>
        <v>0</v>
      </c>
      <c r="M934" s="25"/>
      <c r="N934" s="5"/>
      <c r="Z934" s="29">
        <f t="shared" si="887"/>
        <v>0</v>
      </c>
      <c r="AB934" s="29">
        <f t="shared" si="888"/>
        <v>0</v>
      </c>
      <c r="AC934" s="29">
        <f t="shared" si="889"/>
        <v>0</v>
      </c>
      <c r="AD934" s="29">
        <f t="shared" si="890"/>
        <v>0</v>
      </c>
      <c r="AE934" s="29">
        <f t="shared" si="891"/>
        <v>0</v>
      </c>
      <c r="AF934" s="29">
        <f t="shared" si="892"/>
        <v>0</v>
      </c>
      <c r="AG934" s="29">
        <f t="shared" si="893"/>
        <v>0</v>
      </c>
      <c r="AH934" s="29">
        <f t="shared" si="894"/>
        <v>0</v>
      </c>
      <c r="AI934" s="28" t="s">
        <v>2885</v>
      </c>
      <c r="AJ934" s="15">
        <f t="shared" si="895"/>
        <v>0</v>
      </c>
      <c r="AK934" s="15">
        <f t="shared" si="896"/>
        <v>0</v>
      </c>
      <c r="AL934" s="15">
        <f t="shared" si="897"/>
        <v>0</v>
      </c>
      <c r="AN934" s="29">
        <v>15</v>
      </c>
      <c r="AO934" s="29">
        <f t="shared" si="898"/>
        <v>0</v>
      </c>
      <c r="AP934" s="29">
        <f t="shared" si="899"/>
        <v>0</v>
      </c>
      <c r="AQ934" s="30" t="s">
        <v>7</v>
      </c>
      <c r="AV934" s="29">
        <f t="shared" si="900"/>
        <v>0</v>
      </c>
      <c r="AW934" s="29">
        <f t="shared" si="901"/>
        <v>0</v>
      </c>
      <c r="AX934" s="29">
        <f t="shared" si="902"/>
        <v>0</v>
      </c>
      <c r="AY934" s="32" t="s">
        <v>2933</v>
      </c>
      <c r="AZ934" s="32" t="s">
        <v>2952</v>
      </c>
      <c r="BA934" s="28" t="s">
        <v>2960</v>
      </c>
      <c r="BC934" s="29">
        <f t="shared" si="903"/>
        <v>0</v>
      </c>
      <c r="BD934" s="29">
        <f t="shared" si="904"/>
        <v>0</v>
      </c>
      <c r="BE934" s="29">
        <v>0</v>
      </c>
      <c r="BF934" s="29">
        <f>934</f>
        <v>934</v>
      </c>
      <c r="BH934" s="15">
        <f t="shared" si="905"/>
        <v>0</v>
      </c>
      <c r="BI934" s="15">
        <f t="shared" si="906"/>
        <v>0</v>
      </c>
      <c r="BJ934" s="15">
        <f t="shared" si="907"/>
        <v>0</v>
      </c>
      <c r="BK934" s="15" t="s">
        <v>2969</v>
      </c>
      <c r="BL934" s="29">
        <v>8</v>
      </c>
    </row>
    <row r="935" spans="1:64" ht="12.75">
      <c r="A935" s="4" t="s">
        <v>868</v>
      </c>
      <c r="B935" s="94" t="s">
        <v>1823</v>
      </c>
      <c r="C935" s="152" t="s">
        <v>2189</v>
      </c>
      <c r="D935" s="153"/>
      <c r="E935" s="153"/>
      <c r="F935" s="153"/>
      <c r="G935" s="94" t="s">
        <v>2852</v>
      </c>
      <c r="H935" s="73">
        <v>30</v>
      </c>
      <c r="I935" s="105">
        <v>0</v>
      </c>
      <c r="J935" s="15">
        <f t="shared" si="884"/>
        <v>0</v>
      </c>
      <c r="K935" s="15">
        <f t="shared" si="885"/>
        <v>0</v>
      </c>
      <c r="L935" s="15">
        <f t="shared" si="886"/>
        <v>0</v>
      </c>
      <c r="M935" s="25"/>
      <c r="N935" s="5"/>
      <c r="Z935" s="29">
        <f t="shared" si="887"/>
        <v>0</v>
      </c>
      <c r="AB935" s="29">
        <f t="shared" si="888"/>
        <v>0</v>
      </c>
      <c r="AC935" s="29">
        <f t="shared" si="889"/>
        <v>0</v>
      </c>
      <c r="AD935" s="29">
        <f t="shared" si="890"/>
        <v>0</v>
      </c>
      <c r="AE935" s="29">
        <f t="shared" si="891"/>
        <v>0</v>
      </c>
      <c r="AF935" s="29">
        <f t="shared" si="892"/>
        <v>0</v>
      </c>
      <c r="AG935" s="29">
        <f t="shared" si="893"/>
        <v>0</v>
      </c>
      <c r="AH935" s="29">
        <f t="shared" si="894"/>
        <v>0</v>
      </c>
      <c r="AI935" s="28" t="s">
        <v>2885</v>
      </c>
      <c r="AJ935" s="15">
        <f t="shared" si="895"/>
        <v>0</v>
      </c>
      <c r="AK935" s="15">
        <f t="shared" si="896"/>
        <v>0</v>
      </c>
      <c r="AL935" s="15">
        <f t="shared" si="897"/>
        <v>0</v>
      </c>
      <c r="AN935" s="29">
        <v>15</v>
      </c>
      <c r="AO935" s="29">
        <f t="shared" si="898"/>
        <v>0</v>
      </c>
      <c r="AP935" s="29">
        <f t="shared" si="899"/>
        <v>0</v>
      </c>
      <c r="AQ935" s="30" t="s">
        <v>7</v>
      </c>
      <c r="AV935" s="29">
        <f t="shared" si="900"/>
        <v>0</v>
      </c>
      <c r="AW935" s="29">
        <f t="shared" si="901"/>
        <v>0</v>
      </c>
      <c r="AX935" s="29">
        <f t="shared" si="902"/>
        <v>0</v>
      </c>
      <c r="AY935" s="32" t="s">
        <v>2933</v>
      </c>
      <c r="AZ935" s="32" t="s">
        <v>2952</v>
      </c>
      <c r="BA935" s="28" t="s">
        <v>2960</v>
      </c>
      <c r="BC935" s="29">
        <f t="shared" si="903"/>
        <v>0</v>
      </c>
      <c r="BD935" s="29">
        <f t="shared" si="904"/>
        <v>0</v>
      </c>
      <c r="BE935" s="29">
        <v>0</v>
      </c>
      <c r="BF935" s="29">
        <f>935</f>
        <v>935</v>
      </c>
      <c r="BH935" s="15">
        <f t="shared" si="905"/>
        <v>0</v>
      </c>
      <c r="BI935" s="15">
        <f t="shared" si="906"/>
        <v>0</v>
      </c>
      <c r="BJ935" s="15">
        <f t="shared" si="907"/>
        <v>0</v>
      </c>
      <c r="BK935" s="15" t="s">
        <v>2969</v>
      </c>
      <c r="BL935" s="29">
        <v>8</v>
      </c>
    </row>
    <row r="936" spans="1:64" ht="12.75">
      <c r="A936" s="4" t="s">
        <v>869</v>
      </c>
      <c r="B936" s="94" t="s">
        <v>1824</v>
      </c>
      <c r="C936" s="152" t="s">
        <v>2754</v>
      </c>
      <c r="D936" s="153"/>
      <c r="E936" s="153"/>
      <c r="F936" s="153"/>
      <c r="G936" s="94" t="s">
        <v>2851</v>
      </c>
      <c r="H936" s="73">
        <v>17.5</v>
      </c>
      <c r="I936" s="105">
        <v>0</v>
      </c>
      <c r="J936" s="15">
        <f t="shared" si="884"/>
        <v>0</v>
      </c>
      <c r="K936" s="15">
        <f t="shared" si="885"/>
        <v>0</v>
      </c>
      <c r="L936" s="15">
        <f t="shared" si="886"/>
        <v>0</v>
      </c>
      <c r="M936" s="25"/>
      <c r="N936" s="5"/>
      <c r="Z936" s="29">
        <f t="shared" si="887"/>
        <v>0</v>
      </c>
      <c r="AB936" s="29">
        <f t="shared" si="888"/>
        <v>0</v>
      </c>
      <c r="AC936" s="29">
        <f t="shared" si="889"/>
        <v>0</v>
      </c>
      <c r="AD936" s="29">
        <f t="shared" si="890"/>
        <v>0</v>
      </c>
      <c r="AE936" s="29">
        <f t="shared" si="891"/>
        <v>0</v>
      </c>
      <c r="AF936" s="29">
        <f t="shared" si="892"/>
        <v>0</v>
      </c>
      <c r="AG936" s="29">
        <f t="shared" si="893"/>
        <v>0</v>
      </c>
      <c r="AH936" s="29">
        <f t="shared" si="894"/>
        <v>0</v>
      </c>
      <c r="AI936" s="28" t="s">
        <v>2885</v>
      </c>
      <c r="AJ936" s="15">
        <f t="shared" si="895"/>
        <v>0</v>
      </c>
      <c r="AK936" s="15">
        <f t="shared" si="896"/>
        <v>0</v>
      </c>
      <c r="AL936" s="15">
        <f t="shared" si="897"/>
        <v>0</v>
      </c>
      <c r="AN936" s="29">
        <v>15</v>
      </c>
      <c r="AO936" s="29">
        <f t="shared" si="898"/>
        <v>0</v>
      </c>
      <c r="AP936" s="29">
        <f t="shared" si="899"/>
        <v>0</v>
      </c>
      <c r="AQ936" s="30" t="s">
        <v>7</v>
      </c>
      <c r="AV936" s="29">
        <f t="shared" si="900"/>
        <v>0</v>
      </c>
      <c r="AW936" s="29">
        <f t="shared" si="901"/>
        <v>0</v>
      </c>
      <c r="AX936" s="29">
        <f t="shared" si="902"/>
        <v>0</v>
      </c>
      <c r="AY936" s="32" t="s">
        <v>2933</v>
      </c>
      <c r="AZ936" s="32" t="s">
        <v>2952</v>
      </c>
      <c r="BA936" s="28" t="s">
        <v>2960</v>
      </c>
      <c r="BC936" s="29">
        <f t="shared" si="903"/>
        <v>0</v>
      </c>
      <c r="BD936" s="29">
        <f t="shared" si="904"/>
        <v>0</v>
      </c>
      <c r="BE936" s="29">
        <v>0</v>
      </c>
      <c r="BF936" s="29">
        <f>936</f>
        <v>936</v>
      </c>
      <c r="BH936" s="15">
        <f t="shared" si="905"/>
        <v>0</v>
      </c>
      <c r="BI936" s="15">
        <f t="shared" si="906"/>
        <v>0</v>
      </c>
      <c r="BJ936" s="15">
        <f t="shared" si="907"/>
        <v>0</v>
      </c>
      <c r="BK936" s="15" t="s">
        <v>2969</v>
      </c>
      <c r="BL936" s="29">
        <v>8</v>
      </c>
    </row>
    <row r="937" spans="1:64" ht="12.75">
      <c r="A937" s="4" t="s">
        <v>870</v>
      </c>
      <c r="B937" s="94" t="s">
        <v>1825</v>
      </c>
      <c r="C937" s="152" t="s">
        <v>2755</v>
      </c>
      <c r="D937" s="153"/>
      <c r="E937" s="153"/>
      <c r="F937" s="153"/>
      <c r="G937" s="94" t="s">
        <v>2851</v>
      </c>
      <c r="H937" s="73">
        <v>17.5</v>
      </c>
      <c r="I937" s="105">
        <v>0</v>
      </c>
      <c r="J937" s="15">
        <f t="shared" si="884"/>
        <v>0</v>
      </c>
      <c r="K937" s="15">
        <f t="shared" si="885"/>
        <v>0</v>
      </c>
      <c r="L937" s="15">
        <f t="shared" si="886"/>
        <v>0</v>
      </c>
      <c r="M937" s="25"/>
      <c r="N937" s="5"/>
      <c r="Z937" s="29">
        <f t="shared" si="887"/>
        <v>0</v>
      </c>
      <c r="AB937" s="29">
        <f t="shared" si="888"/>
        <v>0</v>
      </c>
      <c r="AC937" s="29">
        <f t="shared" si="889"/>
        <v>0</v>
      </c>
      <c r="AD937" s="29">
        <f t="shared" si="890"/>
        <v>0</v>
      </c>
      <c r="AE937" s="29">
        <f t="shared" si="891"/>
        <v>0</v>
      </c>
      <c r="AF937" s="29">
        <f t="shared" si="892"/>
        <v>0</v>
      </c>
      <c r="AG937" s="29">
        <f t="shared" si="893"/>
        <v>0</v>
      </c>
      <c r="AH937" s="29">
        <f t="shared" si="894"/>
        <v>0</v>
      </c>
      <c r="AI937" s="28" t="s">
        <v>2885</v>
      </c>
      <c r="AJ937" s="15">
        <f t="shared" si="895"/>
        <v>0</v>
      </c>
      <c r="AK937" s="15">
        <f t="shared" si="896"/>
        <v>0</v>
      </c>
      <c r="AL937" s="15">
        <f t="shared" si="897"/>
        <v>0</v>
      </c>
      <c r="AN937" s="29">
        <v>15</v>
      </c>
      <c r="AO937" s="29">
        <f t="shared" si="898"/>
        <v>0</v>
      </c>
      <c r="AP937" s="29">
        <f t="shared" si="899"/>
        <v>0</v>
      </c>
      <c r="AQ937" s="30" t="s">
        <v>7</v>
      </c>
      <c r="AV937" s="29">
        <f t="shared" si="900"/>
        <v>0</v>
      </c>
      <c r="AW937" s="29">
        <f t="shared" si="901"/>
        <v>0</v>
      </c>
      <c r="AX937" s="29">
        <f t="shared" si="902"/>
        <v>0</v>
      </c>
      <c r="AY937" s="32" t="s">
        <v>2933</v>
      </c>
      <c r="AZ937" s="32" t="s">
        <v>2952</v>
      </c>
      <c r="BA937" s="28" t="s">
        <v>2960</v>
      </c>
      <c r="BC937" s="29">
        <f t="shared" si="903"/>
        <v>0</v>
      </c>
      <c r="BD937" s="29">
        <f t="shared" si="904"/>
        <v>0</v>
      </c>
      <c r="BE937" s="29">
        <v>0</v>
      </c>
      <c r="BF937" s="29">
        <f>937</f>
        <v>937</v>
      </c>
      <c r="BH937" s="15">
        <f t="shared" si="905"/>
        <v>0</v>
      </c>
      <c r="BI937" s="15">
        <f t="shared" si="906"/>
        <v>0</v>
      </c>
      <c r="BJ937" s="15">
        <f t="shared" si="907"/>
        <v>0</v>
      </c>
      <c r="BK937" s="15" t="s">
        <v>2969</v>
      </c>
      <c r="BL937" s="29">
        <v>8</v>
      </c>
    </row>
    <row r="938" spans="1:64" ht="12.75">
      <c r="A938" s="4" t="s">
        <v>871</v>
      </c>
      <c r="B938" s="94" t="s">
        <v>1826</v>
      </c>
      <c r="C938" s="152" t="s">
        <v>2756</v>
      </c>
      <c r="D938" s="153"/>
      <c r="E938" s="153"/>
      <c r="F938" s="153"/>
      <c r="G938" s="94" t="s">
        <v>2851</v>
      </c>
      <c r="H938" s="73">
        <v>17.5</v>
      </c>
      <c r="I938" s="105">
        <v>0</v>
      </c>
      <c r="J938" s="15">
        <f t="shared" si="884"/>
        <v>0</v>
      </c>
      <c r="K938" s="15">
        <f t="shared" si="885"/>
        <v>0</v>
      </c>
      <c r="L938" s="15">
        <f t="shared" si="886"/>
        <v>0</v>
      </c>
      <c r="M938" s="25"/>
      <c r="N938" s="5"/>
      <c r="Z938" s="29">
        <f t="shared" si="887"/>
        <v>0</v>
      </c>
      <c r="AB938" s="29">
        <f t="shared" si="888"/>
        <v>0</v>
      </c>
      <c r="AC938" s="29">
        <f t="shared" si="889"/>
        <v>0</v>
      </c>
      <c r="AD938" s="29">
        <f t="shared" si="890"/>
        <v>0</v>
      </c>
      <c r="AE938" s="29">
        <f t="shared" si="891"/>
        <v>0</v>
      </c>
      <c r="AF938" s="29">
        <f t="shared" si="892"/>
        <v>0</v>
      </c>
      <c r="AG938" s="29">
        <f t="shared" si="893"/>
        <v>0</v>
      </c>
      <c r="AH938" s="29">
        <f t="shared" si="894"/>
        <v>0</v>
      </c>
      <c r="AI938" s="28" t="s">
        <v>2885</v>
      </c>
      <c r="AJ938" s="15">
        <f t="shared" si="895"/>
        <v>0</v>
      </c>
      <c r="AK938" s="15">
        <f t="shared" si="896"/>
        <v>0</v>
      </c>
      <c r="AL938" s="15">
        <f t="shared" si="897"/>
        <v>0</v>
      </c>
      <c r="AN938" s="29">
        <v>15</v>
      </c>
      <c r="AO938" s="29">
        <f t="shared" si="898"/>
        <v>0</v>
      </c>
      <c r="AP938" s="29">
        <f t="shared" si="899"/>
        <v>0</v>
      </c>
      <c r="AQ938" s="30" t="s">
        <v>7</v>
      </c>
      <c r="AV938" s="29">
        <f t="shared" si="900"/>
        <v>0</v>
      </c>
      <c r="AW938" s="29">
        <f t="shared" si="901"/>
        <v>0</v>
      </c>
      <c r="AX938" s="29">
        <f t="shared" si="902"/>
        <v>0</v>
      </c>
      <c r="AY938" s="32" t="s">
        <v>2933</v>
      </c>
      <c r="AZ938" s="32" t="s">
        <v>2952</v>
      </c>
      <c r="BA938" s="28" t="s">
        <v>2960</v>
      </c>
      <c r="BC938" s="29">
        <f t="shared" si="903"/>
        <v>0</v>
      </c>
      <c r="BD938" s="29">
        <f t="shared" si="904"/>
        <v>0</v>
      </c>
      <c r="BE938" s="29">
        <v>0</v>
      </c>
      <c r="BF938" s="29">
        <f>938</f>
        <v>938</v>
      </c>
      <c r="BH938" s="15">
        <f t="shared" si="905"/>
        <v>0</v>
      </c>
      <c r="BI938" s="15">
        <f t="shared" si="906"/>
        <v>0</v>
      </c>
      <c r="BJ938" s="15">
        <f t="shared" si="907"/>
        <v>0</v>
      </c>
      <c r="BK938" s="15" t="s">
        <v>2969</v>
      </c>
      <c r="BL938" s="29">
        <v>8</v>
      </c>
    </row>
    <row r="939" spans="1:64" ht="12.75">
      <c r="A939" s="4" t="s">
        <v>872</v>
      </c>
      <c r="B939" s="94" t="s">
        <v>1827</v>
      </c>
      <c r="C939" s="152" t="s">
        <v>2757</v>
      </c>
      <c r="D939" s="153"/>
      <c r="E939" s="153"/>
      <c r="F939" s="153"/>
      <c r="G939" s="94" t="s">
        <v>2850</v>
      </c>
      <c r="H939" s="73">
        <v>1</v>
      </c>
      <c r="I939" s="105">
        <v>0</v>
      </c>
      <c r="J939" s="15">
        <f t="shared" si="884"/>
        <v>0</v>
      </c>
      <c r="K939" s="15">
        <f t="shared" si="885"/>
        <v>0</v>
      </c>
      <c r="L939" s="15">
        <f t="shared" si="886"/>
        <v>0</v>
      </c>
      <c r="M939" s="25"/>
      <c r="N939" s="5"/>
      <c r="Z939" s="29">
        <f t="shared" si="887"/>
        <v>0</v>
      </c>
      <c r="AB939" s="29">
        <f t="shared" si="888"/>
        <v>0</v>
      </c>
      <c r="AC939" s="29">
        <f t="shared" si="889"/>
        <v>0</v>
      </c>
      <c r="AD939" s="29">
        <f t="shared" si="890"/>
        <v>0</v>
      </c>
      <c r="AE939" s="29">
        <f t="shared" si="891"/>
        <v>0</v>
      </c>
      <c r="AF939" s="29">
        <f t="shared" si="892"/>
        <v>0</v>
      </c>
      <c r="AG939" s="29">
        <f t="shared" si="893"/>
        <v>0</v>
      </c>
      <c r="AH939" s="29">
        <f t="shared" si="894"/>
        <v>0</v>
      </c>
      <c r="AI939" s="28" t="s">
        <v>2885</v>
      </c>
      <c r="AJ939" s="15">
        <f t="shared" si="895"/>
        <v>0</v>
      </c>
      <c r="AK939" s="15">
        <f t="shared" si="896"/>
        <v>0</v>
      </c>
      <c r="AL939" s="15">
        <f t="shared" si="897"/>
        <v>0</v>
      </c>
      <c r="AN939" s="29">
        <v>15</v>
      </c>
      <c r="AO939" s="29">
        <f t="shared" si="898"/>
        <v>0</v>
      </c>
      <c r="AP939" s="29">
        <f t="shared" si="899"/>
        <v>0</v>
      </c>
      <c r="AQ939" s="30" t="s">
        <v>7</v>
      </c>
      <c r="AV939" s="29">
        <f t="shared" si="900"/>
        <v>0</v>
      </c>
      <c r="AW939" s="29">
        <f t="shared" si="901"/>
        <v>0</v>
      </c>
      <c r="AX939" s="29">
        <f t="shared" si="902"/>
        <v>0</v>
      </c>
      <c r="AY939" s="32" t="s">
        <v>2933</v>
      </c>
      <c r="AZ939" s="32" t="s">
        <v>2952</v>
      </c>
      <c r="BA939" s="28" t="s">
        <v>2960</v>
      </c>
      <c r="BC939" s="29">
        <f t="shared" si="903"/>
        <v>0</v>
      </c>
      <c r="BD939" s="29">
        <f t="shared" si="904"/>
        <v>0</v>
      </c>
      <c r="BE939" s="29">
        <v>0</v>
      </c>
      <c r="BF939" s="29">
        <f>939</f>
        <v>939</v>
      </c>
      <c r="BH939" s="15">
        <f t="shared" si="905"/>
        <v>0</v>
      </c>
      <c r="BI939" s="15">
        <f t="shared" si="906"/>
        <v>0</v>
      </c>
      <c r="BJ939" s="15">
        <f t="shared" si="907"/>
        <v>0</v>
      </c>
      <c r="BK939" s="15" t="s">
        <v>2969</v>
      </c>
      <c r="BL939" s="29">
        <v>8</v>
      </c>
    </row>
    <row r="940" spans="1:64" ht="12.75">
      <c r="A940" s="4" t="s">
        <v>873</v>
      </c>
      <c r="B940" s="94" t="s">
        <v>1828</v>
      </c>
      <c r="C940" s="152" t="s">
        <v>2758</v>
      </c>
      <c r="D940" s="153"/>
      <c r="E940" s="153"/>
      <c r="F940" s="153"/>
      <c r="G940" s="94" t="s">
        <v>2850</v>
      </c>
      <c r="H940" s="73">
        <v>3</v>
      </c>
      <c r="I940" s="105">
        <v>0</v>
      </c>
      <c r="J940" s="15">
        <f t="shared" si="884"/>
        <v>0</v>
      </c>
      <c r="K940" s="15">
        <f t="shared" si="885"/>
        <v>0</v>
      </c>
      <c r="L940" s="15">
        <f t="shared" si="886"/>
        <v>0</v>
      </c>
      <c r="M940" s="25"/>
      <c r="N940" s="5"/>
      <c r="Z940" s="29">
        <f t="shared" si="887"/>
        <v>0</v>
      </c>
      <c r="AB940" s="29">
        <f t="shared" si="888"/>
        <v>0</v>
      </c>
      <c r="AC940" s="29">
        <f t="shared" si="889"/>
        <v>0</v>
      </c>
      <c r="AD940" s="29">
        <f t="shared" si="890"/>
        <v>0</v>
      </c>
      <c r="AE940" s="29">
        <f t="shared" si="891"/>
        <v>0</v>
      </c>
      <c r="AF940" s="29">
        <f t="shared" si="892"/>
        <v>0</v>
      </c>
      <c r="AG940" s="29">
        <f t="shared" si="893"/>
        <v>0</v>
      </c>
      <c r="AH940" s="29">
        <f t="shared" si="894"/>
        <v>0</v>
      </c>
      <c r="AI940" s="28" t="s">
        <v>2885</v>
      </c>
      <c r="AJ940" s="15">
        <f t="shared" si="895"/>
        <v>0</v>
      </c>
      <c r="AK940" s="15">
        <f t="shared" si="896"/>
        <v>0</v>
      </c>
      <c r="AL940" s="15">
        <f t="shared" si="897"/>
        <v>0</v>
      </c>
      <c r="AN940" s="29">
        <v>15</v>
      </c>
      <c r="AO940" s="29">
        <f t="shared" si="898"/>
        <v>0</v>
      </c>
      <c r="AP940" s="29">
        <f t="shared" si="899"/>
        <v>0</v>
      </c>
      <c r="AQ940" s="30" t="s">
        <v>7</v>
      </c>
      <c r="AV940" s="29">
        <f t="shared" si="900"/>
        <v>0</v>
      </c>
      <c r="AW940" s="29">
        <f t="shared" si="901"/>
        <v>0</v>
      </c>
      <c r="AX940" s="29">
        <f t="shared" si="902"/>
        <v>0</v>
      </c>
      <c r="AY940" s="32" t="s">
        <v>2933</v>
      </c>
      <c r="AZ940" s="32" t="s">
        <v>2952</v>
      </c>
      <c r="BA940" s="28" t="s">
        <v>2960</v>
      </c>
      <c r="BC940" s="29">
        <f t="shared" si="903"/>
        <v>0</v>
      </c>
      <c r="BD940" s="29">
        <f t="shared" si="904"/>
        <v>0</v>
      </c>
      <c r="BE940" s="29">
        <v>0</v>
      </c>
      <c r="BF940" s="29">
        <f>940</f>
        <v>940</v>
      </c>
      <c r="BH940" s="15">
        <f t="shared" si="905"/>
        <v>0</v>
      </c>
      <c r="BI940" s="15">
        <f t="shared" si="906"/>
        <v>0</v>
      </c>
      <c r="BJ940" s="15">
        <f t="shared" si="907"/>
        <v>0</v>
      </c>
      <c r="BK940" s="15" t="s">
        <v>2969</v>
      </c>
      <c r="BL940" s="29">
        <v>8</v>
      </c>
    </row>
    <row r="941" spans="1:64" ht="12.75">
      <c r="A941" s="4" t="s">
        <v>874</v>
      </c>
      <c r="B941" s="94" t="s">
        <v>1829</v>
      </c>
      <c r="C941" s="152" t="s">
        <v>2745</v>
      </c>
      <c r="D941" s="153"/>
      <c r="E941" s="153"/>
      <c r="F941" s="153"/>
      <c r="G941" s="94" t="s">
        <v>2850</v>
      </c>
      <c r="H941" s="73">
        <v>1</v>
      </c>
      <c r="I941" s="105">
        <v>0</v>
      </c>
      <c r="J941" s="15">
        <f t="shared" si="884"/>
        <v>0</v>
      </c>
      <c r="K941" s="15">
        <f t="shared" si="885"/>
        <v>0</v>
      </c>
      <c r="L941" s="15">
        <f t="shared" si="886"/>
        <v>0</v>
      </c>
      <c r="M941" s="25"/>
      <c r="N941" s="5"/>
      <c r="Z941" s="29">
        <f t="shared" si="887"/>
        <v>0</v>
      </c>
      <c r="AB941" s="29">
        <f t="shared" si="888"/>
        <v>0</v>
      </c>
      <c r="AC941" s="29">
        <f t="shared" si="889"/>
        <v>0</v>
      </c>
      <c r="AD941" s="29">
        <f t="shared" si="890"/>
        <v>0</v>
      </c>
      <c r="AE941" s="29">
        <f t="shared" si="891"/>
        <v>0</v>
      </c>
      <c r="AF941" s="29">
        <f t="shared" si="892"/>
        <v>0</v>
      </c>
      <c r="AG941" s="29">
        <f t="shared" si="893"/>
        <v>0</v>
      </c>
      <c r="AH941" s="29">
        <f t="shared" si="894"/>
        <v>0</v>
      </c>
      <c r="AI941" s="28" t="s">
        <v>2885</v>
      </c>
      <c r="AJ941" s="15">
        <f t="shared" si="895"/>
        <v>0</v>
      </c>
      <c r="AK941" s="15">
        <f t="shared" si="896"/>
        <v>0</v>
      </c>
      <c r="AL941" s="15">
        <f t="shared" si="897"/>
        <v>0</v>
      </c>
      <c r="AN941" s="29">
        <v>15</v>
      </c>
      <c r="AO941" s="29">
        <f t="shared" si="898"/>
        <v>0</v>
      </c>
      <c r="AP941" s="29">
        <f t="shared" si="899"/>
        <v>0</v>
      </c>
      <c r="AQ941" s="30" t="s">
        <v>7</v>
      </c>
      <c r="AV941" s="29">
        <f t="shared" si="900"/>
        <v>0</v>
      </c>
      <c r="AW941" s="29">
        <f t="shared" si="901"/>
        <v>0</v>
      </c>
      <c r="AX941" s="29">
        <f t="shared" si="902"/>
        <v>0</v>
      </c>
      <c r="AY941" s="32" t="s">
        <v>2933</v>
      </c>
      <c r="AZ941" s="32" t="s">
        <v>2952</v>
      </c>
      <c r="BA941" s="28" t="s">
        <v>2960</v>
      </c>
      <c r="BC941" s="29">
        <f t="shared" si="903"/>
        <v>0</v>
      </c>
      <c r="BD941" s="29">
        <f t="shared" si="904"/>
        <v>0</v>
      </c>
      <c r="BE941" s="29">
        <v>0</v>
      </c>
      <c r="BF941" s="29">
        <f>941</f>
        <v>941</v>
      </c>
      <c r="BH941" s="15">
        <f t="shared" si="905"/>
        <v>0</v>
      </c>
      <c r="BI941" s="15">
        <f t="shared" si="906"/>
        <v>0</v>
      </c>
      <c r="BJ941" s="15">
        <f t="shared" si="907"/>
        <v>0</v>
      </c>
      <c r="BK941" s="15" t="s">
        <v>2969</v>
      </c>
      <c r="BL941" s="29">
        <v>8</v>
      </c>
    </row>
    <row r="942" spans="1:64" ht="12.75">
      <c r="A942" s="4" t="s">
        <v>875</v>
      </c>
      <c r="B942" s="94" t="s">
        <v>1830</v>
      </c>
      <c r="C942" s="152" t="s">
        <v>2194</v>
      </c>
      <c r="D942" s="153"/>
      <c r="E942" s="153"/>
      <c r="F942" s="153"/>
      <c r="G942" s="94" t="s">
        <v>2850</v>
      </c>
      <c r="H942" s="73">
        <v>1</v>
      </c>
      <c r="I942" s="105">
        <v>0</v>
      </c>
      <c r="J942" s="15">
        <f t="shared" si="884"/>
        <v>0</v>
      </c>
      <c r="K942" s="15">
        <f t="shared" si="885"/>
        <v>0</v>
      </c>
      <c r="L942" s="15">
        <f t="shared" si="886"/>
        <v>0</v>
      </c>
      <c r="M942" s="25"/>
      <c r="N942" s="5"/>
      <c r="Z942" s="29">
        <f t="shared" si="887"/>
        <v>0</v>
      </c>
      <c r="AB942" s="29">
        <f t="shared" si="888"/>
        <v>0</v>
      </c>
      <c r="AC942" s="29">
        <f t="shared" si="889"/>
        <v>0</v>
      </c>
      <c r="AD942" s="29">
        <f t="shared" si="890"/>
        <v>0</v>
      </c>
      <c r="AE942" s="29">
        <f t="shared" si="891"/>
        <v>0</v>
      </c>
      <c r="AF942" s="29">
        <f t="shared" si="892"/>
        <v>0</v>
      </c>
      <c r="AG942" s="29">
        <f t="shared" si="893"/>
        <v>0</v>
      </c>
      <c r="AH942" s="29">
        <f t="shared" si="894"/>
        <v>0</v>
      </c>
      <c r="AI942" s="28" t="s">
        <v>2885</v>
      </c>
      <c r="AJ942" s="15">
        <f t="shared" si="895"/>
        <v>0</v>
      </c>
      <c r="AK942" s="15">
        <f t="shared" si="896"/>
        <v>0</v>
      </c>
      <c r="AL942" s="15">
        <f t="shared" si="897"/>
        <v>0</v>
      </c>
      <c r="AN942" s="29">
        <v>15</v>
      </c>
      <c r="AO942" s="29">
        <f t="shared" si="898"/>
        <v>0</v>
      </c>
      <c r="AP942" s="29">
        <f t="shared" si="899"/>
        <v>0</v>
      </c>
      <c r="AQ942" s="30" t="s">
        <v>7</v>
      </c>
      <c r="AV942" s="29">
        <f t="shared" si="900"/>
        <v>0</v>
      </c>
      <c r="AW942" s="29">
        <f t="shared" si="901"/>
        <v>0</v>
      </c>
      <c r="AX942" s="29">
        <f t="shared" si="902"/>
        <v>0</v>
      </c>
      <c r="AY942" s="32" t="s">
        <v>2933</v>
      </c>
      <c r="AZ942" s="32" t="s">
        <v>2952</v>
      </c>
      <c r="BA942" s="28" t="s">
        <v>2960</v>
      </c>
      <c r="BC942" s="29">
        <f t="shared" si="903"/>
        <v>0</v>
      </c>
      <c r="BD942" s="29">
        <f t="shared" si="904"/>
        <v>0</v>
      </c>
      <c r="BE942" s="29">
        <v>0</v>
      </c>
      <c r="BF942" s="29">
        <f>942</f>
        <v>942</v>
      </c>
      <c r="BH942" s="15">
        <f t="shared" si="905"/>
        <v>0</v>
      </c>
      <c r="BI942" s="15">
        <f t="shared" si="906"/>
        <v>0</v>
      </c>
      <c r="BJ942" s="15">
        <f t="shared" si="907"/>
        <v>0</v>
      </c>
      <c r="BK942" s="15" t="s">
        <v>2969</v>
      </c>
      <c r="BL942" s="29">
        <v>8</v>
      </c>
    </row>
    <row r="943" spans="1:64" ht="12.75">
      <c r="A943" s="4" t="s">
        <v>876</v>
      </c>
      <c r="B943" s="94" t="s">
        <v>1831</v>
      </c>
      <c r="C943" s="152" t="s">
        <v>2195</v>
      </c>
      <c r="D943" s="153"/>
      <c r="E943" s="153"/>
      <c r="F943" s="153"/>
      <c r="G943" s="94" t="s">
        <v>2850</v>
      </c>
      <c r="H943" s="73">
        <v>1</v>
      </c>
      <c r="I943" s="105">
        <v>0</v>
      </c>
      <c r="J943" s="15">
        <f t="shared" si="884"/>
        <v>0</v>
      </c>
      <c r="K943" s="15">
        <f t="shared" si="885"/>
        <v>0</v>
      </c>
      <c r="L943" s="15">
        <f t="shared" si="886"/>
        <v>0</v>
      </c>
      <c r="M943" s="25"/>
      <c r="N943" s="5"/>
      <c r="Z943" s="29">
        <f t="shared" si="887"/>
        <v>0</v>
      </c>
      <c r="AB943" s="29">
        <f t="shared" si="888"/>
        <v>0</v>
      </c>
      <c r="AC943" s="29">
        <f t="shared" si="889"/>
        <v>0</v>
      </c>
      <c r="AD943" s="29">
        <f t="shared" si="890"/>
        <v>0</v>
      </c>
      <c r="AE943" s="29">
        <f t="shared" si="891"/>
        <v>0</v>
      </c>
      <c r="AF943" s="29">
        <f t="shared" si="892"/>
        <v>0</v>
      </c>
      <c r="AG943" s="29">
        <f t="shared" si="893"/>
        <v>0</v>
      </c>
      <c r="AH943" s="29">
        <f t="shared" si="894"/>
        <v>0</v>
      </c>
      <c r="AI943" s="28" t="s">
        <v>2885</v>
      </c>
      <c r="AJ943" s="15">
        <f t="shared" si="895"/>
        <v>0</v>
      </c>
      <c r="AK943" s="15">
        <f t="shared" si="896"/>
        <v>0</v>
      </c>
      <c r="AL943" s="15">
        <f t="shared" si="897"/>
        <v>0</v>
      </c>
      <c r="AN943" s="29">
        <v>15</v>
      </c>
      <c r="AO943" s="29">
        <f t="shared" si="898"/>
        <v>0</v>
      </c>
      <c r="AP943" s="29">
        <f t="shared" si="899"/>
        <v>0</v>
      </c>
      <c r="AQ943" s="30" t="s">
        <v>7</v>
      </c>
      <c r="AV943" s="29">
        <f t="shared" si="900"/>
        <v>0</v>
      </c>
      <c r="AW943" s="29">
        <f t="shared" si="901"/>
        <v>0</v>
      </c>
      <c r="AX943" s="29">
        <f t="shared" si="902"/>
        <v>0</v>
      </c>
      <c r="AY943" s="32" t="s">
        <v>2933</v>
      </c>
      <c r="AZ943" s="32" t="s">
        <v>2952</v>
      </c>
      <c r="BA943" s="28" t="s">
        <v>2960</v>
      </c>
      <c r="BC943" s="29">
        <f t="shared" si="903"/>
        <v>0</v>
      </c>
      <c r="BD943" s="29">
        <f t="shared" si="904"/>
        <v>0</v>
      </c>
      <c r="BE943" s="29">
        <v>0</v>
      </c>
      <c r="BF943" s="29">
        <f>943</f>
        <v>943</v>
      </c>
      <c r="BH943" s="15">
        <f t="shared" si="905"/>
        <v>0</v>
      </c>
      <c r="BI943" s="15">
        <f t="shared" si="906"/>
        <v>0</v>
      </c>
      <c r="BJ943" s="15">
        <f t="shared" si="907"/>
        <v>0</v>
      </c>
      <c r="BK943" s="15" t="s">
        <v>2969</v>
      </c>
      <c r="BL943" s="29">
        <v>8</v>
      </c>
    </row>
    <row r="944" spans="1:64" ht="12.75">
      <c r="A944" s="4" t="s">
        <v>877</v>
      </c>
      <c r="B944" s="94" t="s">
        <v>1832</v>
      </c>
      <c r="C944" s="152" t="s">
        <v>2196</v>
      </c>
      <c r="D944" s="153"/>
      <c r="E944" s="153"/>
      <c r="F944" s="153"/>
      <c r="G944" s="94" t="s">
        <v>2850</v>
      </c>
      <c r="H944" s="73">
        <v>1</v>
      </c>
      <c r="I944" s="105">
        <v>0</v>
      </c>
      <c r="J944" s="15">
        <f t="shared" si="884"/>
        <v>0</v>
      </c>
      <c r="K944" s="15">
        <f t="shared" si="885"/>
        <v>0</v>
      </c>
      <c r="L944" s="15">
        <f t="shared" si="886"/>
        <v>0</v>
      </c>
      <c r="M944" s="25"/>
      <c r="N944" s="5"/>
      <c r="Z944" s="29">
        <f t="shared" si="887"/>
        <v>0</v>
      </c>
      <c r="AB944" s="29">
        <f t="shared" si="888"/>
        <v>0</v>
      </c>
      <c r="AC944" s="29">
        <f t="shared" si="889"/>
        <v>0</v>
      </c>
      <c r="AD944" s="29">
        <f t="shared" si="890"/>
        <v>0</v>
      </c>
      <c r="AE944" s="29">
        <f t="shared" si="891"/>
        <v>0</v>
      </c>
      <c r="AF944" s="29">
        <f t="shared" si="892"/>
        <v>0</v>
      </c>
      <c r="AG944" s="29">
        <f t="shared" si="893"/>
        <v>0</v>
      </c>
      <c r="AH944" s="29">
        <f t="shared" si="894"/>
        <v>0</v>
      </c>
      <c r="AI944" s="28" t="s">
        <v>2885</v>
      </c>
      <c r="AJ944" s="15">
        <f t="shared" si="895"/>
        <v>0</v>
      </c>
      <c r="AK944" s="15">
        <f t="shared" si="896"/>
        <v>0</v>
      </c>
      <c r="AL944" s="15">
        <f t="shared" si="897"/>
        <v>0</v>
      </c>
      <c r="AN944" s="29">
        <v>15</v>
      </c>
      <c r="AO944" s="29">
        <f t="shared" si="898"/>
        <v>0</v>
      </c>
      <c r="AP944" s="29">
        <f t="shared" si="899"/>
        <v>0</v>
      </c>
      <c r="AQ944" s="30" t="s">
        <v>7</v>
      </c>
      <c r="AV944" s="29">
        <f t="shared" si="900"/>
        <v>0</v>
      </c>
      <c r="AW944" s="29">
        <f t="shared" si="901"/>
        <v>0</v>
      </c>
      <c r="AX944" s="29">
        <f t="shared" si="902"/>
        <v>0</v>
      </c>
      <c r="AY944" s="32" t="s">
        <v>2933</v>
      </c>
      <c r="AZ944" s="32" t="s">
        <v>2952</v>
      </c>
      <c r="BA944" s="28" t="s">
        <v>2960</v>
      </c>
      <c r="BC944" s="29">
        <f t="shared" si="903"/>
        <v>0</v>
      </c>
      <c r="BD944" s="29">
        <f t="shared" si="904"/>
        <v>0</v>
      </c>
      <c r="BE944" s="29">
        <v>0</v>
      </c>
      <c r="BF944" s="29">
        <f>944</f>
        <v>944</v>
      </c>
      <c r="BH944" s="15">
        <f t="shared" si="905"/>
        <v>0</v>
      </c>
      <c r="BI944" s="15">
        <f t="shared" si="906"/>
        <v>0</v>
      </c>
      <c r="BJ944" s="15">
        <f t="shared" si="907"/>
        <v>0</v>
      </c>
      <c r="BK944" s="15" t="s">
        <v>2969</v>
      </c>
      <c r="BL944" s="29">
        <v>8</v>
      </c>
    </row>
    <row r="945" spans="1:14" ht="12.75">
      <c r="A945" s="83"/>
      <c r="B945" s="96"/>
      <c r="C945" s="159" t="s">
        <v>2759</v>
      </c>
      <c r="D945" s="160"/>
      <c r="E945" s="160"/>
      <c r="F945" s="160"/>
      <c r="G945" s="84" t="s">
        <v>6</v>
      </c>
      <c r="H945" s="84" t="s">
        <v>6</v>
      </c>
      <c r="I945" s="84" t="s">
        <v>6</v>
      </c>
      <c r="J945" s="85">
        <f>J946</f>
        <v>0</v>
      </c>
      <c r="K945" s="85">
        <f>K946</f>
        <v>0</v>
      </c>
      <c r="L945" s="85">
        <f>L946</f>
        <v>0</v>
      </c>
      <c r="M945" s="86"/>
      <c r="N945" s="5"/>
    </row>
    <row r="946" spans="1:47" ht="12.75">
      <c r="A946" s="3"/>
      <c r="B946" s="97" t="s">
        <v>14</v>
      </c>
      <c r="C946" s="161" t="s">
        <v>2716</v>
      </c>
      <c r="D946" s="162"/>
      <c r="E946" s="162"/>
      <c r="F946" s="162"/>
      <c r="G946" s="13" t="s">
        <v>6</v>
      </c>
      <c r="H946" s="13" t="s">
        <v>6</v>
      </c>
      <c r="I946" s="13" t="s">
        <v>6</v>
      </c>
      <c r="J946" s="34">
        <f>SUM(J947:J986)</f>
        <v>0</v>
      </c>
      <c r="K946" s="34">
        <f>SUM(K947:K986)</f>
        <v>0</v>
      </c>
      <c r="L946" s="34">
        <f>SUM(L947:L986)</f>
        <v>0</v>
      </c>
      <c r="M946" s="24"/>
      <c r="N946" s="5"/>
      <c r="AI946" s="28" t="s">
        <v>2886</v>
      </c>
      <c r="AS946" s="34">
        <f>SUM(AJ947:AJ986)</f>
        <v>0</v>
      </c>
      <c r="AT946" s="34">
        <f>SUM(AK947:AK986)</f>
        <v>0</v>
      </c>
      <c r="AU946" s="34">
        <f>SUM(AL947:AL986)</f>
        <v>0</v>
      </c>
    </row>
    <row r="947" spans="1:64" ht="12.75">
      <c r="A947" s="4" t="s">
        <v>878</v>
      </c>
      <c r="B947" s="94" t="s">
        <v>1833</v>
      </c>
      <c r="C947" s="152" t="s">
        <v>2720</v>
      </c>
      <c r="D947" s="153"/>
      <c r="E947" s="153"/>
      <c r="F947" s="153"/>
      <c r="G947" s="94" t="s">
        <v>2851</v>
      </c>
      <c r="H947" s="73">
        <v>10.5</v>
      </c>
      <c r="I947" s="105">
        <v>0</v>
      </c>
      <c r="J947" s="15">
        <f aca="true" t="shared" si="908" ref="J947:J986">H947*AO947</f>
        <v>0</v>
      </c>
      <c r="K947" s="15">
        <f aca="true" t="shared" si="909" ref="K947:K986">H947*AP947</f>
        <v>0</v>
      </c>
      <c r="L947" s="15">
        <f aca="true" t="shared" si="910" ref="L947:L986">H947*I947</f>
        <v>0</v>
      </c>
      <c r="M947" s="25"/>
      <c r="N947" s="5"/>
      <c r="Z947" s="29">
        <f aca="true" t="shared" si="911" ref="Z947:Z986">IF(AQ947="5",BJ947,0)</f>
        <v>0</v>
      </c>
      <c r="AB947" s="29">
        <f aca="true" t="shared" si="912" ref="AB947:AB986">IF(AQ947="1",BH947,0)</f>
        <v>0</v>
      </c>
      <c r="AC947" s="29">
        <f aca="true" t="shared" si="913" ref="AC947:AC986">IF(AQ947="1",BI947,0)</f>
        <v>0</v>
      </c>
      <c r="AD947" s="29">
        <f aca="true" t="shared" si="914" ref="AD947:AD986">IF(AQ947="7",BH947,0)</f>
        <v>0</v>
      </c>
      <c r="AE947" s="29">
        <f aca="true" t="shared" si="915" ref="AE947:AE986">IF(AQ947="7",BI947,0)</f>
        <v>0</v>
      </c>
      <c r="AF947" s="29">
        <f aca="true" t="shared" si="916" ref="AF947:AF986">IF(AQ947="2",BH947,0)</f>
        <v>0</v>
      </c>
      <c r="AG947" s="29">
        <f aca="true" t="shared" si="917" ref="AG947:AG986">IF(AQ947="2",BI947,0)</f>
        <v>0</v>
      </c>
      <c r="AH947" s="29">
        <f aca="true" t="shared" si="918" ref="AH947:AH986">IF(AQ947="0",BJ947,0)</f>
        <v>0</v>
      </c>
      <c r="AI947" s="28" t="s">
        <v>2886</v>
      </c>
      <c r="AJ947" s="15">
        <f aca="true" t="shared" si="919" ref="AJ947:AJ986">IF(AN947=0,L947,0)</f>
        <v>0</v>
      </c>
      <c r="AK947" s="15">
        <f aca="true" t="shared" si="920" ref="AK947:AK986">IF(AN947=15,L947,0)</f>
        <v>0</v>
      </c>
      <c r="AL947" s="15">
        <f aca="true" t="shared" si="921" ref="AL947:AL986">IF(AN947=21,L947,0)</f>
        <v>0</v>
      </c>
      <c r="AN947" s="29">
        <v>15</v>
      </c>
      <c r="AO947" s="29">
        <f aca="true" t="shared" si="922" ref="AO947:AO986">I947*0</f>
        <v>0</v>
      </c>
      <c r="AP947" s="29">
        <f aca="true" t="shared" si="923" ref="AP947:AP986">I947*(1-0)</f>
        <v>0</v>
      </c>
      <c r="AQ947" s="30" t="s">
        <v>7</v>
      </c>
      <c r="AV947" s="29">
        <f aca="true" t="shared" si="924" ref="AV947:AV986">AW947+AX947</f>
        <v>0</v>
      </c>
      <c r="AW947" s="29">
        <f aca="true" t="shared" si="925" ref="AW947:AW986">H947*AO947</f>
        <v>0</v>
      </c>
      <c r="AX947" s="29">
        <f aca="true" t="shared" si="926" ref="AX947:AX986">H947*AP947</f>
        <v>0</v>
      </c>
      <c r="AY947" s="32" t="s">
        <v>2933</v>
      </c>
      <c r="AZ947" s="32" t="s">
        <v>2953</v>
      </c>
      <c r="BA947" s="28" t="s">
        <v>2961</v>
      </c>
      <c r="BC947" s="29">
        <f aca="true" t="shared" si="927" ref="BC947:BC986">AW947+AX947</f>
        <v>0</v>
      </c>
      <c r="BD947" s="29">
        <f aca="true" t="shared" si="928" ref="BD947:BD986">I947/(100-BE947)*100</f>
        <v>0</v>
      </c>
      <c r="BE947" s="29">
        <v>0</v>
      </c>
      <c r="BF947" s="29">
        <f>947</f>
        <v>947</v>
      </c>
      <c r="BH947" s="15">
        <f aca="true" t="shared" si="929" ref="BH947:BH986">H947*AO947</f>
        <v>0</v>
      </c>
      <c r="BI947" s="15">
        <f aca="true" t="shared" si="930" ref="BI947:BI986">H947*AP947</f>
        <v>0</v>
      </c>
      <c r="BJ947" s="15">
        <f aca="true" t="shared" si="931" ref="BJ947:BJ986">H947*I947</f>
        <v>0</v>
      </c>
      <c r="BK947" s="15" t="s">
        <v>2969</v>
      </c>
      <c r="BL947" s="29">
        <v>8</v>
      </c>
    </row>
    <row r="948" spans="1:64" ht="12.75">
      <c r="A948" s="4" t="s">
        <v>879</v>
      </c>
      <c r="B948" s="94" t="s">
        <v>1834</v>
      </c>
      <c r="C948" s="152" t="s">
        <v>2722</v>
      </c>
      <c r="D948" s="153"/>
      <c r="E948" s="153"/>
      <c r="F948" s="153"/>
      <c r="G948" s="94" t="s">
        <v>2851</v>
      </c>
      <c r="H948" s="73">
        <v>10.5</v>
      </c>
      <c r="I948" s="105">
        <v>0</v>
      </c>
      <c r="J948" s="15">
        <f t="shared" si="908"/>
        <v>0</v>
      </c>
      <c r="K948" s="15">
        <f t="shared" si="909"/>
        <v>0</v>
      </c>
      <c r="L948" s="15">
        <f t="shared" si="910"/>
        <v>0</v>
      </c>
      <c r="M948" s="25"/>
      <c r="N948" s="5"/>
      <c r="Z948" s="29">
        <f t="shared" si="911"/>
        <v>0</v>
      </c>
      <c r="AB948" s="29">
        <f t="shared" si="912"/>
        <v>0</v>
      </c>
      <c r="AC948" s="29">
        <f t="shared" si="913"/>
        <v>0</v>
      </c>
      <c r="AD948" s="29">
        <f t="shared" si="914"/>
        <v>0</v>
      </c>
      <c r="AE948" s="29">
        <f t="shared" si="915"/>
        <v>0</v>
      </c>
      <c r="AF948" s="29">
        <f t="shared" si="916"/>
        <v>0</v>
      </c>
      <c r="AG948" s="29">
        <f t="shared" si="917"/>
        <v>0</v>
      </c>
      <c r="AH948" s="29">
        <f t="shared" si="918"/>
        <v>0</v>
      </c>
      <c r="AI948" s="28" t="s">
        <v>2886</v>
      </c>
      <c r="AJ948" s="15">
        <f t="shared" si="919"/>
        <v>0</v>
      </c>
      <c r="AK948" s="15">
        <f t="shared" si="920"/>
        <v>0</v>
      </c>
      <c r="AL948" s="15">
        <f t="shared" si="921"/>
        <v>0</v>
      </c>
      <c r="AN948" s="29">
        <v>15</v>
      </c>
      <c r="AO948" s="29">
        <f t="shared" si="922"/>
        <v>0</v>
      </c>
      <c r="AP948" s="29">
        <f t="shared" si="923"/>
        <v>0</v>
      </c>
      <c r="AQ948" s="30" t="s">
        <v>7</v>
      </c>
      <c r="AV948" s="29">
        <f t="shared" si="924"/>
        <v>0</v>
      </c>
      <c r="AW948" s="29">
        <f t="shared" si="925"/>
        <v>0</v>
      </c>
      <c r="AX948" s="29">
        <f t="shared" si="926"/>
        <v>0</v>
      </c>
      <c r="AY948" s="32" t="s">
        <v>2933</v>
      </c>
      <c r="AZ948" s="32" t="s">
        <v>2953</v>
      </c>
      <c r="BA948" s="28" t="s">
        <v>2961</v>
      </c>
      <c r="BC948" s="29">
        <f t="shared" si="927"/>
        <v>0</v>
      </c>
      <c r="BD948" s="29">
        <f t="shared" si="928"/>
        <v>0</v>
      </c>
      <c r="BE948" s="29">
        <v>0</v>
      </c>
      <c r="BF948" s="29">
        <f>948</f>
        <v>948</v>
      </c>
      <c r="BH948" s="15">
        <f t="shared" si="929"/>
        <v>0</v>
      </c>
      <c r="BI948" s="15">
        <f t="shared" si="930"/>
        <v>0</v>
      </c>
      <c r="BJ948" s="15">
        <f t="shared" si="931"/>
        <v>0</v>
      </c>
      <c r="BK948" s="15" t="s">
        <v>2969</v>
      </c>
      <c r="BL948" s="29">
        <v>8</v>
      </c>
    </row>
    <row r="949" spans="1:64" ht="12.75">
      <c r="A949" s="4" t="s">
        <v>880</v>
      </c>
      <c r="B949" s="94" t="s">
        <v>1835</v>
      </c>
      <c r="C949" s="152" t="s">
        <v>2760</v>
      </c>
      <c r="D949" s="153"/>
      <c r="E949" s="153"/>
      <c r="F949" s="153"/>
      <c r="G949" s="94" t="s">
        <v>2851</v>
      </c>
      <c r="H949" s="73">
        <v>10.5</v>
      </c>
      <c r="I949" s="105">
        <v>0</v>
      </c>
      <c r="J949" s="15">
        <f t="shared" si="908"/>
        <v>0</v>
      </c>
      <c r="K949" s="15">
        <f t="shared" si="909"/>
        <v>0</v>
      </c>
      <c r="L949" s="15">
        <f t="shared" si="910"/>
        <v>0</v>
      </c>
      <c r="M949" s="25"/>
      <c r="N949" s="5"/>
      <c r="Z949" s="29">
        <f t="shared" si="911"/>
        <v>0</v>
      </c>
      <c r="AB949" s="29">
        <f t="shared" si="912"/>
        <v>0</v>
      </c>
      <c r="AC949" s="29">
        <f t="shared" si="913"/>
        <v>0</v>
      </c>
      <c r="AD949" s="29">
        <f t="shared" si="914"/>
        <v>0</v>
      </c>
      <c r="AE949" s="29">
        <f t="shared" si="915"/>
        <v>0</v>
      </c>
      <c r="AF949" s="29">
        <f t="shared" si="916"/>
        <v>0</v>
      </c>
      <c r="AG949" s="29">
        <f t="shared" si="917"/>
        <v>0</v>
      </c>
      <c r="AH949" s="29">
        <f t="shared" si="918"/>
        <v>0</v>
      </c>
      <c r="AI949" s="28" t="s">
        <v>2886</v>
      </c>
      <c r="AJ949" s="15">
        <f t="shared" si="919"/>
        <v>0</v>
      </c>
      <c r="AK949" s="15">
        <f t="shared" si="920"/>
        <v>0</v>
      </c>
      <c r="AL949" s="15">
        <f t="shared" si="921"/>
        <v>0</v>
      </c>
      <c r="AN949" s="29">
        <v>15</v>
      </c>
      <c r="AO949" s="29">
        <f t="shared" si="922"/>
        <v>0</v>
      </c>
      <c r="AP949" s="29">
        <f t="shared" si="923"/>
        <v>0</v>
      </c>
      <c r="AQ949" s="30" t="s">
        <v>7</v>
      </c>
      <c r="AV949" s="29">
        <f t="shared" si="924"/>
        <v>0</v>
      </c>
      <c r="AW949" s="29">
        <f t="shared" si="925"/>
        <v>0</v>
      </c>
      <c r="AX949" s="29">
        <f t="shared" si="926"/>
        <v>0</v>
      </c>
      <c r="AY949" s="32" t="s">
        <v>2933</v>
      </c>
      <c r="AZ949" s="32" t="s">
        <v>2953</v>
      </c>
      <c r="BA949" s="28" t="s">
        <v>2961</v>
      </c>
      <c r="BC949" s="29">
        <f t="shared" si="927"/>
        <v>0</v>
      </c>
      <c r="BD949" s="29">
        <f t="shared" si="928"/>
        <v>0</v>
      </c>
      <c r="BE949" s="29">
        <v>0</v>
      </c>
      <c r="BF949" s="29">
        <f>949</f>
        <v>949</v>
      </c>
      <c r="BH949" s="15">
        <f t="shared" si="929"/>
        <v>0</v>
      </c>
      <c r="BI949" s="15">
        <f t="shared" si="930"/>
        <v>0</v>
      </c>
      <c r="BJ949" s="15">
        <f t="shared" si="931"/>
        <v>0</v>
      </c>
      <c r="BK949" s="15" t="s">
        <v>2969</v>
      </c>
      <c r="BL949" s="29">
        <v>8</v>
      </c>
    </row>
    <row r="950" spans="1:64" ht="12.75">
      <c r="A950" s="4" t="s">
        <v>881</v>
      </c>
      <c r="B950" s="94" t="s">
        <v>1836</v>
      </c>
      <c r="C950" s="152" t="s">
        <v>2724</v>
      </c>
      <c r="D950" s="153"/>
      <c r="E950" s="153"/>
      <c r="F950" s="153"/>
      <c r="G950" s="94" t="s">
        <v>2851</v>
      </c>
      <c r="H950" s="73">
        <v>10.5</v>
      </c>
      <c r="I950" s="105">
        <v>0</v>
      </c>
      <c r="J950" s="15">
        <f t="shared" si="908"/>
        <v>0</v>
      </c>
      <c r="K950" s="15">
        <f t="shared" si="909"/>
        <v>0</v>
      </c>
      <c r="L950" s="15">
        <f t="shared" si="910"/>
        <v>0</v>
      </c>
      <c r="M950" s="25"/>
      <c r="N950" s="5"/>
      <c r="Z950" s="29">
        <f t="shared" si="911"/>
        <v>0</v>
      </c>
      <c r="AB950" s="29">
        <f t="shared" si="912"/>
        <v>0</v>
      </c>
      <c r="AC950" s="29">
        <f t="shared" si="913"/>
        <v>0</v>
      </c>
      <c r="AD950" s="29">
        <f t="shared" si="914"/>
        <v>0</v>
      </c>
      <c r="AE950" s="29">
        <f t="shared" si="915"/>
        <v>0</v>
      </c>
      <c r="AF950" s="29">
        <f t="shared" si="916"/>
        <v>0</v>
      </c>
      <c r="AG950" s="29">
        <f t="shared" si="917"/>
        <v>0</v>
      </c>
      <c r="AH950" s="29">
        <f t="shared" si="918"/>
        <v>0</v>
      </c>
      <c r="AI950" s="28" t="s">
        <v>2886</v>
      </c>
      <c r="AJ950" s="15">
        <f t="shared" si="919"/>
        <v>0</v>
      </c>
      <c r="AK950" s="15">
        <f t="shared" si="920"/>
        <v>0</v>
      </c>
      <c r="AL950" s="15">
        <f t="shared" si="921"/>
        <v>0</v>
      </c>
      <c r="AN950" s="29">
        <v>15</v>
      </c>
      <c r="AO950" s="29">
        <f t="shared" si="922"/>
        <v>0</v>
      </c>
      <c r="AP950" s="29">
        <f t="shared" si="923"/>
        <v>0</v>
      </c>
      <c r="AQ950" s="30" t="s">
        <v>7</v>
      </c>
      <c r="AV950" s="29">
        <f t="shared" si="924"/>
        <v>0</v>
      </c>
      <c r="AW950" s="29">
        <f t="shared" si="925"/>
        <v>0</v>
      </c>
      <c r="AX950" s="29">
        <f t="shared" si="926"/>
        <v>0</v>
      </c>
      <c r="AY950" s="32" t="s">
        <v>2933</v>
      </c>
      <c r="AZ950" s="32" t="s">
        <v>2953</v>
      </c>
      <c r="BA950" s="28" t="s">
        <v>2961</v>
      </c>
      <c r="BC950" s="29">
        <f t="shared" si="927"/>
        <v>0</v>
      </c>
      <c r="BD950" s="29">
        <f t="shared" si="928"/>
        <v>0</v>
      </c>
      <c r="BE950" s="29">
        <v>0</v>
      </c>
      <c r="BF950" s="29">
        <f>950</f>
        <v>950</v>
      </c>
      <c r="BH950" s="15">
        <f t="shared" si="929"/>
        <v>0</v>
      </c>
      <c r="BI950" s="15">
        <f t="shared" si="930"/>
        <v>0</v>
      </c>
      <c r="BJ950" s="15">
        <f t="shared" si="931"/>
        <v>0</v>
      </c>
      <c r="BK950" s="15" t="s">
        <v>2969</v>
      </c>
      <c r="BL950" s="29">
        <v>8</v>
      </c>
    </row>
    <row r="951" spans="1:64" ht="12.75">
      <c r="A951" s="4" t="s">
        <v>882</v>
      </c>
      <c r="B951" s="94" t="s">
        <v>1837</v>
      </c>
      <c r="C951" s="152" t="s">
        <v>2761</v>
      </c>
      <c r="D951" s="153"/>
      <c r="E951" s="153"/>
      <c r="F951" s="153"/>
      <c r="G951" s="94" t="s">
        <v>2847</v>
      </c>
      <c r="H951" s="73">
        <v>1</v>
      </c>
      <c r="I951" s="105">
        <v>0</v>
      </c>
      <c r="J951" s="15">
        <f t="shared" si="908"/>
        <v>0</v>
      </c>
      <c r="K951" s="15">
        <f t="shared" si="909"/>
        <v>0</v>
      </c>
      <c r="L951" s="15">
        <f t="shared" si="910"/>
        <v>0</v>
      </c>
      <c r="M951" s="25"/>
      <c r="N951" s="5"/>
      <c r="Z951" s="29">
        <f t="shared" si="911"/>
        <v>0</v>
      </c>
      <c r="AB951" s="29">
        <f t="shared" si="912"/>
        <v>0</v>
      </c>
      <c r="AC951" s="29">
        <f t="shared" si="913"/>
        <v>0</v>
      </c>
      <c r="AD951" s="29">
        <f t="shared" si="914"/>
        <v>0</v>
      </c>
      <c r="AE951" s="29">
        <f t="shared" si="915"/>
        <v>0</v>
      </c>
      <c r="AF951" s="29">
        <f t="shared" si="916"/>
        <v>0</v>
      </c>
      <c r="AG951" s="29">
        <f t="shared" si="917"/>
        <v>0</v>
      </c>
      <c r="AH951" s="29">
        <f t="shared" si="918"/>
        <v>0</v>
      </c>
      <c r="AI951" s="28" t="s">
        <v>2886</v>
      </c>
      <c r="AJ951" s="15">
        <f t="shared" si="919"/>
        <v>0</v>
      </c>
      <c r="AK951" s="15">
        <f t="shared" si="920"/>
        <v>0</v>
      </c>
      <c r="AL951" s="15">
        <f t="shared" si="921"/>
        <v>0</v>
      </c>
      <c r="AN951" s="29">
        <v>15</v>
      </c>
      <c r="AO951" s="29">
        <f t="shared" si="922"/>
        <v>0</v>
      </c>
      <c r="AP951" s="29">
        <f t="shared" si="923"/>
        <v>0</v>
      </c>
      <c r="AQ951" s="30" t="s">
        <v>7</v>
      </c>
      <c r="AV951" s="29">
        <f t="shared" si="924"/>
        <v>0</v>
      </c>
      <c r="AW951" s="29">
        <f t="shared" si="925"/>
        <v>0</v>
      </c>
      <c r="AX951" s="29">
        <f t="shared" si="926"/>
        <v>0</v>
      </c>
      <c r="AY951" s="32" t="s">
        <v>2933</v>
      </c>
      <c r="AZ951" s="32" t="s">
        <v>2953</v>
      </c>
      <c r="BA951" s="28" t="s">
        <v>2961</v>
      </c>
      <c r="BC951" s="29">
        <f t="shared" si="927"/>
        <v>0</v>
      </c>
      <c r="BD951" s="29">
        <f t="shared" si="928"/>
        <v>0</v>
      </c>
      <c r="BE951" s="29">
        <v>0</v>
      </c>
      <c r="BF951" s="29">
        <f>951</f>
        <v>951</v>
      </c>
      <c r="BH951" s="15">
        <f t="shared" si="929"/>
        <v>0</v>
      </c>
      <c r="BI951" s="15">
        <f t="shared" si="930"/>
        <v>0</v>
      </c>
      <c r="BJ951" s="15">
        <f t="shared" si="931"/>
        <v>0</v>
      </c>
      <c r="BK951" s="15" t="s">
        <v>2969</v>
      </c>
      <c r="BL951" s="29">
        <v>8</v>
      </c>
    </row>
    <row r="952" spans="1:64" ht="12.75">
      <c r="A952" s="4" t="s">
        <v>883</v>
      </c>
      <c r="B952" s="94" t="s">
        <v>1838</v>
      </c>
      <c r="C952" s="152" t="s">
        <v>2726</v>
      </c>
      <c r="D952" s="153"/>
      <c r="E952" s="153"/>
      <c r="F952" s="153"/>
      <c r="G952" s="94" t="s">
        <v>2847</v>
      </c>
      <c r="H952" s="73">
        <v>1</v>
      </c>
      <c r="I952" s="105">
        <v>0</v>
      </c>
      <c r="J952" s="15">
        <f t="shared" si="908"/>
        <v>0</v>
      </c>
      <c r="K952" s="15">
        <f t="shared" si="909"/>
        <v>0</v>
      </c>
      <c r="L952" s="15">
        <f t="shared" si="910"/>
        <v>0</v>
      </c>
      <c r="M952" s="25"/>
      <c r="N952" s="5"/>
      <c r="Z952" s="29">
        <f t="shared" si="911"/>
        <v>0</v>
      </c>
      <c r="AB952" s="29">
        <f t="shared" si="912"/>
        <v>0</v>
      </c>
      <c r="AC952" s="29">
        <f t="shared" si="913"/>
        <v>0</v>
      </c>
      <c r="AD952" s="29">
        <f t="shared" si="914"/>
        <v>0</v>
      </c>
      <c r="AE952" s="29">
        <f t="shared" si="915"/>
        <v>0</v>
      </c>
      <c r="AF952" s="29">
        <f t="shared" si="916"/>
        <v>0</v>
      </c>
      <c r="AG952" s="29">
        <f t="shared" si="917"/>
        <v>0</v>
      </c>
      <c r="AH952" s="29">
        <f t="shared" si="918"/>
        <v>0</v>
      </c>
      <c r="AI952" s="28" t="s">
        <v>2886</v>
      </c>
      <c r="AJ952" s="15">
        <f t="shared" si="919"/>
        <v>0</v>
      </c>
      <c r="AK952" s="15">
        <f t="shared" si="920"/>
        <v>0</v>
      </c>
      <c r="AL952" s="15">
        <f t="shared" si="921"/>
        <v>0</v>
      </c>
      <c r="AN952" s="29">
        <v>15</v>
      </c>
      <c r="AO952" s="29">
        <f t="shared" si="922"/>
        <v>0</v>
      </c>
      <c r="AP952" s="29">
        <f t="shared" si="923"/>
        <v>0</v>
      </c>
      <c r="AQ952" s="30" t="s">
        <v>7</v>
      </c>
      <c r="AV952" s="29">
        <f t="shared" si="924"/>
        <v>0</v>
      </c>
      <c r="AW952" s="29">
        <f t="shared" si="925"/>
        <v>0</v>
      </c>
      <c r="AX952" s="29">
        <f t="shared" si="926"/>
        <v>0</v>
      </c>
      <c r="AY952" s="32" t="s">
        <v>2933</v>
      </c>
      <c r="AZ952" s="32" t="s">
        <v>2953</v>
      </c>
      <c r="BA952" s="28" t="s">
        <v>2961</v>
      </c>
      <c r="BC952" s="29">
        <f t="shared" si="927"/>
        <v>0</v>
      </c>
      <c r="BD952" s="29">
        <f t="shared" si="928"/>
        <v>0</v>
      </c>
      <c r="BE952" s="29">
        <v>0</v>
      </c>
      <c r="BF952" s="29">
        <f>952</f>
        <v>952</v>
      </c>
      <c r="BH952" s="15">
        <f t="shared" si="929"/>
        <v>0</v>
      </c>
      <c r="BI952" s="15">
        <f t="shared" si="930"/>
        <v>0</v>
      </c>
      <c r="BJ952" s="15">
        <f t="shared" si="931"/>
        <v>0</v>
      </c>
      <c r="BK952" s="15" t="s">
        <v>2969</v>
      </c>
      <c r="BL952" s="29">
        <v>8</v>
      </c>
    </row>
    <row r="953" spans="1:64" ht="12.75">
      <c r="A953" s="4" t="s">
        <v>884</v>
      </c>
      <c r="B953" s="94" t="s">
        <v>1839</v>
      </c>
      <c r="C953" s="152" t="s">
        <v>2727</v>
      </c>
      <c r="D953" s="153"/>
      <c r="E953" s="153"/>
      <c r="F953" s="153"/>
      <c r="G953" s="94" t="s">
        <v>2847</v>
      </c>
      <c r="H953" s="73">
        <v>10.5</v>
      </c>
      <c r="I953" s="105">
        <v>0</v>
      </c>
      <c r="J953" s="15">
        <f t="shared" si="908"/>
        <v>0</v>
      </c>
      <c r="K953" s="15">
        <f t="shared" si="909"/>
        <v>0</v>
      </c>
      <c r="L953" s="15">
        <f t="shared" si="910"/>
        <v>0</v>
      </c>
      <c r="M953" s="25"/>
      <c r="N953" s="5"/>
      <c r="Z953" s="29">
        <f t="shared" si="911"/>
        <v>0</v>
      </c>
      <c r="AB953" s="29">
        <f t="shared" si="912"/>
        <v>0</v>
      </c>
      <c r="AC953" s="29">
        <f t="shared" si="913"/>
        <v>0</v>
      </c>
      <c r="AD953" s="29">
        <f t="shared" si="914"/>
        <v>0</v>
      </c>
      <c r="AE953" s="29">
        <f t="shared" si="915"/>
        <v>0</v>
      </c>
      <c r="AF953" s="29">
        <f t="shared" si="916"/>
        <v>0</v>
      </c>
      <c r="AG953" s="29">
        <f t="shared" si="917"/>
        <v>0</v>
      </c>
      <c r="AH953" s="29">
        <f t="shared" si="918"/>
        <v>0</v>
      </c>
      <c r="AI953" s="28" t="s">
        <v>2886</v>
      </c>
      <c r="AJ953" s="15">
        <f t="shared" si="919"/>
        <v>0</v>
      </c>
      <c r="AK953" s="15">
        <f t="shared" si="920"/>
        <v>0</v>
      </c>
      <c r="AL953" s="15">
        <f t="shared" si="921"/>
        <v>0</v>
      </c>
      <c r="AN953" s="29">
        <v>15</v>
      </c>
      <c r="AO953" s="29">
        <f t="shared" si="922"/>
        <v>0</v>
      </c>
      <c r="AP953" s="29">
        <f t="shared" si="923"/>
        <v>0</v>
      </c>
      <c r="AQ953" s="30" t="s">
        <v>7</v>
      </c>
      <c r="AV953" s="29">
        <f t="shared" si="924"/>
        <v>0</v>
      </c>
      <c r="AW953" s="29">
        <f t="shared" si="925"/>
        <v>0</v>
      </c>
      <c r="AX953" s="29">
        <f t="shared" si="926"/>
        <v>0</v>
      </c>
      <c r="AY953" s="32" t="s">
        <v>2933</v>
      </c>
      <c r="AZ953" s="32" t="s">
        <v>2953</v>
      </c>
      <c r="BA953" s="28" t="s">
        <v>2961</v>
      </c>
      <c r="BC953" s="29">
        <f t="shared" si="927"/>
        <v>0</v>
      </c>
      <c r="BD953" s="29">
        <f t="shared" si="928"/>
        <v>0</v>
      </c>
      <c r="BE953" s="29">
        <v>0</v>
      </c>
      <c r="BF953" s="29">
        <f>953</f>
        <v>953</v>
      </c>
      <c r="BH953" s="15">
        <f t="shared" si="929"/>
        <v>0</v>
      </c>
      <c r="BI953" s="15">
        <f t="shared" si="930"/>
        <v>0</v>
      </c>
      <c r="BJ953" s="15">
        <f t="shared" si="931"/>
        <v>0</v>
      </c>
      <c r="BK953" s="15" t="s">
        <v>2969</v>
      </c>
      <c r="BL953" s="29">
        <v>8</v>
      </c>
    </row>
    <row r="954" spans="1:64" ht="12.75">
      <c r="A954" s="4" t="s">
        <v>885</v>
      </c>
      <c r="B954" s="94" t="s">
        <v>1840</v>
      </c>
      <c r="C954" s="152" t="s">
        <v>2762</v>
      </c>
      <c r="D954" s="153"/>
      <c r="E954" s="153"/>
      <c r="F954" s="153"/>
      <c r="G954" s="94" t="s">
        <v>2851</v>
      </c>
      <c r="H954" s="73">
        <v>10.5</v>
      </c>
      <c r="I954" s="105">
        <v>0</v>
      </c>
      <c r="J954" s="15">
        <f t="shared" si="908"/>
        <v>0</v>
      </c>
      <c r="K954" s="15">
        <f t="shared" si="909"/>
        <v>0</v>
      </c>
      <c r="L954" s="15">
        <f t="shared" si="910"/>
        <v>0</v>
      </c>
      <c r="M954" s="25"/>
      <c r="N954" s="5"/>
      <c r="Z954" s="29">
        <f t="shared" si="911"/>
        <v>0</v>
      </c>
      <c r="AB954" s="29">
        <f t="shared" si="912"/>
        <v>0</v>
      </c>
      <c r="AC954" s="29">
        <f t="shared" si="913"/>
        <v>0</v>
      </c>
      <c r="AD954" s="29">
        <f t="shared" si="914"/>
        <v>0</v>
      </c>
      <c r="AE954" s="29">
        <f t="shared" si="915"/>
        <v>0</v>
      </c>
      <c r="AF954" s="29">
        <f t="shared" si="916"/>
        <v>0</v>
      </c>
      <c r="AG954" s="29">
        <f t="shared" si="917"/>
        <v>0</v>
      </c>
      <c r="AH954" s="29">
        <f t="shared" si="918"/>
        <v>0</v>
      </c>
      <c r="AI954" s="28" t="s">
        <v>2886</v>
      </c>
      <c r="AJ954" s="15">
        <f t="shared" si="919"/>
        <v>0</v>
      </c>
      <c r="AK954" s="15">
        <f t="shared" si="920"/>
        <v>0</v>
      </c>
      <c r="AL954" s="15">
        <f t="shared" si="921"/>
        <v>0</v>
      </c>
      <c r="AN954" s="29">
        <v>15</v>
      </c>
      <c r="AO954" s="29">
        <f t="shared" si="922"/>
        <v>0</v>
      </c>
      <c r="AP954" s="29">
        <f t="shared" si="923"/>
        <v>0</v>
      </c>
      <c r="AQ954" s="30" t="s">
        <v>7</v>
      </c>
      <c r="AV954" s="29">
        <f t="shared" si="924"/>
        <v>0</v>
      </c>
      <c r="AW954" s="29">
        <f t="shared" si="925"/>
        <v>0</v>
      </c>
      <c r="AX954" s="29">
        <f t="shared" si="926"/>
        <v>0</v>
      </c>
      <c r="AY954" s="32" t="s">
        <v>2933</v>
      </c>
      <c r="AZ954" s="32" t="s">
        <v>2953</v>
      </c>
      <c r="BA954" s="28" t="s">
        <v>2961</v>
      </c>
      <c r="BC954" s="29">
        <f t="shared" si="927"/>
        <v>0</v>
      </c>
      <c r="BD954" s="29">
        <f t="shared" si="928"/>
        <v>0</v>
      </c>
      <c r="BE954" s="29">
        <v>0</v>
      </c>
      <c r="BF954" s="29">
        <f>954</f>
        <v>954</v>
      </c>
      <c r="BH954" s="15">
        <f t="shared" si="929"/>
        <v>0</v>
      </c>
      <c r="BI954" s="15">
        <f t="shared" si="930"/>
        <v>0</v>
      </c>
      <c r="BJ954" s="15">
        <f t="shared" si="931"/>
        <v>0</v>
      </c>
      <c r="BK954" s="15" t="s">
        <v>2969</v>
      </c>
      <c r="BL954" s="29">
        <v>8</v>
      </c>
    </row>
    <row r="955" spans="1:64" ht="12.75">
      <c r="A955" s="4" t="s">
        <v>886</v>
      </c>
      <c r="B955" s="94" t="s">
        <v>1841</v>
      </c>
      <c r="C955" s="152" t="s">
        <v>2729</v>
      </c>
      <c r="D955" s="153"/>
      <c r="E955" s="153"/>
      <c r="F955" s="153"/>
      <c r="G955" s="94" t="s">
        <v>2851</v>
      </c>
      <c r="H955" s="73">
        <v>2.5</v>
      </c>
      <c r="I955" s="105">
        <v>0</v>
      </c>
      <c r="J955" s="15">
        <f t="shared" si="908"/>
        <v>0</v>
      </c>
      <c r="K955" s="15">
        <f t="shared" si="909"/>
        <v>0</v>
      </c>
      <c r="L955" s="15">
        <f t="shared" si="910"/>
        <v>0</v>
      </c>
      <c r="M955" s="25"/>
      <c r="N955" s="5"/>
      <c r="Z955" s="29">
        <f t="shared" si="911"/>
        <v>0</v>
      </c>
      <c r="AB955" s="29">
        <f t="shared" si="912"/>
        <v>0</v>
      </c>
      <c r="AC955" s="29">
        <f t="shared" si="913"/>
        <v>0</v>
      </c>
      <c r="AD955" s="29">
        <f t="shared" si="914"/>
        <v>0</v>
      </c>
      <c r="AE955" s="29">
        <f t="shared" si="915"/>
        <v>0</v>
      </c>
      <c r="AF955" s="29">
        <f t="shared" si="916"/>
        <v>0</v>
      </c>
      <c r="AG955" s="29">
        <f t="shared" si="917"/>
        <v>0</v>
      </c>
      <c r="AH955" s="29">
        <f t="shared" si="918"/>
        <v>0</v>
      </c>
      <c r="AI955" s="28" t="s">
        <v>2886</v>
      </c>
      <c r="AJ955" s="15">
        <f t="shared" si="919"/>
        <v>0</v>
      </c>
      <c r="AK955" s="15">
        <f t="shared" si="920"/>
        <v>0</v>
      </c>
      <c r="AL955" s="15">
        <f t="shared" si="921"/>
        <v>0</v>
      </c>
      <c r="AN955" s="29">
        <v>15</v>
      </c>
      <c r="AO955" s="29">
        <f t="shared" si="922"/>
        <v>0</v>
      </c>
      <c r="AP955" s="29">
        <f t="shared" si="923"/>
        <v>0</v>
      </c>
      <c r="AQ955" s="30" t="s">
        <v>7</v>
      </c>
      <c r="AV955" s="29">
        <f t="shared" si="924"/>
        <v>0</v>
      </c>
      <c r="AW955" s="29">
        <f t="shared" si="925"/>
        <v>0</v>
      </c>
      <c r="AX955" s="29">
        <f t="shared" si="926"/>
        <v>0</v>
      </c>
      <c r="AY955" s="32" t="s">
        <v>2933</v>
      </c>
      <c r="AZ955" s="32" t="s">
        <v>2953</v>
      </c>
      <c r="BA955" s="28" t="s">
        <v>2961</v>
      </c>
      <c r="BC955" s="29">
        <f t="shared" si="927"/>
        <v>0</v>
      </c>
      <c r="BD955" s="29">
        <f t="shared" si="928"/>
        <v>0</v>
      </c>
      <c r="BE955" s="29">
        <v>0</v>
      </c>
      <c r="BF955" s="29">
        <f>955</f>
        <v>955</v>
      </c>
      <c r="BH955" s="15">
        <f t="shared" si="929"/>
        <v>0</v>
      </c>
      <c r="BI955" s="15">
        <f t="shared" si="930"/>
        <v>0</v>
      </c>
      <c r="BJ955" s="15">
        <f t="shared" si="931"/>
        <v>0</v>
      </c>
      <c r="BK955" s="15" t="s">
        <v>2969</v>
      </c>
      <c r="BL955" s="29">
        <v>8</v>
      </c>
    </row>
    <row r="956" spans="1:64" ht="12.75">
      <c r="A956" s="4" t="s">
        <v>887</v>
      </c>
      <c r="B956" s="94" t="s">
        <v>1842</v>
      </c>
      <c r="C956" s="152" t="s">
        <v>2763</v>
      </c>
      <c r="D956" s="153"/>
      <c r="E956" s="153"/>
      <c r="F956" s="153"/>
      <c r="G956" s="94" t="s">
        <v>2850</v>
      </c>
      <c r="H956" s="73">
        <v>2</v>
      </c>
      <c r="I956" s="105">
        <v>0</v>
      </c>
      <c r="J956" s="15">
        <f t="shared" si="908"/>
        <v>0</v>
      </c>
      <c r="K956" s="15">
        <f t="shared" si="909"/>
        <v>0</v>
      </c>
      <c r="L956" s="15">
        <f t="shared" si="910"/>
        <v>0</v>
      </c>
      <c r="M956" s="25"/>
      <c r="N956" s="5"/>
      <c r="Z956" s="29">
        <f t="shared" si="911"/>
        <v>0</v>
      </c>
      <c r="AB956" s="29">
        <f t="shared" si="912"/>
        <v>0</v>
      </c>
      <c r="AC956" s="29">
        <f t="shared" si="913"/>
        <v>0</v>
      </c>
      <c r="AD956" s="29">
        <f t="shared" si="914"/>
        <v>0</v>
      </c>
      <c r="AE956" s="29">
        <f t="shared" si="915"/>
        <v>0</v>
      </c>
      <c r="AF956" s="29">
        <f t="shared" si="916"/>
        <v>0</v>
      </c>
      <c r="AG956" s="29">
        <f t="shared" si="917"/>
        <v>0</v>
      </c>
      <c r="AH956" s="29">
        <f t="shared" si="918"/>
        <v>0</v>
      </c>
      <c r="AI956" s="28" t="s">
        <v>2886</v>
      </c>
      <c r="AJ956" s="15">
        <f t="shared" si="919"/>
        <v>0</v>
      </c>
      <c r="AK956" s="15">
        <f t="shared" si="920"/>
        <v>0</v>
      </c>
      <c r="AL956" s="15">
        <f t="shared" si="921"/>
        <v>0</v>
      </c>
      <c r="AN956" s="29">
        <v>15</v>
      </c>
      <c r="AO956" s="29">
        <f t="shared" si="922"/>
        <v>0</v>
      </c>
      <c r="AP956" s="29">
        <f t="shared" si="923"/>
        <v>0</v>
      </c>
      <c r="AQ956" s="30" t="s">
        <v>7</v>
      </c>
      <c r="AV956" s="29">
        <f t="shared" si="924"/>
        <v>0</v>
      </c>
      <c r="AW956" s="29">
        <f t="shared" si="925"/>
        <v>0</v>
      </c>
      <c r="AX956" s="29">
        <f t="shared" si="926"/>
        <v>0</v>
      </c>
      <c r="AY956" s="32" t="s">
        <v>2933</v>
      </c>
      <c r="AZ956" s="32" t="s">
        <v>2953</v>
      </c>
      <c r="BA956" s="28" t="s">
        <v>2961</v>
      </c>
      <c r="BC956" s="29">
        <f t="shared" si="927"/>
        <v>0</v>
      </c>
      <c r="BD956" s="29">
        <f t="shared" si="928"/>
        <v>0</v>
      </c>
      <c r="BE956" s="29">
        <v>0</v>
      </c>
      <c r="BF956" s="29">
        <f>956</f>
        <v>956</v>
      </c>
      <c r="BH956" s="15">
        <f t="shared" si="929"/>
        <v>0</v>
      </c>
      <c r="BI956" s="15">
        <f t="shared" si="930"/>
        <v>0</v>
      </c>
      <c r="BJ956" s="15">
        <f t="shared" si="931"/>
        <v>0</v>
      </c>
      <c r="BK956" s="15" t="s">
        <v>2969</v>
      </c>
      <c r="BL956" s="29">
        <v>8</v>
      </c>
    </row>
    <row r="957" spans="1:64" ht="12.75">
      <c r="A957" s="4" t="s">
        <v>888</v>
      </c>
      <c r="B957" s="94" t="s">
        <v>1843</v>
      </c>
      <c r="C957" s="152" t="s">
        <v>2764</v>
      </c>
      <c r="D957" s="153"/>
      <c r="E957" s="153"/>
      <c r="F957" s="153"/>
      <c r="G957" s="94" t="s">
        <v>2850</v>
      </c>
      <c r="H957" s="73">
        <v>1</v>
      </c>
      <c r="I957" s="105">
        <v>0</v>
      </c>
      <c r="J957" s="15">
        <f t="shared" si="908"/>
        <v>0</v>
      </c>
      <c r="K957" s="15">
        <f t="shared" si="909"/>
        <v>0</v>
      </c>
      <c r="L957" s="15">
        <f t="shared" si="910"/>
        <v>0</v>
      </c>
      <c r="M957" s="25"/>
      <c r="N957" s="5"/>
      <c r="Z957" s="29">
        <f t="shared" si="911"/>
        <v>0</v>
      </c>
      <c r="AB957" s="29">
        <f t="shared" si="912"/>
        <v>0</v>
      </c>
      <c r="AC957" s="29">
        <f t="shared" si="913"/>
        <v>0</v>
      </c>
      <c r="AD957" s="29">
        <f t="shared" si="914"/>
        <v>0</v>
      </c>
      <c r="AE957" s="29">
        <f t="shared" si="915"/>
        <v>0</v>
      </c>
      <c r="AF957" s="29">
        <f t="shared" si="916"/>
        <v>0</v>
      </c>
      <c r="AG957" s="29">
        <f t="shared" si="917"/>
        <v>0</v>
      </c>
      <c r="AH957" s="29">
        <f t="shared" si="918"/>
        <v>0</v>
      </c>
      <c r="AI957" s="28" t="s">
        <v>2886</v>
      </c>
      <c r="AJ957" s="15">
        <f t="shared" si="919"/>
        <v>0</v>
      </c>
      <c r="AK957" s="15">
        <f t="shared" si="920"/>
        <v>0</v>
      </c>
      <c r="AL957" s="15">
        <f t="shared" si="921"/>
        <v>0</v>
      </c>
      <c r="AN957" s="29">
        <v>15</v>
      </c>
      <c r="AO957" s="29">
        <f t="shared" si="922"/>
        <v>0</v>
      </c>
      <c r="AP957" s="29">
        <f t="shared" si="923"/>
        <v>0</v>
      </c>
      <c r="AQ957" s="30" t="s">
        <v>7</v>
      </c>
      <c r="AV957" s="29">
        <f t="shared" si="924"/>
        <v>0</v>
      </c>
      <c r="AW957" s="29">
        <f t="shared" si="925"/>
        <v>0</v>
      </c>
      <c r="AX957" s="29">
        <f t="shared" si="926"/>
        <v>0</v>
      </c>
      <c r="AY957" s="32" t="s">
        <v>2933</v>
      </c>
      <c r="AZ957" s="32" t="s">
        <v>2953</v>
      </c>
      <c r="BA957" s="28" t="s">
        <v>2961</v>
      </c>
      <c r="BC957" s="29">
        <f t="shared" si="927"/>
        <v>0</v>
      </c>
      <c r="BD957" s="29">
        <f t="shared" si="928"/>
        <v>0</v>
      </c>
      <c r="BE957" s="29">
        <v>0</v>
      </c>
      <c r="BF957" s="29">
        <f>957</f>
        <v>957</v>
      </c>
      <c r="BH957" s="15">
        <f t="shared" si="929"/>
        <v>0</v>
      </c>
      <c r="BI957" s="15">
        <f t="shared" si="930"/>
        <v>0</v>
      </c>
      <c r="BJ957" s="15">
        <f t="shared" si="931"/>
        <v>0</v>
      </c>
      <c r="BK957" s="15" t="s">
        <v>2969</v>
      </c>
      <c r="BL957" s="29">
        <v>8</v>
      </c>
    </row>
    <row r="958" spans="1:64" ht="12.75">
      <c r="A958" s="4" t="s">
        <v>889</v>
      </c>
      <c r="B958" s="94" t="s">
        <v>1844</v>
      </c>
      <c r="C958" s="152" t="s">
        <v>2735</v>
      </c>
      <c r="D958" s="153"/>
      <c r="E958" s="153"/>
      <c r="F958" s="153"/>
      <c r="G958" s="94" t="s">
        <v>2850</v>
      </c>
      <c r="H958" s="73">
        <v>2</v>
      </c>
      <c r="I958" s="105">
        <v>0</v>
      </c>
      <c r="J958" s="15">
        <f t="shared" si="908"/>
        <v>0</v>
      </c>
      <c r="K958" s="15">
        <f t="shared" si="909"/>
        <v>0</v>
      </c>
      <c r="L958" s="15">
        <f t="shared" si="910"/>
        <v>0</v>
      </c>
      <c r="M958" s="25"/>
      <c r="N958" s="5"/>
      <c r="Z958" s="29">
        <f t="shared" si="911"/>
        <v>0</v>
      </c>
      <c r="AB958" s="29">
        <f t="shared" si="912"/>
        <v>0</v>
      </c>
      <c r="AC958" s="29">
        <f t="shared" si="913"/>
        <v>0</v>
      </c>
      <c r="AD958" s="29">
        <f t="shared" si="914"/>
        <v>0</v>
      </c>
      <c r="AE958" s="29">
        <f t="shared" si="915"/>
        <v>0</v>
      </c>
      <c r="AF958" s="29">
        <f t="shared" si="916"/>
        <v>0</v>
      </c>
      <c r="AG958" s="29">
        <f t="shared" si="917"/>
        <v>0</v>
      </c>
      <c r="AH958" s="29">
        <f t="shared" si="918"/>
        <v>0</v>
      </c>
      <c r="AI958" s="28" t="s">
        <v>2886</v>
      </c>
      <c r="AJ958" s="15">
        <f t="shared" si="919"/>
        <v>0</v>
      </c>
      <c r="AK958" s="15">
        <f t="shared" si="920"/>
        <v>0</v>
      </c>
      <c r="AL958" s="15">
        <f t="shared" si="921"/>
        <v>0</v>
      </c>
      <c r="AN958" s="29">
        <v>15</v>
      </c>
      <c r="AO958" s="29">
        <f t="shared" si="922"/>
        <v>0</v>
      </c>
      <c r="AP958" s="29">
        <f t="shared" si="923"/>
        <v>0</v>
      </c>
      <c r="AQ958" s="30" t="s">
        <v>7</v>
      </c>
      <c r="AV958" s="29">
        <f t="shared" si="924"/>
        <v>0</v>
      </c>
      <c r="AW958" s="29">
        <f t="shared" si="925"/>
        <v>0</v>
      </c>
      <c r="AX958" s="29">
        <f t="shared" si="926"/>
        <v>0</v>
      </c>
      <c r="AY958" s="32" t="s">
        <v>2933</v>
      </c>
      <c r="AZ958" s="32" t="s">
        <v>2953</v>
      </c>
      <c r="BA958" s="28" t="s">
        <v>2961</v>
      </c>
      <c r="BC958" s="29">
        <f t="shared" si="927"/>
        <v>0</v>
      </c>
      <c r="BD958" s="29">
        <f t="shared" si="928"/>
        <v>0</v>
      </c>
      <c r="BE958" s="29">
        <v>0</v>
      </c>
      <c r="BF958" s="29">
        <f>958</f>
        <v>958</v>
      </c>
      <c r="BH958" s="15">
        <f t="shared" si="929"/>
        <v>0</v>
      </c>
      <c r="BI958" s="15">
        <f t="shared" si="930"/>
        <v>0</v>
      </c>
      <c r="BJ958" s="15">
        <f t="shared" si="931"/>
        <v>0</v>
      </c>
      <c r="BK958" s="15" t="s">
        <v>2969</v>
      </c>
      <c r="BL958" s="29">
        <v>8</v>
      </c>
    </row>
    <row r="959" spans="1:64" ht="12.75">
      <c r="A959" s="4" t="s">
        <v>890</v>
      </c>
      <c r="B959" s="94" t="s">
        <v>1845</v>
      </c>
      <c r="C959" s="152" t="s">
        <v>2736</v>
      </c>
      <c r="D959" s="153"/>
      <c r="E959" s="153"/>
      <c r="F959" s="153"/>
      <c r="G959" s="94" t="s">
        <v>2850</v>
      </c>
      <c r="H959" s="73">
        <v>2</v>
      </c>
      <c r="I959" s="105">
        <v>0</v>
      </c>
      <c r="J959" s="15">
        <f t="shared" si="908"/>
        <v>0</v>
      </c>
      <c r="K959" s="15">
        <f t="shared" si="909"/>
        <v>0</v>
      </c>
      <c r="L959" s="15">
        <f t="shared" si="910"/>
        <v>0</v>
      </c>
      <c r="M959" s="25"/>
      <c r="N959" s="5"/>
      <c r="Z959" s="29">
        <f t="shared" si="911"/>
        <v>0</v>
      </c>
      <c r="AB959" s="29">
        <f t="shared" si="912"/>
        <v>0</v>
      </c>
      <c r="AC959" s="29">
        <f t="shared" si="913"/>
        <v>0</v>
      </c>
      <c r="AD959" s="29">
        <f t="shared" si="914"/>
        <v>0</v>
      </c>
      <c r="AE959" s="29">
        <f t="shared" si="915"/>
        <v>0</v>
      </c>
      <c r="AF959" s="29">
        <f t="shared" si="916"/>
        <v>0</v>
      </c>
      <c r="AG959" s="29">
        <f t="shared" si="917"/>
        <v>0</v>
      </c>
      <c r="AH959" s="29">
        <f t="shared" si="918"/>
        <v>0</v>
      </c>
      <c r="AI959" s="28" t="s">
        <v>2886</v>
      </c>
      <c r="AJ959" s="15">
        <f t="shared" si="919"/>
        <v>0</v>
      </c>
      <c r="AK959" s="15">
        <f t="shared" si="920"/>
        <v>0</v>
      </c>
      <c r="AL959" s="15">
        <f t="shared" si="921"/>
        <v>0</v>
      </c>
      <c r="AN959" s="29">
        <v>15</v>
      </c>
      <c r="AO959" s="29">
        <f t="shared" si="922"/>
        <v>0</v>
      </c>
      <c r="AP959" s="29">
        <f t="shared" si="923"/>
        <v>0</v>
      </c>
      <c r="AQ959" s="30" t="s">
        <v>7</v>
      </c>
      <c r="AV959" s="29">
        <f t="shared" si="924"/>
        <v>0</v>
      </c>
      <c r="AW959" s="29">
        <f t="shared" si="925"/>
        <v>0</v>
      </c>
      <c r="AX959" s="29">
        <f t="shared" si="926"/>
        <v>0</v>
      </c>
      <c r="AY959" s="32" t="s">
        <v>2933</v>
      </c>
      <c r="AZ959" s="32" t="s">
        <v>2953</v>
      </c>
      <c r="BA959" s="28" t="s">
        <v>2961</v>
      </c>
      <c r="BC959" s="29">
        <f t="shared" si="927"/>
        <v>0</v>
      </c>
      <c r="BD959" s="29">
        <f t="shared" si="928"/>
        <v>0</v>
      </c>
      <c r="BE959" s="29">
        <v>0</v>
      </c>
      <c r="BF959" s="29">
        <f>959</f>
        <v>959</v>
      </c>
      <c r="BH959" s="15">
        <f t="shared" si="929"/>
        <v>0</v>
      </c>
      <c r="BI959" s="15">
        <f t="shared" si="930"/>
        <v>0</v>
      </c>
      <c r="BJ959" s="15">
        <f t="shared" si="931"/>
        <v>0</v>
      </c>
      <c r="BK959" s="15" t="s">
        <v>2969</v>
      </c>
      <c r="BL959" s="29">
        <v>8</v>
      </c>
    </row>
    <row r="960" spans="1:64" ht="12.75">
      <c r="A960" s="4" t="s">
        <v>891</v>
      </c>
      <c r="B960" s="94" t="s">
        <v>1846</v>
      </c>
      <c r="C960" s="152" t="s">
        <v>2737</v>
      </c>
      <c r="D960" s="153"/>
      <c r="E960" s="153"/>
      <c r="F960" s="153"/>
      <c r="G960" s="94" t="s">
        <v>2850</v>
      </c>
      <c r="H960" s="73">
        <v>2</v>
      </c>
      <c r="I960" s="105">
        <v>0</v>
      </c>
      <c r="J960" s="15">
        <f t="shared" si="908"/>
        <v>0</v>
      </c>
      <c r="K960" s="15">
        <f t="shared" si="909"/>
        <v>0</v>
      </c>
      <c r="L960" s="15">
        <f t="shared" si="910"/>
        <v>0</v>
      </c>
      <c r="M960" s="25"/>
      <c r="N960" s="5"/>
      <c r="Z960" s="29">
        <f t="shared" si="911"/>
        <v>0</v>
      </c>
      <c r="AB960" s="29">
        <f t="shared" si="912"/>
        <v>0</v>
      </c>
      <c r="AC960" s="29">
        <f t="shared" si="913"/>
        <v>0</v>
      </c>
      <c r="AD960" s="29">
        <f t="shared" si="914"/>
        <v>0</v>
      </c>
      <c r="AE960" s="29">
        <f t="shared" si="915"/>
        <v>0</v>
      </c>
      <c r="AF960" s="29">
        <f t="shared" si="916"/>
        <v>0</v>
      </c>
      <c r="AG960" s="29">
        <f t="shared" si="917"/>
        <v>0</v>
      </c>
      <c r="AH960" s="29">
        <f t="shared" si="918"/>
        <v>0</v>
      </c>
      <c r="AI960" s="28" t="s">
        <v>2886</v>
      </c>
      <c r="AJ960" s="15">
        <f t="shared" si="919"/>
        <v>0</v>
      </c>
      <c r="AK960" s="15">
        <f t="shared" si="920"/>
        <v>0</v>
      </c>
      <c r="AL960" s="15">
        <f t="shared" si="921"/>
        <v>0</v>
      </c>
      <c r="AN960" s="29">
        <v>15</v>
      </c>
      <c r="AO960" s="29">
        <f t="shared" si="922"/>
        <v>0</v>
      </c>
      <c r="AP960" s="29">
        <f t="shared" si="923"/>
        <v>0</v>
      </c>
      <c r="AQ960" s="30" t="s">
        <v>7</v>
      </c>
      <c r="AV960" s="29">
        <f t="shared" si="924"/>
        <v>0</v>
      </c>
      <c r="AW960" s="29">
        <f t="shared" si="925"/>
        <v>0</v>
      </c>
      <c r="AX960" s="29">
        <f t="shared" si="926"/>
        <v>0</v>
      </c>
      <c r="AY960" s="32" t="s">
        <v>2933</v>
      </c>
      <c r="AZ960" s="32" t="s">
        <v>2953</v>
      </c>
      <c r="BA960" s="28" t="s">
        <v>2961</v>
      </c>
      <c r="BC960" s="29">
        <f t="shared" si="927"/>
        <v>0</v>
      </c>
      <c r="BD960" s="29">
        <f t="shared" si="928"/>
        <v>0</v>
      </c>
      <c r="BE960" s="29">
        <v>0</v>
      </c>
      <c r="BF960" s="29">
        <f>960</f>
        <v>960</v>
      </c>
      <c r="BH960" s="15">
        <f t="shared" si="929"/>
        <v>0</v>
      </c>
      <c r="BI960" s="15">
        <f t="shared" si="930"/>
        <v>0</v>
      </c>
      <c r="BJ960" s="15">
        <f t="shared" si="931"/>
        <v>0</v>
      </c>
      <c r="BK960" s="15" t="s">
        <v>2969</v>
      </c>
      <c r="BL960" s="29">
        <v>8</v>
      </c>
    </row>
    <row r="961" spans="1:64" ht="12.75">
      <c r="A961" s="4" t="s">
        <v>892</v>
      </c>
      <c r="B961" s="94" t="s">
        <v>1847</v>
      </c>
      <c r="C961" s="152" t="s">
        <v>2765</v>
      </c>
      <c r="D961" s="153"/>
      <c r="E961" s="153"/>
      <c r="F961" s="153"/>
      <c r="G961" s="94" t="s">
        <v>2850</v>
      </c>
      <c r="H961" s="73">
        <v>2</v>
      </c>
      <c r="I961" s="105">
        <v>0</v>
      </c>
      <c r="J961" s="15">
        <f t="shared" si="908"/>
        <v>0</v>
      </c>
      <c r="K961" s="15">
        <f t="shared" si="909"/>
        <v>0</v>
      </c>
      <c r="L961" s="15">
        <f t="shared" si="910"/>
        <v>0</v>
      </c>
      <c r="M961" s="25"/>
      <c r="N961" s="5"/>
      <c r="Z961" s="29">
        <f t="shared" si="911"/>
        <v>0</v>
      </c>
      <c r="AB961" s="29">
        <f t="shared" si="912"/>
        <v>0</v>
      </c>
      <c r="AC961" s="29">
        <f t="shared" si="913"/>
        <v>0</v>
      </c>
      <c r="AD961" s="29">
        <f t="shared" si="914"/>
        <v>0</v>
      </c>
      <c r="AE961" s="29">
        <f t="shared" si="915"/>
        <v>0</v>
      </c>
      <c r="AF961" s="29">
        <f t="shared" si="916"/>
        <v>0</v>
      </c>
      <c r="AG961" s="29">
        <f t="shared" si="917"/>
        <v>0</v>
      </c>
      <c r="AH961" s="29">
        <f t="shared" si="918"/>
        <v>0</v>
      </c>
      <c r="AI961" s="28" t="s">
        <v>2886</v>
      </c>
      <c r="AJ961" s="15">
        <f t="shared" si="919"/>
        <v>0</v>
      </c>
      <c r="AK961" s="15">
        <f t="shared" si="920"/>
        <v>0</v>
      </c>
      <c r="AL961" s="15">
        <f t="shared" si="921"/>
        <v>0</v>
      </c>
      <c r="AN961" s="29">
        <v>15</v>
      </c>
      <c r="AO961" s="29">
        <f t="shared" si="922"/>
        <v>0</v>
      </c>
      <c r="AP961" s="29">
        <f t="shared" si="923"/>
        <v>0</v>
      </c>
      <c r="AQ961" s="30" t="s">
        <v>7</v>
      </c>
      <c r="AV961" s="29">
        <f t="shared" si="924"/>
        <v>0</v>
      </c>
      <c r="AW961" s="29">
        <f t="shared" si="925"/>
        <v>0</v>
      </c>
      <c r="AX961" s="29">
        <f t="shared" si="926"/>
        <v>0</v>
      </c>
      <c r="AY961" s="32" t="s">
        <v>2933</v>
      </c>
      <c r="AZ961" s="32" t="s">
        <v>2953</v>
      </c>
      <c r="BA961" s="28" t="s">
        <v>2961</v>
      </c>
      <c r="BC961" s="29">
        <f t="shared" si="927"/>
        <v>0</v>
      </c>
      <c r="BD961" s="29">
        <f t="shared" si="928"/>
        <v>0</v>
      </c>
      <c r="BE961" s="29">
        <v>0</v>
      </c>
      <c r="BF961" s="29">
        <f>961</f>
        <v>961</v>
      </c>
      <c r="BH961" s="15">
        <f t="shared" si="929"/>
        <v>0</v>
      </c>
      <c r="BI961" s="15">
        <f t="shared" si="930"/>
        <v>0</v>
      </c>
      <c r="BJ961" s="15">
        <f t="shared" si="931"/>
        <v>0</v>
      </c>
      <c r="BK961" s="15" t="s">
        <v>2969</v>
      </c>
      <c r="BL961" s="29">
        <v>8</v>
      </c>
    </row>
    <row r="962" spans="1:64" ht="12.75">
      <c r="A962" s="4" t="s">
        <v>893</v>
      </c>
      <c r="B962" s="94" t="s">
        <v>1848</v>
      </c>
      <c r="C962" s="152" t="s">
        <v>2766</v>
      </c>
      <c r="D962" s="153"/>
      <c r="E962" s="153"/>
      <c r="F962" s="153"/>
      <c r="G962" s="94" t="s">
        <v>2850</v>
      </c>
      <c r="H962" s="73">
        <v>1</v>
      </c>
      <c r="I962" s="105">
        <v>0</v>
      </c>
      <c r="J962" s="15">
        <f t="shared" si="908"/>
        <v>0</v>
      </c>
      <c r="K962" s="15">
        <f t="shared" si="909"/>
        <v>0</v>
      </c>
      <c r="L962" s="15">
        <f t="shared" si="910"/>
        <v>0</v>
      </c>
      <c r="M962" s="25"/>
      <c r="N962" s="5"/>
      <c r="Z962" s="29">
        <f t="shared" si="911"/>
        <v>0</v>
      </c>
      <c r="AB962" s="29">
        <f t="shared" si="912"/>
        <v>0</v>
      </c>
      <c r="AC962" s="29">
        <f t="shared" si="913"/>
        <v>0</v>
      </c>
      <c r="AD962" s="29">
        <f t="shared" si="914"/>
        <v>0</v>
      </c>
      <c r="AE962" s="29">
        <f t="shared" si="915"/>
        <v>0</v>
      </c>
      <c r="AF962" s="29">
        <f t="shared" si="916"/>
        <v>0</v>
      </c>
      <c r="AG962" s="29">
        <f t="shared" si="917"/>
        <v>0</v>
      </c>
      <c r="AH962" s="29">
        <f t="shared" si="918"/>
        <v>0</v>
      </c>
      <c r="AI962" s="28" t="s">
        <v>2886</v>
      </c>
      <c r="AJ962" s="15">
        <f t="shared" si="919"/>
        <v>0</v>
      </c>
      <c r="AK962" s="15">
        <f t="shared" si="920"/>
        <v>0</v>
      </c>
      <c r="AL962" s="15">
        <f t="shared" si="921"/>
        <v>0</v>
      </c>
      <c r="AN962" s="29">
        <v>15</v>
      </c>
      <c r="AO962" s="29">
        <f t="shared" si="922"/>
        <v>0</v>
      </c>
      <c r="AP962" s="29">
        <f t="shared" si="923"/>
        <v>0</v>
      </c>
      <c r="AQ962" s="30" t="s">
        <v>7</v>
      </c>
      <c r="AV962" s="29">
        <f t="shared" si="924"/>
        <v>0</v>
      </c>
      <c r="AW962" s="29">
        <f t="shared" si="925"/>
        <v>0</v>
      </c>
      <c r="AX962" s="29">
        <f t="shared" si="926"/>
        <v>0</v>
      </c>
      <c r="AY962" s="32" t="s">
        <v>2933</v>
      </c>
      <c r="AZ962" s="32" t="s">
        <v>2953</v>
      </c>
      <c r="BA962" s="28" t="s">
        <v>2961</v>
      </c>
      <c r="BC962" s="29">
        <f t="shared" si="927"/>
        <v>0</v>
      </c>
      <c r="BD962" s="29">
        <f t="shared" si="928"/>
        <v>0</v>
      </c>
      <c r="BE962" s="29">
        <v>0</v>
      </c>
      <c r="BF962" s="29">
        <f>962</f>
        <v>962</v>
      </c>
      <c r="BH962" s="15">
        <f t="shared" si="929"/>
        <v>0</v>
      </c>
      <c r="BI962" s="15">
        <f t="shared" si="930"/>
        <v>0</v>
      </c>
      <c r="BJ962" s="15">
        <f t="shared" si="931"/>
        <v>0</v>
      </c>
      <c r="BK962" s="15" t="s">
        <v>2969</v>
      </c>
      <c r="BL962" s="29">
        <v>8</v>
      </c>
    </row>
    <row r="963" spans="1:64" ht="12.75">
      <c r="A963" s="4" t="s">
        <v>894</v>
      </c>
      <c r="B963" s="94" t="s">
        <v>1849</v>
      </c>
      <c r="C963" s="152" t="s">
        <v>2767</v>
      </c>
      <c r="D963" s="153"/>
      <c r="E963" s="153"/>
      <c r="F963" s="153"/>
      <c r="G963" s="94" t="s">
        <v>2850</v>
      </c>
      <c r="H963" s="73">
        <v>2</v>
      </c>
      <c r="I963" s="105">
        <v>0</v>
      </c>
      <c r="J963" s="15">
        <f t="shared" si="908"/>
        <v>0</v>
      </c>
      <c r="K963" s="15">
        <f t="shared" si="909"/>
        <v>0</v>
      </c>
      <c r="L963" s="15">
        <f t="shared" si="910"/>
        <v>0</v>
      </c>
      <c r="M963" s="25"/>
      <c r="N963" s="5"/>
      <c r="Z963" s="29">
        <f t="shared" si="911"/>
        <v>0</v>
      </c>
      <c r="AB963" s="29">
        <f t="shared" si="912"/>
        <v>0</v>
      </c>
      <c r="AC963" s="29">
        <f t="shared" si="913"/>
        <v>0</v>
      </c>
      <c r="AD963" s="29">
        <f t="shared" si="914"/>
        <v>0</v>
      </c>
      <c r="AE963" s="29">
        <f t="shared" si="915"/>
        <v>0</v>
      </c>
      <c r="AF963" s="29">
        <f t="shared" si="916"/>
        <v>0</v>
      </c>
      <c r="AG963" s="29">
        <f t="shared" si="917"/>
        <v>0</v>
      </c>
      <c r="AH963" s="29">
        <f t="shared" si="918"/>
        <v>0</v>
      </c>
      <c r="AI963" s="28" t="s">
        <v>2886</v>
      </c>
      <c r="AJ963" s="15">
        <f t="shared" si="919"/>
        <v>0</v>
      </c>
      <c r="AK963" s="15">
        <f t="shared" si="920"/>
        <v>0</v>
      </c>
      <c r="AL963" s="15">
        <f t="shared" si="921"/>
        <v>0</v>
      </c>
      <c r="AN963" s="29">
        <v>15</v>
      </c>
      <c r="AO963" s="29">
        <f t="shared" si="922"/>
        <v>0</v>
      </c>
      <c r="AP963" s="29">
        <f t="shared" si="923"/>
        <v>0</v>
      </c>
      <c r="AQ963" s="30" t="s">
        <v>7</v>
      </c>
      <c r="AV963" s="29">
        <f t="shared" si="924"/>
        <v>0</v>
      </c>
      <c r="AW963" s="29">
        <f t="shared" si="925"/>
        <v>0</v>
      </c>
      <c r="AX963" s="29">
        <f t="shared" si="926"/>
        <v>0</v>
      </c>
      <c r="AY963" s="32" t="s">
        <v>2933</v>
      </c>
      <c r="AZ963" s="32" t="s">
        <v>2953</v>
      </c>
      <c r="BA963" s="28" t="s">
        <v>2961</v>
      </c>
      <c r="BC963" s="29">
        <f t="shared" si="927"/>
        <v>0</v>
      </c>
      <c r="BD963" s="29">
        <f t="shared" si="928"/>
        <v>0</v>
      </c>
      <c r="BE963" s="29">
        <v>0</v>
      </c>
      <c r="BF963" s="29">
        <f>963</f>
        <v>963</v>
      </c>
      <c r="BH963" s="15">
        <f t="shared" si="929"/>
        <v>0</v>
      </c>
      <c r="BI963" s="15">
        <f t="shared" si="930"/>
        <v>0</v>
      </c>
      <c r="BJ963" s="15">
        <f t="shared" si="931"/>
        <v>0</v>
      </c>
      <c r="BK963" s="15" t="s">
        <v>2969</v>
      </c>
      <c r="BL963" s="29">
        <v>8</v>
      </c>
    </row>
    <row r="964" spans="1:64" ht="12.75">
      <c r="A964" s="4" t="s">
        <v>895</v>
      </c>
      <c r="B964" s="94" t="s">
        <v>1850</v>
      </c>
      <c r="C964" s="152" t="s">
        <v>2768</v>
      </c>
      <c r="D964" s="153"/>
      <c r="E964" s="153"/>
      <c r="F964" s="153"/>
      <c r="G964" s="94" t="s">
        <v>2850</v>
      </c>
      <c r="H964" s="73">
        <v>2</v>
      </c>
      <c r="I964" s="105">
        <v>0</v>
      </c>
      <c r="J964" s="15">
        <f t="shared" si="908"/>
        <v>0</v>
      </c>
      <c r="K964" s="15">
        <f t="shared" si="909"/>
        <v>0</v>
      </c>
      <c r="L964" s="15">
        <f t="shared" si="910"/>
        <v>0</v>
      </c>
      <c r="M964" s="25"/>
      <c r="N964" s="5"/>
      <c r="Z964" s="29">
        <f t="shared" si="911"/>
        <v>0</v>
      </c>
      <c r="AB964" s="29">
        <f t="shared" si="912"/>
        <v>0</v>
      </c>
      <c r="AC964" s="29">
        <f t="shared" si="913"/>
        <v>0</v>
      </c>
      <c r="AD964" s="29">
        <f t="shared" si="914"/>
        <v>0</v>
      </c>
      <c r="AE964" s="29">
        <f t="shared" si="915"/>
        <v>0</v>
      </c>
      <c r="AF964" s="29">
        <f t="shared" si="916"/>
        <v>0</v>
      </c>
      <c r="AG964" s="29">
        <f t="shared" si="917"/>
        <v>0</v>
      </c>
      <c r="AH964" s="29">
        <f t="shared" si="918"/>
        <v>0</v>
      </c>
      <c r="AI964" s="28" t="s">
        <v>2886</v>
      </c>
      <c r="AJ964" s="15">
        <f t="shared" si="919"/>
        <v>0</v>
      </c>
      <c r="AK964" s="15">
        <f t="shared" si="920"/>
        <v>0</v>
      </c>
      <c r="AL964" s="15">
        <f t="shared" si="921"/>
        <v>0</v>
      </c>
      <c r="AN964" s="29">
        <v>15</v>
      </c>
      <c r="AO964" s="29">
        <f t="shared" si="922"/>
        <v>0</v>
      </c>
      <c r="AP964" s="29">
        <f t="shared" si="923"/>
        <v>0</v>
      </c>
      <c r="AQ964" s="30" t="s">
        <v>7</v>
      </c>
      <c r="AV964" s="29">
        <f t="shared" si="924"/>
        <v>0</v>
      </c>
      <c r="AW964" s="29">
        <f t="shared" si="925"/>
        <v>0</v>
      </c>
      <c r="AX964" s="29">
        <f t="shared" si="926"/>
        <v>0</v>
      </c>
      <c r="AY964" s="32" t="s">
        <v>2933</v>
      </c>
      <c r="AZ964" s="32" t="s">
        <v>2953</v>
      </c>
      <c r="BA964" s="28" t="s">
        <v>2961</v>
      </c>
      <c r="BC964" s="29">
        <f t="shared" si="927"/>
        <v>0</v>
      </c>
      <c r="BD964" s="29">
        <f t="shared" si="928"/>
        <v>0</v>
      </c>
      <c r="BE964" s="29">
        <v>0</v>
      </c>
      <c r="BF964" s="29">
        <f>964</f>
        <v>964</v>
      </c>
      <c r="BH964" s="15">
        <f t="shared" si="929"/>
        <v>0</v>
      </c>
      <c r="BI964" s="15">
        <f t="shared" si="930"/>
        <v>0</v>
      </c>
      <c r="BJ964" s="15">
        <f t="shared" si="931"/>
        <v>0</v>
      </c>
      <c r="BK964" s="15" t="s">
        <v>2969</v>
      </c>
      <c r="BL964" s="29">
        <v>8</v>
      </c>
    </row>
    <row r="965" spans="1:64" ht="12.75">
      <c r="A965" s="4" t="s">
        <v>896</v>
      </c>
      <c r="B965" s="94" t="s">
        <v>1851</v>
      </c>
      <c r="C965" s="152" t="s">
        <v>2769</v>
      </c>
      <c r="D965" s="153"/>
      <c r="E965" s="153"/>
      <c r="F965" s="153"/>
      <c r="G965" s="94" t="s">
        <v>2850</v>
      </c>
      <c r="H965" s="73">
        <v>2</v>
      </c>
      <c r="I965" s="105">
        <v>0</v>
      </c>
      <c r="J965" s="15">
        <f t="shared" si="908"/>
        <v>0</v>
      </c>
      <c r="K965" s="15">
        <f t="shared" si="909"/>
        <v>0</v>
      </c>
      <c r="L965" s="15">
        <f t="shared" si="910"/>
        <v>0</v>
      </c>
      <c r="M965" s="25"/>
      <c r="N965" s="5"/>
      <c r="Z965" s="29">
        <f t="shared" si="911"/>
        <v>0</v>
      </c>
      <c r="AB965" s="29">
        <f t="shared" si="912"/>
        <v>0</v>
      </c>
      <c r="AC965" s="29">
        <f t="shared" si="913"/>
        <v>0</v>
      </c>
      <c r="AD965" s="29">
        <f t="shared" si="914"/>
        <v>0</v>
      </c>
      <c r="AE965" s="29">
        <f t="shared" si="915"/>
        <v>0</v>
      </c>
      <c r="AF965" s="29">
        <f t="shared" si="916"/>
        <v>0</v>
      </c>
      <c r="AG965" s="29">
        <f t="shared" si="917"/>
        <v>0</v>
      </c>
      <c r="AH965" s="29">
        <f t="shared" si="918"/>
        <v>0</v>
      </c>
      <c r="AI965" s="28" t="s">
        <v>2886</v>
      </c>
      <c r="AJ965" s="15">
        <f t="shared" si="919"/>
        <v>0</v>
      </c>
      <c r="AK965" s="15">
        <f t="shared" si="920"/>
        <v>0</v>
      </c>
      <c r="AL965" s="15">
        <f t="shared" si="921"/>
        <v>0</v>
      </c>
      <c r="AN965" s="29">
        <v>15</v>
      </c>
      <c r="AO965" s="29">
        <f t="shared" si="922"/>
        <v>0</v>
      </c>
      <c r="AP965" s="29">
        <f t="shared" si="923"/>
        <v>0</v>
      </c>
      <c r="AQ965" s="30" t="s">
        <v>7</v>
      </c>
      <c r="AV965" s="29">
        <f t="shared" si="924"/>
        <v>0</v>
      </c>
      <c r="AW965" s="29">
        <f t="shared" si="925"/>
        <v>0</v>
      </c>
      <c r="AX965" s="29">
        <f t="shared" si="926"/>
        <v>0</v>
      </c>
      <c r="AY965" s="32" t="s">
        <v>2933</v>
      </c>
      <c r="AZ965" s="32" t="s">
        <v>2953</v>
      </c>
      <c r="BA965" s="28" t="s">
        <v>2961</v>
      </c>
      <c r="BC965" s="29">
        <f t="shared" si="927"/>
        <v>0</v>
      </c>
      <c r="BD965" s="29">
        <f t="shared" si="928"/>
        <v>0</v>
      </c>
      <c r="BE965" s="29">
        <v>0</v>
      </c>
      <c r="BF965" s="29">
        <f>965</f>
        <v>965</v>
      </c>
      <c r="BH965" s="15">
        <f t="shared" si="929"/>
        <v>0</v>
      </c>
      <c r="BI965" s="15">
        <f t="shared" si="930"/>
        <v>0</v>
      </c>
      <c r="BJ965" s="15">
        <f t="shared" si="931"/>
        <v>0</v>
      </c>
      <c r="BK965" s="15" t="s">
        <v>2969</v>
      </c>
      <c r="BL965" s="29">
        <v>8</v>
      </c>
    </row>
    <row r="966" spans="1:64" ht="12.75">
      <c r="A966" s="4" t="s">
        <v>897</v>
      </c>
      <c r="B966" s="94" t="s">
        <v>1852</v>
      </c>
      <c r="C966" s="152" t="s">
        <v>2770</v>
      </c>
      <c r="D966" s="153"/>
      <c r="E966" s="153"/>
      <c r="F966" s="153"/>
      <c r="G966" s="94" t="s">
        <v>2850</v>
      </c>
      <c r="H966" s="73">
        <v>1</v>
      </c>
      <c r="I966" s="105">
        <v>0</v>
      </c>
      <c r="J966" s="15">
        <f t="shared" si="908"/>
        <v>0</v>
      </c>
      <c r="K966" s="15">
        <f t="shared" si="909"/>
        <v>0</v>
      </c>
      <c r="L966" s="15">
        <f t="shared" si="910"/>
        <v>0</v>
      </c>
      <c r="M966" s="25"/>
      <c r="N966" s="5"/>
      <c r="Z966" s="29">
        <f t="shared" si="911"/>
        <v>0</v>
      </c>
      <c r="AB966" s="29">
        <f t="shared" si="912"/>
        <v>0</v>
      </c>
      <c r="AC966" s="29">
        <f t="shared" si="913"/>
        <v>0</v>
      </c>
      <c r="AD966" s="29">
        <f t="shared" si="914"/>
        <v>0</v>
      </c>
      <c r="AE966" s="29">
        <f t="shared" si="915"/>
        <v>0</v>
      </c>
      <c r="AF966" s="29">
        <f t="shared" si="916"/>
        <v>0</v>
      </c>
      <c r="AG966" s="29">
        <f t="shared" si="917"/>
        <v>0</v>
      </c>
      <c r="AH966" s="29">
        <f t="shared" si="918"/>
        <v>0</v>
      </c>
      <c r="AI966" s="28" t="s">
        <v>2886</v>
      </c>
      <c r="AJ966" s="15">
        <f t="shared" si="919"/>
        <v>0</v>
      </c>
      <c r="AK966" s="15">
        <f t="shared" si="920"/>
        <v>0</v>
      </c>
      <c r="AL966" s="15">
        <f t="shared" si="921"/>
        <v>0</v>
      </c>
      <c r="AN966" s="29">
        <v>15</v>
      </c>
      <c r="AO966" s="29">
        <f t="shared" si="922"/>
        <v>0</v>
      </c>
      <c r="AP966" s="29">
        <f t="shared" si="923"/>
        <v>0</v>
      </c>
      <c r="AQ966" s="30" t="s">
        <v>7</v>
      </c>
      <c r="AV966" s="29">
        <f t="shared" si="924"/>
        <v>0</v>
      </c>
      <c r="AW966" s="29">
        <f t="shared" si="925"/>
        <v>0</v>
      </c>
      <c r="AX966" s="29">
        <f t="shared" si="926"/>
        <v>0</v>
      </c>
      <c r="AY966" s="32" t="s">
        <v>2933</v>
      </c>
      <c r="AZ966" s="32" t="s">
        <v>2953</v>
      </c>
      <c r="BA966" s="28" t="s">
        <v>2961</v>
      </c>
      <c r="BC966" s="29">
        <f t="shared" si="927"/>
        <v>0</v>
      </c>
      <c r="BD966" s="29">
        <f t="shared" si="928"/>
        <v>0</v>
      </c>
      <c r="BE966" s="29">
        <v>0</v>
      </c>
      <c r="BF966" s="29">
        <f>966</f>
        <v>966</v>
      </c>
      <c r="BH966" s="15">
        <f t="shared" si="929"/>
        <v>0</v>
      </c>
      <c r="BI966" s="15">
        <f t="shared" si="930"/>
        <v>0</v>
      </c>
      <c r="BJ966" s="15">
        <f t="shared" si="931"/>
        <v>0</v>
      </c>
      <c r="BK966" s="15" t="s">
        <v>2969</v>
      </c>
      <c r="BL966" s="29">
        <v>8</v>
      </c>
    </row>
    <row r="967" spans="1:64" ht="12.75">
      <c r="A967" s="4" t="s">
        <v>898</v>
      </c>
      <c r="B967" s="94" t="s">
        <v>1853</v>
      </c>
      <c r="C967" s="152" t="s">
        <v>2771</v>
      </c>
      <c r="D967" s="153"/>
      <c r="E967" s="153"/>
      <c r="F967" s="153"/>
      <c r="G967" s="94" t="s">
        <v>2850</v>
      </c>
      <c r="H967" s="73">
        <v>1</v>
      </c>
      <c r="I967" s="105">
        <v>0</v>
      </c>
      <c r="J967" s="15">
        <f t="shared" si="908"/>
        <v>0</v>
      </c>
      <c r="K967" s="15">
        <f t="shared" si="909"/>
        <v>0</v>
      </c>
      <c r="L967" s="15">
        <f t="shared" si="910"/>
        <v>0</v>
      </c>
      <c r="M967" s="25"/>
      <c r="N967" s="5"/>
      <c r="Z967" s="29">
        <f t="shared" si="911"/>
        <v>0</v>
      </c>
      <c r="AB967" s="29">
        <f t="shared" si="912"/>
        <v>0</v>
      </c>
      <c r="AC967" s="29">
        <f t="shared" si="913"/>
        <v>0</v>
      </c>
      <c r="AD967" s="29">
        <f t="shared" si="914"/>
        <v>0</v>
      </c>
      <c r="AE967" s="29">
        <f t="shared" si="915"/>
        <v>0</v>
      </c>
      <c r="AF967" s="29">
        <f t="shared" si="916"/>
        <v>0</v>
      </c>
      <c r="AG967" s="29">
        <f t="shared" si="917"/>
        <v>0</v>
      </c>
      <c r="AH967" s="29">
        <f t="shared" si="918"/>
        <v>0</v>
      </c>
      <c r="AI967" s="28" t="s">
        <v>2886</v>
      </c>
      <c r="AJ967" s="15">
        <f t="shared" si="919"/>
        <v>0</v>
      </c>
      <c r="AK967" s="15">
        <f t="shared" si="920"/>
        <v>0</v>
      </c>
      <c r="AL967" s="15">
        <f t="shared" si="921"/>
        <v>0</v>
      </c>
      <c r="AN967" s="29">
        <v>15</v>
      </c>
      <c r="AO967" s="29">
        <f t="shared" si="922"/>
        <v>0</v>
      </c>
      <c r="AP967" s="29">
        <f t="shared" si="923"/>
        <v>0</v>
      </c>
      <c r="AQ967" s="30" t="s">
        <v>7</v>
      </c>
      <c r="AV967" s="29">
        <f t="shared" si="924"/>
        <v>0</v>
      </c>
      <c r="AW967" s="29">
        <f t="shared" si="925"/>
        <v>0</v>
      </c>
      <c r="AX967" s="29">
        <f t="shared" si="926"/>
        <v>0</v>
      </c>
      <c r="AY967" s="32" t="s">
        <v>2933</v>
      </c>
      <c r="AZ967" s="32" t="s">
        <v>2953</v>
      </c>
      <c r="BA967" s="28" t="s">
        <v>2961</v>
      </c>
      <c r="BC967" s="29">
        <f t="shared" si="927"/>
        <v>0</v>
      </c>
      <c r="BD967" s="29">
        <f t="shared" si="928"/>
        <v>0</v>
      </c>
      <c r="BE967" s="29">
        <v>0</v>
      </c>
      <c r="BF967" s="29">
        <f>967</f>
        <v>967</v>
      </c>
      <c r="BH967" s="15">
        <f t="shared" si="929"/>
        <v>0</v>
      </c>
      <c r="BI967" s="15">
        <f t="shared" si="930"/>
        <v>0</v>
      </c>
      <c r="BJ967" s="15">
        <f t="shared" si="931"/>
        <v>0</v>
      </c>
      <c r="BK967" s="15" t="s">
        <v>2969</v>
      </c>
      <c r="BL967" s="29">
        <v>8</v>
      </c>
    </row>
    <row r="968" spans="1:64" ht="12.75">
      <c r="A968" s="4" t="s">
        <v>899</v>
      </c>
      <c r="B968" s="94" t="s">
        <v>1854</v>
      </c>
      <c r="C968" s="152" t="s">
        <v>2772</v>
      </c>
      <c r="D968" s="153"/>
      <c r="E968" s="153"/>
      <c r="F968" s="153"/>
      <c r="G968" s="94" t="s">
        <v>2850</v>
      </c>
      <c r="H968" s="73">
        <v>1</v>
      </c>
      <c r="I968" s="105">
        <v>0</v>
      </c>
      <c r="J968" s="15">
        <f t="shared" si="908"/>
        <v>0</v>
      </c>
      <c r="K968" s="15">
        <f t="shared" si="909"/>
        <v>0</v>
      </c>
      <c r="L968" s="15">
        <f t="shared" si="910"/>
        <v>0</v>
      </c>
      <c r="M968" s="25"/>
      <c r="N968" s="5"/>
      <c r="Z968" s="29">
        <f t="shared" si="911"/>
        <v>0</v>
      </c>
      <c r="AB968" s="29">
        <f t="shared" si="912"/>
        <v>0</v>
      </c>
      <c r="AC968" s="29">
        <f t="shared" si="913"/>
        <v>0</v>
      </c>
      <c r="AD968" s="29">
        <f t="shared" si="914"/>
        <v>0</v>
      </c>
      <c r="AE968" s="29">
        <f t="shared" si="915"/>
        <v>0</v>
      </c>
      <c r="AF968" s="29">
        <f t="shared" si="916"/>
        <v>0</v>
      </c>
      <c r="AG968" s="29">
        <f t="shared" si="917"/>
        <v>0</v>
      </c>
      <c r="AH968" s="29">
        <f t="shared" si="918"/>
        <v>0</v>
      </c>
      <c r="AI968" s="28" t="s">
        <v>2886</v>
      </c>
      <c r="AJ968" s="15">
        <f t="shared" si="919"/>
        <v>0</v>
      </c>
      <c r="AK968" s="15">
        <f t="shared" si="920"/>
        <v>0</v>
      </c>
      <c r="AL968" s="15">
        <f t="shared" si="921"/>
        <v>0</v>
      </c>
      <c r="AN968" s="29">
        <v>15</v>
      </c>
      <c r="AO968" s="29">
        <f t="shared" si="922"/>
        <v>0</v>
      </c>
      <c r="AP968" s="29">
        <f t="shared" si="923"/>
        <v>0</v>
      </c>
      <c r="AQ968" s="30" t="s">
        <v>7</v>
      </c>
      <c r="AV968" s="29">
        <f t="shared" si="924"/>
        <v>0</v>
      </c>
      <c r="AW968" s="29">
        <f t="shared" si="925"/>
        <v>0</v>
      </c>
      <c r="AX968" s="29">
        <f t="shared" si="926"/>
        <v>0</v>
      </c>
      <c r="AY968" s="32" t="s">
        <v>2933</v>
      </c>
      <c r="AZ968" s="32" t="s">
        <v>2953</v>
      </c>
      <c r="BA968" s="28" t="s">
        <v>2961</v>
      </c>
      <c r="BC968" s="29">
        <f t="shared" si="927"/>
        <v>0</v>
      </c>
      <c r="BD968" s="29">
        <f t="shared" si="928"/>
        <v>0</v>
      </c>
      <c r="BE968" s="29">
        <v>0</v>
      </c>
      <c r="BF968" s="29">
        <f>968</f>
        <v>968</v>
      </c>
      <c r="BH968" s="15">
        <f t="shared" si="929"/>
        <v>0</v>
      </c>
      <c r="BI968" s="15">
        <f t="shared" si="930"/>
        <v>0</v>
      </c>
      <c r="BJ968" s="15">
        <f t="shared" si="931"/>
        <v>0</v>
      </c>
      <c r="BK968" s="15" t="s">
        <v>2969</v>
      </c>
      <c r="BL968" s="29">
        <v>8</v>
      </c>
    </row>
    <row r="969" spans="1:64" ht="12.75">
      <c r="A969" s="4" t="s">
        <v>900</v>
      </c>
      <c r="B969" s="94" t="s">
        <v>1855</v>
      </c>
      <c r="C969" s="152" t="s">
        <v>2773</v>
      </c>
      <c r="D969" s="153"/>
      <c r="E969" s="153"/>
      <c r="F969" s="153"/>
      <c r="G969" s="94" t="s">
        <v>2850</v>
      </c>
      <c r="H969" s="73">
        <v>1</v>
      </c>
      <c r="I969" s="105">
        <v>0</v>
      </c>
      <c r="J969" s="15">
        <f t="shared" si="908"/>
        <v>0</v>
      </c>
      <c r="K969" s="15">
        <f t="shared" si="909"/>
        <v>0</v>
      </c>
      <c r="L969" s="15">
        <f t="shared" si="910"/>
        <v>0</v>
      </c>
      <c r="M969" s="25"/>
      <c r="N969" s="5"/>
      <c r="Z969" s="29">
        <f t="shared" si="911"/>
        <v>0</v>
      </c>
      <c r="AB969" s="29">
        <f t="shared" si="912"/>
        <v>0</v>
      </c>
      <c r="AC969" s="29">
        <f t="shared" si="913"/>
        <v>0</v>
      </c>
      <c r="AD969" s="29">
        <f t="shared" si="914"/>
        <v>0</v>
      </c>
      <c r="AE969" s="29">
        <f t="shared" si="915"/>
        <v>0</v>
      </c>
      <c r="AF969" s="29">
        <f t="shared" si="916"/>
        <v>0</v>
      </c>
      <c r="AG969" s="29">
        <f t="shared" si="917"/>
        <v>0</v>
      </c>
      <c r="AH969" s="29">
        <f t="shared" si="918"/>
        <v>0</v>
      </c>
      <c r="AI969" s="28" t="s">
        <v>2886</v>
      </c>
      <c r="AJ969" s="15">
        <f t="shared" si="919"/>
        <v>0</v>
      </c>
      <c r="AK969" s="15">
        <f t="shared" si="920"/>
        <v>0</v>
      </c>
      <c r="AL969" s="15">
        <f t="shared" si="921"/>
        <v>0</v>
      </c>
      <c r="AN969" s="29">
        <v>15</v>
      </c>
      <c r="AO969" s="29">
        <f t="shared" si="922"/>
        <v>0</v>
      </c>
      <c r="AP969" s="29">
        <f t="shared" si="923"/>
        <v>0</v>
      </c>
      <c r="AQ969" s="30" t="s">
        <v>7</v>
      </c>
      <c r="AV969" s="29">
        <f t="shared" si="924"/>
        <v>0</v>
      </c>
      <c r="AW969" s="29">
        <f t="shared" si="925"/>
        <v>0</v>
      </c>
      <c r="AX969" s="29">
        <f t="shared" si="926"/>
        <v>0</v>
      </c>
      <c r="AY969" s="32" t="s">
        <v>2933</v>
      </c>
      <c r="AZ969" s="32" t="s">
        <v>2953</v>
      </c>
      <c r="BA969" s="28" t="s">
        <v>2961</v>
      </c>
      <c r="BC969" s="29">
        <f t="shared" si="927"/>
        <v>0</v>
      </c>
      <c r="BD969" s="29">
        <f t="shared" si="928"/>
        <v>0</v>
      </c>
      <c r="BE969" s="29">
        <v>0</v>
      </c>
      <c r="BF969" s="29">
        <f>969</f>
        <v>969</v>
      </c>
      <c r="BH969" s="15">
        <f t="shared" si="929"/>
        <v>0</v>
      </c>
      <c r="BI969" s="15">
        <f t="shared" si="930"/>
        <v>0</v>
      </c>
      <c r="BJ969" s="15">
        <f t="shared" si="931"/>
        <v>0</v>
      </c>
      <c r="BK969" s="15" t="s">
        <v>2969</v>
      </c>
      <c r="BL969" s="29">
        <v>8</v>
      </c>
    </row>
    <row r="970" spans="1:64" ht="12.75">
      <c r="A970" s="4" t="s">
        <v>901</v>
      </c>
      <c r="B970" s="94" t="s">
        <v>1856</v>
      </c>
      <c r="C970" s="152" t="s">
        <v>2774</v>
      </c>
      <c r="D970" s="153"/>
      <c r="E970" s="153"/>
      <c r="F970" s="153"/>
      <c r="G970" s="94" t="s">
        <v>2850</v>
      </c>
      <c r="H970" s="73">
        <v>1</v>
      </c>
      <c r="I970" s="105">
        <v>0</v>
      </c>
      <c r="J970" s="15">
        <f t="shared" si="908"/>
        <v>0</v>
      </c>
      <c r="K970" s="15">
        <f t="shared" si="909"/>
        <v>0</v>
      </c>
      <c r="L970" s="15">
        <f t="shared" si="910"/>
        <v>0</v>
      </c>
      <c r="M970" s="25"/>
      <c r="N970" s="5"/>
      <c r="Z970" s="29">
        <f t="shared" si="911"/>
        <v>0</v>
      </c>
      <c r="AB970" s="29">
        <f t="shared" si="912"/>
        <v>0</v>
      </c>
      <c r="AC970" s="29">
        <f t="shared" si="913"/>
        <v>0</v>
      </c>
      <c r="AD970" s="29">
        <f t="shared" si="914"/>
        <v>0</v>
      </c>
      <c r="AE970" s="29">
        <f t="shared" si="915"/>
        <v>0</v>
      </c>
      <c r="AF970" s="29">
        <f t="shared" si="916"/>
        <v>0</v>
      </c>
      <c r="AG970" s="29">
        <f t="shared" si="917"/>
        <v>0</v>
      </c>
      <c r="AH970" s="29">
        <f t="shared" si="918"/>
        <v>0</v>
      </c>
      <c r="AI970" s="28" t="s">
        <v>2886</v>
      </c>
      <c r="AJ970" s="15">
        <f t="shared" si="919"/>
        <v>0</v>
      </c>
      <c r="AK970" s="15">
        <f t="shared" si="920"/>
        <v>0</v>
      </c>
      <c r="AL970" s="15">
        <f t="shared" si="921"/>
        <v>0</v>
      </c>
      <c r="AN970" s="29">
        <v>15</v>
      </c>
      <c r="AO970" s="29">
        <f t="shared" si="922"/>
        <v>0</v>
      </c>
      <c r="AP970" s="29">
        <f t="shared" si="923"/>
        <v>0</v>
      </c>
      <c r="AQ970" s="30" t="s">
        <v>7</v>
      </c>
      <c r="AV970" s="29">
        <f t="shared" si="924"/>
        <v>0</v>
      </c>
      <c r="AW970" s="29">
        <f t="shared" si="925"/>
        <v>0</v>
      </c>
      <c r="AX970" s="29">
        <f t="shared" si="926"/>
        <v>0</v>
      </c>
      <c r="AY970" s="32" t="s">
        <v>2933</v>
      </c>
      <c r="AZ970" s="32" t="s">
        <v>2953</v>
      </c>
      <c r="BA970" s="28" t="s">
        <v>2961</v>
      </c>
      <c r="BC970" s="29">
        <f t="shared" si="927"/>
        <v>0</v>
      </c>
      <c r="BD970" s="29">
        <f t="shared" si="928"/>
        <v>0</v>
      </c>
      <c r="BE970" s="29">
        <v>0</v>
      </c>
      <c r="BF970" s="29">
        <f>970</f>
        <v>970</v>
      </c>
      <c r="BH970" s="15">
        <f t="shared" si="929"/>
        <v>0</v>
      </c>
      <c r="BI970" s="15">
        <f t="shared" si="930"/>
        <v>0</v>
      </c>
      <c r="BJ970" s="15">
        <f t="shared" si="931"/>
        <v>0</v>
      </c>
      <c r="BK970" s="15" t="s">
        <v>2969</v>
      </c>
      <c r="BL970" s="29">
        <v>8</v>
      </c>
    </row>
    <row r="971" spans="1:64" ht="12.75">
      <c r="A971" s="4" t="s">
        <v>902</v>
      </c>
      <c r="B971" s="94" t="s">
        <v>1857</v>
      </c>
      <c r="C971" s="152" t="s">
        <v>2775</v>
      </c>
      <c r="D971" s="153"/>
      <c r="E971" s="153"/>
      <c r="F971" s="153"/>
      <c r="G971" s="94" t="s">
        <v>2850</v>
      </c>
      <c r="H971" s="73">
        <v>1</v>
      </c>
      <c r="I971" s="105">
        <v>0</v>
      </c>
      <c r="J971" s="15">
        <f t="shared" si="908"/>
        <v>0</v>
      </c>
      <c r="K971" s="15">
        <f t="shared" si="909"/>
        <v>0</v>
      </c>
      <c r="L971" s="15">
        <f t="shared" si="910"/>
        <v>0</v>
      </c>
      <c r="M971" s="25"/>
      <c r="N971" s="5"/>
      <c r="Z971" s="29">
        <f t="shared" si="911"/>
        <v>0</v>
      </c>
      <c r="AB971" s="29">
        <f t="shared" si="912"/>
        <v>0</v>
      </c>
      <c r="AC971" s="29">
        <f t="shared" si="913"/>
        <v>0</v>
      </c>
      <c r="AD971" s="29">
        <f t="shared" si="914"/>
        <v>0</v>
      </c>
      <c r="AE971" s="29">
        <f t="shared" si="915"/>
        <v>0</v>
      </c>
      <c r="AF971" s="29">
        <f t="shared" si="916"/>
        <v>0</v>
      </c>
      <c r="AG971" s="29">
        <f t="shared" si="917"/>
        <v>0</v>
      </c>
      <c r="AH971" s="29">
        <f t="shared" si="918"/>
        <v>0</v>
      </c>
      <c r="AI971" s="28" t="s">
        <v>2886</v>
      </c>
      <c r="AJ971" s="15">
        <f t="shared" si="919"/>
        <v>0</v>
      </c>
      <c r="AK971" s="15">
        <f t="shared" si="920"/>
        <v>0</v>
      </c>
      <c r="AL971" s="15">
        <f t="shared" si="921"/>
        <v>0</v>
      </c>
      <c r="AN971" s="29">
        <v>15</v>
      </c>
      <c r="AO971" s="29">
        <f t="shared" si="922"/>
        <v>0</v>
      </c>
      <c r="AP971" s="29">
        <f t="shared" si="923"/>
        <v>0</v>
      </c>
      <c r="AQ971" s="30" t="s">
        <v>7</v>
      </c>
      <c r="AV971" s="29">
        <f t="shared" si="924"/>
        <v>0</v>
      </c>
      <c r="AW971" s="29">
        <f t="shared" si="925"/>
        <v>0</v>
      </c>
      <c r="AX971" s="29">
        <f t="shared" si="926"/>
        <v>0</v>
      </c>
      <c r="AY971" s="32" t="s">
        <v>2933</v>
      </c>
      <c r="AZ971" s="32" t="s">
        <v>2953</v>
      </c>
      <c r="BA971" s="28" t="s">
        <v>2961</v>
      </c>
      <c r="BC971" s="29">
        <f t="shared" si="927"/>
        <v>0</v>
      </c>
      <c r="BD971" s="29">
        <f t="shared" si="928"/>
        <v>0</v>
      </c>
      <c r="BE971" s="29">
        <v>0</v>
      </c>
      <c r="BF971" s="29">
        <f>971</f>
        <v>971</v>
      </c>
      <c r="BH971" s="15">
        <f t="shared" si="929"/>
        <v>0</v>
      </c>
      <c r="BI971" s="15">
        <f t="shared" si="930"/>
        <v>0</v>
      </c>
      <c r="BJ971" s="15">
        <f t="shared" si="931"/>
        <v>0</v>
      </c>
      <c r="BK971" s="15" t="s">
        <v>2969</v>
      </c>
      <c r="BL971" s="29">
        <v>8</v>
      </c>
    </row>
    <row r="972" spans="1:64" ht="12.75">
      <c r="A972" s="4" t="s">
        <v>903</v>
      </c>
      <c r="B972" s="94" t="s">
        <v>1858</v>
      </c>
      <c r="C972" s="152" t="s">
        <v>2776</v>
      </c>
      <c r="D972" s="153"/>
      <c r="E972" s="153"/>
      <c r="F972" s="153"/>
      <c r="G972" s="94" t="s">
        <v>2850</v>
      </c>
      <c r="H972" s="73">
        <v>1</v>
      </c>
      <c r="I972" s="105">
        <v>0</v>
      </c>
      <c r="J972" s="15">
        <f t="shared" si="908"/>
        <v>0</v>
      </c>
      <c r="K972" s="15">
        <f t="shared" si="909"/>
        <v>0</v>
      </c>
      <c r="L972" s="15">
        <f t="shared" si="910"/>
        <v>0</v>
      </c>
      <c r="M972" s="25"/>
      <c r="N972" s="5"/>
      <c r="Z972" s="29">
        <f t="shared" si="911"/>
        <v>0</v>
      </c>
      <c r="AB972" s="29">
        <f t="shared" si="912"/>
        <v>0</v>
      </c>
      <c r="AC972" s="29">
        <f t="shared" si="913"/>
        <v>0</v>
      </c>
      <c r="AD972" s="29">
        <f t="shared" si="914"/>
        <v>0</v>
      </c>
      <c r="AE972" s="29">
        <f t="shared" si="915"/>
        <v>0</v>
      </c>
      <c r="AF972" s="29">
        <f t="shared" si="916"/>
        <v>0</v>
      </c>
      <c r="AG972" s="29">
        <f t="shared" si="917"/>
        <v>0</v>
      </c>
      <c r="AH972" s="29">
        <f t="shared" si="918"/>
        <v>0</v>
      </c>
      <c r="AI972" s="28" t="s">
        <v>2886</v>
      </c>
      <c r="AJ972" s="15">
        <f t="shared" si="919"/>
        <v>0</v>
      </c>
      <c r="AK972" s="15">
        <f t="shared" si="920"/>
        <v>0</v>
      </c>
      <c r="AL972" s="15">
        <f t="shared" si="921"/>
        <v>0</v>
      </c>
      <c r="AN972" s="29">
        <v>15</v>
      </c>
      <c r="AO972" s="29">
        <f t="shared" si="922"/>
        <v>0</v>
      </c>
      <c r="AP972" s="29">
        <f t="shared" si="923"/>
        <v>0</v>
      </c>
      <c r="AQ972" s="30" t="s">
        <v>7</v>
      </c>
      <c r="AV972" s="29">
        <f t="shared" si="924"/>
        <v>0</v>
      </c>
      <c r="AW972" s="29">
        <f t="shared" si="925"/>
        <v>0</v>
      </c>
      <c r="AX972" s="29">
        <f t="shared" si="926"/>
        <v>0</v>
      </c>
      <c r="AY972" s="32" t="s">
        <v>2933</v>
      </c>
      <c r="AZ972" s="32" t="s">
        <v>2953</v>
      </c>
      <c r="BA972" s="28" t="s">
        <v>2961</v>
      </c>
      <c r="BC972" s="29">
        <f t="shared" si="927"/>
        <v>0</v>
      </c>
      <c r="BD972" s="29">
        <f t="shared" si="928"/>
        <v>0</v>
      </c>
      <c r="BE972" s="29">
        <v>0</v>
      </c>
      <c r="BF972" s="29">
        <f>972</f>
        <v>972</v>
      </c>
      <c r="BH972" s="15">
        <f t="shared" si="929"/>
        <v>0</v>
      </c>
      <c r="BI972" s="15">
        <f t="shared" si="930"/>
        <v>0</v>
      </c>
      <c r="BJ972" s="15">
        <f t="shared" si="931"/>
        <v>0</v>
      </c>
      <c r="BK972" s="15" t="s">
        <v>2969</v>
      </c>
      <c r="BL972" s="29">
        <v>8</v>
      </c>
    </row>
    <row r="973" spans="1:64" ht="12.75">
      <c r="A973" s="4" t="s">
        <v>904</v>
      </c>
      <c r="B973" s="94" t="s">
        <v>1859</v>
      </c>
      <c r="C973" s="152" t="s">
        <v>2732</v>
      </c>
      <c r="D973" s="153"/>
      <c r="E973" s="153"/>
      <c r="F973" s="153"/>
      <c r="G973" s="94" t="s">
        <v>2850</v>
      </c>
      <c r="H973" s="73">
        <v>1</v>
      </c>
      <c r="I973" s="105">
        <v>0</v>
      </c>
      <c r="J973" s="15">
        <f t="shared" si="908"/>
        <v>0</v>
      </c>
      <c r="K973" s="15">
        <f t="shared" si="909"/>
        <v>0</v>
      </c>
      <c r="L973" s="15">
        <f t="shared" si="910"/>
        <v>0</v>
      </c>
      <c r="M973" s="25"/>
      <c r="N973" s="5"/>
      <c r="Z973" s="29">
        <f t="shared" si="911"/>
        <v>0</v>
      </c>
      <c r="AB973" s="29">
        <f t="shared" si="912"/>
        <v>0</v>
      </c>
      <c r="AC973" s="29">
        <f t="shared" si="913"/>
        <v>0</v>
      </c>
      <c r="AD973" s="29">
        <f t="shared" si="914"/>
        <v>0</v>
      </c>
      <c r="AE973" s="29">
        <f t="shared" si="915"/>
        <v>0</v>
      </c>
      <c r="AF973" s="29">
        <f t="shared" si="916"/>
        <v>0</v>
      </c>
      <c r="AG973" s="29">
        <f t="shared" si="917"/>
        <v>0</v>
      </c>
      <c r="AH973" s="29">
        <f t="shared" si="918"/>
        <v>0</v>
      </c>
      <c r="AI973" s="28" t="s">
        <v>2886</v>
      </c>
      <c r="AJ973" s="15">
        <f t="shared" si="919"/>
        <v>0</v>
      </c>
      <c r="AK973" s="15">
        <f t="shared" si="920"/>
        <v>0</v>
      </c>
      <c r="AL973" s="15">
        <f t="shared" si="921"/>
        <v>0</v>
      </c>
      <c r="AN973" s="29">
        <v>15</v>
      </c>
      <c r="AO973" s="29">
        <f t="shared" si="922"/>
        <v>0</v>
      </c>
      <c r="AP973" s="29">
        <f t="shared" si="923"/>
        <v>0</v>
      </c>
      <c r="AQ973" s="30" t="s">
        <v>7</v>
      </c>
      <c r="AV973" s="29">
        <f t="shared" si="924"/>
        <v>0</v>
      </c>
      <c r="AW973" s="29">
        <f t="shared" si="925"/>
        <v>0</v>
      </c>
      <c r="AX973" s="29">
        <f t="shared" si="926"/>
        <v>0</v>
      </c>
      <c r="AY973" s="32" t="s">
        <v>2933</v>
      </c>
      <c r="AZ973" s="32" t="s">
        <v>2953</v>
      </c>
      <c r="BA973" s="28" t="s">
        <v>2961</v>
      </c>
      <c r="BC973" s="29">
        <f t="shared" si="927"/>
        <v>0</v>
      </c>
      <c r="BD973" s="29">
        <f t="shared" si="928"/>
        <v>0</v>
      </c>
      <c r="BE973" s="29">
        <v>0</v>
      </c>
      <c r="BF973" s="29">
        <f>973</f>
        <v>973</v>
      </c>
      <c r="BH973" s="15">
        <f t="shared" si="929"/>
        <v>0</v>
      </c>
      <c r="BI973" s="15">
        <f t="shared" si="930"/>
        <v>0</v>
      </c>
      <c r="BJ973" s="15">
        <f t="shared" si="931"/>
        <v>0</v>
      </c>
      <c r="BK973" s="15" t="s">
        <v>2969</v>
      </c>
      <c r="BL973" s="29">
        <v>8</v>
      </c>
    </row>
    <row r="974" spans="1:64" ht="12.75">
      <c r="A974" s="4" t="s">
        <v>905</v>
      </c>
      <c r="B974" s="94" t="s">
        <v>1860</v>
      </c>
      <c r="C974" s="152" t="s">
        <v>2777</v>
      </c>
      <c r="D974" s="153"/>
      <c r="E974" s="153"/>
      <c r="F974" s="153"/>
      <c r="G974" s="94" t="s">
        <v>2851</v>
      </c>
      <c r="H974" s="73">
        <v>2.5</v>
      </c>
      <c r="I974" s="105">
        <v>0</v>
      </c>
      <c r="J974" s="15">
        <f t="shared" si="908"/>
        <v>0</v>
      </c>
      <c r="K974" s="15">
        <f t="shared" si="909"/>
        <v>0</v>
      </c>
      <c r="L974" s="15">
        <f t="shared" si="910"/>
        <v>0</v>
      </c>
      <c r="M974" s="25"/>
      <c r="N974" s="5"/>
      <c r="Z974" s="29">
        <f t="shared" si="911"/>
        <v>0</v>
      </c>
      <c r="AB974" s="29">
        <f t="shared" si="912"/>
        <v>0</v>
      </c>
      <c r="AC974" s="29">
        <f t="shared" si="913"/>
        <v>0</v>
      </c>
      <c r="AD974" s="29">
        <f t="shared" si="914"/>
        <v>0</v>
      </c>
      <c r="AE974" s="29">
        <f t="shared" si="915"/>
        <v>0</v>
      </c>
      <c r="AF974" s="29">
        <f t="shared" si="916"/>
        <v>0</v>
      </c>
      <c r="AG974" s="29">
        <f t="shared" si="917"/>
        <v>0</v>
      </c>
      <c r="AH974" s="29">
        <f t="shared" si="918"/>
        <v>0</v>
      </c>
      <c r="AI974" s="28" t="s">
        <v>2886</v>
      </c>
      <c r="AJ974" s="15">
        <f t="shared" si="919"/>
        <v>0</v>
      </c>
      <c r="AK974" s="15">
        <f t="shared" si="920"/>
        <v>0</v>
      </c>
      <c r="AL974" s="15">
        <f t="shared" si="921"/>
        <v>0</v>
      </c>
      <c r="AN974" s="29">
        <v>15</v>
      </c>
      <c r="AO974" s="29">
        <f t="shared" si="922"/>
        <v>0</v>
      </c>
      <c r="AP974" s="29">
        <f t="shared" si="923"/>
        <v>0</v>
      </c>
      <c r="AQ974" s="30" t="s">
        <v>7</v>
      </c>
      <c r="AV974" s="29">
        <f t="shared" si="924"/>
        <v>0</v>
      </c>
      <c r="AW974" s="29">
        <f t="shared" si="925"/>
        <v>0</v>
      </c>
      <c r="AX974" s="29">
        <f t="shared" si="926"/>
        <v>0</v>
      </c>
      <c r="AY974" s="32" t="s">
        <v>2933</v>
      </c>
      <c r="AZ974" s="32" t="s">
        <v>2953</v>
      </c>
      <c r="BA974" s="28" t="s">
        <v>2961</v>
      </c>
      <c r="BC974" s="29">
        <f t="shared" si="927"/>
        <v>0</v>
      </c>
      <c r="BD974" s="29">
        <f t="shared" si="928"/>
        <v>0</v>
      </c>
      <c r="BE974" s="29">
        <v>0</v>
      </c>
      <c r="BF974" s="29">
        <f>974</f>
        <v>974</v>
      </c>
      <c r="BH974" s="15">
        <f t="shared" si="929"/>
        <v>0</v>
      </c>
      <c r="BI974" s="15">
        <f t="shared" si="930"/>
        <v>0</v>
      </c>
      <c r="BJ974" s="15">
        <f t="shared" si="931"/>
        <v>0</v>
      </c>
      <c r="BK974" s="15" t="s">
        <v>2969</v>
      </c>
      <c r="BL974" s="29">
        <v>8</v>
      </c>
    </row>
    <row r="975" spans="1:64" ht="12.75">
      <c r="A975" s="4" t="s">
        <v>906</v>
      </c>
      <c r="B975" s="94" t="s">
        <v>1861</v>
      </c>
      <c r="C975" s="152" t="s">
        <v>2778</v>
      </c>
      <c r="D975" s="153"/>
      <c r="E975" s="153"/>
      <c r="F975" s="153"/>
      <c r="G975" s="94" t="s">
        <v>2850</v>
      </c>
      <c r="H975" s="73">
        <v>1</v>
      </c>
      <c r="I975" s="105">
        <v>0</v>
      </c>
      <c r="J975" s="15">
        <f t="shared" si="908"/>
        <v>0</v>
      </c>
      <c r="K975" s="15">
        <f t="shared" si="909"/>
        <v>0</v>
      </c>
      <c r="L975" s="15">
        <f t="shared" si="910"/>
        <v>0</v>
      </c>
      <c r="M975" s="25"/>
      <c r="N975" s="5"/>
      <c r="Z975" s="29">
        <f t="shared" si="911"/>
        <v>0</v>
      </c>
      <c r="AB975" s="29">
        <f t="shared" si="912"/>
        <v>0</v>
      </c>
      <c r="AC975" s="29">
        <f t="shared" si="913"/>
        <v>0</v>
      </c>
      <c r="AD975" s="29">
        <f t="shared" si="914"/>
        <v>0</v>
      </c>
      <c r="AE975" s="29">
        <f t="shared" si="915"/>
        <v>0</v>
      </c>
      <c r="AF975" s="29">
        <f t="shared" si="916"/>
        <v>0</v>
      </c>
      <c r="AG975" s="29">
        <f t="shared" si="917"/>
        <v>0</v>
      </c>
      <c r="AH975" s="29">
        <f t="shared" si="918"/>
        <v>0</v>
      </c>
      <c r="AI975" s="28" t="s">
        <v>2886</v>
      </c>
      <c r="AJ975" s="15">
        <f t="shared" si="919"/>
        <v>0</v>
      </c>
      <c r="AK975" s="15">
        <f t="shared" si="920"/>
        <v>0</v>
      </c>
      <c r="AL975" s="15">
        <f t="shared" si="921"/>
        <v>0</v>
      </c>
      <c r="AN975" s="29">
        <v>15</v>
      </c>
      <c r="AO975" s="29">
        <f t="shared" si="922"/>
        <v>0</v>
      </c>
      <c r="AP975" s="29">
        <f t="shared" si="923"/>
        <v>0</v>
      </c>
      <c r="AQ975" s="30" t="s">
        <v>7</v>
      </c>
      <c r="AV975" s="29">
        <f t="shared" si="924"/>
        <v>0</v>
      </c>
      <c r="AW975" s="29">
        <f t="shared" si="925"/>
        <v>0</v>
      </c>
      <c r="AX975" s="29">
        <f t="shared" si="926"/>
        <v>0</v>
      </c>
      <c r="AY975" s="32" t="s">
        <v>2933</v>
      </c>
      <c r="AZ975" s="32" t="s">
        <v>2953</v>
      </c>
      <c r="BA975" s="28" t="s">
        <v>2961</v>
      </c>
      <c r="BC975" s="29">
        <f t="shared" si="927"/>
        <v>0</v>
      </c>
      <c r="BD975" s="29">
        <f t="shared" si="928"/>
        <v>0</v>
      </c>
      <c r="BE975" s="29">
        <v>0</v>
      </c>
      <c r="BF975" s="29">
        <f>975</f>
        <v>975</v>
      </c>
      <c r="BH975" s="15">
        <f t="shared" si="929"/>
        <v>0</v>
      </c>
      <c r="BI975" s="15">
        <f t="shared" si="930"/>
        <v>0</v>
      </c>
      <c r="BJ975" s="15">
        <f t="shared" si="931"/>
        <v>0</v>
      </c>
      <c r="BK975" s="15" t="s">
        <v>2969</v>
      </c>
      <c r="BL975" s="29">
        <v>8</v>
      </c>
    </row>
    <row r="976" spans="1:64" ht="12.75">
      <c r="A976" s="4" t="s">
        <v>907</v>
      </c>
      <c r="B976" s="94" t="s">
        <v>1862</v>
      </c>
      <c r="C976" s="152" t="s">
        <v>2779</v>
      </c>
      <c r="D976" s="153"/>
      <c r="E976" s="153"/>
      <c r="F976" s="153"/>
      <c r="G976" s="94" t="s">
        <v>2850</v>
      </c>
      <c r="H976" s="73">
        <v>1</v>
      </c>
      <c r="I976" s="105">
        <v>0</v>
      </c>
      <c r="J976" s="15">
        <f t="shared" si="908"/>
        <v>0</v>
      </c>
      <c r="K976" s="15">
        <f t="shared" si="909"/>
        <v>0</v>
      </c>
      <c r="L976" s="15">
        <f t="shared" si="910"/>
        <v>0</v>
      </c>
      <c r="M976" s="25"/>
      <c r="N976" s="5"/>
      <c r="Z976" s="29">
        <f t="shared" si="911"/>
        <v>0</v>
      </c>
      <c r="AB976" s="29">
        <f t="shared" si="912"/>
        <v>0</v>
      </c>
      <c r="AC976" s="29">
        <f t="shared" si="913"/>
        <v>0</v>
      </c>
      <c r="AD976" s="29">
        <f t="shared" si="914"/>
        <v>0</v>
      </c>
      <c r="AE976" s="29">
        <f t="shared" si="915"/>
        <v>0</v>
      </c>
      <c r="AF976" s="29">
        <f t="shared" si="916"/>
        <v>0</v>
      </c>
      <c r="AG976" s="29">
        <f t="shared" si="917"/>
        <v>0</v>
      </c>
      <c r="AH976" s="29">
        <f t="shared" si="918"/>
        <v>0</v>
      </c>
      <c r="AI976" s="28" t="s">
        <v>2886</v>
      </c>
      <c r="AJ976" s="15">
        <f t="shared" si="919"/>
        <v>0</v>
      </c>
      <c r="AK976" s="15">
        <f t="shared" si="920"/>
        <v>0</v>
      </c>
      <c r="AL976" s="15">
        <f t="shared" si="921"/>
        <v>0</v>
      </c>
      <c r="AN976" s="29">
        <v>15</v>
      </c>
      <c r="AO976" s="29">
        <f t="shared" si="922"/>
        <v>0</v>
      </c>
      <c r="AP976" s="29">
        <f t="shared" si="923"/>
        <v>0</v>
      </c>
      <c r="AQ976" s="30" t="s">
        <v>7</v>
      </c>
      <c r="AV976" s="29">
        <f t="shared" si="924"/>
        <v>0</v>
      </c>
      <c r="AW976" s="29">
        <f t="shared" si="925"/>
        <v>0</v>
      </c>
      <c r="AX976" s="29">
        <f t="shared" si="926"/>
        <v>0</v>
      </c>
      <c r="AY976" s="32" t="s">
        <v>2933</v>
      </c>
      <c r="AZ976" s="32" t="s">
        <v>2953</v>
      </c>
      <c r="BA976" s="28" t="s">
        <v>2961</v>
      </c>
      <c r="BC976" s="29">
        <f t="shared" si="927"/>
        <v>0</v>
      </c>
      <c r="BD976" s="29">
        <f t="shared" si="928"/>
        <v>0</v>
      </c>
      <c r="BE976" s="29">
        <v>0</v>
      </c>
      <c r="BF976" s="29">
        <f>976</f>
        <v>976</v>
      </c>
      <c r="BH976" s="15">
        <f t="shared" si="929"/>
        <v>0</v>
      </c>
      <c r="BI976" s="15">
        <f t="shared" si="930"/>
        <v>0</v>
      </c>
      <c r="BJ976" s="15">
        <f t="shared" si="931"/>
        <v>0</v>
      </c>
      <c r="BK976" s="15" t="s">
        <v>2969</v>
      </c>
      <c r="BL976" s="29">
        <v>8</v>
      </c>
    </row>
    <row r="977" spans="1:64" ht="12.75">
      <c r="A977" s="4" t="s">
        <v>908</v>
      </c>
      <c r="B977" s="94" t="s">
        <v>1863</v>
      </c>
      <c r="C977" s="152" t="s">
        <v>2189</v>
      </c>
      <c r="D977" s="153"/>
      <c r="E977" s="153"/>
      <c r="F977" s="153"/>
      <c r="G977" s="94" t="s">
        <v>2852</v>
      </c>
      <c r="H977" s="73">
        <v>30</v>
      </c>
      <c r="I977" s="105">
        <v>0</v>
      </c>
      <c r="J977" s="15">
        <f t="shared" si="908"/>
        <v>0</v>
      </c>
      <c r="K977" s="15">
        <f t="shared" si="909"/>
        <v>0</v>
      </c>
      <c r="L977" s="15">
        <f t="shared" si="910"/>
        <v>0</v>
      </c>
      <c r="M977" s="25"/>
      <c r="N977" s="5"/>
      <c r="Z977" s="29">
        <f t="shared" si="911"/>
        <v>0</v>
      </c>
      <c r="AB977" s="29">
        <f t="shared" si="912"/>
        <v>0</v>
      </c>
      <c r="AC977" s="29">
        <f t="shared" si="913"/>
        <v>0</v>
      </c>
      <c r="AD977" s="29">
        <f t="shared" si="914"/>
        <v>0</v>
      </c>
      <c r="AE977" s="29">
        <f t="shared" si="915"/>
        <v>0</v>
      </c>
      <c r="AF977" s="29">
        <f t="shared" si="916"/>
        <v>0</v>
      </c>
      <c r="AG977" s="29">
        <f t="shared" si="917"/>
        <v>0</v>
      </c>
      <c r="AH977" s="29">
        <f t="shared" si="918"/>
        <v>0</v>
      </c>
      <c r="AI977" s="28" t="s">
        <v>2886</v>
      </c>
      <c r="AJ977" s="15">
        <f t="shared" si="919"/>
        <v>0</v>
      </c>
      <c r="AK977" s="15">
        <f t="shared" si="920"/>
        <v>0</v>
      </c>
      <c r="AL977" s="15">
        <f t="shared" si="921"/>
        <v>0</v>
      </c>
      <c r="AN977" s="29">
        <v>15</v>
      </c>
      <c r="AO977" s="29">
        <f t="shared" si="922"/>
        <v>0</v>
      </c>
      <c r="AP977" s="29">
        <f t="shared" si="923"/>
        <v>0</v>
      </c>
      <c r="AQ977" s="30" t="s">
        <v>7</v>
      </c>
      <c r="AV977" s="29">
        <f t="shared" si="924"/>
        <v>0</v>
      </c>
      <c r="AW977" s="29">
        <f t="shared" si="925"/>
        <v>0</v>
      </c>
      <c r="AX977" s="29">
        <f t="shared" si="926"/>
        <v>0</v>
      </c>
      <c r="AY977" s="32" t="s">
        <v>2933</v>
      </c>
      <c r="AZ977" s="32" t="s">
        <v>2953</v>
      </c>
      <c r="BA977" s="28" t="s">
        <v>2961</v>
      </c>
      <c r="BC977" s="29">
        <f t="shared" si="927"/>
        <v>0</v>
      </c>
      <c r="BD977" s="29">
        <f t="shared" si="928"/>
        <v>0</v>
      </c>
      <c r="BE977" s="29">
        <v>0</v>
      </c>
      <c r="BF977" s="29">
        <f>977</f>
        <v>977</v>
      </c>
      <c r="BH977" s="15">
        <f t="shared" si="929"/>
        <v>0</v>
      </c>
      <c r="BI977" s="15">
        <f t="shared" si="930"/>
        <v>0</v>
      </c>
      <c r="BJ977" s="15">
        <f t="shared" si="931"/>
        <v>0</v>
      </c>
      <c r="BK977" s="15" t="s">
        <v>2969</v>
      </c>
      <c r="BL977" s="29">
        <v>8</v>
      </c>
    </row>
    <row r="978" spans="1:64" ht="12.75">
      <c r="A978" s="4" t="s">
        <v>909</v>
      </c>
      <c r="B978" s="94" t="s">
        <v>1864</v>
      </c>
      <c r="C978" s="152" t="s">
        <v>2780</v>
      </c>
      <c r="D978" s="153"/>
      <c r="E978" s="153"/>
      <c r="F978" s="153"/>
      <c r="G978" s="94" t="s">
        <v>2850</v>
      </c>
      <c r="H978" s="73">
        <v>1</v>
      </c>
      <c r="I978" s="105">
        <v>0</v>
      </c>
      <c r="J978" s="15">
        <f t="shared" si="908"/>
        <v>0</v>
      </c>
      <c r="K978" s="15">
        <f t="shared" si="909"/>
        <v>0</v>
      </c>
      <c r="L978" s="15">
        <f t="shared" si="910"/>
        <v>0</v>
      </c>
      <c r="M978" s="25"/>
      <c r="N978" s="5"/>
      <c r="Z978" s="29">
        <f t="shared" si="911"/>
        <v>0</v>
      </c>
      <c r="AB978" s="29">
        <f t="shared" si="912"/>
        <v>0</v>
      </c>
      <c r="AC978" s="29">
        <f t="shared" si="913"/>
        <v>0</v>
      </c>
      <c r="AD978" s="29">
        <f t="shared" si="914"/>
        <v>0</v>
      </c>
      <c r="AE978" s="29">
        <f t="shared" si="915"/>
        <v>0</v>
      </c>
      <c r="AF978" s="29">
        <f t="shared" si="916"/>
        <v>0</v>
      </c>
      <c r="AG978" s="29">
        <f t="shared" si="917"/>
        <v>0</v>
      </c>
      <c r="AH978" s="29">
        <f t="shared" si="918"/>
        <v>0</v>
      </c>
      <c r="AI978" s="28" t="s">
        <v>2886</v>
      </c>
      <c r="AJ978" s="15">
        <f t="shared" si="919"/>
        <v>0</v>
      </c>
      <c r="AK978" s="15">
        <f t="shared" si="920"/>
        <v>0</v>
      </c>
      <c r="AL978" s="15">
        <f t="shared" si="921"/>
        <v>0</v>
      </c>
      <c r="AN978" s="29">
        <v>15</v>
      </c>
      <c r="AO978" s="29">
        <f t="shared" si="922"/>
        <v>0</v>
      </c>
      <c r="AP978" s="29">
        <f t="shared" si="923"/>
        <v>0</v>
      </c>
      <c r="AQ978" s="30" t="s">
        <v>7</v>
      </c>
      <c r="AV978" s="29">
        <f t="shared" si="924"/>
        <v>0</v>
      </c>
      <c r="AW978" s="29">
        <f t="shared" si="925"/>
        <v>0</v>
      </c>
      <c r="AX978" s="29">
        <f t="shared" si="926"/>
        <v>0</v>
      </c>
      <c r="AY978" s="32" t="s">
        <v>2933</v>
      </c>
      <c r="AZ978" s="32" t="s">
        <v>2953</v>
      </c>
      <c r="BA978" s="28" t="s">
        <v>2961</v>
      </c>
      <c r="BC978" s="29">
        <f t="shared" si="927"/>
        <v>0</v>
      </c>
      <c r="BD978" s="29">
        <f t="shared" si="928"/>
        <v>0</v>
      </c>
      <c r="BE978" s="29">
        <v>0</v>
      </c>
      <c r="BF978" s="29">
        <f>978</f>
        <v>978</v>
      </c>
      <c r="BH978" s="15">
        <f t="shared" si="929"/>
        <v>0</v>
      </c>
      <c r="BI978" s="15">
        <f t="shared" si="930"/>
        <v>0</v>
      </c>
      <c r="BJ978" s="15">
        <f t="shared" si="931"/>
        <v>0</v>
      </c>
      <c r="BK978" s="15" t="s">
        <v>2969</v>
      </c>
      <c r="BL978" s="29">
        <v>8</v>
      </c>
    </row>
    <row r="979" spans="1:64" ht="12.75">
      <c r="A979" s="4" t="s">
        <v>910</v>
      </c>
      <c r="B979" s="94" t="s">
        <v>1865</v>
      </c>
      <c r="C979" s="152" t="s">
        <v>2781</v>
      </c>
      <c r="D979" s="153"/>
      <c r="E979" s="153"/>
      <c r="F979" s="153"/>
      <c r="G979" s="94" t="s">
        <v>2851</v>
      </c>
      <c r="H979" s="73">
        <v>10.5</v>
      </c>
      <c r="I979" s="105">
        <v>0</v>
      </c>
      <c r="J979" s="15">
        <f t="shared" si="908"/>
        <v>0</v>
      </c>
      <c r="K979" s="15">
        <f t="shared" si="909"/>
        <v>0</v>
      </c>
      <c r="L979" s="15">
        <f t="shared" si="910"/>
        <v>0</v>
      </c>
      <c r="M979" s="25"/>
      <c r="N979" s="5"/>
      <c r="Z979" s="29">
        <f t="shared" si="911"/>
        <v>0</v>
      </c>
      <c r="AB979" s="29">
        <f t="shared" si="912"/>
        <v>0</v>
      </c>
      <c r="AC979" s="29">
        <f t="shared" si="913"/>
        <v>0</v>
      </c>
      <c r="AD979" s="29">
        <f t="shared" si="914"/>
        <v>0</v>
      </c>
      <c r="AE979" s="29">
        <f t="shared" si="915"/>
        <v>0</v>
      </c>
      <c r="AF979" s="29">
        <f t="shared" si="916"/>
        <v>0</v>
      </c>
      <c r="AG979" s="29">
        <f t="shared" si="917"/>
        <v>0</v>
      </c>
      <c r="AH979" s="29">
        <f t="shared" si="918"/>
        <v>0</v>
      </c>
      <c r="AI979" s="28" t="s">
        <v>2886</v>
      </c>
      <c r="AJ979" s="15">
        <f t="shared" si="919"/>
        <v>0</v>
      </c>
      <c r="AK979" s="15">
        <f t="shared" si="920"/>
        <v>0</v>
      </c>
      <c r="AL979" s="15">
        <f t="shared" si="921"/>
        <v>0</v>
      </c>
      <c r="AN979" s="29">
        <v>15</v>
      </c>
      <c r="AO979" s="29">
        <f t="shared" si="922"/>
        <v>0</v>
      </c>
      <c r="AP979" s="29">
        <f t="shared" si="923"/>
        <v>0</v>
      </c>
      <c r="AQ979" s="30" t="s">
        <v>7</v>
      </c>
      <c r="AV979" s="29">
        <f t="shared" si="924"/>
        <v>0</v>
      </c>
      <c r="AW979" s="29">
        <f t="shared" si="925"/>
        <v>0</v>
      </c>
      <c r="AX979" s="29">
        <f t="shared" si="926"/>
        <v>0</v>
      </c>
      <c r="AY979" s="32" t="s">
        <v>2933</v>
      </c>
      <c r="AZ979" s="32" t="s">
        <v>2953</v>
      </c>
      <c r="BA979" s="28" t="s">
        <v>2961</v>
      </c>
      <c r="BC979" s="29">
        <f t="shared" si="927"/>
        <v>0</v>
      </c>
      <c r="BD979" s="29">
        <f t="shared" si="928"/>
        <v>0</v>
      </c>
      <c r="BE979" s="29">
        <v>0</v>
      </c>
      <c r="BF979" s="29">
        <f>979</f>
        <v>979</v>
      </c>
      <c r="BH979" s="15">
        <f t="shared" si="929"/>
        <v>0</v>
      </c>
      <c r="BI979" s="15">
        <f t="shared" si="930"/>
        <v>0</v>
      </c>
      <c r="BJ979" s="15">
        <f t="shared" si="931"/>
        <v>0</v>
      </c>
      <c r="BK979" s="15" t="s">
        <v>2969</v>
      </c>
      <c r="BL979" s="29">
        <v>8</v>
      </c>
    </row>
    <row r="980" spans="1:64" ht="12.75">
      <c r="A980" s="4" t="s">
        <v>911</v>
      </c>
      <c r="B980" s="94" t="s">
        <v>1866</v>
      </c>
      <c r="C980" s="152" t="s">
        <v>2782</v>
      </c>
      <c r="D980" s="153"/>
      <c r="E980" s="153"/>
      <c r="F980" s="153"/>
      <c r="G980" s="94" t="s">
        <v>2851</v>
      </c>
      <c r="H980" s="73">
        <v>10.5</v>
      </c>
      <c r="I980" s="105">
        <v>0</v>
      </c>
      <c r="J980" s="15">
        <f t="shared" si="908"/>
        <v>0</v>
      </c>
      <c r="K980" s="15">
        <f t="shared" si="909"/>
        <v>0</v>
      </c>
      <c r="L980" s="15">
        <f t="shared" si="910"/>
        <v>0</v>
      </c>
      <c r="M980" s="25"/>
      <c r="N980" s="5"/>
      <c r="Z980" s="29">
        <f t="shared" si="911"/>
        <v>0</v>
      </c>
      <c r="AB980" s="29">
        <f t="shared" si="912"/>
        <v>0</v>
      </c>
      <c r="AC980" s="29">
        <f t="shared" si="913"/>
        <v>0</v>
      </c>
      <c r="AD980" s="29">
        <f t="shared" si="914"/>
        <v>0</v>
      </c>
      <c r="AE980" s="29">
        <f t="shared" si="915"/>
        <v>0</v>
      </c>
      <c r="AF980" s="29">
        <f t="shared" si="916"/>
        <v>0</v>
      </c>
      <c r="AG980" s="29">
        <f t="shared" si="917"/>
        <v>0</v>
      </c>
      <c r="AH980" s="29">
        <f t="shared" si="918"/>
        <v>0</v>
      </c>
      <c r="AI980" s="28" t="s">
        <v>2886</v>
      </c>
      <c r="AJ980" s="15">
        <f t="shared" si="919"/>
        <v>0</v>
      </c>
      <c r="AK980" s="15">
        <f t="shared" si="920"/>
        <v>0</v>
      </c>
      <c r="AL980" s="15">
        <f t="shared" si="921"/>
        <v>0</v>
      </c>
      <c r="AN980" s="29">
        <v>15</v>
      </c>
      <c r="AO980" s="29">
        <f t="shared" si="922"/>
        <v>0</v>
      </c>
      <c r="AP980" s="29">
        <f t="shared" si="923"/>
        <v>0</v>
      </c>
      <c r="AQ980" s="30" t="s">
        <v>7</v>
      </c>
      <c r="AV980" s="29">
        <f t="shared" si="924"/>
        <v>0</v>
      </c>
      <c r="AW980" s="29">
        <f t="shared" si="925"/>
        <v>0</v>
      </c>
      <c r="AX980" s="29">
        <f t="shared" si="926"/>
        <v>0</v>
      </c>
      <c r="AY980" s="32" t="s">
        <v>2933</v>
      </c>
      <c r="AZ980" s="32" t="s">
        <v>2953</v>
      </c>
      <c r="BA980" s="28" t="s">
        <v>2961</v>
      </c>
      <c r="BC980" s="29">
        <f t="shared" si="927"/>
        <v>0</v>
      </c>
      <c r="BD980" s="29">
        <f t="shared" si="928"/>
        <v>0</v>
      </c>
      <c r="BE980" s="29">
        <v>0</v>
      </c>
      <c r="BF980" s="29">
        <f>980</f>
        <v>980</v>
      </c>
      <c r="BH980" s="15">
        <f t="shared" si="929"/>
        <v>0</v>
      </c>
      <c r="BI980" s="15">
        <f t="shared" si="930"/>
        <v>0</v>
      </c>
      <c r="BJ980" s="15">
        <f t="shared" si="931"/>
        <v>0</v>
      </c>
      <c r="BK980" s="15" t="s">
        <v>2969</v>
      </c>
      <c r="BL980" s="29">
        <v>8</v>
      </c>
    </row>
    <row r="981" spans="1:64" ht="12.75">
      <c r="A981" s="4" t="s">
        <v>912</v>
      </c>
      <c r="B981" s="94" t="s">
        <v>1867</v>
      </c>
      <c r="C981" s="152" t="s">
        <v>2783</v>
      </c>
      <c r="D981" s="153"/>
      <c r="E981" s="153"/>
      <c r="F981" s="153"/>
      <c r="G981" s="94" t="s">
        <v>2850</v>
      </c>
      <c r="H981" s="73">
        <v>1</v>
      </c>
      <c r="I981" s="105">
        <v>0</v>
      </c>
      <c r="J981" s="15">
        <f t="shared" si="908"/>
        <v>0</v>
      </c>
      <c r="K981" s="15">
        <f t="shared" si="909"/>
        <v>0</v>
      </c>
      <c r="L981" s="15">
        <f t="shared" si="910"/>
        <v>0</v>
      </c>
      <c r="M981" s="25"/>
      <c r="N981" s="5"/>
      <c r="Z981" s="29">
        <f t="shared" si="911"/>
        <v>0</v>
      </c>
      <c r="AB981" s="29">
        <f t="shared" si="912"/>
        <v>0</v>
      </c>
      <c r="AC981" s="29">
        <f t="shared" si="913"/>
        <v>0</v>
      </c>
      <c r="AD981" s="29">
        <f t="shared" si="914"/>
        <v>0</v>
      </c>
      <c r="AE981" s="29">
        <f t="shared" si="915"/>
        <v>0</v>
      </c>
      <c r="AF981" s="29">
        <f t="shared" si="916"/>
        <v>0</v>
      </c>
      <c r="AG981" s="29">
        <f t="shared" si="917"/>
        <v>0</v>
      </c>
      <c r="AH981" s="29">
        <f t="shared" si="918"/>
        <v>0</v>
      </c>
      <c r="AI981" s="28" t="s">
        <v>2886</v>
      </c>
      <c r="AJ981" s="15">
        <f t="shared" si="919"/>
        <v>0</v>
      </c>
      <c r="AK981" s="15">
        <f t="shared" si="920"/>
        <v>0</v>
      </c>
      <c r="AL981" s="15">
        <f t="shared" si="921"/>
        <v>0</v>
      </c>
      <c r="AN981" s="29">
        <v>15</v>
      </c>
      <c r="AO981" s="29">
        <f t="shared" si="922"/>
        <v>0</v>
      </c>
      <c r="AP981" s="29">
        <f t="shared" si="923"/>
        <v>0</v>
      </c>
      <c r="AQ981" s="30" t="s">
        <v>7</v>
      </c>
      <c r="AV981" s="29">
        <f t="shared" si="924"/>
        <v>0</v>
      </c>
      <c r="AW981" s="29">
        <f t="shared" si="925"/>
        <v>0</v>
      </c>
      <c r="AX981" s="29">
        <f t="shared" si="926"/>
        <v>0</v>
      </c>
      <c r="AY981" s="32" t="s">
        <v>2933</v>
      </c>
      <c r="AZ981" s="32" t="s">
        <v>2953</v>
      </c>
      <c r="BA981" s="28" t="s">
        <v>2961</v>
      </c>
      <c r="BC981" s="29">
        <f t="shared" si="927"/>
        <v>0</v>
      </c>
      <c r="BD981" s="29">
        <f t="shared" si="928"/>
        <v>0</v>
      </c>
      <c r="BE981" s="29">
        <v>0</v>
      </c>
      <c r="BF981" s="29">
        <f>981</f>
        <v>981</v>
      </c>
      <c r="BH981" s="15">
        <f t="shared" si="929"/>
        <v>0</v>
      </c>
      <c r="BI981" s="15">
        <f t="shared" si="930"/>
        <v>0</v>
      </c>
      <c r="BJ981" s="15">
        <f t="shared" si="931"/>
        <v>0</v>
      </c>
      <c r="BK981" s="15" t="s">
        <v>2969</v>
      </c>
      <c r="BL981" s="29">
        <v>8</v>
      </c>
    </row>
    <row r="982" spans="1:64" ht="12.75">
      <c r="A982" s="4" t="s">
        <v>913</v>
      </c>
      <c r="B982" s="94" t="s">
        <v>1868</v>
      </c>
      <c r="C982" s="152" t="s">
        <v>2758</v>
      </c>
      <c r="D982" s="153"/>
      <c r="E982" s="153"/>
      <c r="F982" s="153"/>
      <c r="G982" s="94" t="s">
        <v>2850</v>
      </c>
      <c r="H982" s="73">
        <v>2</v>
      </c>
      <c r="I982" s="105">
        <v>0</v>
      </c>
      <c r="J982" s="15">
        <f t="shared" si="908"/>
        <v>0</v>
      </c>
      <c r="K982" s="15">
        <f t="shared" si="909"/>
        <v>0</v>
      </c>
      <c r="L982" s="15">
        <f t="shared" si="910"/>
        <v>0</v>
      </c>
      <c r="M982" s="25"/>
      <c r="N982" s="5"/>
      <c r="Z982" s="29">
        <f t="shared" si="911"/>
        <v>0</v>
      </c>
      <c r="AB982" s="29">
        <f t="shared" si="912"/>
        <v>0</v>
      </c>
      <c r="AC982" s="29">
        <f t="shared" si="913"/>
        <v>0</v>
      </c>
      <c r="AD982" s="29">
        <f t="shared" si="914"/>
        <v>0</v>
      </c>
      <c r="AE982" s="29">
        <f t="shared" si="915"/>
        <v>0</v>
      </c>
      <c r="AF982" s="29">
        <f t="shared" si="916"/>
        <v>0</v>
      </c>
      <c r="AG982" s="29">
        <f t="shared" si="917"/>
        <v>0</v>
      </c>
      <c r="AH982" s="29">
        <f t="shared" si="918"/>
        <v>0</v>
      </c>
      <c r="AI982" s="28" t="s">
        <v>2886</v>
      </c>
      <c r="AJ982" s="15">
        <f t="shared" si="919"/>
        <v>0</v>
      </c>
      <c r="AK982" s="15">
        <f t="shared" si="920"/>
        <v>0</v>
      </c>
      <c r="AL982" s="15">
        <f t="shared" si="921"/>
        <v>0</v>
      </c>
      <c r="AN982" s="29">
        <v>15</v>
      </c>
      <c r="AO982" s="29">
        <f t="shared" si="922"/>
        <v>0</v>
      </c>
      <c r="AP982" s="29">
        <f t="shared" si="923"/>
        <v>0</v>
      </c>
      <c r="AQ982" s="30" t="s">
        <v>7</v>
      </c>
      <c r="AV982" s="29">
        <f t="shared" si="924"/>
        <v>0</v>
      </c>
      <c r="AW982" s="29">
        <f t="shared" si="925"/>
        <v>0</v>
      </c>
      <c r="AX982" s="29">
        <f t="shared" si="926"/>
        <v>0</v>
      </c>
      <c r="AY982" s="32" t="s">
        <v>2933</v>
      </c>
      <c r="AZ982" s="32" t="s">
        <v>2953</v>
      </c>
      <c r="BA982" s="28" t="s">
        <v>2961</v>
      </c>
      <c r="BC982" s="29">
        <f t="shared" si="927"/>
        <v>0</v>
      </c>
      <c r="BD982" s="29">
        <f t="shared" si="928"/>
        <v>0</v>
      </c>
      <c r="BE982" s="29">
        <v>0</v>
      </c>
      <c r="BF982" s="29">
        <f>982</f>
        <v>982</v>
      </c>
      <c r="BH982" s="15">
        <f t="shared" si="929"/>
        <v>0</v>
      </c>
      <c r="BI982" s="15">
        <f t="shared" si="930"/>
        <v>0</v>
      </c>
      <c r="BJ982" s="15">
        <f t="shared" si="931"/>
        <v>0</v>
      </c>
      <c r="BK982" s="15" t="s">
        <v>2969</v>
      </c>
      <c r="BL982" s="29">
        <v>8</v>
      </c>
    </row>
    <row r="983" spans="1:64" ht="12.75">
      <c r="A983" s="4" t="s">
        <v>914</v>
      </c>
      <c r="B983" s="94" t="s">
        <v>1869</v>
      </c>
      <c r="C983" s="152" t="s">
        <v>2745</v>
      </c>
      <c r="D983" s="153"/>
      <c r="E983" s="153"/>
      <c r="F983" s="153"/>
      <c r="G983" s="94" t="s">
        <v>2850</v>
      </c>
      <c r="H983" s="73">
        <v>1</v>
      </c>
      <c r="I983" s="105">
        <v>0</v>
      </c>
      <c r="J983" s="15">
        <f t="shared" si="908"/>
        <v>0</v>
      </c>
      <c r="K983" s="15">
        <f t="shared" si="909"/>
        <v>0</v>
      </c>
      <c r="L983" s="15">
        <f t="shared" si="910"/>
        <v>0</v>
      </c>
      <c r="M983" s="25"/>
      <c r="N983" s="5"/>
      <c r="Z983" s="29">
        <f t="shared" si="911"/>
        <v>0</v>
      </c>
      <c r="AB983" s="29">
        <f t="shared" si="912"/>
        <v>0</v>
      </c>
      <c r="AC983" s="29">
        <f t="shared" si="913"/>
        <v>0</v>
      </c>
      <c r="AD983" s="29">
        <f t="shared" si="914"/>
        <v>0</v>
      </c>
      <c r="AE983" s="29">
        <f t="shared" si="915"/>
        <v>0</v>
      </c>
      <c r="AF983" s="29">
        <f t="shared" si="916"/>
        <v>0</v>
      </c>
      <c r="AG983" s="29">
        <f t="shared" si="917"/>
        <v>0</v>
      </c>
      <c r="AH983" s="29">
        <f t="shared" si="918"/>
        <v>0</v>
      </c>
      <c r="AI983" s="28" t="s">
        <v>2886</v>
      </c>
      <c r="AJ983" s="15">
        <f t="shared" si="919"/>
        <v>0</v>
      </c>
      <c r="AK983" s="15">
        <f t="shared" si="920"/>
        <v>0</v>
      </c>
      <c r="AL983" s="15">
        <f t="shared" si="921"/>
        <v>0</v>
      </c>
      <c r="AN983" s="29">
        <v>15</v>
      </c>
      <c r="AO983" s="29">
        <f t="shared" si="922"/>
        <v>0</v>
      </c>
      <c r="AP983" s="29">
        <f t="shared" si="923"/>
        <v>0</v>
      </c>
      <c r="AQ983" s="30" t="s">
        <v>7</v>
      </c>
      <c r="AV983" s="29">
        <f t="shared" si="924"/>
        <v>0</v>
      </c>
      <c r="AW983" s="29">
        <f t="shared" si="925"/>
        <v>0</v>
      </c>
      <c r="AX983" s="29">
        <f t="shared" si="926"/>
        <v>0</v>
      </c>
      <c r="AY983" s="32" t="s">
        <v>2933</v>
      </c>
      <c r="AZ983" s="32" t="s">
        <v>2953</v>
      </c>
      <c r="BA983" s="28" t="s">
        <v>2961</v>
      </c>
      <c r="BC983" s="29">
        <f t="shared" si="927"/>
        <v>0</v>
      </c>
      <c r="BD983" s="29">
        <f t="shared" si="928"/>
        <v>0</v>
      </c>
      <c r="BE983" s="29">
        <v>0</v>
      </c>
      <c r="BF983" s="29">
        <f>983</f>
        <v>983</v>
      </c>
      <c r="BH983" s="15">
        <f t="shared" si="929"/>
        <v>0</v>
      </c>
      <c r="BI983" s="15">
        <f t="shared" si="930"/>
        <v>0</v>
      </c>
      <c r="BJ983" s="15">
        <f t="shared" si="931"/>
        <v>0</v>
      </c>
      <c r="BK983" s="15" t="s">
        <v>2969</v>
      </c>
      <c r="BL983" s="29">
        <v>8</v>
      </c>
    </row>
    <row r="984" spans="1:64" ht="12.75">
      <c r="A984" s="4" t="s">
        <v>915</v>
      </c>
      <c r="B984" s="94" t="s">
        <v>1870</v>
      </c>
      <c r="C984" s="152" t="s">
        <v>2194</v>
      </c>
      <c r="D984" s="153"/>
      <c r="E984" s="153"/>
      <c r="F984" s="153"/>
      <c r="G984" s="94" t="s">
        <v>2850</v>
      </c>
      <c r="H984" s="73">
        <v>1</v>
      </c>
      <c r="I984" s="105">
        <v>0</v>
      </c>
      <c r="J984" s="15">
        <f t="shared" si="908"/>
        <v>0</v>
      </c>
      <c r="K984" s="15">
        <f t="shared" si="909"/>
        <v>0</v>
      </c>
      <c r="L984" s="15">
        <f t="shared" si="910"/>
        <v>0</v>
      </c>
      <c r="M984" s="25"/>
      <c r="N984" s="5"/>
      <c r="Z984" s="29">
        <f t="shared" si="911"/>
        <v>0</v>
      </c>
      <c r="AB984" s="29">
        <f t="shared" si="912"/>
        <v>0</v>
      </c>
      <c r="AC984" s="29">
        <f t="shared" si="913"/>
        <v>0</v>
      </c>
      <c r="AD984" s="29">
        <f t="shared" si="914"/>
        <v>0</v>
      </c>
      <c r="AE984" s="29">
        <f t="shared" si="915"/>
        <v>0</v>
      </c>
      <c r="AF984" s="29">
        <f t="shared" si="916"/>
        <v>0</v>
      </c>
      <c r="AG984" s="29">
        <f t="shared" si="917"/>
        <v>0</v>
      </c>
      <c r="AH984" s="29">
        <f t="shared" si="918"/>
        <v>0</v>
      </c>
      <c r="AI984" s="28" t="s">
        <v>2886</v>
      </c>
      <c r="AJ984" s="15">
        <f t="shared" si="919"/>
        <v>0</v>
      </c>
      <c r="AK984" s="15">
        <f t="shared" si="920"/>
        <v>0</v>
      </c>
      <c r="AL984" s="15">
        <f t="shared" si="921"/>
        <v>0</v>
      </c>
      <c r="AN984" s="29">
        <v>15</v>
      </c>
      <c r="AO984" s="29">
        <f t="shared" si="922"/>
        <v>0</v>
      </c>
      <c r="AP984" s="29">
        <f t="shared" si="923"/>
        <v>0</v>
      </c>
      <c r="AQ984" s="30" t="s">
        <v>7</v>
      </c>
      <c r="AV984" s="29">
        <f t="shared" si="924"/>
        <v>0</v>
      </c>
      <c r="AW984" s="29">
        <f t="shared" si="925"/>
        <v>0</v>
      </c>
      <c r="AX984" s="29">
        <f t="shared" si="926"/>
        <v>0</v>
      </c>
      <c r="AY984" s="32" t="s">
        <v>2933</v>
      </c>
      <c r="AZ984" s="32" t="s">
        <v>2953</v>
      </c>
      <c r="BA984" s="28" t="s">
        <v>2961</v>
      </c>
      <c r="BC984" s="29">
        <f t="shared" si="927"/>
        <v>0</v>
      </c>
      <c r="BD984" s="29">
        <f t="shared" si="928"/>
        <v>0</v>
      </c>
      <c r="BE984" s="29">
        <v>0</v>
      </c>
      <c r="BF984" s="29">
        <f>984</f>
        <v>984</v>
      </c>
      <c r="BH984" s="15">
        <f t="shared" si="929"/>
        <v>0</v>
      </c>
      <c r="BI984" s="15">
        <f t="shared" si="930"/>
        <v>0</v>
      </c>
      <c r="BJ984" s="15">
        <f t="shared" si="931"/>
        <v>0</v>
      </c>
      <c r="BK984" s="15" t="s">
        <v>2969</v>
      </c>
      <c r="BL984" s="29">
        <v>8</v>
      </c>
    </row>
    <row r="985" spans="1:64" ht="12.75">
      <c r="A985" s="4" t="s">
        <v>916</v>
      </c>
      <c r="B985" s="94" t="s">
        <v>1871</v>
      </c>
      <c r="C985" s="152" t="s">
        <v>2195</v>
      </c>
      <c r="D985" s="153"/>
      <c r="E985" s="153"/>
      <c r="F985" s="153"/>
      <c r="G985" s="94" t="s">
        <v>2850</v>
      </c>
      <c r="H985" s="73">
        <v>1</v>
      </c>
      <c r="I985" s="105">
        <v>0</v>
      </c>
      <c r="J985" s="15">
        <f t="shared" si="908"/>
        <v>0</v>
      </c>
      <c r="K985" s="15">
        <f t="shared" si="909"/>
        <v>0</v>
      </c>
      <c r="L985" s="15">
        <f t="shared" si="910"/>
        <v>0</v>
      </c>
      <c r="M985" s="25"/>
      <c r="N985" s="5"/>
      <c r="Z985" s="29">
        <f t="shared" si="911"/>
        <v>0</v>
      </c>
      <c r="AB985" s="29">
        <f t="shared" si="912"/>
        <v>0</v>
      </c>
      <c r="AC985" s="29">
        <f t="shared" si="913"/>
        <v>0</v>
      </c>
      <c r="AD985" s="29">
        <f t="shared" si="914"/>
        <v>0</v>
      </c>
      <c r="AE985" s="29">
        <f t="shared" si="915"/>
        <v>0</v>
      </c>
      <c r="AF985" s="29">
        <f t="shared" si="916"/>
        <v>0</v>
      </c>
      <c r="AG985" s="29">
        <f t="shared" si="917"/>
        <v>0</v>
      </c>
      <c r="AH985" s="29">
        <f t="shared" si="918"/>
        <v>0</v>
      </c>
      <c r="AI985" s="28" t="s">
        <v>2886</v>
      </c>
      <c r="AJ985" s="15">
        <f t="shared" si="919"/>
        <v>0</v>
      </c>
      <c r="AK985" s="15">
        <f t="shared" si="920"/>
        <v>0</v>
      </c>
      <c r="AL985" s="15">
        <f t="shared" si="921"/>
        <v>0</v>
      </c>
      <c r="AN985" s="29">
        <v>15</v>
      </c>
      <c r="AO985" s="29">
        <f t="shared" si="922"/>
        <v>0</v>
      </c>
      <c r="AP985" s="29">
        <f t="shared" si="923"/>
        <v>0</v>
      </c>
      <c r="AQ985" s="30" t="s">
        <v>7</v>
      </c>
      <c r="AV985" s="29">
        <f t="shared" si="924"/>
        <v>0</v>
      </c>
      <c r="AW985" s="29">
        <f t="shared" si="925"/>
        <v>0</v>
      </c>
      <c r="AX985" s="29">
        <f t="shared" si="926"/>
        <v>0</v>
      </c>
      <c r="AY985" s="32" t="s">
        <v>2933</v>
      </c>
      <c r="AZ985" s="32" t="s">
        <v>2953</v>
      </c>
      <c r="BA985" s="28" t="s">
        <v>2961</v>
      </c>
      <c r="BC985" s="29">
        <f t="shared" si="927"/>
        <v>0</v>
      </c>
      <c r="BD985" s="29">
        <f t="shared" si="928"/>
        <v>0</v>
      </c>
      <c r="BE985" s="29">
        <v>0</v>
      </c>
      <c r="BF985" s="29">
        <f>985</f>
        <v>985</v>
      </c>
      <c r="BH985" s="15">
        <f t="shared" si="929"/>
        <v>0</v>
      </c>
      <c r="BI985" s="15">
        <f t="shared" si="930"/>
        <v>0</v>
      </c>
      <c r="BJ985" s="15">
        <f t="shared" si="931"/>
        <v>0</v>
      </c>
      <c r="BK985" s="15" t="s">
        <v>2969</v>
      </c>
      <c r="BL985" s="29">
        <v>8</v>
      </c>
    </row>
    <row r="986" spans="1:64" ht="12.75">
      <c r="A986" s="4" t="s">
        <v>917</v>
      </c>
      <c r="B986" s="94" t="s">
        <v>1872</v>
      </c>
      <c r="C986" s="152" t="s">
        <v>2196</v>
      </c>
      <c r="D986" s="153"/>
      <c r="E986" s="153"/>
      <c r="F986" s="153"/>
      <c r="G986" s="94" t="s">
        <v>2850</v>
      </c>
      <c r="H986" s="73">
        <v>1</v>
      </c>
      <c r="I986" s="105">
        <v>0</v>
      </c>
      <c r="J986" s="15">
        <f t="shared" si="908"/>
        <v>0</v>
      </c>
      <c r="K986" s="15">
        <f t="shared" si="909"/>
        <v>0</v>
      </c>
      <c r="L986" s="15">
        <f t="shared" si="910"/>
        <v>0</v>
      </c>
      <c r="M986" s="25"/>
      <c r="N986" s="5"/>
      <c r="Z986" s="29">
        <f t="shared" si="911"/>
        <v>0</v>
      </c>
      <c r="AB986" s="29">
        <f t="shared" si="912"/>
        <v>0</v>
      </c>
      <c r="AC986" s="29">
        <f t="shared" si="913"/>
        <v>0</v>
      </c>
      <c r="AD986" s="29">
        <f t="shared" si="914"/>
        <v>0</v>
      </c>
      <c r="AE986" s="29">
        <f t="shared" si="915"/>
        <v>0</v>
      </c>
      <c r="AF986" s="29">
        <f t="shared" si="916"/>
        <v>0</v>
      </c>
      <c r="AG986" s="29">
        <f t="shared" si="917"/>
        <v>0</v>
      </c>
      <c r="AH986" s="29">
        <f t="shared" si="918"/>
        <v>0</v>
      </c>
      <c r="AI986" s="28" t="s">
        <v>2886</v>
      </c>
      <c r="AJ986" s="15">
        <f t="shared" si="919"/>
        <v>0</v>
      </c>
      <c r="AK986" s="15">
        <f t="shared" si="920"/>
        <v>0</v>
      </c>
      <c r="AL986" s="15">
        <f t="shared" si="921"/>
        <v>0</v>
      </c>
      <c r="AN986" s="29">
        <v>15</v>
      </c>
      <c r="AO986" s="29">
        <f t="shared" si="922"/>
        <v>0</v>
      </c>
      <c r="AP986" s="29">
        <f t="shared" si="923"/>
        <v>0</v>
      </c>
      <c r="AQ986" s="30" t="s">
        <v>7</v>
      </c>
      <c r="AV986" s="29">
        <f t="shared" si="924"/>
        <v>0</v>
      </c>
      <c r="AW986" s="29">
        <f t="shared" si="925"/>
        <v>0</v>
      </c>
      <c r="AX986" s="29">
        <f t="shared" si="926"/>
        <v>0</v>
      </c>
      <c r="AY986" s="32" t="s">
        <v>2933</v>
      </c>
      <c r="AZ986" s="32" t="s">
        <v>2953</v>
      </c>
      <c r="BA986" s="28" t="s">
        <v>2961</v>
      </c>
      <c r="BC986" s="29">
        <f t="shared" si="927"/>
        <v>0</v>
      </c>
      <c r="BD986" s="29">
        <f t="shared" si="928"/>
        <v>0</v>
      </c>
      <c r="BE986" s="29">
        <v>0</v>
      </c>
      <c r="BF986" s="29">
        <f>986</f>
        <v>986</v>
      </c>
      <c r="BH986" s="15">
        <f t="shared" si="929"/>
        <v>0</v>
      </c>
      <c r="BI986" s="15">
        <f t="shared" si="930"/>
        <v>0</v>
      </c>
      <c r="BJ986" s="15">
        <f t="shared" si="931"/>
        <v>0</v>
      </c>
      <c r="BK986" s="15" t="s">
        <v>2969</v>
      </c>
      <c r="BL986" s="29">
        <v>8</v>
      </c>
    </row>
    <row r="987" spans="1:14" ht="12.75">
      <c r="A987" s="83"/>
      <c r="B987" s="96"/>
      <c r="C987" s="159" t="s">
        <v>2784</v>
      </c>
      <c r="D987" s="160"/>
      <c r="E987" s="160"/>
      <c r="F987" s="160"/>
      <c r="G987" s="84" t="s">
        <v>6</v>
      </c>
      <c r="H987" s="84" t="s">
        <v>6</v>
      </c>
      <c r="I987" s="84" t="s">
        <v>6</v>
      </c>
      <c r="J987" s="85">
        <f>J988</f>
        <v>0</v>
      </c>
      <c r="K987" s="85">
        <f>K988</f>
        <v>0</v>
      </c>
      <c r="L987" s="85">
        <f>L988</f>
        <v>0</v>
      </c>
      <c r="M987" s="86"/>
      <c r="N987" s="5"/>
    </row>
    <row r="988" spans="1:47" ht="12.75">
      <c r="A988" s="3"/>
      <c r="B988" s="97" t="s">
        <v>1585</v>
      </c>
      <c r="C988" s="161" t="s">
        <v>2785</v>
      </c>
      <c r="D988" s="162"/>
      <c r="E988" s="162"/>
      <c r="F988" s="162"/>
      <c r="G988" s="13" t="s">
        <v>6</v>
      </c>
      <c r="H988" s="13" t="s">
        <v>6</v>
      </c>
      <c r="I988" s="13" t="s">
        <v>6</v>
      </c>
      <c r="J988" s="34">
        <f>SUM(J989:J1027)</f>
        <v>0</v>
      </c>
      <c r="K988" s="34">
        <f>SUM(K989:K1027)</f>
        <v>0</v>
      </c>
      <c r="L988" s="34">
        <f>SUM(L989:L1027)</f>
        <v>0</v>
      </c>
      <c r="M988" s="24"/>
      <c r="N988" s="5"/>
      <c r="AI988" s="28" t="s">
        <v>2887</v>
      </c>
      <c r="AS988" s="34">
        <f>SUM(AJ989:AJ1027)</f>
        <v>0</v>
      </c>
      <c r="AT988" s="34">
        <f>SUM(AK989:AK1027)</f>
        <v>0</v>
      </c>
      <c r="AU988" s="34">
        <f>SUM(AL989:AL1027)</f>
        <v>0</v>
      </c>
    </row>
    <row r="989" spans="1:64" ht="12.75">
      <c r="A989" s="4" t="s">
        <v>918</v>
      </c>
      <c r="B989" s="94" t="s">
        <v>1586</v>
      </c>
      <c r="C989" s="152" t="s">
        <v>2532</v>
      </c>
      <c r="D989" s="153"/>
      <c r="E989" s="153"/>
      <c r="F989" s="153"/>
      <c r="G989" s="94" t="s">
        <v>2850</v>
      </c>
      <c r="H989" s="73">
        <v>2</v>
      </c>
      <c r="I989" s="105">
        <v>0</v>
      </c>
      <c r="J989" s="15">
        <f aca="true" t="shared" si="932" ref="J989:J1027">H989*AO989</f>
        <v>0</v>
      </c>
      <c r="K989" s="15">
        <f aca="true" t="shared" si="933" ref="K989:K1027">H989*AP989</f>
        <v>0</v>
      </c>
      <c r="L989" s="15">
        <f aca="true" t="shared" si="934" ref="L989:L1027">H989*I989</f>
        <v>0</v>
      </c>
      <c r="M989" s="25"/>
      <c r="N989" s="5"/>
      <c r="Z989" s="29">
        <f aca="true" t="shared" si="935" ref="Z989:Z1027">IF(AQ989="5",BJ989,0)</f>
        <v>0</v>
      </c>
      <c r="AB989" s="29">
        <f aca="true" t="shared" si="936" ref="AB989:AB1027">IF(AQ989="1",BH989,0)</f>
        <v>0</v>
      </c>
      <c r="AC989" s="29">
        <f aca="true" t="shared" si="937" ref="AC989:AC1027">IF(AQ989="1",BI989,0)</f>
        <v>0</v>
      </c>
      <c r="AD989" s="29">
        <f aca="true" t="shared" si="938" ref="AD989:AD1027">IF(AQ989="7",BH989,0)</f>
        <v>0</v>
      </c>
      <c r="AE989" s="29">
        <f aca="true" t="shared" si="939" ref="AE989:AE1027">IF(AQ989="7",BI989,0)</f>
        <v>0</v>
      </c>
      <c r="AF989" s="29">
        <f aca="true" t="shared" si="940" ref="AF989:AF1027">IF(AQ989="2",BH989,0)</f>
        <v>0</v>
      </c>
      <c r="AG989" s="29">
        <f aca="true" t="shared" si="941" ref="AG989:AG1027">IF(AQ989="2",BI989,0)</f>
        <v>0</v>
      </c>
      <c r="AH989" s="29">
        <f aca="true" t="shared" si="942" ref="AH989:AH1027">IF(AQ989="0",BJ989,0)</f>
        <v>0</v>
      </c>
      <c r="AI989" s="28" t="s">
        <v>2887</v>
      </c>
      <c r="AJ989" s="15">
        <f aca="true" t="shared" si="943" ref="AJ989:AJ1027">IF(AN989=0,L989,0)</f>
        <v>0</v>
      </c>
      <c r="AK989" s="15">
        <f aca="true" t="shared" si="944" ref="AK989:AK1027">IF(AN989=15,L989,0)</f>
        <v>0</v>
      </c>
      <c r="AL989" s="15">
        <f aca="true" t="shared" si="945" ref="AL989:AL1027">IF(AN989=21,L989,0)</f>
        <v>0</v>
      </c>
      <c r="AN989" s="29">
        <v>15</v>
      </c>
      <c r="AO989" s="29">
        <f aca="true" t="shared" si="946" ref="AO989:AO1027">I989*0</f>
        <v>0</v>
      </c>
      <c r="AP989" s="29">
        <f aca="true" t="shared" si="947" ref="AP989:AP1027">I989*(1-0)</f>
        <v>0</v>
      </c>
      <c r="AQ989" s="30" t="s">
        <v>7</v>
      </c>
      <c r="AV989" s="29">
        <f aca="true" t="shared" si="948" ref="AV989:AV1027">AW989+AX989</f>
        <v>0</v>
      </c>
      <c r="AW989" s="29">
        <f aca="true" t="shared" si="949" ref="AW989:AW1027">H989*AO989</f>
        <v>0</v>
      </c>
      <c r="AX989" s="29">
        <f aca="true" t="shared" si="950" ref="AX989:AX1027">H989*AP989</f>
        <v>0</v>
      </c>
      <c r="AY989" s="32" t="s">
        <v>2927</v>
      </c>
      <c r="AZ989" s="32" t="s">
        <v>2954</v>
      </c>
      <c r="BA989" s="28" t="s">
        <v>2962</v>
      </c>
      <c r="BC989" s="29">
        <f aca="true" t="shared" si="951" ref="BC989:BC1027">AW989+AX989</f>
        <v>0</v>
      </c>
      <c r="BD989" s="29">
        <f aca="true" t="shared" si="952" ref="BD989:BD1027">I989/(100-BE989)*100</f>
        <v>0</v>
      </c>
      <c r="BE989" s="29">
        <v>0</v>
      </c>
      <c r="BF989" s="29">
        <f>989</f>
        <v>989</v>
      </c>
      <c r="BH989" s="15">
        <f aca="true" t="shared" si="953" ref="BH989:BH1027">H989*AO989</f>
        <v>0</v>
      </c>
      <c r="BI989" s="15">
        <f aca="true" t="shared" si="954" ref="BI989:BI1027">H989*AP989</f>
        <v>0</v>
      </c>
      <c r="BJ989" s="15">
        <f aca="true" t="shared" si="955" ref="BJ989:BJ1027">H989*I989</f>
        <v>0</v>
      </c>
      <c r="BK989" s="15" t="s">
        <v>2969</v>
      </c>
      <c r="BL989" s="29" t="s">
        <v>1585</v>
      </c>
    </row>
    <row r="990" spans="1:64" ht="12.75">
      <c r="A990" s="4" t="s">
        <v>919</v>
      </c>
      <c r="B990" s="94" t="s">
        <v>1587</v>
      </c>
      <c r="C990" s="152" t="s">
        <v>2533</v>
      </c>
      <c r="D990" s="153"/>
      <c r="E990" s="153"/>
      <c r="F990" s="153"/>
      <c r="G990" s="94" t="s">
        <v>2850</v>
      </c>
      <c r="H990" s="73">
        <v>2</v>
      </c>
      <c r="I990" s="105">
        <v>0</v>
      </c>
      <c r="J990" s="15">
        <f t="shared" si="932"/>
        <v>0</v>
      </c>
      <c r="K990" s="15">
        <f t="shared" si="933"/>
        <v>0</v>
      </c>
      <c r="L990" s="15">
        <f t="shared" si="934"/>
        <v>0</v>
      </c>
      <c r="M990" s="25"/>
      <c r="N990" s="5"/>
      <c r="Z990" s="29">
        <f t="shared" si="935"/>
        <v>0</v>
      </c>
      <c r="AB990" s="29">
        <f t="shared" si="936"/>
        <v>0</v>
      </c>
      <c r="AC990" s="29">
        <f t="shared" si="937"/>
        <v>0</v>
      </c>
      <c r="AD990" s="29">
        <f t="shared" si="938"/>
        <v>0</v>
      </c>
      <c r="AE990" s="29">
        <f t="shared" si="939"/>
        <v>0</v>
      </c>
      <c r="AF990" s="29">
        <f t="shared" si="940"/>
        <v>0</v>
      </c>
      <c r="AG990" s="29">
        <f t="shared" si="941"/>
        <v>0</v>
      </c>
      <c r="AH990" s="29">
        <f t="shared" si="942"/>
        <v>0</v>
      </c>
      <c r="AI990" s="28" t="s">
        <v>2887</v>
      </c>
      <c r="AJ990" s="15">
        <f t="shared" si="943"/>
        <v>0</v>
      </c>
      <c r="AK990" s="15">
        <f t="shared" si="944"/>
        <v>0</v>
      </c>
      <c r="AL990" s="15">
        <f t="shared" si="945"/>
        <v>0</v>
      </c>
      <c r="AN990" s="29">
        <v>15</v>
      </c>
      <c r="AO990" s="29">
        <f t="shared" si="946"/>
        <v>0</v>
      </c>
      <c r="AP990" s="29">
        <f t="shared" si="947"/>
        <v>0</v>
      </c>
      <c r="AQ990" s="30" t="s">
        <v>7</v>
      </c>
      <c r="AV990" s="29">
        <f t="shared" si="948"/>
        <v>0</v>
      </c>
      <c r="AW990" s="29">
        <f t="shared" si="949"/>
        <v>0</v>
      </c>
      <c r="AX990" s="29">
        <f t="shared" si="950"/>
        <v>0</v>
      </c>
      <c r="AY990" s="32" t="s">
        <v>2927</v>
      </c>
      <c r="AZ990" s="32" t="s">
        <v>2954</v>
      </c>
      <c r="BA990" s="28" t="s">
        <v>2962</v>
      </c>
      <c r="BC990" s="29">
        <f t="shared" si="951"/>
        <v>0</v>
      </c>
      <c r="BD990" s="29">
        <f t="shared" si="952"/>
        <v>0</v>
      </c>
      <c r="BE990" s="29">
        <v>0</v>
      </c>
      <c r="BF990" s="29">
        <f>990</f>
        <v>990</v>
      </c>
      <c r="BH990" s="15">
        <f t="shared" si="953"/>
        <v>0</v>
      </c>
      <c r="BI990" s="15">
        <f t="shared" si="954"/>
        <v>0</v>
      </c>
      <c r="BJ990" s="15">
        <f t="shared" si="955"/>
        <v>0</v>
      </c>
      <c r="BK990" s="15" t="s">
        <v>2969</v>
      </c>
      <c r="BL990" s="29" t="s">
        <v>1585</v>
      </c>
    </row>
    <row r="991" spans="1:64" ht="12.75">
      <c r="A991" s="4" t="s">
        <v>920</v>
      </c>
      <c r="B991" s="94" t="s">
        <v>1588</v>
      </c>
      <c r="C991" s="152" t="s">
        <v>2534</v>
      </c>
      <c r="D991" s="153"/>
      <c r="E991" s="153"/>
      <c r="F991" s="153"/>
      <c r="G991" s="94" t="s">
        <v>2850</v>
      </c>
      <c r="H991" s="73">
        <v>100</v>
      </c>
      <c r="I991" s="105">
        <v>0</v>
      </c>
      <c r="J991" s="15">
        <f t="shared" si="932"/>
        <v>0</v>
      </c>
      <c r="K991" s="15">
        <f t="shared" si="933"/>
        <v>0</v>
      </c>
      <c r="L991" s="15">
        <f t="shared" si="934"/>
        <v>0</v>
      </c>
      <c r="M991" s="25"/>
      <c r="N991" s="5"/>
      <c r="Z991" s="29">
        <f t="shared" si="935"/>
        <v>0</v>
      </c>
      <c r="AB991" s="29">
        <f t="shared" si="936"/>
        <v>0</v>
      </c>
      <c r="AC991" s="29">
        <f t="shared" si="937"/>
        <v>0</v>
      </c>
      <c r="AD991" s="29">
        <f t="shared" si="938"/>
        <v>0</v>
      </c>
      <c r="AE991" s="29">
        <f t="shared" si="939"/>
        <v>0</v>
      </c>
      <c r="AF991" s="29">
        <f t="shared" si="940"/>
        <v>0</v>
      </c>
      <c r="AG991" s="29">
        <f t="shared" si="941"/>
        <v>0</v>
      </c>
      <c r="AH991" s="29">
        <f t="shared" si="942"/>
        <v>0</v>
      </c>
      <c r="AI991" s="28" t="s">
        <v>2887</v>
      </c>
      <c r="AJ991" s="15">
        <f t="shared" si="943"/>
        <v>0</v>
      </c>
      <c r="AK991" s="15">
        <f t="shared" si="944"/>
        <v>0</v>
      </c>
      <c r="AL991" s="15">
        <f t="shared" si="945"/>
        <v>0</v>
      </c>
      <c r="AN991" s="29">
        <v>15</v>
      </c>
      <c r="AO991" s="29">
        <f t="shared" si="946"/>
        <v>0</v>
      </c>
      <c r="AP991" s="29">
        <f t="shared" si="947"/>
        <v>0</v>
      </c>
      <c r="AQ991" s="30" t="s">
        <v>7</v>
      </c>
      <c r="AV991" s="29">
        <f t="shared" si="948"/>
        <v>0</v>
      </c>
      <c r="AW991" s="29">
        <f t="shared" si="949"/>
        <v>0</v>
      </c>
      <c r="AX991" s="29">
        <f t="shared" si="950"/>
        <v>0</v>
      </c>
      <c r="AY991" s="32" t="s">
        <v>2927</v>
      </c>
      <c r="AZ991" s="32" t="s">
        <v>2954</v>
      </c>
      <c r="BA991" s="28" t="s">
        <v>2962</v>
      </c>
      <c r="BC991" s="29">
        <f t="shared" si="951"/>
        <v>0</v>
      </c>
      <c r="BD991" s="29">
        <f t="shared" si="952"/>
        <v>0</v>
      </c>
      <c r="BE991" s="29">
        <v>0</v>
      </c>
      <c r="BF991" s="29">
        <f>991</f>
        <v>991</v>
      </c>
      <c r="BH991" s="15">
        <f t="shared" si="953"/>
        <v>0</v>
      </c>
      <c r="BI991" s="15">
        <f t="shared" si="954"/>
        <v>0</v>
      </c>
      <c r="BJ991" s="15">
        <f t="shared" si="955"/>
        <v>0</v>
      </c>
      <c r="BK991" s="15" t="s">
        <v>2969</v>
      </c>
      <c r="BL991" s="29" t="s">
        <v>1585</v>
      </c>
    </row>
    <row r="992" spans="1:64" ht="12.75">
      <c r="A992" s="4" t="s">
        <v>921</v>
      </c>
      <c r="B992" s="94" t="s">
        <v>1589</v>
      </c>
      <c r="C992" s="152" t="s">
        <v>2535</v>
      </c>
      <c r="D992" s="153"/>
      <c r="E992" s="153"/>
      <c r="F992" s="153"/>
      <c r="G992" s="94" t="s">
        <v>2851</v>
      </c>
      <c r="H992" s="73">
        <v>5</v>
      </c>
      <c r="I992" s="105">
        <v>0</v>
      </c>
      <c r="J992" s="15">
        <f t="shared" si="932"/>
        <v>0</v>
      </c>
      <c r="K992" s="15">
        <f t="shared" si="933"/>
        <v>0</v>
      </c>
      <c r="L992" s="15">
        <f t="shared" si="934"/>
        <v>0</v>
      </c>
      <c r="M992" s="25"/>
      <c r="N992" s="5"/>
      <c r="Z992" s="29">
        <f t="shared" si="935"/>
        <v>0</v>
      </c>
      <c r="AB992" s="29">
        <f t="shared" si="936"/>
        <v>0</v>
      </c>
      <c r="AC992" s="29">
        <f t="shared" si="937"/>
        <v>0</v>
      </c>
      <c r="AD992" s="29">
        <f t="shared" si="938"/>
        <v>0</v>
      </c>
      <c r="AE992" s="29">
        <f t="shared" si="939"/>
        <v>0</v>
      </c>
      <c r="AF992" s="29">
        <f t="shared" si="940"/>
        <v>0</v>
      </c>
      <c r="AG992" s="29">
        <f t="shared" si="941"/>
        <v>0</v>
      </c>
      <c r="AH992" s="29">
        <f t="shared" si="942"/>
        <v>0</v>
      </c>
      <c r="AI992" s="28" t="s">
        <v>2887</v>
      </c>
      <c r="AJ992" s="15">
        <f t="shared" si="943"/>
        <v>0</v>
      </c>
      <c r="AK992" s="15">
        <f t="shared" si="944"/>
        <v>0</v>
      </c>
      <c r="AL992" s="15">
        <f t="shared" si="945"/>
        <v>0</v>
      </c>
      <c r="AN992" s="29">
        <v>15</v>
      </c>
      <c r="AO992" s="29">
        <f t="shared" si="946"/>
        <v>0</v>
      </c>
      <c r="AP992" s="29">
        <f t="shared" si="947"/>
        <v>0</v>
      </c>
      <c r="AQ992" s="30" t="s">
        <v>7</v>
      </c>
      <c r="AV992" s="29">
        <f t="shared" si="948"/>
        <v>0</v>
      </c>
      <c r="AW992" s="29">
        <f t="shared" si="949"/>
        <v>0</v>
      </c>
      <c r="AX992" s="29">
        <f t="shared" si="950"/>
        <v>0</v>
      </c>
      <c r="AY992" s="32" t="s">
        <v>2927</v>
      </c>
      <c r="AZ992" s="32" t="s">
        <v>2954</v>
      </c>
      <c r="BA992" s="28" t="s">
        <v>2962</v>
      </c>
      <c r="BC992" s="29">
        <f t="shared" si="951"/>
        <v>0</v>
      </c>
      <c r="BD992" s="29">
        <f t="shared" si="952"/>
        <v>0</v>
      </c>
      <c r="BE992" s="29">
        <v>0</v>
      </c>
      <c r="BF992" s="29">
        <f>992</f>
        <v>992</v>
      </c>
      <c r="BH992" s="15">
        <f t="shared" si="953"/>
        <v>0</v>
      </c>
      <c r="BI992" s="15">
        <f t="shared" si="954"/>
        <v>0</v>
      </c>
      <c r="BJ992" s="15">
        <f t="shared" si="955"/>
        <v>0</v>
      </c>
      <c r="BK992" s="15" t="s">
        <v>2969</v>
      </c>
      <c r="BL992" s="29" t="s">
        <v>1585</v>
      </c>
    </row>
    <row r="993" spans="1:64" ht="12.75">
      <c r="A993" s="4" t="s">
        <v>922</v>
      </c>
      <c r="B993" s="94" t="s">
        <v>1590</v>
      </c>
      <c r="C993" s="152" t="s">
        <v>2536</v>
      </c>
      <c r="D993" s="153"/>
      <c r="E993" s="153"/>
      <c r="F993" s="153"/>
      <c r="G993" s="94" t="s">
        <v>2851</v>
      </c>
      <c r="H993" s="73">
        <v>5</v>
      </c>
      <c r="I993" s="105">
        <v>0</v>
      </c>
      <c r="J993" s="15">
        <f t="shared" si="932"/>
        <v>0</v>
      </c>
      <c r="K993" s="15">
        <f t="shared" si="933"/>
        <v>0</v>
      </c>
      <c r="L993" s="15">
        <f t="shared" si="934"/>
        <v>0</v>
      </c>
      <c r="M993" s="25"/>
      <c r="N993" s="5"/>
      <c r="Z993" s="29">
        <f t="shared" si="935"/>
        <v>0</v>
      </c>
      <c r="AB993" s="29">
        <f t="shared" si="936"/>
        <v>0</v>
      </c>
      <c r="AC993" s="29">
        <f t="shared" si="937"/>
        <v>0</v>
      </c>
      <c r="AD993" s="29">
        <f t="shared" si="938"/>
        <v>0</v>
      </c>
      <c r="AE993" s="29">
        <f t="shared" si="939"/>
        <v>0</v>
      </c>
      <c r="AF993" s="29">
        <f t="shared" si="940"/>
        <v>0</v>
      </c>
      <c r="AG993" s="29">
        <f t="shared" si="941"/>
        <v>0</v>
      </c>
      <c r="AH993" s="29">
        <f t="shared" si="942"/>
        <v>0</v>
      </c>
      <c r="AI993" s="28" t="s">
        <v>2887</v>
      </c>
      <c r="AJ993" s="15">
        <f t="shared" si="943"/>
        <v>0</v>
      </c>
      <c r="AK993" s="15">
        <f t="shared" si="944"/>
        <v>0</v>
      </c>
      <c r="AL993" s="15">
        <f t="shared" si="945"/>
        <v>0</v>
      </c>
      <c r="AN993" s="29">
        <v>15</v>
      </c>
      <c r="AO993" s="29">
        <f t="shared" si="946"/>
        <v>0</v>
      </c>
      <c r="AP993" s="29">
        <f t="shared" si="947"/>
        <v>0</v>
      </c>
      <c r="AQ993" s="30" t="s">
        <v>7</v>
      </c>
      <c r="AV993" s="29">
        <f t="shared" si="948"/>
        <v>0</v>
      </c>
      <c r="AW993" s="29">
        <f t="shared" si="949"/>
        <v>0</v>
      </c>
      <c r="AX993" s="29">
        <f t="shared" si="950"/>
        <v>0</v>
      </c>
      <c r="AY993" s="32" t="s">
        <v>2927</v>
      </c>
      <c r="AZ993" s="32" t="s">
        <v>2954</v>
      </c>
      <c r="BA993" s="28" t="s">
        <v>2962</v>
      </c>
      <c r="BC993" s="29">
        <f t="shared" si="951"/>
        <v>0</v>
      </c>
      <c r="BD993" s="29">
        <f t="shared" si="952"/>
        <v>0</v>
      </c>
      <c r="BE993" s="29">
        <v>0</v>
      </c>
      <c r="BF993" s="29">
        <f>993</f>
        <v>993</v>
      </c>
      <c r="BH993" s="15">
        <f t="shared" si="953"/>
        <v>0</v>
      </c>
      <c r="BI993" s="15">
        <f t="shared" si="954"/>
        <v>0</v>
      </c>
      <c r="BJ993" s="15">
        <f t="shared" si="955"/>
        <v>0</v>
      </c>
      <c r="BK993" s="15" t="s">
        <v>2969</v>
      </c>
      <c r="BL993" s="29" t="s">
        <v>1585</v>
      </c>
    </row>
    <row r="994" spans="1:64" ht="12.75">
      <c r="A994" s="4" t="s">
        <v>923</v>
      </c>
      <c r="B994" s="94" t="s">
        <v>1591</v>
      </c>
      <c r="C994" s="152" t="s">
        <v>2786</v>
      </c>
      <c r="D994" s="153"/>
      <c r="E994" s="153"/>
      <c r="F994" s="153"/>
      <c r="G994" s="94" t="s">
        <v>2850</v>
      </c>
      <c r="H994" s="73">
        <v>1</v>
      </c>
      <c r="I994" s="105">
        <v>0</v>
      </c>
      <c r="J994" s="15">
        <f t="shared" si="932"/>
        <v>0</v>
      </c>
      <c r="K994" s="15">
        <f t="shared" si="933"/>
        <v>0</v>
      </c>
      <c r="L994" s="15">
        <f t="shared" si="934"/>
        <v>0</v>
      </c>
      <c r="M994" s="25"/>
      <c r="N994" s="5"/>
      <c r="Z994" s="29">
        <f t="shared" si="935"/>
        <v>0</v>
      </c>
      <c r="AB994" s="29">
        <f t="shared" si="936"/>
        <v>0</v>
      </c>
      <c r="AC994" s="29">
        <f t="shared" si="937"/>
        <v>0</v>
      </c>
      <c r="AD994" s="29">
        <f t="shared" si="938"/>
        <v>0</v>
      </c>
      <c r="AE994" s="29">
        <f t="shared" si="939"/>
        <v>0</v>
      </c>
      <c r="AF994" s="29">
        <f t="shared" si="940"/>
        <v>0</v>
      </c>
      <c r="AG994" s="29">
        <f t="shared" si="941"/>
        <v>0</v>
      </c>
      <c r="AH994" s="29">
        <f t="shared" si="942"/>
        <v>0</v>
      </c>
      <c r="AI994" s="28" t="s">
        <v>2887</v>
      </c>
      <c r="AJ994" s="15">
        <f t="shared" si="943"/>
        <v>0</v>
      </c>
      <c r="AK994" s="15">
        <f t="shared" si="944"/>
        <v>0</v>
      </c>
      <c r="AL994" s="15">
        <f t="shared" si="945"/>
        <v>0</v>
      </c>
      <c r="AN994" s="29">
        <v>15</v>
      </c>
      <c r="AO994" s="29">
        <f t="shared" si="946"/>
        <v>0</v>
      </c>
      <c r="AP994" s="29">
        <f t="shared" si="947"/>
        <v>0</v>
      </c>
      <c r="AQ994" s="30" t="s">
        <v>7</v>
      </c>
      <c r="AV994" s="29">
        <f t="shared" si="948"/>
        <v>0</v>
      </c>
      <c r="AW994" s="29">
        <f t="shared" si="949"/>
        <v>0</v>
      </c>
      <c r="AX994" s="29">
        <f t="shared" si="950"/>
        <v>0</v>
      </c>
      <c r="AY994" s="32" t="s">
        <v>2927</v>
      </c>
      <c r="AZ994" s="32" t="s">
        <v>2954</v>
      </c>
      <c r="BA994" s="28" t="s">
        <v>2962</v>
      </c>
      <c r="BC994" s="29">
        <f t="shared" si="951"/>
        <v>0</v>
      </c>
      <c r="BD994" s="29">
        <f t="shared" si="952"/>
        <v>0</v>
      </c>
      <c r="BE994" s="29">
        <v>0</v>
      </c>
      <c r="BF994" s="29">
        <f>994</f>
        <v>994</v>
      </c>
      <c r="BH994" s="15">
        <f t="shared" si="953"/>
        <v>0</v>
      </c>
      <c r="BI994" s="15">
        <f t="shared" si="954"/>
        <v>0</v>
      </c>
      <c r="BJ994" s="15">
        <f t="shared" si="955"/>
        <v>0</v>
      </c>
      <c r="BK994" s="15" t="s">
        <v>2969</v>
      </c>
      <c r="BL994" s="29" t="s">
        <v>1585</v>
      </c>
    </row>
    <row r="995" spans="1:64" ht="12.75">
      <c r="A995" s="4" t="s">
        <v>924</v>
      </c>
      <c r="B995" s="94" t="s">
        <v>1592</v>
      </c>
      <c r="C995" s="152" t="s">
        <v>2538</v>
      </c>
      <c r="D995" s="153"/>
      <c r="E995" s="153"/>
      <c r="F995" s="153"/>
      <c r="G995" s="94" t="s">
        <v>2850</v>
      </c>
      <c r="H995" s="73">
        <v>1</v>
      </c>
      <c r="I995" s="105">
        <v>0</v>
      </c>
      <c r="J995" s="15">
        <f t="shared" si="932"/>
        <v>0</v>
      </c>
      <c r="K995" s="15">
        <f t="shared" si="933"/>
        <v>0</v>
      </c>
      <c r="L995" s="15">
        <f t="shared" si="934"/>
        <v>0</v>
      </c>
      <c r="M995" s="25"/>
      <c r="N995" s="5"/>
      <c r="Z995" s="29">
        <f t="shared" si="935"/>
        <v>0</v>
      </c>
      <c r="AB995" s="29">
        <f t="shared" si="936"/>
        <v>0</v>
      </c>
      <c r="AC995" s="29">
        <f t="shared" si="937"/>
        <v>0</v>
      </c>
      <c r="AD995" s="29">
        <f t="shared" si="938"/>
        <v>0</v>
      </c>
      <c r="AE995" s="29">
        <f t="shared" si="939"/>
        <v>0</v>
      </c>
      <c r="AF995" s="29">
        <f t="shared" si="940"/>
        <v>0</v>
      </c>
      <c r="AG995" s="29">
        <f t="shared" si="941"/>
        <v>0</v>
      </c>
      <c r="AH995" s="29">
        <f t="shared" si="942"/>
        <v>0</v>
      </c>
      <c r="AI995" s="28" t="s">
        <v>2887</v>
      </c>
      <c r="AJ995" s="15">
        <f t="shared" si="943"/>
        <v>0</v>
      </c>
      <c r="AK995" s="15">
        <f t="shared" si="944"/>
        <v>0</v>
      </c>
      <c r="AL995" s="15">
        <f t="shared" si="945"/>
        <v>0</v>
      </c>
      <c r="AN995" s="29">
        <v>15</v>
      </c>
      <c r="AO995" s="29">
        <f t="shared" si="946"/>
        <v>0</v>
      </c>
      <c r="AP995" s="29">
        <f t="shared" si="947"/>
        <v>0</v>
      </c>
      <c r="AQ995" s="30" t="s">
        <v>7</v>
      </c>
      <c r="AV995" s="29">
        <f t="shared" si="948"/>
        <v>0</v>
      </c>
      <c r="AW995" s="29">
        <f t="shared" si="949"/>
        <v>0</v>
      </c>
      <c r="AX995" s="29">
        <f t="shared" si="950"/>
        <v>0</v>
      </c>
      <c r="AY995" s="32" t="s">
        <v>2927</v>
      </c>
      <c r="AZ995" s="32" t="s">
        <v>2954</v>
      </c>
      <c r="BA995" s="28" t="s">
        <v>2962</v>
      </c>
      <c r="BC995" s="29">
        <f t="shared" si="951"/>
        <v>0</v>
      </c>
      <c r="BD995" s="29">
        <f t="shared" si="952"/>
        <v>0</v>
      </c>
      <c r="BE995" s="29">
        <v>0</v>
      </c>
      <c r="BF995" s="29">
        <f>995</f>
        <v>995</v>
      </c>
      <c r="BH995" s="15">
        <f t="shared" si="953"/>
        <v>0</v>
      </c>
      <c r="BI995" s="15">
        <f t="shared" si="954"/>
        <v>0</v>
      </c>
      <c r="BJ995" s="15">
        <f t="shared" si="955"/>
        <v>0</v>
      </c>
      <c r="BK995" s="15" t="s">
        <v>2969</v>
      </c>
      <c r="BL995" s="29" t="s">
        <v>1585</v>
      </c>
    </row>
    <row r="996" spans="1:64" ht="12.75">
      <c r="A996" s="4" t="s">
        <v>925</v>
      </c>
      <c r="B996" s="94" t="s">
        <v>1593</v>
      </c>
      <c r="C996" s="152" t="s">
        <v>2787</v>
      </c>
      <c r="D996" s="153"/>
      <c r="E996" s="153"/>
      <c r="F996" s="153"/>
      <c r="G996" s="94" t="s">
        <v>2850</v>
      </c>
      <c r="H996" s="73">
        <v>1</v>
      </c>
      <c r="I996" s="105">
        <v>0</v>
      </c>
      <c r="J996" s="15">
        <f t="shared" si="932"/>
        <v>0</v>
      </c>
      <c r="K996" s="15">
        <f t="shared" si="933"/>
        <v>0</v>
      </c>
      <c r="L996" s="15">
        <f t="shared" si="934"/>
        <v>0</v>
      </c>
      <c r="M996" s="25"/>
      <c r="N996" s="5"/>
      <c r="Z996" s="29">
        <f t="shared" si="935"/>
        <v>0</v>
      </c>
      <c r="AB996" s="29">
        <f t="shared" si="936"/>
        <v>0</v>
      </c>
      <c r="AC996" s="29">
        <f t="shared" si="937"/>
        <v>0</v>
      </c>
      <c r="AD996" s="29">
        <f t="shared" si="938"/>
        <v>0</v>
      </c>
      <c r="AE996" s="29">
        <f t="shared" si="939"/>
        <v>0</v>
      </c>
      <c r="AF996" s="29">
        <f t="shared" si="940"/>
        <v>0</v>
      </c>
      <c r="AG996" s="29">
        <f t="shared" si="941"/>
        <v>0</v>
      </c>
      <c r="AH996" s="29">
        <f t="shared" si="942"/>
        <v>0</v>
      </c>
      <c r="AI996" s="28" t="s">
        <v>2887</v>
      </c>
      <c r="AJ996" s="15">
        <f t="shared" si="943"/>
        <v>0</v>
      </c>
      <c r="AK996" s="15">
        <f t="shared" si="944"/>
        <v>0</v>
      </c>
      <c r="AL996" s="15">
        <f t="shared" si="945"/>
        <v>0</v>
      </c>
      <c r="AN996" s="29">
        <v>15</v>
      </c>
      <c r="AO996" s="29">
        <f t="shared" si="946"/>
        <v>0</v>
      </c>
      <c r="AP996" s="29">
        <f t="shared" si="947"/>
        <v>0</v>
      </c>
      <c r="AQ996" s="30" t="s">
        <v>7</v>
      </c>
      <c r="AV996" s="29">
        <f t="shared" si="948"/>
        <v>0</v>
      </c>
      <c r="AW996" s="29">
        <f t="shared" si="949"/>
        <v>0</v>
      </c>
      <c r="AX996" s="29">
        <f t="shared" si="950"/>
        <v>0</v>
      </c>
      <c r="AY996" s="32" t="s">
        <v>2927</v>
      </c>
      <c r="AZ996" s="32" t="s">
        <v>2954</v>
      </c>
      <c r="BA996" s="28" t="s">
        <v>2962</v>
      </c>
      <c r="BC996" s="29">
        <f t="shared" si="951"/>
        <v>0</v>
      </c>
      <c r="BD996" s="29">
        <f t="shared" si="952"/>
        <v>0</v>
      </c>
      <c r="BE996" s="29">
        <v>0</v>
      </c>
      <c r="BF996" s="29">
        <f>996</f>
        <v>996</v>
      </c>
      <c r="BH996" s="15">
        <f t="shared" si="953"/>
        <v>0</v>
      </c>
      <c r="BI996" s="15">
        <f t="shared" si="954"/>
        <v>0</v>
      </c>
      <c r="BJ996" s="15">
        <f t="shared" si="955"/>
        <v>0</v>
      </c>
      <c r="BK996" s="15" t="s">
        <v>2969</v>
      </c>
      <c r="BL996" s="29" t="s">
        <v>1585</v>
      </c>
    </row>
    <row r="997" spans="1:64" ht="12.75">
      <c r="A997" s="4" t="s">
        <v>926</v>
      </c>
      <c r="B997" s="94" t="s">
        <v>1594</v>
      </c>
      <c r="C997" s="152" t="s">
        <v>2788</v>
      </c>
      <c r="D997" s="153"/>
      <c r="E997" s="153"/>
      <c r="F997" s="153"/>
      <c r="G997" s="94" t="s">
        <v>2852</v>
      </c>
      <c r="H997" s="73">
        <v>10</v>
      </c>
      <c r="I997" s="105">
        <v>0</v>
      </c>
      <c r="J997" s="15">
        <f t="shared" si="932"/>
        <v>0</v>
      </c>
      <c r="K997" s="15">
        <f t="shared" si="933"/>
        <v>0</v>
      </c>
      <c r="L997" s="15">
        <f t="shared" si="934"/>
        <v>0</v>
      </c>
      <c r="M997" s="25"/>
      <c r="N997" s="5"/>
      <c r="Z997" s="29">
        <f t="shared" si="935"/>
        <v>0</v>
      </c>
      <c r="AB997" s="29">
        <f t="shared" si="936"/>
        <v>0</v>
      </c>
      <c r="AC997" s="29">
        <f t="shared" si="937"/>
        <v>0</v>
      </c>
      <c r="AD997" s="29">
        <f t="shared" si="938"/>
        <v>0</v>
      </c>
      <c r="AE997" s="29">
        <f t="shared" si="939"/>
        <v>0</v>
      </c>
      <c r="AF997" s="29">
        <f t="shared" si="940"/>
        <v>0</v>
      </c>
      <c r="AG997" s="29">
        <f t="shared" si="941"/>
        <v>0</v>
      </c>
      <c r="AH997" s="29">
        <f t="shared" si="942"/>
        <v>0</v>
      </c>
      <c r="AI997" s="28" t="s">
        <v>2887</v>
      </c>
      <c r="AJ997" s="15">
        <f t="shared" si="943"/>
        <v>0</v>
      </c>
      <c r="AK997" s="15">
        <f t="shared" si="944"/>
        <v>0</v>
      </c>
      <c r="AL997" s="15">
        <f t="shared" si="945"/>
        <v>0</v>
      </c>
      <c r="AN997" s="29">
        <v>15</v>
      </c>
      <c r="AO997" s="29">
        <f t="shared" si="946"/>
        <v>0</v>
      </c>
      <c r="AP997" s="29">
        <f t="shared" si="947"/>
        <v>0</v>
      </c>
      <c r="AQ997" s="30" t="s">
        <v>7</v>
      </c>
      <c r="AV997" s="29">
        <f t="shared" si="948"/>
        <v>0</v>
      </c>
      <c r="AW997" s="29">
        <f t="shared" si="949"/>
        <v>0</v>
      </c>
      <c r="AX997" s="29">
        <f t="shared" si="950"/>
        <v>0</v>
      </c>
      <c r="AY997" s="32" t="s">
        <v>2927</v>
      </c>
      <c r="AZ997" s="32" t="s">
        <v>2954</v>
      </c>
      <c r="BA997" s="28" t="s">
        <v>2962</v>
      </c>
      <c r="BC997" s="29">
        <f t="shared" si="951"/>
        <v>0</v>
      </c>
      <c r="BD997" s="29">
        <f t="shared" si="952"/>
        <v>0</v>
      </c>
      <c r="BE997" s="29">
        <v>0</v>
      </c>
      <c r="BF997" s="29">
        <f>997</f>
        <v>997</v>
      </c>
      <c r="BH997" s="15">
        <f t="shared" si="953"/>
        <v>0</v>
      </c>
      <c r="BI997" s="15">
        <f t="shared" si="954"/>
        <v>0</v>
      </c>
      <c r="BJ997" s="15">
        <f t="shared" si="955"/>
        <v>0</v>
      </c>
      <c r="BK997" s="15" t="s">
        <v>2969</v>
      </c>
      <c r="BL997" s="29" t="s">
        <v>1585</v>
      </c>
    </row>
    <row r="998" spans="1:64" ht="12.75">
      <c r="A998" s="4" t="s">
        <v>927</v>
      </c>
      <c r="B998" s="94" t="s">
        <v>1873</v>
      </c>
      <c r="C998" s="152" t="s">
        <v>2789</v>
      </c>
      <c r="D998" s="153"/>
      <c r="E998" s="153"/>
      <c r="F998" s="153"/>
      <c r="G998" s="94" t="s">
        <v>2851</v>
      </c>
      <c r="H998" s="73">
        <v>5</v>
      </c>
      <c r="I998" s="105">
        <v>0</v>
      </c>
      <c r="J998" s="15">
        <f t="shared" si="932"/>
        <v>0</v>
      </c>
      <c r="K998" s="15">
        <f t="shared" si="933"/>
        <v>0</v>
      </c>
      <c r="L998" s="15">
        <f t="shared" si="934"/>
        <v>0</v>
      </c>
      <c r="M998" s="25"/>
      <c r="N998" s="5"/>
      <c r="Z998" s="29">
        <f t="shared" si="935"/>
        <v>0</v>
      </c>
      <c r="AB998" s="29">
        <f t="shared" si="936"/>
        <v>0</v>
      </c>
      <c r="AC998" s="29">
        <f t="shared" si="937"/>
        <v>0</v>
      </c>
      <c r="AD998" s="29">
        <f t="shared" si="938"/>
        <v>0</v>
      </c>
      <c r="AE998" s="29">
        <f t="shared" si="939"/>
        <v>0</v>
      </c>
      <c r="AF998" s="29">
        <f t="shared" si="940"/>
        <v>0</v>
      </c>
      <c r="AG998" s="29">
        <f t="shared" si="941"/>
        <v>0</v>
      </c>
      <c r="AH998" s="29">
        <f t="shared" si="942"/>
        <v>0</v>
      </c>
      <c r="AI998" s="28" t="s">
        <v>2887</v>
      </c>
      <c r="AJ998" s="15">
        <f t="shared" si="943"/>
        <v>0</v>
      </c>
      <c r="AK998" s="15">
        <f t="shared" si="944"/>
        <v>0</v>
      </c>
      <c r="AL998" s="15">
        <f t="shared" si="945"/>
        <v>0</v>
      </c>
      <c r="AN998" s="29">
        <v>15</v>
      </c>
      <c r="AO998" s="29">
        <f t="shared" si="946"/>
        <v>0</v>
      </c>
      <c r="AP998" s="29">
        <f t="shared" si="947"/>
        <v>0</v>
      </c>
      <c r="AQ998" s="30" t="s">
        <v>7</v>
      </c>
      <c r="AV998" s="29">
        <f t="shared" si="948"/>
        <v>0</v>
      </c>
      <c r="AW998" s="29">
        <f t="shared" si="949"/>
        <v>0</v>
      </c>
      <c r="AX998" s="29">
        <f t="shared" si="950"/>
        <v>0</v>
      </c>
      <c r="AY998" s="32" t="s">
        <v>2927</v>
      </c>
      <c r="AZ998" s="32" t="s">
        <v>2954</v>
      </c>
      <c r="BA998" s="28" t="s">
        <v>2962</v>
      </c>
      <c r="BC998" s="29">
        <f t="shared" si="951"/>
        <v>0</v>
      </c>
      <c r="BD998" s="29">
        <f t="shared" si="952"/>
        <v>0</v>
      </c>
      <c r="BE998" s="29">
        <v>0</v>
      </c>
      <c r="BF998" s="29">
        <f>998</f>
        <v>998</v>
      </c>
      <c r="BH998" s="15">
        <f t="shared" si="953"/>
        <v>0</v>
      </c>
      <c r="BI998" s="15">
        <f t="shared" si="954"/>
        <v>0</v>
      </c>
      <c r="BJ998" s="15">
        <f t="shared" si="955"/>
        <v>0</v>
      </c>
      <c r="BK998" s="15" t="s">
        <v>2969</v>
      </c>
      <c r="BL998" s="29" t="s">
        <v>1585</v>
      </c>
    </row>
    <row r="999" spans="1:64" ht="12.75">
      <c r="A999" s="4" t="s">
        <v>928</v>
      </c>
      <c r="B999" s="94" t="s">
        <v>1595</v>
      </c>
      <c r="C999" s="152" t="s">
        <v>2541</v>
      </c>
      <c r="D999" s="153"/>
      <c r="E999" s="153"/>
      <c r="F999" s="153"/>
      <c r="G999" s="94" t="s">
        <v>2850</v>
      </c>
      <c r="H999" s="73">
        <v>1</v>
      </c>
      <c r="I999" s="105">
        <v>0</v>
      </c>
      <c r="J999" s="15">
        <f t="shared" si="932"/>
        <v>0</v>
      </c>
      <c r="K999" s="15">
        <f t="shared" si="933"/>
        <v>0</v>
      </c>
      <c r="L999" s="15">
        <f t="shared" si="934"/>
        <v>0</v>
      </c>
      <c r="M999" s="25"/>
      <c r="N999" s="5"/>
      <c r="Z999" s="29">
        <f t="shared" si="935"/>
        <v>0</v>
      </c>
      <c r="AB999" s="29">
        <f t="shared" si="936"/>
        <v>0</v>
      </c>
      <c r="AC999" s="29">
        <f t="shared" si="937"/>
        <v>0</v>
      </c>
      <c r="AD999" s="29">
        <f t="shared" si="938"/>
        <v>0</v>
      </c>
      <c r="AE999" s="29">
        <f t="shared" si="939"/>
        <v>0</v>
      </c>
      <c r="AF999" s="29">
        <f t="shared" si="940"/>
        <v>0</v>
      </c>
      <c r="AG999" s="29">
        <f t="shared" si="941"/>
        <v>0</v>
      </c>
      <c r="AH999" s="29">
        <f t="shared" si="942"/>
        <v>0</v>
      </c>
      <c r="AI999" s="28" t="s">
        <v>2887</v>
      </c>
      <c r="AJ999" s="15">
        <f t="shared" si="943"/>
        <v>0</v>
      </c>
      <c r="AK999" s="15">
        <f t="shared" si="944"/>
        <v>0</v>
      </c>
      <c r="AL999" s="15">
        <f t="shared" si="945"/>
        <v>0</v>
      </c>
      <c r="AN999" s="29">
        <v>15</v>
      </c>
      <c r="AO999" s="29">
        <f t="shared" si="946"/>
        <v>0</v>
      </c>
      <c r="AP999" s="29">
        <f t="shared" si="947"/>
        <v>0</v>
      </c>
      <c r="AQ999" s="30" t="s">
        <v>7</v>
      </c>
      <c r="AV999" s="29">
        <f t="shared" si="948"/>
        <v>0</v>
      </c>
      <c r="AW999" s="29">
        <f t="shared" si="949"/>
        <v>0</v>
      </c>
      <c r="AX999" s="29">
        <f t="shared" si="950"/>
        <v>0</v>
      </c>
      <c r="AY999" s="32" t="s">
        <v>2927</v>
      </c>
      <c r="AZ999" s="32" t="s">
        <v>2954</v>
      </c>
      <c r="BA999" s="28" t="s">
        <v>2962</v>
      </c>
      <c r="BC999" s="29">
        <f t="shared" si="951"/>
        <v>0</v>
      </c>
      <c r="BD999" s="29">
        <f t="shared" si="952"/>
        <v>0</v>
      </c>
      <c r="BE999" s="29">
        <v>0</v>
      </c>
      <c r="BF999" s="29">
        <f>999</f>
        <v>999</v>
      </c>
      <c r="BH999" s="15">
        <f t="shared" si="953"/>
        <v>0</v>
      </c>
      <c r="BI999" s="15">
        <f t="shared" si="954"/>
        <v>0</v>
      </c>
      <c r="BJ999" s="15">
        <f t="shared" si="955"/>
        <v>0</v>
      </c>
      <c r="BK999" s="15" t="s">
        <v>2969</v>
      </c>
      <c r="BL999" s="29" t="s">
        <v>1585</v>
      </c>
    </row>
    <row r="1000" spans="1:64" ht="12.75">
      <c r="A1000" s="4" t="s">
        <v>929</v>
      </c>
      <c r="B1000" s="94" t="s">
        <v>1596</v>
      </c>
      <c r="C1000" s="152" t="s">
        <v>2541</v>
      </c>
      <c r="D1000" s="153"/>
      <c r="E1000" s="153"/>
      <c r="F1000" s="153"/>
      <c r="G1000" s="94" t="s">
        <v>2850</v>
      </c>
      <c r="H1000" s="73">
        <v>1</v>
      </c>
      <c r="I1000" s="105">
        <v>0</v>
      </c>
      <c r="J1000" s="15">
        <f t="shared" si="932"/>
        <v>0</v>
      </c>
      <c r="K1000" s="15">
        <f t="shared" si="933"/>
        <v>0</v>
      </c>
      <c r="L1000" s="15">
        <f t="shared" si="934"/>
        <v>0</v>
      </c>
      <c r="M1000" s="25"/>
      <c r="N1000" s="5"/>
      <c r="Z1000" s="29">
        <f t="shared" si="935"/>
        <v>0</v>
      </c>
      <c r="AB1000" s="29">
        <f t="shared" si="936"/>
        <v>0</v>
      </c>
      <c r="AC1000" s="29">
        <f t="shared" si="937"/>
        <v>0</v>
      </c>
      <c r="AD1000" s="29">
        <f t="shared" si="938"/>
        <v>0</v>
      </c>
      <c r="AE1000" s="29">
        <f t="shared" si="939"/>
        <v>0</v>
      </c>
      <c r="AF1000" s="29">
        <f t="shared" si="940"/>
        <v>0</v>
      </c>
      <c r="AG1000" s="29">
        <f t="shared" si="941"/>
        <v>0</v>
      </c>
      <c r="AH1000" s="29">
        <f t="shared" si="942"/>
        <v>0</v>
      </c>
      <c r="AI1000" s="28" t="s">
        <v>2887</v>
      </c>
      <c r="AJ1000" s="15">
        <f t="shared" si="943"/>
        <v>0</v>
      </c>
      <c r="AK1000" s="15">
        <f t="shared" si="944"/>
        <v>0</v>
      </c>
      <c r="AL1000" s="15">
        <f t="shared" si="945"/>
        <v>0</v>
      </c>
      <c r="AN1000" s="29">
        <v>15</v>
      </c>
      <c r="AO1000" s="29">
        <f t="shared" si="946"/>
        <v>0</v>
      </c>
      <c r="AP1000" s="29">
        <f t="shared" si="947"/>
        <v>0</v>
      </c>
      <c r="AQ1000" s="30" t="s">
        <v>7</v>
      </c>
      <c r="AV1000" s="29">
        <f t="shared" si="948"/>
        <v>0</v>
      </c>
      <c r="AW1000" s="29">
        <f t="shared" si="949"/>
        <v>0</v>
      </c>
      <c r="AX1000" s="29">
        <f t="shared" si="950"/>
        <v>0</v>
      </c>
      <c r="AY1000" s="32" t="s">
        <v>2927</v>
      </c>
      <c r="AZ1000" s="32" t="s">
        <v>2954</v>
      </c>
      <c r="BA1000" s="28" t="s">
        <v>2962</v>
      </c>
      <c r="BC1000" s="29">
        <f t="shared" si="951"/>
        <v>0</v>
      </c>
      <c r="BD1000" s="29">
        <f t="shared" si="952"/>
        <v>0</v>
      </c>
      <c r="BE1000" s="29">
        <v>0</v>
      </c>
      <c r="BF1000" s="29">
        <f>1000</f>
        <v>1000</v>
      </c>
      <c r="BH1000" s="15">
        <f t="shared" si="953"/>
        <v>0</v>
      </c>
      <c r="BI1000" s="15">
        <f t="shared" si="954"/>
        <v>0</v>
      </c>
      <c r="BJ1000" s="15">
        <f t="shared" si="955"/>
        <v>0</v>
      </c>
      <c r="BK1000" s="15" t="s">
        <v>2969</v>
      </c>
      <c r="BL1000" s="29" t="s">
        <v>1585</v>
      </c>
    </row>
    <row r="1001" spans="1:64" ht="12.75">
      <c r="A1001" s="4" t="s">
        <v>930</v>
      </c>
      <c r="B1001" s="94" t="s">
        <v>1597</v>
      </c>
      <c r="C1001" s="152" t="s">
        <v>2542</v>
      </c>
      <c r="D1001" s="153"/>
      <c r="E1001" s="153"/>
      <c r="F1001" s="153"/>
      <c r="G1001" s="94" t="s">
        <v>2852</v>
      </c>
      <c r="H1001" s="73">
        <v>10</v>
      </c>
      <c r="I1001" s="105">
        <v>0</v>
      </c>
      <c r="J1001" s="15">
        <f t="shared" si="932"/>
        <v>0</v>
      </c>
      <c r="K1001" s="15">
        <f t="shared" si="933"/>
        <v>0</v>
      </c>
      <c r="L1001" s="15">
        <f t="shared" si="934"/>
        <v>0</v>
      </c>
      <c r="M1001" s="25"/>
      <c r="N1001" s="5"/>
      <c r="Z1001" s="29">
        <f t="shared" si="935"/>
        <v>0</v>
      </c>
      <c r="AB1001" s="29">
        <f t="shared" si="936"/>
        <v>0</v>
      </c>
      <c r="AC1001" s="29">
        <f t="shared" si="937"/>
        <v>0</v>
      </c>
      <c r="AD1001" s="29">
        <f t="shared" si="938"/>
        <v>0</v>
      </c>
      <c r="AE1001" s="29">
        <f t="shared" si="939"/>
        <v>0</v>
      </c>
      <c r="AF1001" s="29">
        <f t="shared" si="940"/>
        <v>0</v>
      </c>
      <c r="AG1001" s="29">
        <f t="shared" si="941"/>
        <v>0</v>
      </c>
      <c r="AH1001" s="29">
        <f t="shared" si="942"/>
        <v>0</v>
      </c>
      <c r="AI1001" s="28" t="s">
        <v>2887</v>
      </c>
      <c r="AJ1001" s="15">
        <f t="shared" si="943"/>
        <v>0</v>
      </c>
      <c r="AK1001" s="15">
        <f t="shared" si="944"/>
        <v>0</v>
      </c>
      <c r="AL1001" s="15">
        <f t="shared" si="945"/>
        <v>0</v>
      </c>
      <c r="AN1001" s="29">
        <v>15</v>
      </c>
      <c r="AO1001" s="29">
        <f t="shared" si="946"/>
        <v>0</v>
      </c>
      <c r="AP1001" s="29">
        <f t="shared" si="947"/>
        <v>0</v>
      </c>
      <c r="AQ1001" s="30" t="s">
        <v>7</v>
      </c>
      <c r="AV1001" s="29">
        <f t="shared" si="948"/>
        <v>0</v>
      </c>
      <c r="AW1001" s="29">
        <f t="shared" si="949"/>
        <v>0</v>
      </c>
      <c r="AX1001" s="29">
        <f t="shared" si="950"/>
        <v>0</v>
      </c>
      <c r="AY1001" s="32" t="s">
        <v>2927</v>
      </c>
      <c r="AZ1001" s="32" t="s">
        <v>2954</v>
      </c>
      <c r="BA1001" s="28" t="s">
        <v>2962</v>
      </c>
      <c r="BC1001" s="29">
        <f t="shared" si="951"/>
        <v>0</v>
      </c>
      <c r="BD1001" s="29">
        <f t="shared" si="952"/>
        <v>0</v>
      </c>
      <c r="BE1001" s="29">
        <v>0</v>
      </c>
      <c r="BF1001" s="29">
        <f>1001</f>
        <v>1001</v>
      </c>
      <c r="BH1001" s="15">
        <f t="shared" si="953"/>
        <v>0</v>
      </c>
      <c r="BI1001" s="15">
        <f t="shared" si="954"/>
        <v>0</v>
      </c>
      <c r="BJ1001" s="15">
        <f t="shared" si="955"/>
        <v>0</v>
      </c>
      <c r="BK1001" s="15" t="s">
        <v>2969</v>
      </c>
      <c r="BL1001" s="29" t="s">
        <v>1585</v>
      </c>
    </row>
    <row r="1002" spans="1:64" ht="12.75">
      <c r="A1002" s="4" t="s">
        <v>931</v>
      </c>
      <c r="B1002" s="94" t="s">
        <v>1600</v>
      </c>
      <c r="C1002" s="152" t="s">
        <v>2545</v>
      </c>
      <c r="D1002" s="153"/>
      <c r="E1002" s="153"/>
      <c r="F1002" s="153"/>
      <c r="G1002" s="94" t="s">
        <v>2851</v>
      </c>
      <c r="H1002" s="73">
        <v>10</v>
      </c>
      <c r="I1002" s="105">
        <v>0</v>
      </c>
      <c r="J1002" s="15">
        <f t="shared" si="932"/>
        <v>0</v>
      </c>
      <c r="K1002" s="15">
        <f t="shared" si="933"/>
        <v>0</v>
      </c>
      <c r="L1002" s="15">
        <f t="shared" si="934"/>
        <v>0</v>
      </c>
      <c r="M1002" s="25"/>
      <c r="N1002" s="5"/>
      <c r="Z1002" s="29">
        <f t="shared" si="935"/>
        <v>0</v>
      </c>
      <c r="AB1002" s="29">
        <f t="shared" si="936"/>
        <v>0</v>
      </c>
      <c r="AC1002" s="29">
        <f t="shared" si="937"/>
        <v>0</v>
      </c>
      <c r="AD1002" s="29">
        <f t="shared" si="938"/>
        <v>0</v>
      </c>
      <c r="AE1002" s="29">
        <f t="shared" si="939"/>
        <v>0</v>
      </c>
      <c r="AF1002" s="29">
        <f t="shared" si="940"/>
        <v>0</v>
      </c>
      <c r="AG1002" s="29">
        <f t="shared" si="941"/>
        <v>0</v>
      </c>
      <c r="AH1002" s="29">
        <f t="shared" si="942"/>
        <v>0</v>
      </c>
      <c r="AI1002" s="28" t="s">
        <v>2887</v>
      </c>
      <c r="AJ1002" s="15">
        <f t="shared" si="943"/>
        <v>0</v>
      </c>
      <c r="AK1002" s="15">
        <f t="shared" si="944"/>
        <v>0</v>
      </c>
      <c r="AL1002" s="15">
        <f t="shared" si="945"/>
        <v>0</v>
      </c>
      <c r="AN1002" s="29">
        <v>15</v>
      </c>
      <c r="AO1002" s="29">
        <f t="shared" si="946"/>
        <v>0</v>
      </c>
      <c r="AP1002" s="29">
        <f t="shared" si="947"/>
        <v>0</v>
      </c>
      <c r="AQ1002" s="30" t="s">
        <v>7</v>
      </c>
      <c r="AV1002" s="29">
        <f t="shared" si="948"/>
        <v>0</v>
      </c>
      <c r="AW1002" s="29">
        <f t="shared" si="949"/>
        <v>0</v>
      </c>
      <c r="AX1002" s="29">
        <f t="shared" si="950"/>
        <v>0</v>
      </c>
      <c r="AY1002" s="32" t="s">
        <v>2927</v>
      </c>
      <c r="AZ1002" s="32" t="s">
        <v>2954</v>
      </c>
      <c r="BA1002" s="28" t="s">
        <v>2962</v>
      </c>
      <c r="BC1002" s="29">
        <f t="shared" si="951"/>
        <v>0</v>
      </c>
      <c r="BD1002" s="29">
        <f t="shared" si="952"/>
        <v>0</v>
      </c>
      <c r="BE1002" s="29">
        <v>0</v>
      </c>
      <c r="BF1002" s="29">
        <f>1002</f>
        <v>1002</v>
      </c>
      <c r="BH1002" s="15">
        <f t="shared" si="953"/>
        <v>0</v>
      </c>
      <c r="BI1002" s="15">
        <f t="shared" si="954"/>
        <v>0</v>
      </c>
      <c r="BJ1002" s="15">
        <f t="shared" si="955"/>
        <v>0</v>
      </c>
      <c r="BK1002" s="15" t="s">
        <v>2969</v>
      </c>
      <c r="BL1002" s="29" t="s">
        <v>1585</v>
      </c>
    </row>
    <row r="1003" spans="1:64" ht="12.75">
      <c r="A1003" s="4" t="s">
        <v>932</v>
      </c>
      <c r="B1003" s="94" t="s">
        <v>1601</v>
      </c>
      <c r="C1003" s="152" t="s">
        <v>2546</v>
      </c>
      <c r="D1003" s="153"/>
      <c r="E1003" s="153"/>
      <c r="F1003" s="153"/>
      <c r="G1003" s="94" t="s">
        <v>2851</v>
      </c>
      <c r="H1003" s="73">
        <v>10</v>
      </c>
      <c r="I1003" s="105">
        <v>0</v>
      </c>
      <c r="J1003" s="15">
        <f t="shared" si="932"/>
        <v>0</v>
      </c>
      <c r="K1003" s="15">
        <f t="shared" si="933"/>
        <v>0</v>
      </c>
      <c r="L1003" s="15">
        <f t="shared" si="934"/>
        <v>0</v>
      </c>
      <c r="M1003" s="25"/>
      <c r="N1003" s="5"/>
      <c r="Z1003" s="29">
        <f t="shared" si="935"/>
        <v>0</v>
      </c>
      <c r="AB1003" s="29">
        <f t="shared" si="936"/>
        <v>0</v>
      </c>
      <c r="AC1003" s="29">
        <f t="shared" si="937"/>
        <v>0</v>
      </c>
      <c r="AD1003" s="29">
        <f t="shared" si="938"/>
        <v>0</v>
      </c>
      <c r="AE1003" s="29">
        <f t="shared" si="939"/>
        <v>0</v>
      </c>
      <c r="AF1003" s="29">
        <f t="shared" si="940"/>
        <v>0</v>
      </c>
      <c r="AG1003" s="29">
        <f t="shared" si="941"/>
        <v>0</v>
      </c>
      <c r="AH1003" s="29">
        <f t="shared" si="942"/>
        <v>0</v>
      </c>
      <c r="AI1003" s="28" t="s">
        <v>2887</v>
      </c>
      <c r="AJ1003" s="15">
        <f t="shared" si="943"/>
        <v>0</v>
      </c>
      <c r="AK1003" s="15">
        <f t="shared" si="944"/>
        <v>0</v>
      </c>
      <c r="AL1003" s="15">
        <f t="shared" si="945"/>
        <v>0</v>
      </c>
      <c r="AN1003" s="29">
        <v>15</v>
      </c>
      <c r="AO1003" s="29">
        <f t="shared" si="946"/>
        <v>0</v>
      </c>
      <c r="AP1003" s="29">
        <f t="shared" si="947"/>
        <v>0</v>
      </c>
      <c r="AQ1003" s="30" t="s">
        <v>7</v>
      </c>
      <c r="AV1003" s="29">
        <f t="shared" si="948"/>
        <v>0</v>
      </c>
      <c r="AW1003" s="29">
        <f t="shared" si="949"/>
        <v>0</v>
      </c>
      <c r="AX1003" s="29">
        <f t="shared" si="950"/>
        <v>0</v>
      </c>
      <c r="AY1003" s="32" t="s">
        <v>2927</v>
      </c>
      <c r="AZ1003" s="32" t="s">
        <v>2954</v>
      </c>
      <c r="BA1003" s="28" t="s">
        <v>2962</v>
      </c>
      <c r="BC1003" s="29">
        <f t="shared" si="951"/>
        <v>0</v>
      </c>
      <c r="BD1003" s="29">
        <f t="shared" si="952"/>
        <v>0</v>
      </c>
      <c r="BE1003" s="29">
        <v>0</v>
      </c>
      <c r="BF1003" s="29">
        <f>1003</f>
        <v>1003</v>
      </c>
      <c r="BH1003" s="15">
        <f t="shared" si="953"/>
        <v>0</v>
      </c>
      <c r="BI1003" s="15">
        <f t="shared" si="954"/>
        <v>0</v>
      </c>
      <c r="BJ1003" s="15">
        <f t="shared" si="955"/>
        <v>0</v>
      </c>
      <c r="BK1003" s="15" t="s">
        <v>2969</v>
      </c>
      <c r="BL1003" s="29" t="s">
        <v>1585</v>
      </c>
    </row>
    <row r="1004" spans="1:64" ht="12.75">
      <c r="A1004" s="4" t="s">
        <v>933</v>
      </c>
      <c r="B1004" s="94" t="s">
        <v>1618</v>
      </c>
      <c r="C1004" s="152" t="s">
        <v>2561</v>
      </c>
      <c r="D1004" s="153"/>
      <c r="E1004" s="153"/>
      <c r="F1004" s="153"/>
      <c r="G1004" s="94" t="s">
        <v>2851</v>
      </c>
      <c r="H1004" s="73">
        <v>20</v>
      </c>
      <c r="I1004" s="105">
        <v>0</v>
      </c>
      <c r="J1004" s="15">
        <f t="shared" si="932"/>
        <v>0</v>
      </c>
      <c r="K1004" s="15">
        <f t="shared" si="933"/>
        <v>0</v>
      </c>
      <c r="L1004" s="15">
        <f t="shared" si="934"/>
        <v>0</v>
      </c>
      <c r="M1004" s="25"/>
      <c r="N1004" s="5"/>
      <c r="Z1004" s="29">
        <f t="shared" si="935"/>
        <v>0</v>
      </c>
      <c r="AB1004" s="29">
        <f t="shared" si="936"/>
        <v>0</v>
      </c>
      <c r="AC1004" s="29">
        <f t="shared" si="937"/>
        <v>0</v>
      </c>
      <c r="AD1004" s="29">
        <f t="shared" si="938"/>
        <v>0</v>
      </c>
      <c r="AE1004" s="29">
        <f t="shared" si="939"/>
        <v>0</v>
      </c>
      <c r="AF1004" s="29">
        <f t="shared" si="940"/>
        <v>0</v>
      </c>
      <c r="AG1004" s="29">
        <f t="shared" si="941"/>
        <v>0</v>
      </c>
      <c r="AH1004" s="29">
        <f t="shared" si="942"/>
        <v>0</v>
      </c>
      <c r="AI1004" s="28" t="s">
        <v>2887</v>
      </c>
      <c r="AJ1004" s="15">
        <f t="shared" si="943"/>
        <v>0</v>
      </c>
      <c r="AK1004" s="15">
        <f t="shared" si="944"/>
        <v>0</v>
      </c>
      <c r="AL1004" s="15">
        <f t="shared" si="945"/>
        <v>0</v>
      </c>
      <c r="AN1004" s="29">
        <v>15</v>
      </c>
      <c r="AO1004" s="29">
        <f t="shared" si="946"/>
        <v>0</v>
      </c>
      <c r="AP1004" s="29">
        <f t="shared" si="947"/>
        <v>0</v>
      </c>
      <c r="AQ1004" s="30" t="s">
        <v>7</v>
      </c>
      <c r="AV1004" s="29">
        <f t="shared" si="948"/>
        <v>0</v>
      </c>
      <c r="AW1004" s="29">
        <f t="shared" si="949"/>
        <v>0</v>
      </c>
      <c r="AX1004" s="29">
        <f t="shared" si="950"/>
        <v>0</v>
      </c>
      <c r="AY1004" s="32" t="s">
        <v>2927</v>
      </c>
      <c r="AZ1004" s="32" t="s">
        <v>2954</v>
      </c>
      <c r="BA1004" s="28" t="s">
        <v>2962</v>
      </c>
      <c r="BC1004" s="29">
        <f t="shared" si="951"/>
        <v>0</v>
      </c>
      <c r="BD1004" s="29">
        <f t="shared" si="952"/>
        <v>0</v>
      </c>
      <c r="BE1004" s="29">
        <v>0</v>
      </c>
      <c r="BF1004" s="29">
        <f>1004</f>
        <v>1004</v>
      </c>
      <c r="BH1004" s="15">
        <f t="shared" si="953"/>
        <v>0</v>
      </c>
      <c r="BI1004" s="15">
        <f t="shared" si="954"/>
        <v>0</v>
      </c>
      <c r="BJ1004" s="15">
        <f t="shared" si="955"/>
        <v>0</v>
      </c>
      <c r="BK1004" s="15" t="s">
        <v>2969</v>
      </c>
      <c r="BL1004" s="29" t="s">
        <v>1585</v>
      </c>
    </row>
    <row r="1005" spans="1:64" ht="12.75">
      <c r="A1005" s="4" t="s">
        <v>934</v>
      </c>
      <c r="B1005" s="94" t="s">
        <v>1619</v>
      </c>
      <c r="C1005" s="152" t="s">
        <v>2561</v>
      </c>
      <c r="D1005" s="153"/>
      <c r="E1005" s="153"/>
      <c r="F1005" s="153"/>
      <c r="G1005" s="94" t="s">
        <v>2851</v>
      </c>
      <c r="H1005" s="73">
        <v>20</v>
      </c>
      <c r="I1005" s="105">
        <v>0</v>
      </c>
      <c r="J1005" s="15">
        <f t="shared" si="932"/>
        <v>0</v>
      </c>
      <c r="K1005" s="15">
        <f t="shared" si="933"/>
        <v>0</v>
      </c>
      <c r="L1005" s="15">
        <f t="shared" si="934"/>
        <v>0</v>
      </c>
      <c r="M1005" s="25"/>
      <c r="N1005" s="5"/>
      <c r="Z1005" s="29">
        <f t="shared" si="935"/>
        <v>0</v>
      </c>
      <c r="AB1005" s="29">
        <f t="shared" si="936"/>
        <v>0</v>
      </c>
      <c r="AC1005" s="29">
        <f t="shared" si="937"/>
        <v>0</v>
      </c>
      <c r="AD1005" s="29">
        <f t="shared" si="938"/>
        <v>0</v>
      </c>
      <c r="AE1005" s="29">
        <f t="shared" si="939"/>
        <v>0</v>
      </c>
      <c r="AF1005" s="29">
        <f t="shared" si="940"/>
        <v>0</v>
      </c>
      <c r="AG1005" s="29">
        <f t="shared" si="941"/>
        <v>0</v>
      </c>
      <c r="AH1005" s="29">
        <f t="shared" si="942"/>
        <v>0</v>
      </c>
      <c r="AI1005" s="28" t="s">
        <v>2887</v>
      </c>
      <c r="AJ1005" s="15">
        <f t="shared" si="943"/>
        <v>0</v>
      </c>
      <c r="AK1005" s="15">
        <f t="shared" si="944"/>
        <v>0</v>
      </c>
      <c r="AL1005" s="15">
        <f t="shared" si="945"/>
        <v>0</v>
      </c>
      <c r="AN1005" s="29">
        <v>15</v>
      </c>
      <c r="AO1005" s="29">
        <f t="shared" si="946"/>
        <v>0</v>
      </c>
      <c r="AP1005" s="29">
        <f t="shared" si="947"/>
        <v>0</v>
      </c>
      <c r="AQ1005" s="30" t="s">
        <v>7</v>
      </c>
      <c r="AV1005" s="29">
        <f t="shared" si="948"/>
        <v>0</v>
      </c>
      <c r="AW1005" s="29">
        <f t="shared" si="949"/>
        <v>0</v>
      </c>
      <c r="AX1005" s="29">
        <f t="shared" si="950"/>
        <v>0</v>
      </c>
      <c r="AY1005" s="32" t="s">
        <v>2927</v>
      </c>
      <c r="AZ1005" s="32" t="s">
        <v>2954</v>
      </c>
      <c r="BA1005" s="28" t="s">
        <v>2962</v>
      </c>
      <c r="BC1005" s="29">
        <f t="shared" si="951"/>
        <v>0</v>
      </c>
      <c r="BD1005" s="29">
        <f t="shared" si="952"/>
        <v>0</v>
      </c>
      <c r="BE1005" s="29">
        <v>0</v>
      </c>
      <c r="BF1005" s="29">
        <f>1005</f>
        <v>1005</v>
      </c>
      <c r="BH1005" s="15">
        <f t="shared" si="953"/>
        <v>0</v>
      </c>
      <c r="BI1005" s="15">
        <f t="shared" si="954"/>
        <v>0</v>
      </c>
      <c r="BJ1005" s="15">
        <f t="shared" si="955"/>
        <v>0</v>
      </c>
      <c r="BK1005" s="15" t="s">
        <v>2969</v>
      </c>
      <c r="BL1005" s="29" t="s">
        <v>1585</v>
      </c>
    </row>
    <row r="1006" spans="1:64" ht="12.75">
      <c r="A1006" s="4" t="s">
        <v>935</v>
      </c>
      <c r="B1006" s="94" t="s">
        <v>1620</v>
      </c>
      <c r="C1006" s="152" t="s">
        <v>2562</v>
      </c>
      <c r="D1006" s="153"/>
      <c r="E1006" s="153"/>
      <c r="F1006" s="153"/>
      <c r="G1006" s="94" t="s">
        <v>2851</v>
      </c>
      <c r="H1006" s="73">
        <v>10</v>
      </c>
      <c r="I1006" s="105">
        <v>0</v>
      </c>
      <c r="J1006" s="15">
        <f t="shared" si="932"/>
        <v>0</v>
      </c>
      <c r="K1006" s="15">
        <f t="shared" si="933"/>
        <v>0</v>
      </c>
      <c r="L1006" s="15">
        <f t="shared" si="934"/>
        <v>0</v>
      </c>
      <c r="M1006" s="25"/>
      <c r="N1006" s="5"/>
      <c r="Z1006" s="29">
        <f t="shared" si="935"/>
        <v>0</v>
      </c>
      <c r="AB1006" s="29">
        <f t="shared" si="936"/>
        <v>0</v>
      </c>
      <c r="AC1006" s="29">
        <f t="shared" si="937"/>
        <v>0</v>
      </c>
      <c r="AD1006" s="29">
        <f t="shared" si="938"/>
        <v>0</v>
      </c>
      <c r="AE1006" s="29">
        <f t="shared" si="939"/>
        <v>0</v>
      </c>
      <c r="AF1006" s="29">
        <f t="shared" si="940"/>
        <v>0</v>
      </c>
      <c r="AG1006" s="29">
        <f t="shared" si="941"/>
        <v>0</v>
      </c>
      <c r="AH1006" s="29">
        <f t="shared" si="942"/>
        <v>0</v>
      </c>
      <c r="AI1006" s="28" t="s">
        <v>2887</v>
      </c>
      <c r="AJ1006" s="15">
        <f t="shared" si="943"/>
        <v>0</v>
      </c>
      <c r="AK1006" s="15">
        <f t="shared" si="944"/>
        <v>0</v>
      </c>
      <c r="AL1006" s="15">
        <f t="shared" si="945"/>
        <v>0</v>
      </c>
      <c r="AN1006" s="29">
        <v>15</v>
      </c>
      <c r="AO1006" s="29">
        <f t="shared" si="946"/>
        <v>0</v>
      </c>
      <c r="AP1006" s="29">
        <f t="shared" si="947"/>
        <v>0</v>
      </c>
      <c r="AQ1006" s="30" t="s">
        <v>7</v>
      </c>
      <c r="AV1006" s="29">
        <f t="shared" si="948"/>
        <v>0</v>
      </c>
      <c r="AW1006" s="29">
        <f t="shared" si="949"/>
        <v>0</v>
      </c>
      <c r="AX1006" s="29">
        <f t="shared" si="950"/>
        <v>0</v>
      </c>
      <c r="AY1006" s="32" t="s">
        <v>2927</v>
      </c>
      <c r="AZ1006" s="32" t="s">
        <v>2954</v>
      </c>
      <c r="BA1006" s="28" t="s">
        <v>2962</v>
      </c>
      <c r="BC1006" s="29">
        <f t="shared" si="951"/>
        <v>0</v>
      </c>
      <c r="BD1006" s="29">
        <f t="shared" si="952"/>
        <v>0</v>
      </c>
      <c r="BE1006" s="29">
        <v>0</v>
      </c>
      <c r="BF1006" s="29">
        <f>1006</f>
        <v>1006</v>
      </c>
      <c r="BH1006" s="15">
        <f t="shared" si="953"/>
        <v>0</v>
      </c>
      <c r="BI1006" s="15">
        <f t="shared" si="954"/>
        <v>0</v>
      </c>
      <c r="BJ1006" s="15">
        <f t="shared" si="955"/>
        <v>0</v>
      </c>
      <c r="BK1006" s="15" t="s">
        <v>2969</v>
      </c>
      <c r="BL1006" s="29" t="s">
        <v>1585</v>
      </c>
    </row>
    <row r="1007" spans="1:64" ht="12.75">
      <c r="A1007" s="4" t="s">
        <v>936</v>
      </c>
      <c r="B1007" s="94" t="s">
        <v>1621</v>
      </c>
      <c r="C1007" s="152" t="s">
        <v>2562</v>
      </c>
      <c r="D1007" s="153"/>
      <c r="E1007" s="153"/>
      <c r="F1007" s="153"/>
      <c r="G1007" s="94" t="s">
        <v>2851</v>
      </c>
      <c r="H1007" s="73">
        <v>10</v>
      </c>
      <c r="I1007" s="105">
        <v>0</v>
      </c>
      <c r="J1007" s="15">
        <f t="shared" si="932"/>
        <v>0</v>
      </c>
      <c r="K1007" s="15">
        <f t="shared" si="933"/>
        <v>0</v>
      </c>
      <c r="L1007" s="15">
        <f t="shared" si="934"/>
        <v>0</v>
      </c>
      <c r="M1007" s="25"/>
      <c r="N1007" s="5"/>
      <c r="Z1007" s="29">
        <f t="shared" si="935"/>
        <v>0</v>
      </c>
      <c r="AB1007" s="29">
        <f t="shared" si="936"/>
        <v>0</v>
      </c>
      <c r="AC1007" s="29">
        <f t="shared" si="937"/>
        <v>0</v>
      </c>
      <c r="AD1007" s="29">
        <f t="shared" si="938"/>
        <v>0</v>
      </c>
      <c r="AE1007" s="29">
        <f t="shared" si="939"/>
        <v>0</v>
      </c>
      <c r="AF1007" s="29">
        <f t="shared" si="940"/>
        <v>0</v>
      </c>
      <c r="AG1007" s="29">
        <f t="shared" si="941"/>
        <v>0</v>
      </c>
      <c r="AH1007" s="29">
        <f t="shared" si="942"/>
        <v>0</v>
      </c>
      <c r="AI1007" s="28" t="s">
        <v>2887</v>
      </c>
      <c r="AJ1007" s="15">
        <f t="shared" si="943"/>
        <v>0</v>
      </c>
      <c r="AK1007" s="15">
        <f t="shared" si="944"/>
        <v>0</v>
      </c>
      <c r="AL1007" s="15">
        <f t="shared" si="945"/>
        <v>0</v>
      </c>
      <c r="AN1007" s="29">
        <v>15</v>
      </c>
      <c r="AO1007" s="29">
        <f t="shared" si="946"/>
        <v>0</v>
      </c>
      <c r="AP1007" s="29">
        <f t="shared" si="947"/>
        <v>0</v>
      </c>
      <c r="AQ1007" s="30" t="s">
        <v>7</v>
      </c>
      <c r="AV1007" s="29">
        <f t="shared" si="948"/>
        <v>0</v>
      </c>
      <c r="AW1007" s="29">
        <f t="shared" si="949"/>
        <v>0</v>
      </c>
      <c r="AX1007" s="29">
        <f t="shared" si="950"/>
        <v>0</v>
      </c>
      <c r="AY1007" s="32" t="s">
        <v>2927</v>
      </c>
      <c r="AZ1007" s="32" t="s">
        <v>2954</v>
      </c>
      <c r="BA1007" s="28" t="s">
        <v>2962</v>
      </c>
      <c r="BC1007" s="29">
        <f t="shared" si="951"/>
        <v>0</v>
      </c>
      <c r="BD1007" s="29">
        <f t="shared" si="952"/>
        <v>0</v>
      </c>
      <c r="BE1007" s="29">
        <v>0</v>
      </c>
      <c r="BF1007" s="29">
        <f>1007</f>
        <v>1007</v>
      </c>
      <c r="BH1007" s="15">
        <f t="shared" si="953"/>
        <v>0</v>
      </c>
      <c r="BI1007" s="15">
        <f t="shared" si="954"/>
        <v>0</v>
      </c>
      <c r="BJ1007" s="15">
        <f t="shared" si="955"/>
        <v>0</v>
      </c>
      <c r="BK1007" s="15" t="s">
        <v>2969</v>
      </c>
      <c r="BL1007" s="29" t="s">
        <v>1585</v>
      </c>
    </row>
    <row r="1008" spans="1:64" ht="12.75">
      <c r="A1008" s="4" t="s">
        <v>937</v>
      </c>
      <c r="B1008" s="94" t="s">
        <v>1629</v>
      </c>
      <c r="C1008" s="152" t="s">
        <v>2570</v>
      </c>
      <c r="D1008" s="153"/>
      <c r="E1008" s="153"/>
      <c r="F1008" s="153"/>
      <c r="G1008" s="94" t="s">
        <v>2851</v>
      </c>
      <c r="H1008" s="73">
        <v>60</v>
      </c>
      <c r="I1008" s="105">
        <v>0</v>
      </c>
      <c r="J1008" s="15">
        <f t="shared" si="932"/>
        <v>0</v>
      </c>
      <c r="K1008" s="15">
        <f t="shared" si="933"/>
        <v>0</v>
      </c>
      <c r="L1008" s="15">
        <f t="shared" si="934"/>
        <v>0</v>
      </c>
      <c r="M1008" s="25"/>
      <c r="N1008" s="5"/>
      <c r="Z1008" s="29">
        <f t="shared" si="935"/>
        <v>0</v>
      </c>
      <c r="AB1008" s="29">
        <f t="shared" si="936"/>
        <v>0</v>
      </c>
      <c r="AC1008" s="29">
        <f t="shared" si="937"/>
        <v>0</v>
      </c>
      <c r="AD1008" s="29">
        <f t="shared" si="938"/>
        <v>0</v>
      </c>
      <c r="AE1008" s="29">
        <f t="shared" si="939"/>
        <v>0</v>
      </c>
      <c r="AF1008" s="29">
        <f t="shared" si="940"/>
        <v>0</v>
      </c>
      <c r="AG1008" s="29">
        <f t="shared" si="941"/>
        <v>0</v>
      </c>
      <c r="AH1008" s="29">
        <f t="shared" si="942"/>
        <v>0</v>
      </c>
      <c r="AI1008" s="28" t="s">
        <v>2887</v>
      </c>
      <c r="AJ1008" s="15">
        <f t="shared" si="943"/>
        <v>0</v>
      </c>
      <c r="AK1008" s="15">
        <f t="shared" si="944"/>
        <v>0</v>
      </c>
      <c r="AL1008" s="15">
        <f t="shared" si="945"/>
        <v>0</v>
      </c>
      <c r="AN1008" s="29">
        <v>15</v>
      </c>
      <c r="AO1008" s="29">
        <f t="shared" si="946"/>
        <v>0</v>
      </c>
      <c r="AP1008" s="29">
        <f t="shared" si="947"/>
        <v>0</v>
      </c>
      <c r="AQ1008" s="30" t="s">
        <v>7</v>
      </c>
      <c r="AV1008" s="29">
        <f t="shared" si="948"/>
        <v>0</v>
      </c>
      <c r="AW1008" s="29">
        <f t="shared" si="949"/>
        <v>0</v>
      </c>
      <c r="AX1008" s="29">
        <f t="shared" si="950"/>
        <v>0</v>
      </c>
      <c r="AY1008" s="32" t="s">
        <v>2927</v>
      </c>
      <c r="AZ1008" s="32" t="s">
        <v>2954</v>
      </c>
      <c r="BA1008" s="28" t="s">
        <v>2962</v>
      </c>
      <c r="BC1008" s="29">
        <f t="shared" si="951"/>
        <v>0</v>
      </c>
      <c r="BD1008" s="29">
        <f t="shared" si="952"/>
        <v>0</v>
      </c>
      <c r="BE1008" s="29">
        <v>0</v>
      </c>
      <c r="BF1008" s="29">
        <f>1008</f>
        <v>1008</v>
      </c>
      <c r="BH1008" s="15">
        <f t="shared" si="953"/>
        <v>0</v>
      </c>
      <c r="BI1008" s="15">
        <f t="shared" si="954"/>
        <v>0</v>
      </c>
      <c r="BJ1008" s="15">
        <f t="shared" si="955"/>
        <v>0</v>
      </c>
      <c r="BK1008" s="15" t="s">
        <v>2969</v>
      </c>
      <c r="BL1008" s="29" t="s">
        <v>1585</v>
      </c>
    </row>
    <row r="1009" spans="1:64" ht="12.75">
      <c r="A1009" s="4" t="s">
        <v>938</v>
      </c>
      <c r="B1009" s="94" t="s">
        <v>1630</v>
      </c>
      <c r="C1009" s="152" t="s">
        <v>2571</v>
      </c>
      <c r="D1009" s="153"/>
      <c r="E1009" s="153"/>
      <c r="F1009" s="153"/>
      <c r="G1009" s="94" t="s">
        <v>2851</v>
      </c>
      <c r="H1009" s="73">
        <v>60</v>
      </c>
      <c r="I1009" s="105">
        <v>0</v>
      </c>
      <c r="J1009" s="15">
        <f t="shared" si="932"/>
        <v>0</v>
      </c>
      <c r="K1009" s="15">
        <f t="shared" si="933"/>
        <v>0</v>
      </c>
      <c r="L1009" s="15">
        <f t="shared" si="934"/>
        <v>0</v>
      </c>
      <c r="M1009" s="25"/>
      <c r="N1009" s="5"/>
      <c r="Z1009" s="29">
        <f t="shared" si="935"/>
        <v>0</v>
      </c>
      <c r="AB1009" s="29">
        <f t="shared" si="936"/>
        <v>0</v>
      </c>
      <c r="AC1009" s="29">
        <f t="shared" si="937"/>
        <v>0</v>
      </c>
      <c r="AD1009" s="29">
        <f t="shared" si="938"/>
        <v>0</v>
      </c>
      <c r="AE1009" s="29">
        <f t="shared" si="939"/>
        <v>0</v>
      </c>
      <c r="AF1009" s="29">
        <f t="shared" si="940"/>
        <v>0</v>
      </c>
      <c r="AG1009" s="29">
        <f t="shared" si="941"/>
        <v>0</v>
      </c>
      <c r="AH1009" s="29">
        <f t="shared" si="942"/>
        <v>0</v>
      </c>
      <c r="AI1009" s="28" t="s">
        <v>2887</v>
      </c>
      <c r="AJ1009" s="15">
        <f t="shared" si="943"/>
        <v>0</v>
      </c>
      <c r="AK1009" s="15">
        <f t="shared" si="944"/>
        <v>0</v>
      </c>
      <c r="AL1009" s="15">
        <f t="shared" si="945"/>
        <v>0</v>
      </c>
      <c r="AN1009" s="29">
        <v>15</v>
      </c>
      <c r="AO1009" s="29">
        <f t="shared" si="946"/>
        <v>0</v>
      </c>
      <c r="AP1009" s="29">
        <f t="shared" si="947"/>
        <v>0</v>
      </c>
      <c r="AQ1009" s="30" t="s">
        <v>7</v>
      </c>
      <c r="AV1009" s="29">
        <f t="shared" si="948"/>
        <v>0</v>
      </c>
      <c r="AW1009" s="29">
        <f t="shared" si="949"/>
        <v>0</v>
      </c>
      <c r="AX1009" s="29">
        <f t="shared" si="950"/>
        <v>0</v>
      </c>
      <c r="AY1009" s="32" t="s">
        <v>2927</v>
      </c>
      <c r="AZ1009" s="32" t="s">
        <v>2954</v>
      </c>
      <c r="BA1009" s="28" t="s">
        <v>2962</v>
      </c>
      <c r="BC1009" s="29">
        <f t="shared" si="951"/>
        <v>0</v>
      </c>
      <c r="BD1009" s="29">
        <f t="shared" si="952"/>
        <v>0</v>
      </c>
      <c r="BE1009" s="29">
        <v>0</v>
      </c>
      <c r="BF1009" s="29">
        <f>1009</f>
        <v>1009</v>
      </c>
      <c r="BH1009" s="15">
        <f t="shared" si="953"/>
        <v>0</v>
      </c>
      <c r="BI1009" s="15">
        <f t="shared" si="954"/>
        <v>0</v>
      </c>
      <c r="BJ1009" s="15">
        <f t="shared" si="955"/>
        <v>0</v>
      </c>
      <c r="BK1009" s="15" t="s">
        <v>2969</v>
      </c>
      <c r="BL1009" s="29" t="s">
        <v>1585</v>
      </c>
    </row>
    <row r="1010" spans="1:64" ht="12.75">
      <c r="A1010" s="4" t="s">
        <v>939</v>
      </c>
      <c r="B1010" s="94" t="s">
        <v>1633</v>
      </c>
      <c r="C1010" s="152" t="s">
        <v>2790</v>
      </c>
      <c r="D1010" s="153"/>
      <c r="E1010" s="153"/>
      <c r="F1010" s="153"/>
      <c r="G1010" s="94" t="s">
        <v>2851</v>
      </c>
      <c r="H1010" s="73">
        <v>70</v>
      </c>
      <c r="I1010" s="105">
        <v>0</v>
      </c>
      <c r="J1010" s="15">
        <f t="shared" si="932"/>
        <v>0</v>
      </c>
      <c r="K1010" s="15">
        <f t="shared" si="933"/>
        <v>0</v>
      </c>
      <c r="L1010" s="15">
        <f t="shared" si="934"/>
        <v>0</v>
      </c>
      <c r="M1010" s="25"/>
      <c r="N1010" s="5"/>
      <c r="Z1010" s="29">
        <f t="shared" si="935"/>
        <v>0</v>
      </c>
      <c r="AB1010" s="29">
        <f t="shared" si="936"/>
        <v>0</v>
      </c>
      <c r="AC1010" s="29">
        <f t="shared" si="937"/>
        <v>0</v>
      </c>
      <c r="AD1010" s="29">
        <f t="shared" si="938"/>
        <v>0</v>
      </c>
      <c r="AE1010" s="29">
        <f t="shared" si="939"/>
        <v>0</v>
      </c>
      <c r="AF1010" s="29">
        <f t="shared" si="940"/>
        <v>0</v>
      </c>
      <c r="AG1010" s="29">
        <f t="shared" si="941"/>
        <v>0</v>
      </c>
      <c r="AH1010" s="29">
        <f t="shared" si="942"/>
        <v>0</v>
      </c>
      <c r="AI1010" s="28" t="s">
        <v>2887</v>
      </c>
      <c r="AJ1010" s="15">
        <f t="shared" si="943"/>
        <v>0</v>
      </c>
      <c r="AK1010" s="15">
        <f t="shared" si="944"/>
        <v>0</v>
      </c>
      <c r="AL1010" s="15">
        <f t="shared" si="945"/>
        <v>0</v>
      </c>
      <c r="AN1010" s="29">
        <v>15</v>
      </c>
      <c r="AO1010" s="29">
        <f t="shared" si="946"/>
        <v>0</v>
      </c>
      <c r="AP1010" s="29">
        <f t="shared" si="947"/>
        <v>0</v>
      </c>
      <c r="AQ1010" s="30" t="s">
        <v>7</v>
      </c>
      <c r="AV1010" s="29">
        <f t="shared" si="948"/>
        <v>0</v>
      </c>
      <c r="AW1010" s="29">
        <f t="shared" si="949"/>
        <v>0</v>
      </c>
      <c r="AX1010" s="29">
        <f t="shared" si="950"/>
        <v>0</v>
      </c>
      <c r="AY1010" s="32" t="s">
        <v>2927</v>
      </c>
      <c r="AZ1010" s="32" t="s">
        <v>2954</v>
      </c>
      <c r="BA1010" s="28" t="s">
        <v>2962</v>
      </c>
      <c r="BC1010" s="29">
        <f t="shared" si="951"/>
        <v>0</v>
      </c>
      <c r="BD1010" s="29">
        <f t="shared" si="952"/>
        <v>0</v>
      </c>
      <c r="BE1010" s="29">
        <v>0</v>
      </c>
      <c r="BF1010" s="29">
        <f>1010</f>
        <v>1010</v>
      </c>
      <c r="BH1010" s="15">
        <f t="shared" si="953"/>
        <v>0</v>
      </c>
      <c r="BI1010" s="15">
        <f t="shared" si="954"/>
        <v>0</v>
      </c>
      <c r="BJ1010" s="15">
        <f t="shared" si="955"/>
        <v>0</v>
      </c>
      <c r="BK1010" s="15" t="s">
        <v>2969</v>
      </c>
      <c r="BL1010" s="29" t="s">
        <v>1585</v>
      </c>
    </row>
    <row r="1011" spans="1:64" ht="12.75">
      <c r="A1011" s="4" t="s">
        <v>940</v>
      </c>
      <c r="B1011" s="94" t="s">
        <v>1634</v>
      </c>
      <c r="C1011" s="152" t="s">
        <v>2791</v>
      </c>
      <c r="D1011" s="153"/>
      <c r="E1011" s="153"/>
      <c r="F1011" s="153"/>
      <c r="G1011" s="94" t="s">
        <v>2851</v>
      </c>
      <c r="H1011" s="73">
        <v>60</v>
      </c>
      <c r="I1011" s="105">
        <v>0</v>
      </c>
      <c r="J1011" s="15">
        <f t="shared" si="932"/>
        <v>0</v>
      </c>
      <c r="K1011" s="15">
        <f t="shared" si="933"/>
        <v>0</v>
      </c>
      <c r="L1011" s="15">
        <f t="shared" si="934"/>
        <v>0</v>
      </c>
      <c r="M1011" s="25"/>
      <c r="N1011" s="5"/>
      <c r="Z1011" s="29">
        <f t="shared" si="935"/>
        <v>0</v>
      </c>
      <c r="AB1011" s="29">
        <f t="shared" si="936"/>
        <v>0</v>
      </c>
      <c r="AC1011" s="29">
        <f t="shared" si="937"/>
        <v>0</v>
      </c>
      <c r="AD1011" s="29">
        <f t="shared" si="938"/>
        <v>0</v>
      </c>
      <c r="AE1011" s="29">
        <f t="shared" si="939"/>
        <v>0</v>
      </c>
      <c r="AF1011" s="29">
        <f t="shared" si="940"/>
        <v>0</v>
      </c>
      <c r="AG1011" s="29">
        <f t="shared" si="941"/>
        <v>0</v>
      </c>
      <c r="AH1011" s="29">
        <f t="shared" si="942"/>
        <v>0</v>
      </c>
      <c r="AI1011" s="28" t="s">
        <v>2887</v>
      </c>
      <c r="AJ1011" s="15">
        <f t="shared" si="943"/>
        <v>0</v>
      </c>
      <c r="AK1011" s="15">
        <f t="shared" si="944"/>
        <v>0</v>
      </c>
      <c r="AL1011" s="15">
        <f t="shared" si="945"/>
        <v>0</v>
      </c>
      <c r="AN1011" s="29">
        <v>15</v>
      </c>
      <c r="AO1011" s="29">
        <f t="shared" si="946"/>
        <v>0</v>
      </c>
      <c r="AP1011" s="29">
        <f t="shared" si="947"/>
        <v>0</v>
      </c>
      <c r="AQ1011" s="30" t="s">
        <v>7</v>
      </c>
      <c r="AV1011" s="29">
        <f t="shared" si="948"/>
        <v>0</v>
      </c>
      <c r="AW1011" s="29">
        <f t="shared" si="949"/>
        <v>0</v>
      </c>
      <c r="AX1011" s="29">
        <f t="shared" si="950"/>
        <v>0</v>
      </c>
      <c r="AY1011" s="32" t="s">
        <v>2927</v>
      </c>
      <c r="AZ1011" s="32" t="s">
        <v>2954</v>
      </c>
      <c r="BA1011" s="28" t="s">
        <v>2962</v>
      </c>
      <c r="BC1011" s="29">
        <f t="shared" si="951"/>
        <v>0</v>
      </c>
      <c r="BD1011" s="29">
        <f t="shared" si="952"/>
        <v>0</v>
      </c>
      <c r="BE1011" s="29">
        <v>0</v>
      </c>
      <c r="BF1011" s="29">
        <f>1011</f>
        <v>1011</v>
      </c>
      <c r="BH1011" s="15">
        <f t="shared" si="953"/>
        <v>0</v>
      </c>
      <c r="BI1011" s="15">
        <f t="shared" si="954"/>
        <v>0</v>
      </c>
      <c r="BJ1011" s="15">
        <f t="shared" si="955"/>
        <v>0</v>
      </c>
      <c r="BK1011" s="15" t="s">
        <v>2969</v>
      </c>
      <c r="BL1011" s="29" t="s">
        <v>1585</v>
      </c>
    </row>
    <row r="1012" spans="1:64" ht="12.75">
      <c r="A1012" s="4" t="s">
        <v>941</v>
      </c>
      <c r="B1012" s="94" t="s">
        <v>1635</v>
      </c>
      <c r="C1012" s="152" t="s">
        <v>2792</v>
      </c>
      <c r="D1012" s="153"/>
      <c r="E1012" s="153"/>
      <c r="F1012" s="153"/>
      <c r="G1012" s="94" t="s">
        <v>2851</v>
      </c>
      <c r="H1012" s="73">
        <v>10</v>
      </c>
      <c r="I1012" s="105">
        <v>0</v>
      </c>
      <c r="J1012" s="15">
        <f t="shared" si="932"/>
        <v>0</v>
      </c>
      <c r="K1012" s="15">
        <f t="shared" si="933"/>
        <v>0</v>
      </c>
      <c r="L1012" s="15">
        <f t="shared" si="934"/>
        <v>0</v>
      </c>
      <c r="M1012" s="25"/>
      <c r="N1012" s="5"/>
      <c r="Z1012" s="29">
        <f t="shared" si="935"/>
        <v>0</v>
      </c>
      <c r="AB1012" s="29">
        <f t="shared" si="936"/>
        <v>0</v>
      </c>
      <c r="AC1012" s="29">
        <f t="shared" si="937"/>
        <v>0</v>
      </c>
      <c r="AD1012" s="29">
        <f t="shared" si="938"/>
        <v>0</v>
      </c>
      <c r="AE1012" s="29">
        <f t="shared" si="939"/>
        <v>0</v>
      </c>
      <c r="AF1012" s="29">
        <f t="shared" si="940"/>
        <v>0</v>
      </c>
      <c r="AG1012" s="29">
        <f t="shared" si="941"/>
        <v>0</v>
      </c>
      <c r="AH1012" s="29">
        <f t="shared" si="942"/>
        <v>0</v>
      </c>
      <c r="AI1012" s="28" t="s">
        <v>2887</v>
      </c>
      <c r="AJ1012" s="15">
        <f t="shared" si="943"/>
        <v>0</v>
      </c>
      <c r="AK1012" s="15">
        <f t="shared" si="944"/>
        <v>0</v>
      </c>
      <c r="AL1012" s="15">
        <f t="shared" si="945"/>
        <v>0</v>
      </c>
      <c r="AN1012" s="29">
        <v>15</v>
      </c>
      <c r="AO1012" s="29">
        <f t="shared" si="946"/>
        <v>0</v>
      </c>
      <c r="AP1012" s="29">
        <f t="shared" si="947"/>
        <v>0</v>
      </c>
      <c r="AQ1012" s="30" t="s">
        <v>7</v>
      </c>
      <c r="AV1012" s="29">
        <f t="shared" si="948"/>
        <v>0</v>
      </c>
      <c r="AW1012" s="29">
        <f t="shared" si="949"/>
        <v>0</v>
      </c>
      <c r="AX1012" s="29">
        <f t="shared" si="950"/>
        <v>0</v>
      </c>
      <c r="AY1012" s="32" t="s">
        <v>2927</v>
      </c>
      <c r="AZ1012" s="32" t="s">
        <v>2954</v>
      </c>
      <c r="BA1012" s="28" t="s">
        <v>2962</v>
      </c>
      <c r="BC1012" s="29">
        <f t="shared" si="951"/>
        <v>0</v>
      </c>
      <c r="BD1012" s="29">
        <f t="shared" si="952"/>
        <v>0</v>
      </c>
      <c r="BE1012" s="29">
        <v>0</v>
      </c>
      <c r="BF1012" s="29">
        <f>1012</f>
        <v>1012</v>
      </c>
      <c r="BH1012" s="15">
        <f t="shared" si="953"/>
        <v>0</v>
      </c>
      <c r="BI1012" s="15">
        <f t="shared" si="954"/>
        <v>0</v>
      </c>
      <c r="BJ1012" s="15">
        <f t="shared" si="955"/>
        <v>0</v>
      </c>
      <c r="BK1012" s="15" t="s">
        <v>2969</v>
      </c>
      <c r="BL1012" s="29" t="s">
        <v>1585</v>
      </c>
    </row>
    <row r="1013" spans="1:64" ht="12.75">
      <c r="A1013" s="4" t="s">
        <v>942</v>
      </c>
      <c r="B1013" s="94" t="s">
        <v>1638</v>
      </c>
      <c r="C1013" s="152" t="s">
        <v>2579</v>
      </c>
      <c r="D1013" s="153"/>
      <c r="E1013" s="153"/>
      <c r="F1013" s="153"/>
      <c r="G1013" s="94" t="s">
        <v>2850</v>
      </c>
      <c r="H1013" s="73">
        <v>6</v>
      </c>
      <c r="I1013" s="105">
        <v>0</v>
      </c>
      <c r="J1013" s="15">
        <f t="shared" si="932"/>
        <v>0</v>
      </c>
      <c r="K1013" s="15">
        <f t="shared" si="933"/>
        <v>0</v>
      </c>
      <c r="L1013" s="15">
        <f t="shared" si="934"/>
        <v>0</v>
      </c>
      <c r="M1013" s="25"/>
      <c r="N1013" s="5"/>
      <c r="Z1013" s="29">
        <f t="shared" si="935"/>
        <v>0</v>
      </c>
      <c r="AB1013" s="29">
        <f t="shared" si="936"/>
        <v>0</v>
      </c>
      <c r="AC1013" s="29">
        <f t="shared" si="937"/>
        <v>0</v>
      </c>
      <c r="AD1013" s="29">
        <f t="shared" si="938"/>
        <v>0</v>
      </c>
      <c r="AE1013" s="29">
        <f t="shared" si="939"/>
        <v>0</v>
      </c>
      <c r="AF1013" s="29">
        <f t="shared" si="940"/>
        <v>0</v>
      </c>
      <c r="AG1013" s="29">
        <f t="shared" si="941"/>
        <v>0</v>
      </c>
      <c r="AH1013" s="29">
        <f t="shared" si="942"/>
        <v>0</v>
      </c>
      <c r="AI1013" s="28" t="s">
        <v>2887</v>
      </c>
      <c r="AJ1013" s="15">
        <f t="shared" si="943"/>
        <v>0</v>
      </c>
      <c r="AK1013" s="15">
        <f t="shared" si="944"/>
        <v>0</v>
      </c>
      <c r="AL1013" s="15">
        <f t="shared" si="945"/>
        <v>0</v>
      </c>
      <c r="AN1013" s="29">
        <v>15</v>
      </c>
      <c r="AO1013" s="29">
        <f t="shared" si="946"/>
        <v>0</v>
      </c>
      <c r="AP1013" s="29">
        <f t="shared" si="947"/>
        <v>0</v>
      </c>
      <c r="AQ1013" s="30" t="s">
        <v>7</v>
      </c>
      <c r="AV1013" s="29">
        <f t="shared" si="948"/>
        <v>0</v>
      </c>
      <c r="AW1013" s="29">
        <f t="shared" si="949"/>
        <v>0</v>
      </c>
      <c r="AX1013" s="29">
        <f t="shared" si="950"/>
        <v>0</v>
      </c>
      <c r="AY1013" s="32" t="s">
        <v>2927</v>
      </c>
      <c r="AZ1013" s="32" t="s">
        <v>2954</v>
      </c>
      <c r="BA1013" s="28" t="s">
        <v>2962</v>
      </c>
      <c r="BC1013" s="29">
        <f t="shared" si="951"/>
        <v>0</v>
      </c>
      <c r="BD1013" s="29">
        <f t="shared" si="952"/>
        <v>0</v>
      </c>
      <c r="BE1013" s="29">
        <v>0</v>
      </c>
      <c r="BF1013" s="29">
        <f>1013</f>
        <v>1013</v>
      </c>
      <c r="BH1013" s="15">
        <f t="shared" si="953"/>
        <v>0</v>
      </c>
      <c r="BI1013" s="15">
        <f t="shared" si="954"/>
        <v>0</v>
      </c>
      <c r="BJ1013" s="15">
        <f t="shared" si="955"/>
        <v>0</v>
      </c>
      <c r="BK1013" s="15" t="s">
        <v>2969</v>
      </c>
      <c r="BL1013" s="29" t="s">
        <v>1585</v>
      </c>
    </row>
    <row r="1014" spans="1:64" ht="12.75">
      <c r="A1014" s="4" t="s">
        <v>943</v>
      </c>
      <c r="B1014" s="94" t="s">
        <v>1639</v>
      </c>
      <c r="C1014" s="152" t="s">
        <v>2793</v>
      </c>
      <c r="D1014" s="153"/>
      <c r="E1014" s="153"/>
      <c r="F1014" s="153"/>
      <c r="G1014" s="94" t="s">
        <v>2850</v>
      </c>
      <c r="H1014" s="73">
        <v>16</v>
      </c>
      <c r="I1014" s="105">
        <v>0</v>
      </c>
      <c r="J1014" s="15">
        <f t="shared" si="932"/>
        <v>0</v>
      </c>
      <c r="K1014" s="15">
        <f t="shared" si="933"/>
        <v>0</v>
      </c>
      <c r="L1014" s="15">
        <f t="shared" si="934"/>
        <v>0</v>
      </c>
      <c r="M1014" s="25"/>
      <c r="N1014" s="5"/>
      <c r="Z1014" s="29">
        <f t="shared" si="935"/>
        <v>0</v>
      </c>
      <c r="AB1014" s="29">
        <f t="shared" si="936"/>
        <v>0</v>
      </c>
      <c r="AC1014" s="29">
        <f t="shared" si="937"/>
        <v>0</v>
      </c>
      <c r="AD1014" s="29">
        <f t="shared" si="938"/>
        <v>0</v>
      </c>
      <c r="AE1014" s="29">
        <f t="shared" si="939"/>
        <v>0</v>
      </c>
      <c r="AF1014" s="29">
        <f t="shared" si="940"/>
        <v>0</v>
      </c>
      <c r="AG1014" s="29">
        <f t="shared" si="941"/>
        <v>0</v>
      </c>
      <c r="AH1014" s="29">
        <f t="shared" si="942"/>
        <v>0</v>
      </c>
      <c r="AI1014" s="28" t="s">
        <v>2887</v>
      </c>
      <c r="AJ1014" s="15">
        <f t="shared" si="943"/>
        <v>0</v>
      </c>
      <c r="AK1014" s="15">
        <f t="shared" si="944"/>
        <v>0</v>
      </c>
      <c r="AL1014" s="15">
        <f t="shared" si="945"/>
        <v>0</v>
      </c>
      <c r="AN1014" s="29">
        <v>15</v>
      </c>
      <c r="AO1014" s="29">
        <f t="shared" si="946"/>
        <v>0</v>
      </c>
      <c r="AP1014" s="29">
        <f t="shared" si="947"/>
        <v>0</v>
      </c>
      <c r="AQ1014" s="30" t="s">
        <v>7</v>
      </c>
      <c r="AV1014" s="29">
        <f t="shared" si="948"/>
        <v>0</v>
      </c>
      <c r="AW1014" s="29">
        <f t="shared" si="949"/>
        <v>0</v>
      </c>
      <c r="AX1014" s="29">
        <f t="shared" si="950"/>
        <v>0</v>
      </c>
      <c r="AY1014" s="32" t="s">
        <v>2927</v>
      </c>
      <c r="AZ1014" s="32" t="s">
        <v>2954</v>
      </c>
      <c r="BA1014" s="28" t="s">
        <v>2962</v>
      </c>
      <c r="BC1014" s="29">
        <f t="shared" si="951"/>
        <v>0</v>
      </c>
      <c r="BD1014" s="29">
        <f t="shared" si="952"/>
        <v>0</v>
      </c>
      <c r="BE1014" s="29">
        <v>0</v>
      </c>
      <c r="BF1014" s="29">
        <f>1014</f>
        <v>1014</v>
      </c>
      <c r="BH1014" s="15">
        <f t="shared" si="953"/>
        <v>0</v>
      </c>
      <c r="BI1014" s="15">
        <f t="shared" si="954"/>
        <v>0</v>
      </c>
      <c r="BJ1014" s="15">
        <f t="shared" si="955"/>
        <v>0</v>
      </c>
      <c r="BK1014" s="15" t="s">
        <v>2969</v>
      </c>
      <c r="BL1014" s="29" t="s">
        <v>1585</v>
      </c>
    </row>
    <row r="1015" spans="1:64" ht="12.75">
      <c r="A1015" s="4" t="s">
        <v>944</v>
      </c>
      <c r="B1015" s="94" t="s">
        <v>1641</v>
      </c>
      <c r="C1015" s="152" t="s">
        <v>2582</v>
      </c>
      <c r="D1015" s="153"/>
      <c r="E1015" s="153"/>
      <c r="F1015" s="153"/>
      <c r="G1015" s="94" t="s">
        <v>2850</v>
      </c>
      <c r="H1015" s="73">
        <v>6</v>
      </c>
      <c r="I1015" s="105">
        <v>0</v>
      </c>
      <c r="J1015" s="15">
        <f t="shared" si="932"/>
        <v>0</v>
      </c>
      <c r="K1015" s="15">
        <f t="shared" si="933"/>
        <v>0</v>
      </c>
      <c r="L1015" s="15">
        <f t="shared" si="934"/>
        <v>0</v>
      </c>
      <c r="M1015" s="25"/>
      <c r="N1015" s="5"/>
      <c r="Z1015" s="29">
        <f t="shared" si="935"/>
        <v>0</v>
      </c>
      <c r="AB1015" s="29">
        <f t="shared" si="936"/>
        <v>0</v>
      </c>
      <c r="AC1015" s="29">
        <f t="shared" si="937"/>
        <v>0</v>
      </c>
      <c r="AD1015" s="29">
        <f t="shared" si="938"/>
        <v>0</v>
      </c>
      <c r="AE1015" s="29">
        <f t="shared" si="939"/>
        <v>0</v>
      </c>
      <c r="AF1015" s="29">
        <f t="shared" si="940"/>
        <v>0</v>
      </c>
      <c r="AG1015" s="29">
        <f t="shared" si="941"/>
        <v>0</v>
      </c>
      <c r="AH1015" s="29">
        <f t="shared" si="942"/>
        <v>0</v>
      </c>
      <c r="AI1015" s="28" t="s">
        <v>2887</v>
      </c>
      <c r="AJ1015" s="15">
        <f t="shared" si="943"/>
        <v>0</v>
      </c>
      <c r="AK1015" s="15">
        <f t="shared" si="944"/>
        <v>0</v>
      </c>
      <c r="AL1015" s="15">
        <f t="shared" si="945"/>
        <v>0</v>
      </c>
      <c r="AN1015" s="29">
        <v>15</v>
      </c>
      <c r="AO1015" s="29">
        <f t="shared" si="946"/>
        <v>0</v>
      </c>
      <c r="AP1015" s="29">
        <f t="shared" si="947"/>
        <v>0</v>
      </c>
      <c r="AQ1015" s="30" t="s">
        <v>7</v>
      </c>
      <c r="AV1015" s="29">
        <f t="shared" si="948"/>
        <v>0</v>
      </c>
      <c r="AW1015" s="29">
        <f t="shared" si="949"/>
        <v>0</v>
      </c>
      <c r="AX1015" s="29">
        <f t="shared" si="950"/>
        <v>0</v>
      </c>
      <c r="AY1015" s="32" t="s">
        <v>2927</v>
      </c>
      <c r="AZ1015" s="32" t="s">
        <v>2954</v>
      </c>
      <c r="BA1015" s="28" t="s">
        <v>2962</v>
      </c>
      <c r="BC1015" s="29">
        <f t="shared" si="951"/>
        <v>0</v>
      </c>
      <c r="BD1015" s="29">
        <f t="shared" si="952"/>
        <v>0</v>
      </c>
      <c r="BE1015" s="29">
        <v>0</v>
      </c>
      <c r="BF1015" s="29">
        <f>1015</f>
        <v>1015</v>
      </c>
      <c r="BH1015" s="15">
        <f t="shared" si="953"/>
        <v>0</v>
      </c>
      <c r="BI1015" s="15">
        <f t="shared" si="954"/>
        <v>0</v>
      </c>
      <c r="BJ1015" s="15">
        <f t="shared" si="955"/>
        <v>0</v>
      </c>
      <c r="BK1015" s="15" t="s">
        <v>2969</v>
      </c>
      <c r="BL1015" s="29" t="s">
        <v>1585</v>
      </c>
    </row>
    <row r="1016" spans="1:64" ht="12.75">
      <c r="A1016" s="4" t="s">
        <v>945</v>
      </c>
      <c r="B1016" s="94" t="s">
        <v>1642</v>
      </c>
      <c r="C1016" s="152" t="s">
        <v>2794</v>
      </c>
      <c r="D1016" s="153"/>
      <c r="E1016" s="153"/>
      <c r="F1016" s="153"/>
      <c r="G1016" s="94" t="s">
        <v>2850</v>
      </c>
      <c r="H1016" s="73">
        <v>2</v>
      </c>
      <c r="I1016" s="105">
        <v>0</v>
      </c>
      <c r="J1016" s="15">
        <f t="shared" si="932"/>
        <v>0</v>
      </c>
      <c r="K1016" s="15">
        <f t="shared" si="933"/>
        <v>0</v>
      </c>
      <c r="L1016" s="15">
        <f t="shared" si="934"/>
        <v>0</v>
      </c>
      <c r="M1016" s="25"/>
      <c r="N1016" s="5"/>
      <c r="Z1016" s="29">
        <f t="shared" si="935"/>
        <v>0</v>
      </c>
      <c r="AB1016" s="29">
        <f t="shared" si="936"/>
        <v>0</v>
      </c>
      <c r="AC1016" s="29">
        <f t="shared" si="937"/>
        <v>0</v>
      </c>
      <c r="AD1016" s="29">
        <f t="shared" si="938"/>
        <v>0</v>
      </c>
      <c r="AE1016" s="29">
        <f t="shared" si="939"/>
        <v>0</v>
      </c>
      <c r="AF1016" s="29">
        <f t="shared" si="940"/>
        <v>0</v>
      </c>
      <c r="AG1016" s="29">
        <f t="shared" si="941"/>
        <v>0</v>
      </c>
      <c r="AH1016" s="29">
        <f t="shared" si="942"/>
        <v>0</v>
      </c>
      <c r="AI1016" s="28" t="s">
        <v>2887</v>
      </c>
      <c r="AJ1016" s="15">
        <f t="shared" si="943"/>
        <v>0</v>
      </c>
      <c r="AK1016" s="15">
        <f t="shared" si="944"/>
        <v>0</v>
      </c>
      <c r="AL1016" s="15">
        <f t="shared" si="945"/>
        <v>0</v>
      </c>
      <c r="AN1016" s="29">
        <v>15</v>
      </c>
      <c r="AO1016" s="29">
        <f t="shared" si="946"/>
        <v>0</v>
      </c>
      <c r="AP1016" s="29">
        <f t="shared" si="947"/>
        <v>0</v>
      </c>
      <c r="AQ1016" s="30" t="s">
        <v>7</v>
      </c>
      <c r="AV1016" s="29">
        <f t="shared" si="948"/>
        <v>0</v>
      </c>
      <c r="AW1016" s="29">
        <f t="shared" si="949"/>
        <v>0</v>
      </c>
      <c r="AX1016" s="29">
        <f t="shared" si="950"/>
        <v>0</v>
      </c>
      <c r="AY1016" s="32" t="s">
        <v>2927</v>
      </c>
      <c r="AZ1016" s="32" t="s">
        <v>2954</v>
      </c>
      <c r="BA1016" s="28" t="s">
        <v>2962</v>
      </c>
      <c r="BC1016" s="29">
        <f t="shared" si="951"/>
        <v>0</v>
      </c>
      <c r="BD1016" s="29">
        <f t="shared" si="952"/>
        <v>0</v>
      </c>
      <c r="BE1016" s="29">
        <v>0</v>
      </c>
      <c r="BF1016" s="29">
        <f>1016</f>
        <v>1016</v>
      </c>
      <c r="BH1016" s="15">
        <f t="shared" si="953"/>
        <v>0</v>
      </c>
      <c r="BI1016" s="15">
        <f t="shared" si="954"/>
        <v>0</v>
      </c>
      <c r="BJ1016" s="15">
        <f t="shared" si="955"/>
        <v>0</v>
      </c>
      <c r="BK1016" s="15" t="s">
        <v>2969</v>
      </c>
      <c r="BL1016" s="29" t="s">
        <v>1585</v>
      </c>
    </row>
    <row r="1017" spans="1:64" ht="12.75">
      <c r="A1017" s="4" t="s">
        <v>946</v>
      </c>
      <c r="B1017" s="94" t="s">
        <v>1643</v>
      </c>
      <c r="C1017" s="152" t="s">
        <v>2795</v>
      </c>
      <c r="D1017" s="153"/>
      <c r="E1017" s="153"/>
      <c r="F1017" s="153"/>
      <c r="G1017" s="94" t="s">
        <v>2850</v>
      </c>
      <c r="H1017" s="73">
        <v>16</v>
      </c>
      <c r="I1017" s="105">
        <v>0</v>
      </c>
      <c r="J1017" s="15">
        <f t="shared" si="932"/>
        <v>0</v>
      </c>
      <c r="K1017" s="15">
        <f t="shared" si="933"/>
        <v>0</v>
      </c>
      <c r="L1017" s="15">
        <f t="shared" si="934"/>
        <v>0</v>
      </c>
      <c r="M1017" s="25"/>
      <c r="N1017" s="5"/>
      <c r="Z1017" s="29">
        <f t="shared" si="935"/>
        <v>0</v>
      </c>
      <c r="AB1017" s="29">
        <f t="shared" si="936"/>
        <v>0</v>
      </c>
      <c r="AC1017" s="29">
        <f t="shared" si="937"/>
        <v>0</v>
      </c>
      <c r="AD1017" s="29">
        <f t="shared" si="938"/>
        <v>0</v>
      </c>
      <c r="AE1017" s="29">
        <f t="shared" si="939"/>
        <v>0</v>
      </c>
      <c r="AF1017" s="29">
        <f t="shared" si="940"/>
        <v>0</v>
      </c>
      <c r="AG1017" s="29">
        <f t="shared" si="941"/>
        <v>0</v>
      </c>
      <c r="AH1017" s="29">
        <f t="shared" si="942"/>
        <v>0</v>
      </c>
      <c r="AI1017" s="28" t="s">
        <v>2887</v>
      </c>
      <c r="AJ1017" s="15">
        <f t="shared" si="943"/>
        <v>0</v>
      </c>
      <c r="AK1017" s="15">
        <f t="shared" si="944"/>
        <v>0</v>
      </c>
      <c r="AL1017" s="15">
        <f t="shared" si="945"/>
        <v>0</v>
      </c>
      <c r="AN1017" s="29">
        <v>15</v>
      </c>
      <c r="AO1017" s="29">
        <f t="shared" si="946"/>
        <v>0</v>
      </c>
      <c r="AP1017" s="29">
        <f t="shared" si="947"/>
        <v>0</v>
      </c>
      <c r="AQ1017" s="30" t="s">
        <v>7</v>
      </c>
      <c r="AV1017" s="29">
        <f t="shared" si="948"/>
        <v>0</v>
      </c>
      <c r="AW1017" s="29">
        <f t="shared" si="949"/>
        <v>0</v>
      </c>
      <c r="AX1017" s="29">
        <f t="shared" si="950"/>
        <v>0</v>
      </c>
      <c r="AY1017" s="32" t="s">
        <v>2927</v>
      </c>
      <c r="AZ1017" s="32" t="s">
        <v>2954</v>
      </c>
      <c r="BA1017" s="28" t="s">
        <v>2962</v>
      </c>
      <c r="BC1017" s="29">
        <f t="shared" si="951"/>
        <v>0</v>
      </c>
      <c r="BD1017" s="29">
        <f t="shared" si="952"/>
        <v>0</v>
      </c>
      <c r="BE1017" s="29">
        <v>0</v>
      </c>
      <c r="BF1017" s="29">
        <f>1017</f>
        <v>1017</v>
      </c>
      <c r="BH1017" s="15">
        <f t="shared" si="953"/>
        <v>0</v>
      </c>
      <c r="BI1017" s="15">
        <f t="shared" si="954"/>
        <v>0</v>
      </c>
      <c r="BJ1017" s="15">
        <f t="shared" si="955"/>
        <v>0</v>
      </c>
      <c r="BK1017" s="15" t="s">
        <v>2969</v>
      </c>
      <c r="BL1017" s="29" t="s">
        <v>1585</v>
      </c>
    </row>
    <row r="1018" spans="1:64" ht="12.75">
      <c r="A1018" s="4" t="s">
        <v>947</v>
      </c>
      <c r="B1018" s="94" t="s">
        <v>1662</v>
      </c>
      <c r="C1018" s="152" t="s">
        <v>2605</v>
      </c>
      <c r="D1018" s="153"/>
      <c r="E1018" s="153"/>
      <c r="F1018" s="153"/>
      <c r="G1018" s="94" t="s">
        <v>2850</v>
      </c>
      <c r="H1018" s="73">
        <v>1</v>
      </c>
      <c r="I1018" s="105">
        <v>0</v>
      </c>
      <c r="J1018" s="15">
        <f t="shared" si="932"/>
        <v>0</v>
      </c>
      <c r="K1018" s="15">
        <f t="shared" si="933"/>
        <v>0</v>
      </c>
      <c r="L1018" s="15">
        <f t="shared" si="934"/>
        <v>0</v>
      </c>
      <c r="M1018" s="25"/>
      <c r="N1018" s="5"/>
      <c r="Z1018" s="29">
        <f t="shared" si="935"/>
        <v>0</v>
      </c>
      <c r="AB1018" s="29">
        <f t="shared" si="936"/>
        <v>0</v>
      </c>
      <c r="AC1018" s="29">
        <f t="shared" si="937"/>
        <v>0</v>
      </c>
      <c r="AD1018" s="29">
        <f t="shared" si="938"/>
        <v>0</v>
      </c>
      <c r="AE1018" s="29">
        <f t="shared" si="939"/>
        <v>0</v>
      </c>
      <c r="AF1018" s="29">
        <f t="shared" si="940"/>
        <v>0</v>
      </c>
      <c r="AG1018" s="29">
        <f t="shared" si="941"/>
        <v>0</v>
      </c>
      <c r="AH1018" s="29">
        <f t="shared" si="942"/>
        <v>0</v>
      </c>
      <c r="AI1018" s="28" t="s">
        <v>2887</v>
      </c>
      <c r="AJ1018" s="15">
        <f t="shared" si="943"/>
        <v>0</v>
      </c>
      <c r="AK1018" s="15">
        <f t="shared" si="944"/>
        <v>0</v>
      </c>
      <c r="AL1018" s="15">
        <f t="shared" si="945"/>
        <v>0</v>
      </c>
      <c r="AN1018" s="29">
        <v>15</v>
      </c>
      <c r="AO1018" s="29">
        <f t="shared" si="946"/>
        <v>0</v>
      </c>
      <c r="AP1018" s="29">
        <f t="shared" si="947"/>
        <v>0</v>
      </c>
      <c r="AQ1018" s="30" t="s">
        <v>7</v>
      </c>
      <c r="AV1018" s="29">
        <f t="shared" si="948"/>
        <v>0</v>
      </c>
      <c r="AW1018" s="29">
        <f t="shared" si="949"/>
        <v>0</v>
      </c>
      <c r="AX1018" s="29">
        <f t="shared" si="950"/>
        <v>0</v>
      </c>
      <c r="AY1018" s="32" t="s">
        <v>2927</v>
      </c>
      <c r="AZ1018" s="32" t="s">
        <v>2954</v>
      </c>
      <c r="BA1018" s="28" t="s">
        <v>2962</v>
      </c>
      <c r="BC1018" s="29">
        <f t="shared" si="951"/>
        <v>0</v>
      </c>
      <c r="BD1018" s="29">
        <f t="shared" si="952"/>
        <v>0</v>
      </c>
      <c r="BE1018" s="29">
        <v>0</v>
      </c>
      <c r="BF1018" s="29">
        <f>1018</f>
        <v>1018</v>
      </c>
      <c r="BH1018" s="15">
        <f t="shared" si="953"/>
        <v>0</v>
      </c>
      <c r="BI1018" s="15">
        <f t="shared" si="954"/>
        <v>0</v>
      </c>
      <c r="BJ1018" s="15">
        <f t="shared" si="955"/>
        <v>0</v>
      </c>
      <c r="BK1018" s="15" t="s">
        <v>2969</v>
      </c>
      <c r="BL1018" s="29" t="s">
        <v>1585</v>
      </c>
    </row>
    <row r="1019" spans="1:64" ht="12.75">
      <c r="A1019" s="4" t="s">
        <v>948</v>
      </c>
      <c r="B1019" s="94" t="s">
        <v>1704</v>
      </c>
      <c r="C1019" s="152" t="s">
        <v>2637</v>
      </c>
      <c r="D1019" s="153"/>
      <c r="E1019" s="153"/>
      <c r="F1019" s="153"/>
      <c r="G1019" s="94" t="s">
        <v>2856</v>
      </c>
      <c r="H1019" s="73">
        <v>1</v>
      </c>
      <c r="I1019" s="105">
        <v>0</v>
      </c>
      <c r="J1019" s="15">
        <f t="shared" si="932"/>
        <v>0</v>
      </c>
      <c r="K1019" s="15">
        <f t="shared" si="933"/>
        <v>0</v>
      </c>
      <c r="L1019" s="15">
        <f t="shared" si="934"/>
        <v>0</v>
      </c>
      <c r="M1019" s="25"/>
      <c r="N1019" s="5"/>
      <c r="Z1019" s="29">
        <f t="shared" si="935"/>
        <v>0</v>
      </c>
      <c r="AB1019" s="29">
        <f t="shared" si="936"/>
        <v>0</v>
      </c>
      <c r="AC1019" s="29">
        <f t="shared" si="937"/>
        <v>0</v>
      </c>
      <c r="AD1019" s="29">
        <f t="shared" si="938"/>
        <v>0</v>
      </c>
      <c r="AE1019" s="29">
        <f t="shared" si="939"/>
        <v>0</v>
      </c>
      <c r="AF1019" s="29">
        <f t="shared" si="940"/>
        <v>0</v>
      </c>
      <c r="AG1019" s="29">
        <f t="shared" si="941"/>
        <v>0</v>
      </c>
      <c r="AH1019" s="29">
        <f t="shared" si="942"/>
        <v>0</v>
      </c>
      <c r="AI1019" s="28" t="s">
        <v>2887</v>
      </c>
      <c r="AJ1019" s="15">
        <f t="shared" si="943"/>
        <v>0</v>
      </c>
      <c r="AK1019" s="15">
        <f t="shared" si="944"/>
        <v>0</v>
      </c>
      <c r="AL1019" s="15">
        <f t="shared" si="945"/>
        <v>0</v>
      </c>
      <c r="AN1019" s="29">
        <v>15</v>
      </c>
      <c r="AO1019" s="29">
        <f t="shared" si="946"/>
        <v>0</v>
      </c>
      <c r="AP1019" s="29">
        <f t="shared" si="947"/>
        <v>0</v>
      </c>
      <c r="AQ1019" s="30" t="s">
        <v>7</v>
      </c>
      <c r="AV1019" s="29">
        <f t="shared" si="948"/>
        <v>0</v>
      </c>
      <c r="AW1019" s="29">
        <f t="shared" si="949"/>
        <v>0</v>
      </c>
      <c r="AX1019" s="29">
        <f t="shared" si="950"/>
        <v>0</v>
      </c>
      <c r="AY1019" s="32" t="s">
        <v>2927</v>
      </c>
      <c r="AZ1019" s="32" t="s">
        <v>2954</v>
      </c>
      <c r="BA1019" s="28" t="s">
        <v>2962</v>
      </c>
      <c r="BC1019" s="29">
        <f t="shared" si="951"/>
        <v>0</v>
      </c>
      <c r="BD1019" s="29">
        <f t="shared" si="952"/>
        <v>0</v>
      </c>
      <c r="BE1019" s="29">
        <v>0</v>
      </c>
      <c r="BF1019" s="29">
        <f>1019</f>
        <v>1019</v>
      </c>
      <c r="BH1019" s="15">
        <f t="shared" si="953"/>
        <v>0</v>
      </c>
      <c r="BI1019" s="15">
        <f t="shared" si="954"/>
        <v>0</v>
      </c>
      <c r="BJ1019" s="15">
        <f t="shared" si="955"/>
        <v>0</v>
      </c>
      <c r="BK1019" s="15" t="s">
        <v>2969</v>
      </c>
      <c r="BL1019" s="29" t="s">
        <v>1585</v>
      </c>
    </row>
    <row r="1020" spans="1:64" ht="12.75">
      <c r="A1020" s="4" t="s">
        <v>949</v>
      </c>
      <c r="B1020" s="94" t="s">
        <v>1705</v>
      </c>
      <c r="C1020" s="152" t="s">
        <v>2796</v>
      </c>
      <c r="D1020" s="153"/>
      <c r="E1020" s="153"/>
      <c r="F1020" s="153"/>
      <c r="G1020" s="94" t="s">
        <v>2856</v>
      </c>
      <c r="H1020" s="73">
        <v>1</v>
      </c>
      <c r="I1020" s="105">
        <v>0</v>
      </c>
      <c r="J1020" s="15">
        <f t="shared" si="932"/>
        <v>0</v>
      </c>
      <c r="K1020" s="15">
        <f t="shared" si="933"/>
        <v>0</v>
      </c>
      <c r="L1020" s="15">
        <f t="shared" si="934"/>
        <v>0</v>
      </c>
      <c r="M1020" s="25"/>
      <c r="N1020" s="5"/>
      <c r="Z1020" s="29">
        <f t="shared" si="935"/>
        <v>0</v>
      </c>
      <c r="AB1020" s="29">
        <f t="shared" si="936"/>
        <v>0</v>
      </c>
      <c r="AC1020" s="29">
        <f t="shared" si="937"/>
        <v>0</v>
      </c>
      <c r="AD1020" s="29">
        <f t="shared" si="938"/>
        <v>0</v>
      </c>
      <c r="AE1020" s="29">
        <f t="shared" si="939"/>
        <v>0</v>
      </c>
      <c r="AF1020" s="29">
        <f t="shared" si="940"/>
        <v>0</v>
      </c>
      <c r="AG1020" s="29">
        <f t="shared" si="941"/>
        <v>0</v>
      </c>
      <c r="AH1020" s="29">
        <f t="shared" si="942"/>
        <v>0</v>
      </c>
      <c r="AI1020" s="28" t="s">
        <v>2887</v>
      </c>
      <c r="AJ1020" s="15">
        <f t="shared" si="943"/>
        <v>0</v>
      </c>
      <c r="AK1020" s="15">
        <f t="shared" si="944"/>
        <v>0</v>
      </c>
      <c r="AL1020" s="15">
        <f t="shared" si="945"/>
        <v>0</v>
      </c>
      <c r="AN1020" s="29">
        <v>15</v>
      </c>
      <c r="AO1020" s="29">
        <f t="shared" si="946"/>
        <v>0</v>
      </c>
      <c r="AP1020" s="29">
        <f t="shared" si="947"/>
        <v>0</v>
      </c>
      <c r="AQ1020" s="30" t="s">
        <v>7</v>
      </c>
      <c r="AV1020" s="29">
        <f t="shared" si="948"/>
        <v>0</v>
      </c>
      <c r="AW1020" s="29">
        <f t="shared" si="949"/>
        <v>0</v>
      </c>
      <c r="AX1020" s="29">
        <f t="shared" si="950"/>
        <v>0</v>
      </c>
      <c r="AY1020" s="32" t="s">
        <v>2927</v>
      </c>
      <c r="AZ1020" s="32" t="s">
        <v>2954</v>
      </c>
      <c r="BA1020" s="28" t="s">
        <v>2962</v>
      </c>
      <c r="BC1020" s="29">
        <f t="shared" si="951"/>
        <v>0</v>
      </c>
      <c r="BD1020" s="29">
        <f t="shared" si="952"/>
        <v>0</v>
      </c>
      <c r="BE1020" s="29">
        <v>0</v>
      </c>
      <c r="BF1020" s="29">
        <f>1020</f>
        <v>1020</v>
      </c>
      <c r="BH1020" s="15">
        <f t="shared" si="953"/>
        <v>0</v>
      </c>
      <c r="BI1020" s="15">
        <f t="shared" si="954"/>
        <v>0</v>
      </c>
      <c r="BJ1020" s="15">
        <f t="shared" si="955"/>
        <v>0</v>
      </c>
      <c r="BK1020" s="15" t="s">
        <v>2969</v>
      </c>
      <c r="BL1020" s="29" t="s">
        <v>1585</v>
      </c>
    </row>
    <row r="1021" spans="1:64" ht="12.75">
      <c r="A1021" s="4" t="s">
        <v>950</v>
      </c>
      <c r="B1021" s="94" t="s">
        <v>1707</v>
      </c>
      <c r="C1021" s="152" t="s">
        <v>2797</v>
      </c>
      <c r="D1021" s="153"/>
      <c r="E1021" s="153"/>
      <c r="F1021" s="153"/>
      <c r="G1021" s="94" t="s">
        <v>2851</v>
      </c>
      <c r="H1021" s="73">
        <v>75</v>
      </c>
      <c r="I1021" s="105">
        <v>0</v>
      </c>
      <c r="J1021" s="15">
        <f t="shared" si="932"/>
        <v>0</v>
      </c>
      <c r="K1021" s="15">
        <f t="shared" si="933"/>
        <v>0</v>
      </c>
      <c r="L1021" s="15">
        <f t="shared" si="934"/>
        <v>0</v>
      </c>
      <c r="M1021" s="25"/>
      <c r="N1021" s="5"/>
      <c r="Z1021" s="29">
        <f t="shared" si="935"/>
        <v>0</v>
      </c>
      <c r="AB1021" s="29">
        <f t="shared" si="936"/>
        <v>0</v>
      </c>
      <c r="AC1021" s="29">
        <f t="shared" si="937"/>
        <v>0</v>
      </c>
      <c r="AD1021" s="29">
        <f t="shared" si="938"/>
        <v>0</v>
      </c>
      <c r="AE1021" s="29">
        <f t="shared" si="939"/>
        <v>0</v>
      </c>
      <c r="AF1021" s="29">
        <f t="shared" si="940"/>
        <v>0</v>
      </c>
      <c r="AG1021" s="29">
        <f t="shared" si="941"/>
        <v>0</v>
      </c>
      <c r="AH1021" s="29">
        <f t="shared" si="942"/>
        <v>0</v>
      </c>
      <c r="AI1021" s="28" t="s">
        <v>2887</v>
      </c>
      <c r="AJ1021" s="15">
        <f t="shared" si="943"/>
        <v>0</v>
      </c>
      <c r="AK1021" s="15">
        <f t="shared" si="944"/>
        <v>0</v>
      </c>
      <c r="AL1021" s="15">
        <f t="shared" si="945"/>
        <v>0</v>
      </c>
      <c r="AN1021" s="29">
        <v>15</v>
      </c>
      <c r="AO1021" s="29">
        <f t="shared" si="946"/>
        <v>0</v>
      </c>
      <c r="AP1021" s="29">
        <f t="shared" si="947"/>
        <v>0</v>
      </c>
      <c r="AQ1021" s="30" t="s">
        <v>7</v>
      </c>
      <c r="AV1021" s="29">
        <f t="shared" si="948"/>
        <v>0</v>
      </c>
      <c r="AW1021" s="29">
        <f t="shared" si="949"/>
        <v>0</v>
      </c>
      <c r="AX1021" s="29">
        <f t="shared" si="950"/>
        <v>0</v>
      </c>
      <c r="AY1021" s="32" t="s">
        <v>2927</v>
      </c>
      <c r="AZ1021" s="32" t="s">
        <v>2954</v>
      </c>
      <c r="BA1021" s="28" t="s">
        <v>2962</v>
      </c>
      <c r="BC1021" s="29">
        <f t="shared" si="951"/>
        <v>0</v>
      </c>
      <c r="BD1021" s="29">
        <f t="shared" si="952"/>
        <v>0</v>
      </c>
      <c r="BE1021" s="29">
        <v>0</v>
      </c>
      <c r="BF1021" s="29">
        <f>1021</f>
        <v>1021</v>
      </c>
      <c r="BH1021" s="15">
        <f t="shared" si="953"/>
        <v>0</v>
      </c>
      <c r="BI1021" s="15">
        <f t="shared" si="954"/>
        <v>0</v>
      </c>
      <c r="BJ1021" s="15">
        <f t="shared" si="955"/>
        <v>0</v>
      </c>
      <c r="BK1021" s="15" t="s">
        <v>2969</v>
      </c>
      <c r="BL1021" s="29" t="s">
        <v>1585</v>
      </c>
    </row>
    <row r="1022" spans="1:64" ht="12.75">
      <c r="A1022" s="4" t="s">
        <v>951</v>
      </c>
      <c r="B1022" s="94" t="s">
        <v>1874</v>
      </c>
      <c r="C1022" s="152" t="s">
        <v>2798</v>
      </c>
      <c r="D1022" s="153"/>
      <c r="E1022" s="153"/>
      <c r="F1022" s="153"/>
      <c r="G1022" s="94" t="s">
        <v>2851</v>
      </c>
      <c r="H1022" s="73">
        <v>75</v>
      </c>
      <c r="I1022" s="105">
        <v>0</v>
      </c>
      <c r="J1022" s="15">
        <f t="shared" si="932"/>
        <v>0</v>
      </c>
      <c r="K1022" s="15">
        <f t="shared" si="933"/>
        <v>0</v>
      </c>
      <c r="L1022" s="15">
        <f t="shared" si="934"/>
        <v>0</v>
      </c>
      <c r="M1022" s="25"/>
      <c r="N1022" s="5"/>
      <c r="Z1022" s="29">
        <f t="shared" si="935"/>
        <v>0</v>
      </c>
      <c r="AB1022" s="29">
        <f t="shared" si="936"/>
        <v>0</v>
      </c>
      <c r="AC1022" s="29">
        <f t="shared" si="937"/>
        <v>0</v>
      </c>
      <c r="AD1022" s="29">
        <f t="shared" si="938"/>
        <v>0</v>
      </c>
      <c r="AE1022" s="29">
        <f t="shared" si="939"/>
        <v>0</v>
      </c>
      <c r="AF1022" s="29">
        <f t="shared" si="940"/>
        <v>0</v>
      </c>
      <c r="AG1022" s="29">
        <f t="shared" si="941"/>
        <v>0</v>
      </c>
      <c r="AH1022" s="29">
        <f t="shared" si="942"/>
        <v>0</v>
      </c>
      <c r="AI1022" s="28" t="s">
        <v>2887</v>
      </c>
      <c r="AJ1022" s="15">
        <f t="shared" si="943"/>
        <v>0</v>
      </c>
      <c r="AK1022" s="15">
        <f t="shared" si="944"/>
        <v>0</v>
      </c>
      <c r="AL1022" s="15">
        <f t="shared" si="945"/>
        <v>0</v>
      </c>
      <c r="AN1022" s="29">
        <v>15</v>
      </c>
      <c r="AO1022" s="29">
        <f t="shared" si="946"/>
        <v>0</v>
      </c>
      <c r="AP1022" s="29">
        <f t="shared" si="947"/>
        <v>0</v>
      </c>
      <c r="AQ1022" s="30" t="s">
        <v>7</v>
      </c>
      <c r="AV1022" s="29">
        <f t="shared" si="948"/>
        <v>0</v>
      </c>
      <c r="AW1022" s="29">
        <f t="shared" si="949"/>
        <v>0</v>
      </c>
      <c r="AX1022" s="29">
        <f t="shared" si="950"/>
        <v>0</v>
      </c>
      <c r="AY1022" s="32" t="s">
        <v>2927</v>
      </c>
      <c r="AZ1022" s="32" t="s">
        <v>2954</v>
      </c>
      <c r="BA1022" s="28" t="s">
        <v>2962</v>
      </c>
      <c r="BC1022" s="29">
        <f t="shared" si="951"/>
        <v>0</v>
      </c>
      <c r="BD1022" s="29">
        <f t="shared" si="952"/>
        <v>0</v>
      </c>
      <c r="BE1022" s="29">
        <v>0</v>
      </c>
      <c r="BF1022" s="29">
        <f>1022</f>
        <v>1022</v>
      </c>
      <c r="BH1022" s="15">
        <f t="shared" si="953"/>
        <v>0</v>
      </c>
      <c r="BI1022" s="15">
        <f t="shared" si="954"/>
        <v>0</v>
      </c>
      <c r="BJ1022" s="15">
        <f t="shared" si="955"/>
        <v>0</v>
      </c>
      <c r="BK1022" s="15" t="s">
        <v>2969</v>
      </c>
      <c r="BL1022" s="29" t="s">
        <v>1585</v>
      </c>
    </row>
    <row r="1023" spans="1:64" ht="12.75">
      <c r="A1023" s="4" t="s">
        <v>952</v>
      </c>
      <c r="B1023" s="94" t="s">
        <v>1709</v>
      </c>
      <c r="C1023" s="152" t="s">
        <v>2799</v>
      </c>
      <c r="D1023" s="153"/>
      <c r="E1023" s="153"/>
      <c r="F1023" s="153"/>
      <c r="G1023" s="94" t="s">
        <v>2847</v>
      </c>
      <c r="H1023" s="73">
        <v>5</v>
      </c>
      <c r="I1023" s="105">
        <v>0</v>
      </c>
      <c r="J1023" s="15">
        <f t="shared" si="932"/>
        <v>0</v>
      </c>
      <c r="K1023" s="15">
        <f t="shared" si="933"/>
        <v>0</v>
      </c>
      <c r="L1023" s="15">
        <f t="shared" si="934"/>
        <v>0</v>
      </c>
      <c r="M1023" s="25"/>
      <c r="N1023" s="5"/>
      <c r="Z1023" s="29">
        <f t="shared" si="935"/>
        <v>0</v>
      </c>
      <c r="AB1023" s="29">
        <f t="shared" si="936"/>
        <v>0</v>
      </c>
      <c r="AC1023" s="29">
        <f t="shared" si="937"/>
        <v>0</v>
      </c>
      <c r="AD1023" s="29">
        <f t="shared" si="938"/>
        <v>0</v>
      </c>
      <c r="AE1023" s="29">
        <f t="shared" si="939"/>
        <v>0</v>
      </c>
      <c r="AF1023" s="29">
        <f t="shared" si="940"/>
        <v>0</v>
      </c>
      <c r="AG1023" s="29">
        <f t="shared" si="941"/>
        <v>0</v>
      </c>
      <c r="AH1023" s="29">
        <f t="shared" si="942"/>
        <v>0</v>
      </c>
      <c r="AI1023" s="28" t="s">
        <v>2887</v>
      </c>
      <c r="AJ1023" s="15">
        <f t="shared" si="943"/>
        <v>0</v>
      </c>
      <c r="AK1023" s="15">
        <f t="shared" si="944"/>
        <v>0</v>
      </c>
      <c r="AL1023" s="15">
        <f t="shared" si="945"/>
        <v>0</v>
      </c>
      <c r="AN1023" s="29">
        <v>15</v>
      </c>
      <c r="AO1023" s="29">
        <f t="shared" si="946"/>
        <v>0</v>
      </c>
      <c r="AP1023" s="29">
        <f t="shared" si="947"/>
        <v>0</v>
      </c>
      <c r="AQ1023" s="30" t="s">
        <v>7</v>
      </c>
      <c r="AV1023" s="29">
        <f t="shared" si="948"/>
        <v>0</v>
      </c>
      <c r="AW1023" s="29">
        <f t="shared" si="949"/>
        <v>0</v>
      </c>
      <c r="AX1023" s="29">
        <f t="shared" si="950"/>
        <v>0</v>
      </c>
      <c r="AY1023" s="32" t="s">
        <v>2927</v>
      </c>
      <c r="AZ1023" s="32" t="s">
        <v>2954</v>
      </c>
      <c r="BA1023" s="28" t="s">
        <v>2962</v>
      </c>
      <c r="BC1023" s="29">
        <f t="shared" si="951"/>
        <v>0</v>
      </c>
      <c r="BD1023" s="29">
        <f t="shared" si="952"/>
        <v>0</v>
      </c>
      <c r="BE1023" s="29">
        <v>0</v>
      </c>
      <c r="BF1023" s="29">
        <f>1023</f>
        <v>1023</v>
      </c>
      <c r="BH1023" s="15">
        <f t="shared" si="953"/>
        <v>0</v>
      </c>
      <c r="BI1023" s="15">
        <f t="shared" si="954"/>
        <v>0</v>
      </c>
      <c r="BJ1023" s="15">
        <f t="shared" si="955"/>
        <v>0</v>
      </c>
      <c r="BK1023" s="15" t="s">
        <v>2969</v>
      </c>
      <c r="BL1023" s="29" t="s">
        <v>1585</v>
      </c>
    </row>
    <row r="1024" spans="1:64" ht="12.75">
      <c r="A1024" s="4" t="s">
        <v>953</v>
      </c>
      <c r="B1024" s="94" t="s">
        <v>1708</v>
      </c>
      <c r="C1024" s="152" t="s">
        <v>2641</v>
      </c>
      <c r="D1024" s="153"/>
      <c r="E1024" s="153"/>
      <c r="F1024" s="153"/>
      <c r="G1024" s="94" t="s">
        <v>2852</v>
      </c>
      <c r="H1024" s="73">
        <v>5</v>
      </c>
      <c r="I1024" s="105">
        <v>0</v>
      </c>
      <c r="J1024" s="15">
        <f t="shared" si="932"/>
        <v>0</v>
      </c>
      <c r="K1024" s="15">
        <f t="shared" si="933"/>
        <v>0</v>
      </c>
      <c r="L1024" s="15">
        <f t="shared" si="934"/>
        <v>0</v>
      </c>
      <c r="M1024" s="25"/>
      <c r="N1024" s="5"/>
      <c r="Z1024" s="29">
        <f t="shared" si="935"/>
        <v>0</v>
      </c>
      <c r="AB1024" s="29">
        <f t="shared" si="936"/>
        <v>0</v>
      </c>
      <c r="AC1024" s="29">
        <f t="shared" si="937"/>
        <v>0</v>
      </c>
      <c r="AD1024" s="29">
        <f t="shared" si="938"/>
        <v>0</v>
      </c>
      <c r="AE1024" s="29">
        <f t="shared" si="939"/>
        <v>0</v>
      </c>
      <c r="AF1024" s="29">
        <f t="shared" si="940"/>
        <v>0</v>
      </c>
      <c r="AG1024" s="29">
        <f t="shared" si="941"/>
        <v>0</v>
      </c>
      <c r="AH1024" s="29">
        <f t="shared" si="942"/>
        <v>0</v>
      </c>
      <c r="AI1024" s="28" t="s">
        <v>2887</v>
      </c>
      <c r="AJ1024" s="15">
        <f t="shared" si="943"/>
        <v>0</v>
      </c>
      <c r="AK1024" s="15">
        <f t="shared" si="944"/>
        <v>0</v>
      </c>
      <c r="AL1024" s="15">
        <f t="shared" si="945"/>
        <v>0</v>
      </c>
      <c r="AN1024" s="29">
        <v>15</v>
      </c>
      <c r="AO1024" s="29">
        <f t="shared" si="946"/>
        <v>0</v>
      </c>
      <c r="AP1024" s="29">
        <f t="shared" si="947"/>
        <v>0</v>
      </c>
      <c r="AQ1024" s="30" t="s">
        <v>7</v>
      </c>
      <c r="AV1024" s="29">
        <f t="shared" si="948"/>
        <v>0</v>
      </c>
      <c r="AW1024" s="29">
        <f t="shared" si="949"/>
        <v>0</v>
      </c>
      <c r="AX1024" s="29">
        <f t="shared" si="950"/>
        <v>0</v>
      </c>
      <c r="AY1024" s="32" t="s">
        <v>2927</v>
      </c>
      <c r="AZ1024" s="32" t="s">
        <v>2954</v>
      </c>
      <c r="BA1024" s="28" t="s">
        <v>2962</v>
      </c>
      <c r="BC1024" s="29">
        <f t="shared" si="951"/>
        <v>0</v>
      </c>
      <c r="BD1024" s="29">
        <f t="shared" si="952"/>
        <v>0</v>
      </c>
      <c r="BE1024" s="29">
        <v>0</v>
      </c>
      <c r="BF1024" s="29">
        <f>1024</f>
        <v>1024</v>
      </c>
      <c r="BH1024" s="15">
        <f t="shared" si="953"/>
        <v>0</v>
      </c>
      <c r="BI1024" s="15">
        <f t="shared" si="954"/>
        <v>0</v>
      </c>
      <c r="BJ1024" s="15">
        <f t="shared" si="955"/>
        <v>0</v>
      </c>
      <c r="BK1024" s="15" t="s">
        <v>2969</v>
      </c>
      <c r="BL1024" s="29" t="s">
        <v>1585</v>
      </c>
    </row>
    <row r="1025" spans="1:64" ht="12.75">
      <c r="A1025" s="4" t="s">
        <v>954</v>
      </c>
      <c r="B1025" s="94" t="s">
        <v>1709</v>
      </c>
      <c r="C1025" s="152" t="s">
        <v>2642</v>
      </c>
      <c r="D1025" s="153"/>
      <c r="E1025" s="153"/>
      <c r="F1025" s="153"/>
      <c r="G1025" s="94" t="s">
        <v>2849</v>
      </c>
      <c r="H1025" s="73">
        <v>2</v>
      </c>
      <c r="I1025" s="105">
        <v>0</v>
      </c>
      <c r="J1025" s="15">
        <f t="shared" si="932"/>
        <v>0</v>
      </c>
      <c r="K1025" s="15">
        <f t="shared" si="933"/>
        <v>0</v>
      </c>
      <c r="L1025" s="15">
        <f t="shared" si="934"/>
        <v>0</v>
      </c>
      <c r="M1025" s="25"/>
      <c r="N1025" s="5"/>
      <c r="Z1025" s="29">
        <f t="shared" si="935"/>
        <v>0</v>
      </c>
      <c r="AB1025" s="29">
        <f t="shared" si="936"/>
        <v>0</v>
      </c>
      <c r="AC1025" s="29">
        <f t="shared" si="937"/>
        <v>0</v>
      </c>
      <c r="AD1025" s="29">
        <f t="shared" si="938"/>
        <v>0</v>
      </c>
      <c r="AE1025" s="29">
        <f t="shared" si="939"/>
        <v>0</v>
      </c>
      <c r="AF1025" s="29">
        <f t="shared" si="940"/>
        <v>0</v>
      </c>
      <c r="AG1025" s="29">
        <f t="shared" si="941"/>
        <v>0</v>
      </c>
      <c r="AH1025" s="29">
        <f t="shared" si="942"/>
        <v>0</v>
      </c>
      <c r="AI1025" s="28" t="s">
        <v>2887</v>
      </c>
      <c r="AJ1025" s="15">
        <f t="shared" si="943"/>
        <v>0</v>
      </c>
      <c r="AK1025" s="15">
        <f t="shared" si="944"/>
        <v>0</v>
      </c>
      <c r="AL1025" s="15">
        <f t="shared" si="945"/>
        <v>0</v>
      </c>
      <c r="AN1025" s="29">
        <v>15</v>
      </c>
      <c r="AO1025" s="29">
        <f t="shared" si="946"/>
        <v>0</v>
      </c>
      <c r="AP1025" s="29">
        <f t="shared" si="947"/>
        <v>0</v>
      </c>
      <c r="AQ1025" s="30" t="s">
        <v>7</v>
      </c>
      <c r="AV1025" s="29">
        <f t="shared" si="948"/>
        <v>0</v>
      </c>
      <c r="AW1025" s="29">
        <f t="shared" si="949"/>
        <v>0</v>
      </c>
      <c r="AX1025" s="29">
        <f t="shared" si="950"/>
        <v>0</v>
      </c>
      <c r="AY1025" s="32" t="s">
        <v>2927</v>
      </c>
      <c r="AZ1025" s="32" t="s">
        <v>2954</v>
      </c>
      <c r="BA1025" s="28" t="s">
        <v>2962</v>
      </c>
      <c r="BC1025" s="29">
        <f t="shared" si="951"/>
        <v>0</v>
      </c>
      <c r="BD1025" s="29">
        <f t="shared" si="952"/>
        <v>0</v>
      </c>
      <c r="BE1025" s="29">
        <v>0</v>
      </c>
      <c r="BF1025" s="29">
        <f>1025</f>
        <v>1025</v>
      </c>
      <c r="BH1025" s="15">
        <f t="shared" si="953"/>
        <v>0</v>
      </c>
      <c r="BI1025" s="15">
        <f t="shared" si="954"/>
        <v>0</v>
      </c>
      <c r="BJ1025" s="15">
        <f t="shared" si="955"/>
        <v>0</v>
      </c>
      <c r="BK1025" s="15" t="s">
        <v>2969</v>
      </c>
      <c r="BL1025" s="29" t="s">
        <v>1585</v>
      </c>
    </row>
    <row r="1026" spans="1:64" ht="12.75">
      <c r="A1026" s="4" t="s">
        <v>955</v>
      </c>
      <c r="B1026" s="94" t="s">
        <v>1875</v>
      </c>
      <c r="C1026" s="152" t="s">
        <v>2800</v>
      </c>
      <c r="D1026" s="153"/>
      <c r="E1026" s="153"/>
      <c r="F1026" s="153"/>
      <c r="G1026" s="94" t="s">
        <v>2856</v>
      </c>
      <c r="H1026" s="73">
        <v>5</v>
      </c>
      <c r="I1026" s="105">
        <v>0</v>
      </c>
      <c r="J1026" s="15">
        <f t="shared" si="932"/>
        <v>0</v>
      </c>
      <c r="K1026" s="15">
        <f t="shared" si="933"/>
        <v>0</v>
      </c>
      <c r="L1026" s="15">
        <f t="shared" si="934"/>
        <v>0</v>
      </c>
      <c r="M1026" s="25"/>
      <c r="N1026" s="5"/>
      <c r="Z1026" s="29">
        <f t="shared" si="935"/>
        <v>0</v>
      </c>
      <c r="AB1026" s="29">
        <f t="shared" si="936"/>
        <v>0</v>
      </c>
      <c r="AC1026" s="29">
        <f t="shared" si="937"/>
        <v>0</v>
      </c>
      <c r="AD1026" s="29">
        <f t="shared" si="938"/>
        <v>0</v>
      </c>
      <c r="AE1026" s="29">
        <f t="shared" si="939"/>
        <v>0</v>
      </c>
      <c r="AF1026" s="29">
        <f t="shared" si="940"/>
        <v>0</v>
      </c>
      <c r="AG1026" s="29">
        <f t="shared" si="941"/>
        <v>0</v>
      </c>
      <c r="AH1026" s="29">
        <f t="shared" si="942"/>
        <v>0</v>
      </c>
      <c r="AI1026" s="28" t="s">
        <v>2887</v>
      </c>
      <c r="AJ1026" s="15">
        <f t="shared" si="943"/>
        <v>0</v>
      </c>
      <c r="AK1026" s="15">
        <f t="shared" si="944"/>
        <v>0</v>
      </c>
      <c r="AL1026" s="15">
        <f t="shared" si="945"/>
        <v>0</v>
      </c>
      <c r="AN1026" s="29">
        <v>15</v>
      </c>
      <c r="AO1026" s="29">
        <f t="shared" si="946"/>
        <v>0</v>
      </c>
      <c r="AP1026" s="29">
        <f t="shared" si="947"/>
        <v>0</v>
      </c>
      <c r="AQ1026" s="30" t="s">
        <v>7</v>
      </c>
      <c r="AV1026" s="29">
        <f t="shared" si="948"/>
        <v>0</v>
      </c>
      <c r="AW1026" s="29">
        <f t="shared" si="949"/>
        <v>0</v>
      </c>
      <c r="AX1026" s="29">
        <f t="shared" si="950"/>
        <v>0</v>
      </c>
      <c r="AY1026" s="32" t="s">
        <v>2927</v>
      </c>
      <c r="AZ1026" s="32" t="s">
        <v>2954</v>
      </c>
      <c r="BA1026" s="28" t="s">
        <v>2962</v>
      </c>
      <c r="BC1026" s="29">
        <f t="shared" si="951"/>
        <v>0</v>
      </c>
      <c r="BD1026" s="29">
        <f t="shared" si="952"/>
        <v>0</v>
      </c>
      <c r="BE1026" s="29">
        <v>0</v>
      </c>
      <c r="BF1026" s="29">
        <f>1026</f>
        <v>1026</v>
      </c>
      <c r="BH1026" s="15">
        <f t="shared" si="953"/>
        <v>0</v>
      </c>
      <c r="BI1026" s="15">
        <f t="shared" si="954"/>
        <v>0</v>
      </c>
      <c r="BJ1026" s="15">
        <f t="shared" si="955"/>
        <v>0</v>
      </c>
      <c r="BK1026" s="15" t="s">
        <v>2969</v>
      </c>
      <c r="BL1026" s="29" t="s">
        <v>1585</v>
      </c>
    </row>
    <row r="1027" spans="1:64" ht="12.75">
      <c r="A1027" s="4" t="s">
        <v>956</v>
      </c>
      <c r="B1027" s="94" t="s">
        <v>1710</v>
      </c>
      <c r="C1027" s="152" t="s">
        <v>2644</v>
      </c>
      <c r="D1027" s="153"/>
      <c r="E1027" s="153"/>
      <c r="F1027" s="153"/>
      <c r="G1027" s="94" t="s">
        <v>2856</v>
      </c>
      <c r="H1027" s="73">
        <v>1</v>
      </c>
      <c r="I1027" s="105">
        <v>0</v>
      </c>
      <c r="J1027" s="15">
        <f t="shared" si="932"/>
        <v>0</v>
      </c>
      <c r="K1027" s="15">
        <f t="shared" si="933"/>
        <v>0</v>
      </c>
      <c r="L1027" s="15">
        <f t="shared" si="934"/>
        <v>0</v>
      </c>
      <c r="M1027" s="25"/>
      <c r="N1027" s="5"/>
      <c r="Z1027" s="29">
        <f t="shared" si="935"/>
        <v>0</v>
      </c>
      <c r="AB1027" s="29">
        <f t="shared" si="936"/>
        <v>0</v>
      </c>
      <c r="AC1027" s="29">
        <f t="shared" si="937"/>
        <v>0</v>
      </c>
      <c r="AD1027" s="29">
        <f t="shared" si="938"/>
        <v>0</v>
      </c>
      <c r="AE1027" s="29">
        <f t="shared" si="939"/>
        <v>0</v>
      </c>
      <c r="AF1027" s="29">
        <f t="shared" si="940"/>
        <v>0</v>
      </c>
      <c r="AG1027" s="29">
        <f t="shared" si="941"/>
        <v>0</v>
      </c>
      <c r="AH1027" s="29">
        <f t="shared" si="942"/>
        <v>0</v>
      </c>
      <c r="AI1027" s="28" t="s">
        <v>2887</v>
      </c>
      <c r="AJ1027" s="15">
        <f t="shared" si="943"/>
        <v>0</v>
      </c>
      <c r="AK1027" s="15">
        <f t="shared" si="944"/>
        <v>0</v>
      </c>
      <c r="AL1027" s="15">
        <f t="shared" si="945"/>
        <v>0</v>
      </c>
      <c r="AN1027" s="29">
        <v>15</v>
      </c>
      <c r="AO1027" s="29">
        <f t="shared" si="946"/>
        <v>0</v>
      </c>
      <c r="AP1027" s="29">
        <f t="shared" si="947"/>
        <v>0</v>
      </c>
      <c r="AQ1027" s="30" t="s">
        <v>7</v>
      </c>
      <c r="AV1027" s="29">
        <f t="shared" si="948"/>
        <v>0</v>
      </c>
      <c r="AW1027" s="29">
        <f t="shared" si="949"/>
        <v>0</v>
      </c>
      <c r="AX1027" s="29">
        <f t="shared" si="950"/>
        <v>0</v>
      </c>
      <c r="AY1027" s="32" t="s">
        <v>2927</v>
      </c>
      <c r="AZ1027" s="32" t="s">
        <v>2954</v>
      </c>
      <c r="BA1027" s="28" t="s">
        <v>2962</v>
      </c>
      <c r="BC1027" s="29">
        <f t="shared" si="951"/>
        <v>0</v>
      </c>
      <c r="BD1027" s="29">
        <f t="shared" si="952"/>
        <v>0</v>
      </c>
      <c r="BE1027" s="29">
        <v>0</v>
      </c>
      <c r="BF1027" s="29">
        <f>1027</f>
        <v>1027</v>
      </c>
      <c r="BH1027" s="15">
        <f t="shared" si="953"/>
        <v>0</v>
      </c>
      <c r="BI1027" s="15">
        <f t="shared" si="954"/>
        <v>0</v>
      </c>
      <c r="BJ1027" s="15">
        <f t="shared" si="955"/>
        <v>0</v>
      </c>
      <c r="BK1027" s="15" t="s">
        <v>2969</v>
      </c>
      <c r="BL1027" s="29" t="s">
        <v>1585</v>
      </c>
    </row>
    <row r="1028" spans="1:14" ht="12.75">
      <c r="A1028" s="83"/>
      <c r="B1028" s="96"/>
      <c r="C1028" s="159" t="s">
        <v>2801</v>
      </c>
      <c r="D1028" s="160"/>
      <c r="E1028" s="160"/>
      <c r="F1028" s="160"/>
      <c r="G1028" s="84" t="s">
        <v>6</v>
      </c>
      <c r="H1028" s="84" t="s">
        <v>6</v>
      </c>
      <c r="I1028" s="84" t="s">
        <v>6</v>
      </c>
      <c r="J1028" s="85">
        <f>J1029</f>
        <v>0</v>
      </c>
      <c r="K1028" s="85">
        <f>K1029</f>
        <v>0</v>
      </c>
      <c r="L1028" s="85">
        <f>L1029</f>
        <v>0</v>
      </c>
      <c r="M1028" s="86"/>
      <c r="N1028" s="5"/>
    </row>
    <row r="1029" spans="1:47" ht="12.75">
      <c r="A1029" s="3"/>
      <c r="B1029" s="97" t="s">
        <v>14</v>
      </c>
      <c r="C1029" s="161" t="s">
        <v>2716</v>
      </c>
      <c r="D1029" s="162"/>
      <c r="E1029" s="162"/>
      <c r="F1029" s="162"/>
      <c r="G1029" s="13" t="s">
        <v>6</v>
      </c>
      <c r="H1029" s="13" t="s">
        <v>6</v>
      </c>
      <c r="I1029" s="13" t="s">
        <v>6</v>
      </c>
      <c r="J1029" s="34">
        <f>SUM(J1030:J1070)</f>
        <v>0</v>
      </c>
      <c r="K1029" s="34">
        <f>SUM(K1030:K1070)</f>
        <v>0</v>
      </c>
      <c r="L1029" s="34">
        <f>SUM(L1030:L1070)</f>
        <v>0</v>
      </c>
      <c r="M1029" s="24"/>
      <c r="N1029" s="5"/>
      <c r="AI1029" s="28" t="s">
        <v>2888</v>
      </c>
      <c r="AS1029" s="34">
        <f>SUM(AJ1030:AJ1070)</f>
        <v>0</v>
      </c>
      <c r="AT1029" s="34">
        <f>SUM(AK1030:AK1070)</f>
        <v>0</v>
      </c>
      <c r="AU1029" s="34">
        <f>SUM(AL1030:AL1070)</f>
        <v>0</v>
      </c>
    </row>
    <row r="1030" spans="1:64" ht="12.75">
      <c r="A1030" s="4" t="s">
        <v>957</v>
      </c>
      <c r="B1030" s="94" t="s">
        <v>1876</v>
      </c>
      <c r="C1030" s="152" t="s">
        <v>2749</v>
      </c>
      <c r="D1030" s="153"/>
      <c r="E1030" s="153"/>
      <c r="F1030" s="153"/>
      <c r="G1030" s="94" t="s">
        <v>2851</v>
      </c>
      <c r="H1030" s="73">
        <v>194.5</v>
      </c>
      <c r="I1030" s="105">
        <v>0</v>
      </c>
      <c r="J1030" s="15">
        <f aca="true" t="shared" si="956" ref="J1030:J1070">H1030*AO1030</f>
        <v>0</v>
      </c>
      <c r="K1030" s="15">
        <f aca="true" t="shared" si="957" ref="K1030:K1070">H1030*AP1030</f>
        <v>0</v>
      </c>
      <c r="L1030" s="15">
        <f aca="true" t="shared" si="958" ref="L1030:L1070">H1030*I1030</f>
        <v>0</v>
      </c>
      <c r="M1030" s="25"/>
      <c r="N1030" s="5"/>
      <c r="Z1030" s="29">
        <f aca="true" t="shared" si="959" ref="Z1030:Z1070">IF(AQ1030="5",BJ1030,0)</f>
        <v>0</v>
      </c>
      <c r="AB1030" s="29">
        <f aca="true" t="shared" si="960" ref="AB1030:AB1070">IF(AQ1030="1",BH1030,0)</f>
        <v>0</v>
      </c>
      <c r="AC1030" s="29">
        <f aca="true" t="shared" si="961" ref="AC1030:AC1070">IF(AQ1030="1",BI1030,0)</f>
        <v>0</v>
      </c>
      <c r="AD1030" s="29">
        <f aca="true" t="shared" si="962" ref="AD1030:AD1070">IF(AQ1030="7",BH1030,0)</f>
        <v>0</v>
      </c>
      <c r="AE1030" s="29">
        <f aca="true" t="shared" si="963" ref="AE1030:AE1070">IF(AQ1030="7",BI1030,0)</f>
        <v>0</v>
      </c>
      <c r="AF1030" s="29">
        <f aca="true" t="shared" si="964" ref="AF1030:AF1070">IF(AQ1030="2",BH1030,0)</f>
        <v>0</v>
      </c>
      <c r="AG1030" s="29">
        <f aca="true" t="shared" si="965" ref="AG1030:AG1070">IF(AQ1030="2",BI1030,0)</f>
        <v>0</v>
      </c>
      <c r="AH1030" s="29">
        <f aca="true" t="shared" si="966" ref="AH1030:AH1070">IF(AQ1030="0",BJ1030,0)</f>
        <v>0</v>
      </c>
      <c r="AI1030" s="28" t="s">
        <v>2888</v>
      </c>
      <c r="AJ1030" s="15">
        <f aca="true" t="shared" si="967" ref="AJ1030:AJ1070">IF(AN1030=0,L1030,0)</f>
        <v>0</v>
      </c>
      <c r="AK1030" s="15">
        <f aca="true" t="shared" si="968" ref="AK1030:AK1070">IF(AN1030=15,L1030,0)</f>
        <v>0</v>
      </c>
      <c r="AL1030" s="15">
        <f aca="true" t="shared" si="969" ref="AL1030:AL1070">IF(AN1030=21,L1030,0)</f>
        <v>0</v>
      </c>
      <c r="AN1030" s="29">
        <v>15</v>
      </c>
      <c r="AO1030" s="29">
        <f aca="true" t="shared" si="970" ref="AO1030:AO1070">I1030*0</f>
        <v>0</v>
      </c>
      <c r="AP1030" s="29">
        <f aca="true" t="shared" si="971" ref="AP1030:AP1070">I1030*(1-0)</f>
        <v>0</v>
      </c>
      <c r="AQ1030" s="30" t="s">
        <v>7</v>
      </c>
      <c r="AV1030" s="29">
        <f aca="true" t="shared" si="972" ref="AV1030:AV1070">AW1030+AX1030</f>
        <v>0</v>
      </c>
      <c r="AW1030" s="29">
        <f aca="true" t="shared" si="973" ref="AW1030:AW1070">H1030*AO1030</f>
        <v>0</v>
      </c>
      <c r="AX1030" s="29">
        <f aca="true" t="shared" si="974" ref="AX1030:AX1070">H1030*AP1030</f>
        <v>0</v>
      </c>
      <c r="AY1030" s="32" t="s">
        <v>2933</v>
      </c>
      <c r="AZ1030" s="32" t="s">
        <v>2955</v>
      </c>
      <c r="BA1030" s="28" t="s">
        <v>2963</v>
      </c>
      <c r="BC1030" s="29">
        <f aca="true" t="shared" si="975" ref="BC1030:BC1070">AW1030+AX1030</f>
        <v>0</v>
      </c>
      <c r="BD1030" s="29">
        <f aca="true" t="shared" si="976" ref="BD1030:BD1070">I1030/(100-BE1030)*100</f>
        <v>0</v>
      </c>
      <c r="BE1030" s="29">
        <v>0</v>
      </c>
      <c r="BF1030" s="29">
        <f>1030</f>
        <v>1030</v>
      </c>
      <c r="BH1030" s="15">
        <f aca="true" t="shared" si="977" ref="BH1030:BH1070">H1030*AO1030</f>
        <v>0</v>
      </c>
      <c r="BI1030" s="15">
        <f aca="true" t="shared" si="978" ref="BI1030:BI1070">H1030*AP1030</f>
        <v>0</v>
      </c>
      <c r="BJ1030" s="15">
        <f aca="true" t="shared" si="979" ref="BJ1030:BJ1070">H1030*I1030</f>
        <v>0</v>
      </c>
      <c r="BK1030" s="15" t="s">
        <v>2969</v>
      </c>
      <c r="BL1030" s="29">
        <v>8</v>
      </c>
    </row>
    <row r="1031" spans="1:64" ht="12.75">
      <c r="A1031" s="4" t="s">
        <v>958</v>
      </c>
      <c r="B1031" s="94" t="s">
        <v>1877</v>
      </c>
      <c r="C1031" s="152" t="s">
        <v>2802</v>
      </c>
      <c r="D1031" s="153"/>
      <c r="E1031" s="153"/>
      <c r="F1031" s="153"/>
      <c r="G1031" s="94" t="s">
        <v>2850</v>
      </c>
      <c r="H1031" s="73">
        <v>8</v>
      </c>
      <c r="I1031" s="105">
        <v>0</v>
      </c>
      <c r="J1031" s="15">
        <f t="shared" si="956"/>
        <v>0</v>
      </c>
      <c r="K1031" s="15">
        <f t="shared" si="957"/>
        <v>0</v>
      </c>
      <c r="L1031" s="15">
        <f t="shared" si="958"/>
        <v>0</v>
      </c>
      <c r="M1031" s="25"/>
      <c r="N1031" s="5"/>
      <c r="Z1031" s="29">
        <f t="shared" si="959"/>
        <v>0</v>
      </c>
      <c r="AB1031" s="29">
        <f t="shared" si="960"/>
        <v>0</v>
      </c>
      <c r="AC1031" s="29">
        <f t="shared" si="961"/>
        <v>0</v>
      </c>
      <c r="AD1031" s="29">
        <f t="shared" si="962"/>
        <v>0</v>
      </c>
      <c r="AE1031" s="29">
        <f t="shared" si="963"/>
        <v>0</v>
      </c>
      <c r="AF1031" s="29">
        <f t="shared" si="964"/>
        <v>0</v>
      </c>
      <c r="AG1031" s="29">
        <f t="shared" si="965"/>
        <v>0</v>
      </c>
      <c r="AH1031" s="29">
        <f t="shared" si="966"/>
        <v>0</v>
      </c>
      <c r="AI1031" s="28" t="s">
        <v>2888</v>
      </c>
      <c r="AJ1031" s="15">
        <f t="shared" si="967"/>
        <v>0</v>
      </c>
      <c r="AK1031" s="15">
        <f t="shared" si="968"/>
        <v>0</v>
      </c>
      <c r="AL1031" s="15">
        <f t="shared" si="969"/>
        <v>0</v>
      </c>
      <c r="AN1031" s="29">
        <v>15</v>
      </c>
      <c r="AO1031" s="29">
        <f t="shared" si="970"/>
        <v>0</v>
      </c>
      <c r="AP1031" s="29">
        <f t="shared" si="971"/>
        <v>0</v>
      </c>
      <c r="AQ1031" s="30" t="s">
        <v>7</v>
      </c>
      <c r="AV1031" s="29">
        <f t="shared" si="972"/>
        <v>0</v>
      </c>
      <c r="AW1031" s="29">
        <f t="shared" si="973"/>
        <v>0</v>
      </c>
      <c r="AX1031" s="29">
        <f t="shared" si="974"/>
        <v>0</v>
      </c>
      <c r="AY1031" s="32" t="s">
        <v>2933</v>
      </c>
      <c r="AZ1031" s="32" t="s">
        <v>2955</v>
      </c>
      <c r="BA1031" s="28" t="s">
        <v>2963</v>
      </c>
      <c r="BC1031" s="29">
        <f t="shared" si="975"/>
        <v>0</v>
      </c>
      <c r="BD1031" s="29">
        <f t="shared" si="976"/>
        <v>0</v>
      </c>
      <c r="BE1031" s="29">
        <v>0</v>
      </c>
      <c r="BF1031" s="29">
        <f>1031</f>
        <v>1031</v>
      </c>
      <c r="BH1031" s="15">
        <f t="shared" si="977"/>
        <v>0</v>
      </c>
      <c r="BI1031" s="15">
        <f t="shared" si="978"/>
        <v>0</v>
      </c>
      <c r="BJ1031" s="15">
        <f t="shared" si="979"/>
        <v>0</v>
      </c>
      <c r="BK1031" s="15" t="s">
        <v>2969</v>
      </c>
      <c r="BL1031" s="29">
        <v>8</v>
      </c>
    </row>
    <row r="1032" spans="1:64" ht="12.75">
      <c r="A1032" s="4" t="s">
        <v>959</v>
      </c>
      <c r="B1032" s="94" t="s">
        <v>1878</v>
      </c>
      <c r="C1032" s="152" t="s">
        <v>2750</v>
      </c>
      <c r="D1032" s="153"/>
      <c r="E1032" s="153"/>
      <c r="F1032" s="153"/>
      <c r="G1032" s="94" t="s">
        <v>2850</v>
      </c>
      <c r="H1032" s="73">
        <v>6</v>
      </c>
      <c r="I1032" s="105">
        <v>0</v>
      </c>
      <c r="J1032" s="15">
        <f t="shared" si="956"/>
        <v>0</v>
      </c>
      <c r="K1032" s="15">
        <f t="shared" si="957"/>
        <v>0</v>
      </c>
      <c r="L1032" s="15">
        <f t="shared" si="958"/>
        <v>0</v>
      </c>
      <c r="M1032" s="25"/>
      <c r="N1032" s="5"/>
      <c r="Z1032" s="29">
        <f t="shared" si="959"/>
        <v>0</v>
      </c>
      <c r="AB1032" s="29">
        <f t="shared" si="960"/>
        <v>0</v>
      </c>
      <c r="AC1032" s="29">
        <f t="shared" si="961"/>
        <v>0</v>
      </c>
      <c r="AD1032" s="29">
        <f t="shared" si="962"/>
        <v>0</v>
      </c>
      <c r="AE1032" s="29">
        <f t="shared" si="963"/>
        <v>0</v>
      </c>
      <c r="AF1032" s="29">
        <f t="shared" si="964"/>
        <v>0</v>
      </c>
      <c r="AG1032" s="29">
        <f t="shared" si="965"/>
        <v>0</v>
      </c>
      <c r="AH1032" s="29">
        <f t="shared" si="966"/>
        <v>0</v>
      </c>
      <c r="AI1032" s="28" t="s">
        <v>2888</v>
      </c>
      <c r="AJ1032" s="15">
        <f t="shared" si="967"/>
        <v>0</v>
      </c>
      <c r="AK1032" s="15">
        <f t="shared" si="968"/>
        <v>0</v>
      </c>
      <c r="AL1032" s="15">
        <f t="shared" si="969"/>
        <v>0</v>
      </c>
      <c r="AN1032" s="29">
        <v>15</v>
      </c>
      <c r="AO1032" s="29">
        <f t="shared" si="970"/>
        <v>0</v>
      </c>
      <c r="AP1032" s="29">
        <f t="shared" si="971"/>
        <v>0</v>
      </c>
      <c r="AQ1032" s="30" t="s">
        <v>7</v>
      </c>
      <c r="AV1032" s="29">
        <f t="shared" si="972"/>
        <v>0</v>
      </c>
      <c r="AW1032" s="29">
        <f t="shared" si="973"/>
        <v>0</v>
      </c>
      <c r="AX1032" s="29">
        <f t="shared" si="974"/>
        <v>0</v>
      </c>
      <c r="AY1032" s="32" t="s">
        <v>2933</v>
      </c>
      <c r="AZ1032" s="32" t="s">
        <v>2955</v>
      </c>
      <c r="BA1032" s="28" t="s">
        <v>2963</v>
      </c>
      <c r="BC1032" s="29">
        <f t="shared" si="975"/>
        <v>0</v>
      </c>
      <c r="BD1032" s="29">
        <f t="shared" si="976"/>
        <v>0</v>
      </c>
      <c r="BE1032" s="29">
        <v>0</v>
      </c>
      <c r="BF1032" s="29">
        <f>1032</f>
        <v>1032</v>
      </c>
      <c r="BH1032" s="15">
        <f t="shared" si="977"/>
        <v>0</v>
      </c>
      <c r="BI1032" s="15">
        <f t="shared" si="978"/>
        <v>0</v>
      </c>
      <c r="BJ1032" s="15">
        <f t="shared" si="979"/>
        <v>0</v>
      </c>
      <c r="BK1032" s="15" t="s">
        <v>2969</v>
      </c>
      <c r="BL1032" s="29">
        <v>8</v>
      </c>
    </row>
    <row r="1033" spans="1:64" ht="12.75">
      <c r="A1033" s="4" t="s">
        <v>960</v>
      </c>
      <c r="B1033" s="94" t="s">
        <v>1879</v>
      </c>
      <c r="C1033" s="152" t="s">
        <v>2803</v>
      </c>
      <c r="D1033" s="153"/>
      <c r="E1033" s="153"/>
      <c r="F1033" s="153"/>
      <c r="G1033" s="94" t="s">
        <v>2850</v>
      </c>
      <c r="H1033" s="73">
        <v>1</v>
      </c>
      <c r="I1033" s="105">
        <v>0</v>
      </c>
      <c r="J1033" s="15">
        <f t="shared" si="956"/>
        <v>0</v>
      </c>
      <c r="K1033" s="15">
        <f t="shared" si="957"/>
        <v>0</v>
      </c>
      <c r="L1033" s="15">
        <f t="shared" si="958"/>
        <v>0</v>
      </c>
      <c r="M1033" s="25"/>
      <c r="N1033" s="5"/>
      <c r="Z1033" s="29">
        <f t="shared" si="959"/>
        <v>0</v>
      </c>
      <c r="AB1033" s="29">
        <f t="shared" si="960"/>
        <v>0</v>
      </c>
      <c r="AC1033" s="29">
        <f t="shared" si="961"/>
        <v>0</v>
      </c>
      <c r="AD1033" s="29">
        <f t="shared" si="962"/>
        <v>0</v>
      </c>
      <c r="AE1033" s="29">
        <f t="shared" si="963"/>
        <v>0</v>
      </c>
      <c r="AF1033" s="29">
        <f t="shared" si="964"/>
        <v>0</v>
      </c>
      <c r="AG1033" s="29">
        <f t="shared" si="965"/>
        <v>0</v>
      </c>
      <c r="AH1033" s="29">
        <f t="shared" si="966"/>
        <v>0</v>
      </c>
      <c r="AI1033" s="28" t="s">
        <v>2888</v>
      </c>
      <c r="AJ1033" s="15">
        <f t="shared" si="967"/>
        <v>0</v>
      </c>
      <c r="AK1033" s="15">
        <f t="shared" si="968"/>
        <v>0</v>
      </c>
      <c r="AL1033" s="15">
        <f t="shared" si="969"/>
        <v>0</v>
      </c>
      <c r="AN1033" s="29">
        <v>15</v>
      </c>
      <c r="AO1033" s="29">
        <f t="shared" si="970"/>
        <v>0</v>
      </c>
      <c r="AP1033" s="29">
        <f t="shared" si="971"/>
        <v>0</v>
      </c>
      <c r="AQ1033" s="30" t="s">
        <v>7</v>
      </c>
      <c r="AV1033" s="29">
        <f t="shared" si="972"/>
        <v>0</v>
      </c>
      <c r="AW1033" s="29">
        <f t="shared" si="973"/>
        <v>0</v>
      </c>
      <c r="AX1033" s="29">
        <f t="shared" si="974"/>
        <v>0</v>
      </c>
      <c r="AY1033" s="32" t="s">
        <v>2933</v>
      </c>
      <c r="AZ1033" s="32" t="s">
        <v>2955</v>
      </c>
      <c r="BA1033" s="28" t="s">
        <v>2963</v>
      </c>
      <c r="BC1033" s="29">
        <f t="shared" si="975"/>
        <v>0</v>
      </c>
      <c r="BD1033" s="29">
        <f t="shared" si="976"/>
        <v>0</v>
      </c>
      <c r="BE1033" s="29">
        <v>0</v>
      </c>
      <c r="BF1033" s="29">
        <f>1033</f>
        <v>1033</v>
      </c>
      <c r="BH1033" s="15">
        <f t="shared" si="977"/>
        <v>0</v>
      </c>
      <c r="BI1033" s="15">
        <f t="shared" si="978"/>
        <v>0</v>
      </c>
      <c r="BJ1033" s="15">
        <f t="shared" si="979"/>
        <v>0</v>
      </c>
      <c r="BK1033" s="15" t="s">
        <v>2969</v>
      </c>
      <c r="BL1033" s="29">
        <v>8</v>
      </c>
    </row>
    <row r="1034" spans="1:64" ht="12.75">
      <c r="A1034" s="4" t="s">
        <v>961</v>
      </c>
      <c r="B1034" s="94" t="s">
        <v>1880</v>
      </c>
      <c r="C1034" s="152" t="s">
        <v>2804</v>
      </c>
      <c r="D1034" s="153"/>
      <c r="E1034" s="153"/>
      <c r="F1034" s="153"/>
      <c r="G1034" s="94" t="s">
        <v>2850</v>
      </c>
      <c r="H1034" s="73">
        <v>1</v>
      </c>
      <c r="I1034" s="105">
        <v>0</v>
      </c>
      <c r="J1034" s="15">
        <f t="shared" si="956"/>
        <v>0</v>
      </c>
      <c r="K1034" s="15">
        <f t="shared" si="957"/>
        <v>0</v>
      </c>
      <c r="L1034" s="15">
        <f t="shared" si="958"/>
        <v>0</v>
      </c>
      <c r="M1034" s="25"/>
      <c r="N1034" s="5"/>
      <c r="Z1034" s="29">
        <f t="shared" si="959"/>
        <v>0</v>
      </c>
      <c r="AB1034" s="29">
        <f t="shared" si="960"/>
        <v>0</v>
      </c>
      <c r="AC1034" s="29">
        <f t="shared" si="961"/>
        <v>0</v>
      </c>
      <c r="AD1034" s="29">
        <f t="shared" si="962"/>
        <v>0</v>
      </c>
      <c r="AE1034" s="29">
        <f t="shared" si="963"/>
        <v>0</v>
      </c>
      <c r="AF1034" s="29">
        <f t="shared" si="964"/>
        <v>0</v>
      </c>
      <c r="AG1034" s="29">
        <f t="shared" si="965"/>
        <v>0</v>
      </c>
      <c r="AH1034" s="29">
        <f t="shared" si="966"/>
        <v>0</v>
      </c>
      <c r="AI1034" s="28" t="s">
        <v>2888</v>
      </c>
      <c r="AJ1034" s="15">
        <f t="shared" si="967"/>
        <v>0</v>
      </c>
      <c r="AK1034" s="15">
        <f t="shared" si="968"/>
        <v>0</v>
      </c>
      <c r="AL1034" s="15">
        <f t="shared" si="969"/>
        <v>0</v>
      </c>
      <c r="AN1034" s="29">
        <v>15</v>
      </c>
      <c r="AO1034" s="29">
        <f t="shared" si="970"/>
        <v>0</v>
      </c>
      <c r="AP1034" s="29">
        <f t="shared" si="971"/>
        <v>0</v>
      </c>
      <c r="AQ1034" s="30" t="s">
        <v>7</v>
      </c>
      <c r="AV1034" s="29">
        <f t="shared" si="972"/>
        <v>0</v>
      </c>
      <c r="AW1034" s="29">
        <f t="shared" si="973"/>
        <v>0</v>
      </c>
      <c r="AX1034" s="29">
        <f t="shared" si="974"/>
        <v>0</v>
      </c>
      <c r="AY1034" s="32" t="s">
        <v>2933</v>
      </c>
      <c r="AZ1034" s="32" t="s">
        <v>2955</v>
      </c>
      <c r="BA1034" s="28" t="s">
        <v>2963</v>
      </c>
      <c r="BC1034" s="29">
        <f t="shared" si="975"/>
        <v>0</v>
      </c>
      <c r="BD1034" s="29">
        <f t="shared" si="976"/>
        <v>0</v>
      </c>
      <c r="BE1034" s="29">
        <v>0</v>
      </c>
      <c r="BF1034" s="29">
        <f>1034</f>
        <v>1034</v>
      </c>
      <c r="BH1034" s="15">
        <f t="shared" si="977"/>
        <v>0</v>
      </c>
      <c r="BI1034" s="15">
        <f t="shared" si="978"/>
        <v>0</v>
      </c>
      <c r="BJ1034" s="15">
        <f t="shared" si="979"/>
        <v>0</v>
      </c>
      <c r="BK1034" s="15" t="s">
        <v>2969</v>
      </c>
      <c r="BL1034" s="29">
        <v>8</v>
      </c>
    </row>
    <row r="1035" spans="1:64" ht="12.75">
      <c r="A1035" s="4" t="s">
        <v>962</v>
      </c>
      <c r="B1035" s="94" t="s">
        <v>1881</v>
      </c>
      <c r="C1035" s="152" t="s">
        <v>2805</v>
      </c>
      <c r="D1035" s="153"/>
      <c r="E1035" s="153"/>
      <c r="F1035" s="153"/>
      <c r="G1035" s="94" t="s">
        <v>2850</v>
      </c>
      <c r="H1035" s="73">
        <v>1</v>
      </c>
      <c r="I1035" s="105">
        <v>0</v>
      </c>
      <c r="J1035" s="15">
        <f t="shared" si="956"/>
        <v>0</v>
      </c>
      <c r="K1035" s="15">
        <f t="shared" si="957"/>
        <v>0</v>
      </c>
      <c r="L1035" s="15">
        <f t="shared" si="958"/>
        <v>0</v>
      </c>
      <c r="M1035" s="25"/>
      <c r="N1035" s="5"/>
      <c r="Z1035" s="29">
        <f t="shared" si="959"/>
        <v>0</v>
      </c>
      <c r="AB1035" s="29">
        <f t="shared" si="960"/>
        <v>0</v>
      </c>
      <c r="AC1035" s="29">
        <f t="shared" si="961"/>
        <v>0</v>
      </c>
      <c r="AD1035" s="29">
        <f t="shared" si="962"/>
        <v>0</v>
      </c>
      <c r="AE1035" s="29">
        <f t="shared" si="963"/>
        <v>0</v>
      </c>
      <c r="AF1035" s="29">
        <f t="shared" si="964"/>
        <v>0</v>
      </c>
      <c r="AG1035" s="29">
        <f t="shared" si="965"/>
        <v>0</v>
      </c>
      <c r="AH1035" s="29">
        <f t="shared" si="966"/>
        <v>0</v>
      </c>
      <c r="AI1035" s="28" t="s">
        <v>2888</v>
      </c>
      <c r="AJ1035" s="15">
        <f t="shared" si="967"/>
        <v>0</v>
      </c>
      <c r="AK1035" s="15">
        <f t="shared" si="968"/>
        <v>0</v>
      </c>
      <c r="AL1035" s="15">
        <f t="shared" si="969"/>
        <v>0</v>
      </c>
      <c r="AN1035" s="29">
        <v>15</v>
      </c>
      <c r="AO1035" s="29">
        <f t="shared" si="970"/>
        <v>0</v>
      </c>
      <c r="AP1035" s="29">
        <f t="shared" si="971"/>
        <v>0</v>
      </c>
      <c r="AQ1035" s="30" t="s">
        <v>7</v>
      </c>
      <c r="AV1035" s="29">
        <f t="shared" si="972"/>
        <v>0</v>
      </c>
      <c r="AW1035" s="29">
        <f t="shared" si="973"/>
        <v>0</v>
      </c>
      <c r="AX1035" s="29">
        <f t="shared" si="974"/>
        <v>0</v>
      </c>
      <c r="AY1035" s="32" t="s">
        <v>2933</v>
      </c>
      <c r="AZ1035" s="32" t="s">
        <v>2955</v>
      </c>
      <c r="BA1035" s="28" t="s">
        <v>2963</v>
      </c>
      <c r="BC1035" s="29">
        <f t="shared" si="975"/>
        <v>0</v>
      </c>
      <c r="BD1035" s="29">
        <f t="shared" si="976"/>
        <v>0</v>
      </c>
      <c r="BE1035" s="29">
        <v>0</v>
      </c>
      <c r="BF1035" s="29">
        <f>1035</f>
        <v>1035</v>
      </c>
      <c r="BH1035" s="15">
        <f t="shared" si="977"/>
        <v>0</v>
      </c>
      <c r="BI1035" s="15">
        <f t="shared" si="978"/>
        <v>0</v>
      </c>
      <c r="BJ1035" s="15">
        <f t="shared" si="979"/>
        <v>0</v>
      </c>
      <c r="BK1035" s="15" t="s">
        <v>2969</v>
      </c>
      <c r="BL1035" s="29">
        <v>8</v>
      </c>
    </row>
    <row r="1036" spans="1:64" ht="12.75">
      <c r="A1036" s="4" t="s">
        <v>963</v>
      </c>
      <c r="B1036" s="94" t="s">
        <v>1882</v>
      </c>
      <c r="C1036" s="152" t="s">
        <v>2722</v>
      </c>
      <c r="D1036" s="153"/>
      <c r="E1036" s="153"/>
      <c r="F1036" s="153"/>
      <c r="G1036" s="94" t="s">
        <v>2851</v>
      </c>
      <c r="H1036" s="73">
        <v>194.5</v>
      </c>
      <c r="I1036" s="105">
        <v>0</v>
      </c>
      <c r="J1036" s="15">
        <f t="shared" si="956"/>
        <v>0</v>
      </c>
      <c r="K1036" s="15">
        <f t="shared" si="957"/>
        <v>0</v>
      </c>
      <c r="L1036" s="15">
        <f t="shared" si="958"/>
        <v>0</v>
      </c>
      <c r="M1036" s="25"/>
      <c r="N1036" s="5"/>
      <c r="Z1036" s="29">
        <f t="shared" si="959"/>
        <v>0</v>
      </c>
      <c r="AB1036" s="29">
        <f t="shared" si="960"/>
        <v>0</v>
      </c>
      <c r="AC1036" s="29">
        <f t="shared" si="961"/>
        <v>0</v>
      </c>
      <c r="AD1036" s="29">
        <f t="shared" si="962"/>
        <v>0</v>
      </c>
      <c r="AE1036" s="29">
        <f t="shared" si="963"/>
        <v>0</v>
      </c>
      <c r="AF1036" s="29">
        <f t="shared" si="964"/>
        <v>0</v>
      </c>
      <c r="AG1036" s="29">
        <f t="shared" si="965"/>
        <v>0</v>
      </c>
      <c r="AH1036" s="29">
        <f t="shared" si="966"/>
        <v>0</v>
      </c>
      <c r="AI1036" s="28" t="s">
        <v>2888</v>
      </c>
      <c r="AJ1036" s="15">
        <f t="shared" si="967"/>
        <v>0</v>
      </c>
      <c r="AK1036" s="15">
        <f t="shared" si="968"/>
        <v>0</v>
      </c>
      <c r="AL1036" s="15">
        <f t="shared" si="969"/>
        <v>0</v>
      </c>
      <c r="AN1036" s="29">
        <v>15</v>
      </c>
      <c r="AO1036" s="29">
        <f t="shared" si="970"/>
        <v>0</v>
      </c>
      <c r="AP1036" s="29">
        <f t="shared" si="971"/>
        <v>0</v>
      </c>
      <c r="AQ1036" s="30" t="s">
        <v>7</v>
      </c>
      <c r="AV1036" s="29">
        <f t="shared" si="972"/>
        <v>0</v>
      </c>
      <c r="AW1036" s="29">
        <f t="shared" si="973"/>
        <v>0</v>
      </c>
      <c r="AX1036" s="29">
        <f t="shared" si="974"/>
        <v>0</v>
      </c>
      <c r="AY1036" s="32" t="s">
        <v>2933</v>
      </c>
      <c r="AZ1036" s="32" t="s">
        <v>2955</v>
      </c>
      <c r="BA1036" s="28" t="s">
        <v>2963</v>
      </c>
      <c r="BC1036" s="29">
        <f t="shared" si="975"/>
        <v>0</v>
      </c>
      <c r="BD1036" s="29">
        <f t="shared" si="976"/>
        <v>0</v>
      </c>
      <c r="BE1036" s="29">
        <v>0</v>
      </c>
      <c r="BF1036" s="29">
        <f>1036</f>
        <v>1036</v>
      </c>
      <c r="BH1036" s="15">
        <f t="shared" si="977"/>
        <v>0</v>
      </c>
      <c r="BI1036" s="15">
        <f t="shared" si="978"/>
        <v>0</v>
      </c>
      <c r="BJ1036" s="15">
        <f t="shared" si="979"/>
        <v>0</v>
      </c>
      <c r="BK1036" s="15" t="s">
        <v>2969</v>
      </c>
      <c r="BL1036" s="29">
        <v>8</v>
      </c>
    </row>
    <row r="1037" spans="1:64" ht="12.75">
      <c r="A1037" s="4" t="s">
        <v>964</v>
      </c>
      <c r="B1037" s="94" t="s">
        <v>1883</v>
      </c>
      <c r="C1037" s="152" t="s">
        <v>2724</v>
      </c>
      <c r="D1037" s="153"/>
      <c r="E1037" s="153"/>
      <c r="F1037" s="153"/>
      <c r="G1037" s="94" t="s">
        <v>2851</v>
      </c>
      <c r="H1037" s="73">
        <v>194.5</v>
      </c>
      <c r="I1037" s="105">
        <v>0</v>
      </c>
      <c r="J1037" s="15">
        <f t="shared" si="956"/>
        <v>0</v>
      </c>
      <c r="K1037" s="15">
        <f t="shared" si="957"/>
        <v>0</v>
      </c>
      <c r="L1037" s="15">
        <f t="shared" si="958"/>
        <v>0</v>
      </c>
      <c r="M1037" s="25"/>
      <c r="N1037" s="5"/>
      <c r="Z1037" s="29">
        <f t="shared" si="959"/>
        <v>0</v>
      </c>
      <c r="AB1037" s="29">
        <f t="shared" si="960"/>
        <v>0</v>
      </c>
      <c r="AC1037" s="29">
        <f t="shared" si="961"/>
        <v>0</v>
      </c>
      <c r="AD1037" s="29">
        <f t="shared" si="962"/>
        <v>0</v>
      </c>
      <c r="AE1037" s="29">
        <f t="shared" si="963"/>
        <v>0</v>
      </c>
      <c r="AF1037" s="29">
        <f t="shared" si="964"/>
        <v>0</v>
      </c>
      <c r="AG1037" s="29">
        <f t="shared" si="965"/>
        <v>0</v>
      </c>
      <c r="AH1037" s="29">
        <f t="shared" si="966"/>
        <v>0</v>
      </c>
      <c r="AI1037" s="28" t="s">
        <v>2888</v>
      </c>
      <c r="AJ1037" s="15">
        <f t="shared" si="967"/>
        <v>0</v>
      </c>
      <c r="AK1037" s="15">
        <f t="shared" si="968"/>
        <v>0</v>
      </c>
      <c r="AL1037" s="15">
        <f t="shared" si="969"/>
        <v>0</v>
      </c>
      <c r="AN1037" s="29">
        <v>15</v>
      </c>
      <c r="AO1037" s="29">
        <f t="shared" si="970"/>
        <v>0</v>
      </c>
      <c r="AP1037" s="29">
        <f t="shared" si="971"/>
        <v>0</v>
      </c>
      <c r="AQ1037" s="30" t="s">
        <v>7</v>
      </c>
      <c r="AV1037" s="29">
        <f t="shared" si="972"/>
        <v>0</v>
      </c>
      <c r="AW1037" s="29">
        <f t="shared" si="973"/>
        <v>0</v>
      </c>
      <c r="AX1037" s="29">
        <f t="shared" si="974"/>
        <v>0</v>
      </c>
      <c r="AY1037" s="32" t="s">
        <v>2933</v>
      </c>
      <c r="AZ1037" s="32" t="s">
        <v>2955</v>
      </c>
      <c r="BA1037" s="28" t="s">
        <v>2963</v>
      </c>
      <c r="BC1037" s="29">
        <f t="shared" si="975"/>
        <v>0</v>
      </c>
      <c r="BD1037" s="29">
        <f t="shared" si="976"/>
        <v>0</v>
      </c>
      <c r="BE1037" s="29">
        <v>0</v>
      </c>
      <c r="BF1037" s="29">
        <f>1037</f>
        <v>1037</v>
      </c>
      <c r="BH1037" s="15">
        <f t="shared" si="977"/>
        <v>0</v>
      </c>
      <c r="BI1037" s="15">
        <f t="shared" si="978"/>
        <v>0</v>
      </c>
      <c r="BJ1037" s="15">
        <f t="shared" si="979"/>
        <v>0</v>
      </c>
      <c r="BK1037" s="15" t="s">
        <v>2969</v>
      </c>
      <c r="BL1037" s="29">
        <v>8</v>
      </c>
    </row>
    <row r="1038" spans="1:64" ht="12.75">
      <c r="A1038" s="4" t="s">
        <v>965</v>
      </c>
      <c r="B1038" s="94" t="s">
        <v>1884</v>
      </c>
      <c r="C1038" s="152" t="s">
        <v>2725</v>
      </c>
      <c r="D1038" s="153"/>
      <c r="E1038" s="153"/>
      <c r="F1038" s="153"/>
      <c r="G1038" s="94" t="s">
        <v>2847</v>
      </c>
      <c r="H1038" s="73">
        <v>16</v>
      </c>
      <c r="I1038" s="105">
        <v>0</v>
      </c>
      <c r="J1038" s="15">
        <f t="shared" si="956"/>
        <v>0</v>
      </c>
      <c r="K1038" s="15">
        <f t="shared" si="957"/>
        <v>0</v>
      </c>
      <c r="L1038" s="15">
        <f t="shared" si="958"/>
        <v>0</v>
      </c>
      <c r="M1038" s="25"/>
      <c r="N1038" s="5"/>
      <c r="Z1038" s="29">
        <f t="shared" si="959"/>
        <v>0</v>
      </c>
      <c r="AB1038" s="29">
        <f t="shared" si="960"/>
        <v>0</v>
      </c>
      <c r="AC1038" s="29">
        <f t="shared" si="961"/>
        <v>0</v>
      </c>
      <c r="AD1038" s="29">
        <f t="shared" si="962"/>
        <v>0</v>
      </c>
      <c r="AE1038" s="29">
        <f t="shared" si="963"/>
        <v>0</v>
      </c>
      <c r="AF1038" s="29">
        <f t="shared" si="964"/>
        <v>0</v>
      </c>
      <c r="AG1038" s="29">
        <f t="shared" si="965"/>
        <v>0</v>
      </c>
      <c r="AH1038" s="29">
        <f t="shared" si="966"/>
        <v>0</v>
      </c>
      <c r="AI1038" s="28" t="s">
        <v>2888</v>
      </c>
      <c r="AJ1038" s="15">
        <f t="shared" si="967"/>
        <v>0</v>
      </c>
      <c r="AK1038" s="15">
        <f t="shared" si="968"/>
        <v>0</v>
      </c>
      <c r="AL1038" s="15">
        <f t="shared" si="969"/>
        <v>0</v>
      </c>
      <c r="AN1038" s="29">
        <v>15</v>
      </c>
      <c r="AO1038" s="29">
        <f t="shared" si="970"/>
        <v>0</v>
      </c>
      <c r="AP1038" s="29">
        <f t="shared" si="971"/>
        <v>0</v>
      </c>
      <c r="AQ1038" s="30" t="s">
        <v>7</v>
      </c>
      <c r="AV1038" s="29">
        <f t="shared" si="972"/>
        <v>0</v>
      </c>
      <c r="AW1038" s="29">
        <f t="shared" si="973"/>
        <v>0</v>
      </c>
      <c r="AX1038" s="29">
        <f t="shared" si="974"/>
        <v>0</v>
      </c>
      <c r="AY1038" s="32" t="s">
        <v>2933</v>
      </c>
      <c r="AZ1038" s="32" t="s">
        <v>2955</v>
      </c>
      <c r="BA1038" s="28" t="s">
        <v>2963</v>
      </c>
      <c r="BC1038" s="29">
        <f t="shared" si="975"/>
        <v>0</v>
      </c>
      <c r="BD1038" s="29">
        <f t="shared" si="976"/>
        <v>0</v>
      </c>
      <c r="BE1038" s="29">
        <v>0</v>
      </c>
      <c r="BF1038" s="29">
        <f>1038</f>
        <v>1038</v>
      </c>
      <c r="BH1038" s="15">
        <f t="shared" si="977"/>
        <v>0</v>
      </c>
      <c r="BI1038" s="15">
        <f t="shared" si="978"/>
        <v>0</v>
      </c>
      <c r="BJ1038" s="15">
        <f t="shared" si="979"/>
        <v>0</v>
      </c>
      <c r="BK1038" s="15" t="s">
        <v>2969</v>
      </c>
      <c r="BL1038" s="29">
        <v>8</v>
      </c>
    </row>
    <row r="1039" spans="1:64" ht="12.75">
      <c r="A1039" s="4" t="s">
        <v>966</v>
      </c>
      <c r="B1039" s="94" t="s">
        <v>1885</v>
      </c>
      <c r="C1039" s="152" t="s">
        <v>2751</v>
      </c>
      <c r="D1039" s="153"/>
      <c r="E1039" s="153"/>
      <c r="F1039" s="153"/>
      <c r="G1039" s="94" t="s">
        <v>2847</v>
      </c>
      <c r="H1039" s="73">
        <v>63</v>
      </c>
      <c r="I1039" s="105">
        <v>0</v>
      </c>
      <c r="J1039" s="15">
        <f t="shared" si="956"/>
        <v>0</v>
      </c>
      <c r="K1039" s="15">
        <f t="shared" si="957"/>
        <v>0</v>
      </c>
      <c r="L1039" s="15">
        <f t="shared" si="958"/>
        <v>0</v>
      </c>
      <c r="M1039" s="25"/>
      <c r="N1039" s="5"/>
      <c r="Z1039" s="29">
        <f t="shared" si="959"/>
        <v>0</v>
      </c>
      <c r="AB1039" s="29">
        <f t="shared" si="960"/>
        <v>0</v>
      </c>
      <c r="AC1039" s="29">
        <f t="shared" si="961"/>
        <v>0</v>
      </c>
      <c r="AD1039" s="29">
        <f t="shared" si="962"/>
        <v>0</v>
      </c>
      <c r="AE1039" s="29">
        <f t="shared" si="963"/>
        <v>0</v>
      </c>
      <c r="AF1039" s="29">
        <f t="shared" si="964"/>
        <v>0</v>
      </c>
      <c r="AG1039" s="29">
        <f t="shared" si="965"/>
        <v>0</v>
      </c>
      <c r="AH1039" s="29">
        <f t="shared" si="966"/>
        <v>0</v>
      </c>
      <c r="AI1039" s="28" t="s">
        <v>2888</v>
      </c>
      <c r="AJ1039" s="15">
        <f t="shared" si="967"/>
        <v>0</v>
      </c>
      <c r="AK1039" s="15">
        <f t="shared" si="968"/>
        <v>0</v>
      </c>
      <c r="AL1039" s="15">
        <f t="shared" si="969"/>
        <v>0</v>
      </c>
      <c r="AN1039" s="29">
        <v>15</v>
      </c>
      <c r="AO1039" s="29">
        <f t="shared" si="970"/>
        <v>0</v>
      </c>
      <c r="AP1039" s="29">
        <f t="shared" si="971"/>
        <v>0</v>
      </c>
      <c r="AQ1039" s="30" t="s">
        <v>7</v>
      </c>
      <c r="AV1039" s="29">
        <f t="shared" si="972"/>
        <v>0</v>
      </c>
      <c r="AW1039" s="29">
        <f t="shared" si="973"/>
        <v>0</v>
      </c>
      <c r="AX1039" s="29">
        <f t="shared" si="974"/>
        <v>0</v>
      </c>
      <c r="AY1039" s="32" t="s">
        <v>2933</v>
      </c>
      <c r="AZ1039" s="32" t="s">
        <v>2955</v>
      </c>
      <c r="BA1039" s="28" t="s">
        <v>2963</v>
      </c>
      <c r="BC1039" s="29">
        <f t="shared" si="975"/>
        <v>0</v>
      </c>
      <c r="BD1039" s="29">
        <f t="shared" si="976"/>
        <v>0</v>
      </c>
      <c r="BE1039" s="29">
        <v>0</v>
      </c>
      <c r="BF1039" s="29">
        <f>1039</f>
        <v>1039</v>
      </c>
      <c r="BH1039" s="15">
        <f t="shared" si="977"/>
        <v>0</v>
      </c>
      <c r="BI1039" s="15">
        <f t="shared" si="978"/>
        <v>0</v>
      </c>
      <c r="BJ1039" s="15">
        <f t="shared" si="979"/>
        <v>0</v>
      </c>
      <c r="BK1039" s="15" t="s">
        <v>2969</v>
      </c>
      <c r="BL1039" s="29">
        <v>8</v>
      </c>
    </row>
    <row r="1040" spans="1:64" ht="12.75">
      <c r="A1040" s="4" t="s">
        <v>967</v>
      </c>
      <c r="B1040" s="94" t="s">
        <v>1886</v>
      </c>
      <c r="C1040" s="152" t="s">
        <v>2727</v>
      </c>
      <c r="D1040" s="153"/>
      <c r="E1040" s="153"/>
      <c r="F1040" s="153"/>
      <c r="G1040" s="94" t="s">
        <v>2847</v>
      </c>
      <c r="H1040" s="73">
        <v>590</v>
      </c>
      <c r="I1040" s="105">
        <v>0</v>
      </c>
      <c r="J1040" s="15">
        <f t="shared" si="956"/>
        <v>0</v>
      </c>
      <c r="K1040" s="15">
        <f t="shared" si="957"/>
        <v>0</v>
      </c>
      <c r="L1040" s="15">
        <f t="shared" si="958"/>
        <v>0</v>
      </c>
      <c r="M1040" s="25"/>
      <c r="N1040" s="5"/>
      <c r="Z1040" s="29">
        <f t="shared" si="959"/>
        <v>0</v>
      </c>
      <c r="AB1040" s="29">
        <f t="shared" si="960"/>
        <v>0</v>
      </c>
      <c r="AC1040" s="29">
        <f t="shared" si="961"/>
        <v>0</v>
      </c>
      <c r="AD1040" s="29">
        <f t="shared" si="962"/>
        <v>0</v>
      </c>
      <c r="AE1040" s="29">
        <f t="shared" si="963"/>
        <v>0</v>
      </c>
      <c r="AF1040" s="29">
        <f t="shared" si="964"/>
        <v>0</v>
      </c>
      <c r="AG1040" s="29">
        <f t="shared" si="965"/>
        <v>0</v>
      </c>
      <c r="AH1040" s="29">
        <f t="shared" si="966"/>
        <v>0</v>
      </c>
      <c r="AI1040" s="28" t="s">
        <v>2888</v>
      </c>
      <c r="AJ1040" s="15">
        <f t="shared" si="967"/>
        <v>0</v>
      </c>
      <c r="AK1040" s="15">
        <f t="shared" si="968"/>
        <v>0</v>
      </c>
      <c r="AL1040" s="15">
        <f t="shared" si="969"/>
        <v>0</v>
      </c>
      <c r="AN1040" s="29">
        <v>15</v>
      </c>
      <c r="AO1040" s="29">
        <f t="shared" si="970"/>
        <v>0</v>
      </c>
      <c r="AP1040" s="29">
        <f t="shared" si="971"/>
        <v>0</v>
      </c>
      <c r="AQ1040" s="30" t="s">
        <v>7</v>
      </c>
      <c r="AV1040" s="29">
        <f t="shared" si="972"/>
        <v>0</v>
      </c>
      <c r="AW1040" s="29">
        <f t="shared" si="973"/>
        <v>0</v>
      </c>
      <c r="AX1040" s="29">
        <f t="shared" si="974"/>
        <v>0</v>
      </c>
      <c r="AY1040" s="32" t="s">
        <v>2933</v>
      </c>
      <c r="AZ1040" s="32" t="s">
        <v>2955</v>
      </c>
      <c r="BA1040" s="28" t="s">
        <v>2963</v>
      </c>
      <c r="BC1040" s="29">
        <f t="shared" si="975"/>
        <v>0</v>
      </c>
      <c r="BD1040" s="29">
        <f t="shared" si="976"/>
        <v>0</v>
      </c>
      <c r="BE1040" s="29">
        <v>0</v>
      </c>
      <c r="BF1040" s="29">
        <f>1040</f>
        <v>1040</v>
      </c>
      <c r="BH1040" s="15">
        <f t="shared" si="977"/>
        <v>0</v>
      </c>
      <c r="BI1040" s="15">
        <f t="shared" si="978"/>
        <v>0</v>
      </c>
      <c r="BJ1040" s="15">
        <f t="shared" si="979"/>
        <v>0</v>
      </c>
      <c r="BK1040" s="15" t="s">
        <v>2969</v>
      </c>
      <c r="BL1040" s="29">
        <v>8</v>
      </c>
    </row>
    <row r="1041" spans="1:64" ht="12.75">
      <c r="A1041" s="4" t="s">
        <v>968</v>
      </c>
      <c r="B1041" s="94" t="s">
        <v>1887</v>
      </c>
      <c r="C1041" s="152" t="s">
        <v>2806</v>
      </c>
      <c r="D1041" s="153"/>
      <c r="E1041" s="153"/>
      <c r="F1041" s="153"/>
      <c r="G1041" s="94" t="s">
        <v>2851</v>
      </c>
      <c r="H1041" s="73">
        <v>5.5</v>
      </c>
      <c r="I1041" s="105">
        <v>0</v>
      </c>
      <c r="J1041" s="15">
        <f t="shared" si="956"/>
        <v>0</v>
      </c>
      <c r="K1041" s="15">
        <f t="shared" si="957"/>
        <v>0</v>
      </c>
      <c r="L1041" s="15">
        <f t="shared" si="958"/>
        <v>0</v>
      </c>
      <c r="M1041" s="25"/>
      <c r="N1041" s="5"/>
      <c r="Z1041" s="29">
        <f t="shared" si="959"/>
        <v>0</v>
      </c>
      <c r="AB1041" s="29">
        <f t="shared" si="960"/>
        <v>0</v>
      </c>
      <c r="AC1041" s="29">
        <f t="shared" si="961"/>
        <v>0</v>
      </c>
      <c r="AD1041" s="29">
        <f t="shared" si="962"/>
        <v>0</v>
      </c>
      <c r="AE1041" s="29">
        <f t="shared" si="963"/>
        <v>0</v>
      </c>
      <c r="AF1041" s="29">
        <f t="shared" si="964"/>
        <v>0</v>
      </c>
      <c r="AG1041" s="29">
        <f t="shared" si="965"/>
        <v>0</v>
      </c>
      <c r="AH1041" s="29">
        <f t="shared" si="966"/>
        <v>0</v>
      </c>
      <c r="AI1041" s="28" t="s">
        <v>2888</v>
      </c>
      <c r="AJ1041" s="15">
        <f t="shared" si="967"/>
        <v>0</v>
      </c>
      <c r="AK1041" s="15">
        <f t="shared" si="968"/>
        <v>0</v>
      </c>
      <c r="AL1041" s="15">
        <f t="shared" si="969"/>
        <v>0</v>
      </c>
      <c r="AN1041" s="29">
        <v>15</v>
      </c>
      <c r="AO1041" s="29">
        <f t="shared" si="970"/>
        <v>0</v>
      </c>
      <c r="AP1041" s="29">
        <f t="shared" si="971"/>
        <v>0</v>
      </c>
      <c r="AQ1041" s="30" t="s">
        <v>7</v>
      </c>
      <c r="AV1041" s="29">
        <f t="shared" si="972"/>
        <v>0</v>
      </c>
      <c r="AW1041" s="29">
        <f t="shared" si="973"/>
        <v>0</v>
      </c>
      <c r="AX1041" s="29">
        <f t="shared" si="974"/>
        <v>0</v>
      </c>
      <c r="AY1041" s="32" t="s">
        <v>2933</v>
      </c>
      <c r="AZ1041" s="32" t="s">
        <v>2955</v>
      </c>
      <c r="BA1041" s="28" t="s">
        <v>2963</v>
      </c>
      <c r="BC1041" s="29">
        <f t="shared" si="975"/>
        <v>0</v>
      </c>
      <c r="BD1041" s="29">
        <f t="shared" si="976"/>
        <v>0</v>
      </c>
      <c r="BE1041" s="29">
        <v>0</v>
      </c>
      <c r="BF1041" s="29">
        <f>1041</f>
        <v>1041</v>
      </c>
      <c r="BH1041" s="15">
        <f t="shared" si="977"/>
        <v>0</v>
      </c>
      <c r="BI1041" s="15">
        <f t="shared" si="978"/>
        <v>0</v>
      </c>
      <c r="BJ1041" s="15">
        <f t="shared" si="979"/>
        <v>0</v>
      </c>
      <c r="BK1041" s="15" t="s">
        <v>2969</v>
      </c>
      <c r="BL1041" s="29">
        <v>8</v>
      </c>
    </row>
    <row r="1042" spans="1:64" ht="12.75">
      <c r="A1042" s="4" t="s">
        <v>969</v>
      </c>
      <c r="B1042" s="94" t="s">
        <v>1888</v>
      </c>
      <c r="C1042" s="152" t="s">
        <v>2807</v>
      </c>
      <c r="D1042" s="153"/>
      <c r="E1042" s="153"/>
      <c r="F1042" s="153"/>
      <c r="G1042" s="94" t="s">
        <v>2851</v>
      </c>
      <c r="H1042" s="73">
        <v>140</v>
      </c>
      <c r="I1042" s="105">
        <v>0</v>
      </c>
      <c r="J1042" s="15">
        <f t="shared" si="956"/>
        <v>0</v>
      </c>
      <c r="K1042" s="15">
        <f t="shared" si="957"/>
        <v>0</v>
      </c>
      <c r="L1042" s="15">
        <f t="shared" si="958"/>
        <v>0</v>
      </c>
      <c r="M1042" s="25"/>
      <c r="N1042" s="5"/>
      <c r="Z1042" s="29">
        <f t="shared" si="959"/>
        <v>0</v>
      </c>
      <c r="AB1042" s="29">
        <f t="shared" si="960"/>
        <v>0</v>
      </c>
      <c r="AC1042" s="29">
        <f t="shared" si="961"/>
        <v>0</v>
      </c>
      <c r="AD1042" s="29">
        <f t="shared" si="962"/>
        <v>0</v>
      </c>
      <c r="AE1042" s="29">
        <f t="shared" si="963"/>
        <v>0</v>
      </c>
      <c r="AF1042" s="29">
        <f t="shared" si="964"/>
        <v>0</v>
      </c>
      <c r="AG1042" s="29">
        <f t="shared" si="965"/>
        <v>0</v>
      </c>
      <c r="AH1042" s="29">
        <f t="shared" si="966"/>
        <v>0</v>
      </c>
      <c r="AI1042" s="28" t="s">
        <v>2888</v>
      </c>
      <c r="AJ1042" s="15">
        <f t="shared" si="967"/>
        <v>0</v>
      </c>
      <c r="AK1042" s="15">
        <f t="shared" si="968"/>
        <v>0</v>
      </c>
      <c r="AL1042" s="15">
        <f t="shared" si="969"/>
        <v>0</v>
      </c>
      <c r="AN1042" s="29">
        <v>15</v>
      </c>
      <c r="AO1042" s="29">
        <f t="shared" si="970"/>
        <v>0</v>
      </c>
      <c r="AP1042" s="29">
        <f t="shared" si="971"/>
        <v>0</v>
      </c>
      <c r="AQ1042" s="30" t="s">
        <v>7</v>
      </c>
      <c r="AV1042" s="29">
        <f t="shared" si="972"/>
        <v>0</v>
      </c>
      <c r="AW1042" s="29">
        <f t="shared" si="973"/>
        <v>0</v>
      </c>
      <c r="AX1042" s="29">
        <f t="shared" si="974"/>
        <v>0</v>
      </c>
      <c r="AY1042" s="32" t="s">
        <v>2933</v>
      </c>
      <c r="AZ1042" s="32" t="s">
        <v>2955</v>
      </c>
      <c r="BA1042" s="28" t="s">
        <v>2963</v>
      </c>
      <c r="BC1042" s="29">
        <f t="shared" si="975"/>
        <v>0</v>
      </c>
      <c r="BD1042" s="29">
        <f t="shared" si="976"/>
        <v>0</v>
      </c>
      <c r="BE1042" s="29">
        <v>0</v>
      </c>
      <c r="BF1042" s="29">
        <f>1042</f>
        <v>1042</v>
      </c>
      <c r="BH1042" s="15">
        <f t="shared" si="977"/>
        <v>0</v>
      </c>
      <c r="BI1042" s="15">
        <f t="shared" si="978"/>
        <v>0</v>
      </c>
      <c r="BJ1042" s="15">
        <f t="shared" si="979"/>
        <v>0</v>
      </c>
      <c r="BK1042" s="15" t="s">
        <v>2969</v>
      </c>
      <c r="BL1042" s="29">
        <v>8</v>
      </c>
    </row>
    <row r="1043" spans="1:64" ht="12.75">
      <c r="A1043" s="4" t="s">
        <v>970</v>
      </c>
      <c r="B1043" s="94" t="s">
        <v>1889</v>
      </c>
      <c r="C1043" s="152" t="s">
        <v>2808</v>
      </c>
      <c r="D1043" s="153"/>
      <c r="E1043" s="153"/>
      <c r="F1043" s="153"/>
      <c r="G1043" s="94" t="s">
        <v>2851</v>
      </c>
      <c r="H1043" s="73">
        <v>43.5</v>
      </c>
      <c r="I1043" s="105">
        <v>0</v>
      </c>
      <c r="J1043" s="15">
        <f t="shared" si="956"/>
        <v>0</v>
      </c>
      <c r="K1043" s="15">
        <f t="shared" si="957"/>
        <v>0</v>
      </c>
      <c r="L1043" s="15">
        <f t="shared" si="958"/>
        <v>0</v>
      </c>
      <c r="M1043" s="25"/>
      <c r="N1043" s="5"/>
      <c r="Z1043" s="29">
        <f t="shared" si="959"/>
        <v>0</v>
      </c>
      <c r="AB1043" s="29">
        <f t="shared" si="960"/>
        <v>0</v>
      </c>
      <c r="AC1043" s="29">
        <f t="shared" si="961"/>
        <v>0</v>
      </c>
      <c r="AD1043" s="29">
        <f t="shared" si="962"/>
        <v>0</v>
      </c>
      <c r="AE1043" s="29">
        <f t="shared" si="963"/>
        <v>0</v>
      </c>
      <c r="AF1043" s="29">
        <f t="shared" si="964"/>
        <v>0</v>
      </c>
      <c r="AG1043" s="29">
        <f t="shared" si="965"/>
        <v>0</v>
      </c>
      <c r="AH1043" s="29">
        <f t="shared" si="966"/>
        <v>0</v>
      </c>
      <c r="AI1043" s="28" t="s">
        <v>2888</v>
      </c>
      <c r="AJ1043" s="15">
        <f t="shared" si="967"/>
        <v>0</v>
      </c>
      <c r="AK1043" s="15">
        <f t="shared" si="968"/>
        <v>0</v>
      </c>
      <c r="AL1043" s="15">
        <f t="shared" si="969"/>
        <v>0</v>
      </c>
      <c r="AN1043" s="29">
        <v>15</v>
      </c>
      <c r="AO1043" s="29">
        <f t="shared" si="970"/>
        <v>0</v>
      </c>
      <c r="AP1043" s="29">
        <f t="shared" si="971"/>
        <v>0</v>
      </c>
      <c r="AQ1043" s="30" t="s">
        <v>7</v>
      </c>
      <c r="AV1043" s="29">
        <f t="shared" si="972"/>
        <v>0</v>
      </c>
      <c r="AW1043" s="29">
        <f t="shared" si="973"/>
        <v>0</v>
      </c>
      <c r="AX1043" s="29">
        <f t="shared" si="974"/>
        <v>0</v>
      </c>
      <c r="AY1043" s="32" t="s">
        <v>2933</v>
      </c>
      <c r="AZ1043" s="32" t="s">
        <v>2955</v>
      </c>
      <c r="BA1043" s="28" t="s">
        <v>2963</v>
      </c>
      <c r="BC1043" s="29">
        <f t="shared" si="975"/>
        <v>0</v>
      </c>
      <c r="BD1043" s="29">
        <f t="shared" si="976"/>
        <v>0</v>
      </c>
      <c r="BE1043" s="29">
        <v>0</v>
      </c>
      <c r="BF1043" s="29">
        <f>1043</f>
        <v>1043</v>
      </c>
      <c r="BH1043" s="15">
        <f t="shared" si="977"/>
        <v>0</v>
      </c>
      <c r="BI1043" s="15">
        <f t="shared" si="978"/>
        <v>0</v>
      </c>
      <c r="BJ1043" s="15">
        <f t="shared" si="979"/>
        <v>0</v>
      </c>
      <c r="BK1043" s="15" t="s">
        <v>2969</v>
      </c>
      <c r="BL1043" s="29">
        <v>8</v>
      </c>
    </row>
    <row r="1044" spans="1:64" ht="12.75">
      <c r="A1044" s="4" t="s">
        <v>971</v>
      </c>
      <c r="B1044" s="94" t="s">
        <v>1890</v>
      </c>
      <c r="C1044" s="152" t="s">
        <v>2809</v>
      </c>
      <c r="D1044" s="153"/>
      <c r="E1044" s="153"/>
      <c r="F1044" s="153"/>
      <c r="G1044" s="94" t="s">
        <v>2851</v>
      </c>
      <c r="H1044" s="73">
        <v>5.5</v>
      </c>
      <c r="I1044" s="105">
        <v>0</v>
      </c>
      <c r="J1044" s="15">
        <f t="shared" si="956"/>
        <v>0</v>
      </c>
      <c r="K1044" s="15">
        <f t="shared" si="957"/>
        <v>0</v>
      </c>
      <c r="L1044" s="15">
        <f t="shared" si="958"/>
        <v>0</v>
      </c>
      <c r="M1044" s="25"/>
      <c r="N1044" s="5"/>
      <c r="Z1044" s="29">
        <f t="shared" si="959"/>
        <v>0</v>
      </c>
      <c r="AB1044" s="29">
        <f t="shared" si="960"/>
        <v>0</v>
      </c>
      <c r="AC1044" s="29">
        <f t="shared" si="961"/>
        <v>0</v>
      </c>
      <c r="AD1044" s="29">
        <f t="shared" si="962"/>
        <v>0</v>
      </c>
      <c r="AE1044" s="29">
        <f t="shared" si="963"/>
        <v>0</v>
      </c>
      <c r="AF1044" s="29">
        <f t="shared" si="964"/>
        <v>0</v>
      </c>
      <c r="AG1044" s="29">
        <f t="shared" si="965"/>
        <v>0</v>
      </c>
      <c r="AH1044" s="29">
        <f t="shared" si="966"/>
        <v>0</v>
      </c>
      <c r="AI1044" s="28" t="s">
        <v>2888</v>
      </c>
      <c r="AJ1044" s="15">
        <f t="shared" si="967"/>
        <v>0</v>
      </c>
      <c r="AK1044" s="15">
        <f t="shared" si="968"/>
        <v>0</v>
      </c>
      <c r="AL1044" s="15">
        <f t="shared" si="969"/>
        <v>0</v>
      </c>
      <c r="AN1044" s="29">
        <v>15</v>
      </c>
      <c r="AO1044" s="29">
        <f t="shared" si="970"/>
        <v>0</v>
      </c>
      <c r="AP1044" s="29">
        <f t="shared" si="971"/>
        <v>0</v>
      </c>
      <c r="AQ1044" s="30" t="s">
        <v>7</v>
      </c>
      <c r="AV1044" s="29">
        <f t="shared" si="972"/>
        <v>0</v>
      </c>
      <c r="AW1044" s="29">
        <f t="shared" si="973"/>
        <v>0</v>
      </c>
      <c r="AX1044" s="29">
        <f t="shared" si="974"/>
        <v>0</v>
      </c>
      <c r="AY1044" s="32" t="s">
        <v>2933</v>
      </c>
      <c r="AZ1044" s="32" t="s">
        <v>2955</v>
      </c>
      <c r="BA1044" s="28" t="s">
        <v>2963</v>
      </c>
      <c r="BC1044" s="29">
        <f t="shared" si="975"/>
        <v>0</v>
      </c>
      <c r="BD1044" s="29">
        <f t="shared" si="976"/>
        <v>0</v>
      </c>
      <c r="BE1044" s="29">
        <v>0</v>
      </c>
      <c r="BF1044" s="29">
        <f>1044</f>
        <v>1044</v>
      </c>
      <c r="BH1044" s="15">
        <f t="shared" si="977"/>
        <v>0</v>
      </c>
      <c r="BI1044" s="15">
        <f t="shared" si="978"/>
        <v>0</v>
      </c>
      <c r="BJ1044" s="15">
        <f t="shared" si="979"/>
        <v>0</v>
      </c>
      <c r="BK1044" s="15" t="s">
        <v>2969</v>
      </c>
      <c r="BL1044" s="29">
        <v>8</v>
      </c>
    </row>
    <row r="1045" spans="1:64" ht="12.75">
      <c r="A1045" s="4" t="s">
        <v>972</v>
      </c>
      <c r="B1045" s="94" t="s">
        <v>1891</v>
      </c>
      <c r="C1045" s="152" t="s">
        <v>2810</v>
      </c>
      <c r="D1045" s="153"/>
      <c r="E1045" s="153"/>
      <c r="F1045" s="153"/>
      <c r="G1045" s="94" t="s">
        <v>2850</v>
      </c>
      <c r="H1045" s="73">
        <v>1</v>
      </c>
      <c r="I1045" s="105">
        <v>0</v>
      </c>
      <c r="J1045" s="15">
        <f t="shared" si="956"/>
        <v>0</v>
      </c>
      <c r="K1045" s="15">
        <f t="shared" si="957"/>
        <v>0</v>
      </c>
      <c r="L1045" s="15">
        <f t="shared" si="958"/>
        <v>0</v>
      </c>
      <c r="M1045" s="25"/>
      <c r="N1045" s="5"/>
      <c r="Z1045" s="29">
        <f t="shared" si="959"/>
        <v>0</v>
      </c>
      <c r="AB1045" s="29">
        <f t="shared" si="960"/>
        <v>0</v>
      </c>
      <c r="AC1045" s="29">
        <f t="shared" si="961"/>
        <v>0</v>
      </c>
      <c r="AD1045" s="29">
        <f t="shared" si="962"/>
        <v>0</v>
      </c>
      <c r="AE1045" s="29">
        <f t="shared" si="963"/>
        <v>0</v>
      </c>
      <c r="AF1045" s="29">
        <f t="shared" si="964"/>
        <v>0</v>
      </c>
      <c r="AG1045" s="29">
        <f t="shared" si="965"/>
        <v>0</v>
      </c>
      <c r="AH1045" s="29">
        <f t="shared" si="966"/>
        <v>0</v>
      </c>
      <c r="AI1045" s="28" t="s">
        <v>2888</v>
      </c>
      <c r="AJ1045" s="15">
        <f t="shared" si="967"/>
        <v>0</v>
      </c>
      <c r="AK1045" s="15">
        <f t="shared" si="968"/>
        <v>0</v>
      </c>
      <c r="AL1045" s="15">
        <f t="shared" si="969"/>
        <v>0</v>
      </c>
      <c r="AN1045" s="29">
        <v>15</v>
      </c>
      <c r="AO1045" s="29">
        <f t="shared" si="970"/>
        <v>0</v>
      </c>
      <c r="AP1045" s="29">
        <f t="shared" si="971"/>
        <v>0</v>
      </c>
      <c r="AQ1045" s="30" t="s">
        <v>7</v>
      </c>
      <c r="AV1045" s="29">
        <f t="shared" si="972"/>
        <v>0</v>
      </c>
      <c r="AW1045" s="29">
        <f t="shared" si="973"/>
        <v>0</v>
      </c>
      <c r="AX1045" s="29">
        <f t="shared" si="974"/>
        <v>0</v>
      </c>
      <c r="AY1045" s="32" t="s">
        <v>2933</v>
      </c>
      <c r="AZ1045" s="32" t="s">
        <v>2955</v>
      </c>
      <c r="BA1045" s="28" t="s">
        <v>2963</v>
      </c>
      <c r="BC1045" s="29">
        <f t="shared" si="975"/>
        <v>0</v>
      </c>
      <c r="BD1045" s="29">
        <f t="shared" si="976"/>
        <v>0</v>
      </c>
      <c r="BE1045" s="29">
        <v>0</v>
      </c>
      <c r="BF1045" s="29">
        <f>1045</f>
        <v>1045</v>
      </c>
      <c r="BH1045" s="15">
        <f t="shared" si="977"/>
        <v>0</v>
      </c>
      <c r="BI1045" s="15">
        <f t="shared" si="978"/>
        <v>0</v>
      </c>
      <c r="BJ1045" s="15">
        <f t="shared" si="979"/>
        <v>0</v>
      </c>
      <c r="BK1045" s="15" t="s">
        <v>2969</v>
      </c>
      <c r="BL1045" s="29">
        <v>8</v>
      </c>
    </row>
    <row r="1046" spans="1:64" ht="12.75">
      <c r="A1046" s="4" t="s">
        <v>973</v>
      </c>
      <c r="B1046" s="94" t="s">
        <v>1892</v>
      </c>
      <c r="C1046" s="152" t="s">
        <v>2811</v>
      </c>
      <c r="D1046" s="153"/>
      <c r="E1046" s="153"/>
      <c r="F1046" s="153"/>
      <c r="G1046" s="94" t="s">
        <v>2850</v>
      </c>
      <c r="H1046" s="73">
        <v>1</v>
      </c>
      <c r="I1046" s="105">
        <v>0</v>
      </c>
      <c r="J1046" s="15">
        <f t="shared" si="956"/>
        <v>0</v>
      </c>
      <c r="K1046" s="15">
        <f t="shared" si="957"/>
        <v>0</v>
      </c>
      <c r="L1046" s="15">
        <f t="shared" si="958"/>
        <v>0</v>
      </c>
      <c r="M1046" s="25"/>
      <c r="N1046" s="5"/>
      <c r="Z1046" s="29">
        <f t="shared" si="959"/>
        <v>0</v>
      </c>
      <c r="AB1046" s="29">
        <f t="shared" si="960"/>
        <v>0</v>
      </c>
      <c r="AC1046" s="29">
        <f t="shared" si="961"/>
        <v>0</v>
      </c>
      <c r="AD1046" s="29">
        <f t="shared" si="962"/>
        <v>0</v>
      </c>
      <c r="AE1046" s="29">
        <f t="shared" si="963"/>
        <v>0</v>
      </c>
      <c r="AF1046" s="29">
        <f t="shared" si="964"/>
        <v>0</v>
      </c>
      <c r="AG1046" s="29">
        <f t="shared" si="965"/>
        <v>0</v>
      </c>
      <c r="AH1046" s="29">
        <f t="shared" si="966"/>
        <v>0</v>
      </c>
      <c r="AI1046" s="28" t="s">
        <v>2888</v>
      </c>
      <c r="AJ1046" s="15">
        <f t="shared" si="967"/>
        <v>0</v>
      </c>
      <c r="AK1046" s="15">
        <f t="shared" si="968"/>
        <v>0</v>
      </c>
      <c r="AL1046" s="15">
        <f t="shared" si="969"/>
        <v>0</v>
      </c>
      <c r="AN1046" s="29">
        <v>15</v>
      </c>
      <c r="AO1046" s="29">
        <f t="shared" si="970"/>
        <v>0</v>
      </c>
      <c r="AP1046" s="29">
        <f t="shared" si="971"/>
        <v>0</v>
      </c>
      <c r="AQ1046" s="30" t="s">
        <v>7</v>
      </c>
      <c r="AV1046" s="29">
        <f t="shared" si="972"/>
        <v>0</v>
      </c>
      <c r="AW1046" s="29">
        <f t="shared" si="973"/>
        <v>0</v>
      </c>
      <c r="AX1046" s="29">
        <f t="shared" si="974"/>
        <v>0</v>
      </c>
      <c r="AY1046" s="32" t="s">
        <v>2933</v>
      </c>
      <c r="AZ1046" s="32" t="s">
        <v>2955</v>
      </c>
      <c r="BA1046" s="28" t="s">
        <v>2963</v>
      </c>
      <c r="BC1046" s="29">
        <f t="shared" si="975"/>
        <v>0</v>
      </c>
      <c r="BD1046" s="29">
        <f t="shared" si="976"/>
        <v>0</v>
      </c>
      <c r="BE1046" s="29">
        <v>0</v>
      </c>
      <c r="BF1046" s="29">
        <f>1046</f>
        <v>1046</v>
      </c>
      <c r="BH1046" s="15">
        <f t="shared" si="977"/>
        <v>0</v>
      </c>
      <c r="BI1046" s="15">
        <f t="shared" si="978"/>
        <v>0</v>
      </c>
      <c r="BJ1046" s="15">
        <f t="shared" si="979"/>
        <v>0</v>
      </c>
      <c r="BK1046" s="15" t="s">
        <v>2969</v>
      </c>
      <c r="BL1046" s="29">
        <v>8</v>
      </c>
    </row>
    <row r="1047" spans="1:64" ht="12.75">
      <c r="A1047" s="4" t="s">
        <v>974</v>
      </c>
      <c r="B1047" s="94" t="s">
        <v>1893</v>
      </c>
      <c r="C1047" s="152" t="s">
        <v>2812</v>
      </c>
      <c r="D1047" s="153"/>
      <c r="E1047" s="153"/>
      <c r="F1047" s="153"/>
      <c r="G1047" s="94" t="s">
        <v>2850</v>
      </c>
      <c r="H1047" s="73">
        <v>1</v>
      </c>
      <c r="I1047" s="105">
        <v>0</v>
      </c>
      <c r="J1047" s="15">
        <f t="shared" si="956"/>
        <v>0</v>
      </c>
      <c r="K1047" s="15">
        <f t="shared" si="957"/>
        <v>0</v>
      </c>
      <c r="L1047" s="15">
        <f t="shared" si="958"/>
        <v>0</v>
      </c>
      <c r="M1047" s="25"/>
      <c r="N1047" s="5"/>
      <c r="Z1047" s="29">
        <f t="shared" si="959"/>
        <v>0</v>
      </c>
      <c r="AB1047" s="29">
        <f t="shared" si="960"/>
        <v>0</v>
      </c>
      <c r="AC1047" s="29">
        <f t="shared" si="961"/>
        <v>0</v>
      </c>
      <c r="AD1047" s="29">
        <f t="shared" si="962"/>
        <v>0</v>
      </c>
      <c r="AE1047" s="29">
        <f t="shared" si="963"/>
        <v>0</v>
      </c>
      <c r="AF1047" s="29">
        <f t="shared" si="964"/>
        <v>0</v>
      </c>
      <c r="AG1047" s="29">
        <f t="shared" si="965"/>
        <v>0</v>
      </c>
      <c r="AH1047" s="29">
        <f t="shared" si="966"/>
        <v>0</v>
      </c>
      <c r="AI1047" s="28" t="s">
        <v>2888</v>
      </c>
      <c r="AJ1047" s="15">
        <f t="shared" si="967"/>
        <v>0</v>
      </c>
      <c r="AK1047" s="15">
        <f t="shared" si="968"/>
        <v>0</v>
      </c>
      <c r="AL1047" s="15">
        <f t="shared" si="969"/>
        <v>0</v>
      </c>
      <c r="AN1047" s="29">
        <v>15</v>
      </c>
      <c r="AO1047" s="29">
        <f t="shared" si="970"/>
        <v>0</v>
      </c>
      <c r="AP1047" s="29">
        <f t="shared" si="971"/>
        <v>0</v>
      </c>
      <c r="AQ1047" s="30" t="s">
        <v>7</v>
      </c>
      <c r="AV1047" s="29">
        <f t="shared" si="972"/>
        <v>0</v>
      </c>
      <c r="AW1047" s="29">
        <f t="shared" si="973"/>
        <v>0</v>
      </c>
      <c r="AX1047" s="29">
        <f t="shared" si="974"/>
        <v>0</v>
      </c>
      <c r="AY1047" s="32" t="s">
        <v>2933</v>
      </c>
      <c r="AZ1047" s="32" t="s">
        <v>2955</v>
      </c>
      <c r="BA1047" s="28" t="s">
        <v>2963</v>
      </c>
      <c r="BC1047" s="29">
        <f t="shared" si="975"/>
        <v>0</v>
      </c>
      <c r="BD1047" s="29">
        <f t="shared" si="976"/>
        <v>0</v>
      </c>
      <c r="BE1047" s="29">
        <v>0</v>
      </c>
      <c r="BF1047" s="29">
        <f>1047</f>
        <v>1047</v>
      </c>
      <c r="BH1047" s="15">
        <f t="shared" si="977"/>
        <v>0</v>
      </c>
      <c r="BI1047" s="15">
        <f t="shared" si="978"/>
        <v>0</v>
      </c>
      <c r="BJ1047" s="15">
        <f t="shared" si="979"/>
        <v>0</v>
      </c>
      <c r="BK1047" s="15" t="s">
        <v>2969</v>
      </c>
      <c r="BL1047" s="29">
        <v>8</v>
      </c>
    </row>
    <row r="1048" spans="1:64" ht="12.75">
      <c r="A1048" s="4" t="s">
        <v>975</v>
      </c>
      <c r="B1048" s="94" t="s">
        <v>1894</v>
      </c>
      <c r="C1048" s="152" t="s">
        <v>2813</v>
      </c>
      <c r="D1048" s="153"/>
      <c r="E1048" s="153"/>
      <c r="F1048" s="153"/>
      <c r="G1048" s="94" t="s">
        <v>2850</v>
      </c>
      <c r="H1048" s="73">
        <v>62</v>
      </c>
      <c r="I1048" s="105">
        <v>0</v>
      </c>
      <c r="J1048" s="15">
        <f t="shared" si="956"/>
        <v>0</v>
      </c>
      <c r="K1048" s="15">
        <f t="shared" si="957"/>
        <v>0</v>
      </c>
      <c r="L1048" s="15">
        <f t="shared" si="958"/>
        <v>0</v>
      </c>
      <c r="M1048" s="25"/>
      <c r="N1048" s="5"/>
      <c r="Z1048" s="29">
        <f t="shared" si="959"/>
        <v>0</v>
      </c>
      <c r="AB1048" s="29">
        <f t="shared" si="960"/>
        <v>0</v>
      </c>
      <c r="AC1048" s="29">
        <f t="shared" si="961"/>
        <v>0</v>
      </c>
      <c r="AD1048" s="29">
        <f t="shared" si="962"/>
        <v>0</v>
      </c>
      <c r="AE1048" s="29">
        <f t="shared" si="963"/>
        <v>0</v>
      </c>
      <c r="AF1048" s="29">
        <f t="shared" si="964"/>
        <v>0</v>
      </c>
      <c r="AG1048" s="29">
        <f t="shared" si="965"/>
        <v>0</v>
      </c>
      <c r="AH1048" s="29">
        <f t="shared" si="966"/>
        <v>0</v>
      </c>
      <c r="AI1048" s="28" t="s">
        <v>2888</v>
      </c>
      <c r="AJ1048" s="15">
        <f t="shared" si="967"/>
        <v>0</v>
      </c>
      <c r="AK1048" s="15">
        <f t="shared" si="968"/>
        <v>0</v>
      </c>
      <c r="AL1048" s="15">
        <f t="shared" si="969"/>
        <v>0</v>
      </c>
      <c r="AN1048" s="29">
        <v>15</v>
      </c>
      <c r="AO1048" s="29">
        <f t="shared" si="970"/>
        <v>0</v>
      </c>
      <c r="AP1048" s="29">
        <f t="shared" si="971"/>
        <v>0</v>
      </c>
      <c r="AQ1048" s="30" t="s">
        <v>7</v>
      </c>
      <c r="AV1048" s="29">
        <f t="shared" si="972"/>
        <v>0</v>
      </c>
      <c r="AW1048" s="29">
        <f t="shared" si="973"/>
        <v>0</v>
      </c>
      <c r="AX1048" s="29">
        <f t="shared" si="974"/>
        <v>0</v>
      </c>
      <c r="AY1048" s="32" t="s">
        <v>2933</v>
      </c>
      <c r="AZ1048" s="32" t="s">
        <v>2955</v>
      </c>
      <c r="BA1048" s="28" t="s">
        <v>2963</v>
      </c>
      <c r="BC1048" s="29">
        <f t="shared" si="975"/>
        <v>0</v>
      </c>
      <c r="BD1048" s="29">
        <f t="shared" si="976"/>
        <v>0</v>
      </c>
      <c r="BE1048" s="29">
        <v>0</v>
      </c>
      <c r="BF1048" s="29">
        <f>1048</f>
        <v>1048</v>
      </c>
      <c r="BH1048" s="15">
        <f t="shared" si="977"/>
        <v>0</v>
      </c>
      <c r="BI1048" s="15">
        <f t="shared" si="978"/>
        <v>0</v>
      </c>
      <c r="BJ1048" s="15">
        <f t="shared" si="979"/>
        <v>0</v>
      </c>
      <c r="BK1048" s="15" t="s">
        <v>2969</v>
      </c>
      <c r="BL1048" s="29">
        <v>8</v>
      </c>
    </row>
    <row r="1049" spans="1:64" ht="12.75">
      <c r="A1049" s="4" t="s">
        <v>976</v>
      </c>
      <c r="B1049" s="94" t="s">
        <v>1895</v>
      </c>
      <c r="C1049" s="152" t="s">
        <v>2814</v>
      </c>
      <c r="D1049" s="153"/>
      <c r="E1049" s="153"/>
      <c r="F1049" s="153"/>
      <c r="G1049" s="94" t="s">
        <v>2850</v>
      </c>
      <c r="H1049" s="73">
        <v>4</v>
      </c>
      <c r="I1049" s="105">
        <v>0</v>
      </c>
      <c r="J1049" s="15">
        <f t="shared" si="956"/>
        <v>0</v>
      </c>
      <c r="K1049" s="15">
        <f t="shared" si="957"/>
        <v>0</v>
      </c>
      <c r="L1049" s="15">
        <f t="shared" si="958"/>
        <v>0</v>
      </c>
      <c r="M1049" s="25"/>
      <c r="N1049" s="5"/>
      <c r="Z1049" s="29">
        <f t="shared" si="959"/>
        <v>0</v>
      </c>
      <c r="AB1049" s="29">
        <f t="shared" si="960"/>
        <v>0</v>
      </c>
      <c r="AC1049" s="29">
        <f t="shared" si="961"/>
        <v>0</v>
      </c>
      <c r="AD1049" s="29">
        <f t="shared" si="962"/>
        <v>0</v>
      </c>
      <c r="AE1049" s="29">
        <f t="shared" si="963"/>
        <v>0</v>
      </c>
      <c r="AF1049" s="29">
        <f t="shared" si="964"/>
        <v>0</v>
      </c>
      <c r="AG1049" s="29">
        <f t="shared" si="965"/>
        <v>0</v>
      </c>
      <c r="AH1049" s="29">
        <f t="shared" si="966"/>
        <v>0</v>
      </c>
      <c r="AI1049" s="28" t="s">
        <v>2888</v>
      </c>
      <c r="AJ1049" s="15">
        <f t="shared" si="967"/>
        <v>0</v>
      </c>
      <c r="AK1049" s="15">
        <f t="shared" si="968"/>
        <v>0</v>
      </c>
      <c r="AL1049" s="15">
        <f t="shared" si="969"/>
        <v>0</v>
      </c>
      <c r="AN1049" s="29">
        <v>15</v>
      </c>
      <c r="AO1049" s="29">
        <f t="shared" si="970"/>
        <v>0</v>
      </c>
      <c r="AP1049" s="29">
        <f t="shared" si="971"/>
        <v>0</v>
      </c>
      <c r="AQ1049" s="30" t="s">
        <v>7</v>
      </c>
      <c r="AV1049" s="29">
        <f t="shared" si="972"/>
        <v>0</v>
      </c>
      <c r="AW1049" s="29">
        <f t="shared" si="973"/>
        <v>0</v>
      </c>
      <c r="AX1049" s="29">
        <f t="shared" si="974"/>
        <v>0</v>
      </c>
      <c r="AY1049" s="32" t="s">
        <v>2933</v>
      </c>
      <c r="AZ1049" s="32" t="s">
        <v>2955</v>
      </c>
      <c r="BA1049" s="28" t="s">
        <v>2963</v>
      </c>
      <c r="BC1049" s="29">
        <f t="shared" si="975"/>
        <v>0</v>
      </c>
      <c r="BD1049" s="29">
        <f t="shared" si="976"/>
        <v>0</v>
      </c>
      <c r="BE1049" s="29">
        <v>0</v>
      </c>
      <c r="BF1049" s="29">
        <f>1049</f>
        <v>1049</v>
      </c>
      <c r="BH1049" s="15">
        <f t="shared" si="977"/>
        <v>0</v>
      </c>
      <c r="BI1049" s="15">
        <f t="shared" si="978"/>
        <v>0</v>
      </c>
      <c r="BJ1049" s="15">
        <f t="shared" si="979"/>
        <v>0</v>
      </c>
      <c r="BK1049" s="15" t="s">
        <v>2969</v>
      </c>
      <c r="BL1049" s="29">
        <v>8</v>
      </c>
    </row>
    <row r="1050" spans="1:64" ht="12.75">
      <c r="A1050" s="4" t="s">
        <v>977</v>
      </c>
      <c r="B1050" s="94" t="s">
        <v>1896</v>
      </c>
      <c r="C1050" s="152" t="s">
        <v>2815</v>
      </c>
      <c r="D1050" s="153"/>
      <c r="E1050" s="153"/>
      <c r="F1050" s="153"/>
      <c r="G1050" s="94" t="s">
        <v>2850</v>
      </c>
      <c r="H1050" s="73">
        <v>216</v>
      </c>
      <c r="I1050" s="105">
        <v>0</v>
      </c>
      <c r="J1050" s="15">
        <f t="shared" si="956"/>
        <v>0</v>
      </c>
      <c r="K1050" s="15">
        <f t="shared" si="957"/>
        <v>0</v>
      </c>
      <c r="L1050" s="15">
        <f t="shared" si="958"/>
        <v>0</v>
      </c>
      <c r="M1050" s="25"/>
      <c r="N1050" s="5"/>
      <c r="Z1050" s="29">
        <f t="shared" si="959"/>
        <v>0</v>
      </c>
      <c r="AB1050" s="29">
        <f t="shared" si="960"/>
        <v>0</v>
      </c>
      <c r="AC1050" s="29">
        <f t="shared" si="961"/>
        <v>0</v>
      </c>
      <c r="AD1050" s="29">
        <f t="shared" si="962"/>
        <v>0</v>
      </c>
      <c r="AE1050" s="29">
        <f t="shared" si="963"/>
        <v>0</v>
      </c>
      <c r="AF1050" s="29">
        <f t="shared" si="964"/>
        <v>0</v>
      </c>
      <c r="AG1050" s="29">
        <f t="shared" si="965"/>
        <v>0</v>
      </c>
      <c r="AH1050" s="29">
        <f t="shared" si="966"/>
        <v>0</v>
      </c>
      <c r="AI1050" s="28" t="s">
        <v>2888</v>
      </c>
      <c r="AJ1050" s="15">
        <f t="shared" si="967"/>
        <v>0</v>
      </c>
      <c r="AK1050" s="15">
        <f t="shared" si="968"/>
        <v>0</v>
      </c>
      <c r="AL1050" s="15">
        <f t="shared" si="969"/>
        <v>0</v>
      </c>
      <c r="AN1050" s="29">
        <v>15</v>
      </c>
      <c r="AO1050" s="29">
        <f t="shared" si="970"/>
        <v>0</v>
      </c>
      <c r="AP1050" s="29">
        <f t="shared" si="971"/>
        <v>0</v>
      </c>
      <c r="AQ1050" s="30" t="s">
        <v>7</v>
      </c>
      <c r="AV1050" s="29">
        <f t="shared" si="972"/>
        <v>0</v>
      </c>
      <c r="AW1050" s="29">
        <f t="shared" si="973"/>
        <v>0</v>
      </c>
      <c r="AX1050" s="29">
        <f t="shared" si="974"/>
        <v>0</v>
      </c>
      <c r="AY1050" s="32" t="s">
        <v>2933</v>
      </c>
      <c r="AZ1050" s="32" t="s">
        <v>2955</v>
      </c>
      <c r="BA1050" s="28" t="s">
        <v>2963</v>
      </c>
      <c r="BC1050" s="29">
        <f t="shared" si="975"/>
        <v>0</v>
      </c>
      <c r="BD1050" s="29">
        <f t="shared" si="976"/>
        <v>0</v>
      </c>
      <c r="BE1050" s="29">
        <v>0</v>
      </c>
      <c r="BF1050" s="29">
        <f>1050</f>
        <v>1050</v>
      </c>
      <c r="BH1050" s="15">
        <f t="shared" si="977"/>
        <v>0</v>
      </c>
      <c r="BI1050" s="15">
        <f t="shared" si="978"/>
        <v>0</v>
      </c>
      <c r="BJ1050" s="15">
        <f t="shared" si="979"/>
        <v>0</v>
      </c>
      <c r="BK1050" s="15" t="s">
        <v>2969</v>
      </c>
      <c r="BL1050" s="29">
        <v>8</v>
      </c>
    </row>
    <row r="1051" spans="1:64" ht="12.75">
      <c r="A1051" s="4" t="s">
        <v>978</v>
      </c>
      <c r="B1051" s="94" t="s">
        <v>1897</v>
      </c>
      <c r="C1051" s="152" t="s">
        <v>2816</v>
      </c>
      <c r="D1051" s="153"/>
      <c r="E1051" s="153"/>
      <c r="F1051" s="153"/>
      <c r="G1051" s="94" t="s">
        <v>2850</v>
      </c>
      <c r="H1051" s="73">
        <v>4</v>
      </c>
      <c r="I1051" s="105">
        <v>0</v>
      </c>
      <c r="J1051" s="15">
        <f t="shared" si="956"/>
        <v>0</v>
      </c>
      <c r="K1051" s="15">
        <f t="shared" si="957"/>
        <v>0</v>
      </c>
      <c r="L1051" s="15">
        <f t="shared" si="958"/>
        <v>0</v>
      </c>
      <c r="M1051" s="25"/>
      <c r="N1051" s="5"/>
      <c r="Z1051" s="29">
        <f t="shared" si="959"/>
        <v>0</v>
      </c>
      <c r="AB1051" s="29">
        <f t="shared" si="960"/>
        <v>0</v>
      </c>
      <c r="AC1051" s="29">
        <f t="shared" si="961"/>
        <v>0</v>
      </c>
      <c r="AD1051" s="29">
        <f t="shared" si="962"/>
        <v>0</v>
      </c>
      <c r="AE1051" s="29">
        <f t="shared" si="963"/>
        <v>0</v>
      </c>
      <c r="AF1051" s="29">
        <f t="shared" si="964"/>
        <v>0</v>
      </c>
      <c r="AG1051" s="29">
        <f t="shared" si="965"/>
        <v>0</v>
      </c>
      <c r="AH1051" s="29">
        <f t="shared" si="966"/>
        <v>0</v>
      </c>
      <c r="AI1051" s="28" t="s">
        <v>2888</v>
      </c>
      <c r="AJ1051" s="15">
        <f t="shared" si="967"/>
        <v>0</v>
      </c>
      <c r="AK1051" s="15">
        <f t="shared" si="968"/>
        <v>0</v>
      </c>
      <c r="AL1051" s="15">
        <f t="shared" si="969"/>
        <v>0</v>
      </c>
      <c r="AN1051" s="29">
        <v>15</v>
      </c>
      <c r="AO1051" s="29">
        <f t="shared" si="970"/>
        <v>0</v>
      </c>
      <c r="AP1051" s="29">
        <f t="shared" si="971"/>
        <v>0</v>
      </c>
      <c r="AQ1051" s="30" t="s">
        <v>7</v>
      </c>
      <c r="AV1051" s="29">
        <f t="shared" si="972"/>
        <v>0</v>
      </c>
      <c r="AW1051" s="29">
        <f t="shared" si="973"/>
        <v>0</v>
      </c>
      <c r="AX1051" s="29">
        <f t="shared" si="974"/>
        <v>0</v>
      </c>
      <c r="AY1051" s="32" t="s">
        <v>2933</v>
      </c>
      <c r="AZ1051" s="32" t="s">
        <v>2955</v>
      </c>
      <c r="BA1051" s="28" t="s">
        <v>2963</v>
      </c>
      <c r="BC1051" s="29">
        <f t="shared" si="975"/>
        <v>0</v>
      </c>
      <c r="BD1051" s="29">
        <f t="shared" si="976"/>
        <v>0</v>
      </c>
      <c r="BE1051" s="29">
        <v>0</v>
      </c>
      <c r="BF1051" s="29">
        <f>1051</f>
        <v>1051</v>
      </c>
      <c r="BH1051" s="15">
        <f t="shared" si="977"/>
        <v>0</v>
      </c>
      <c r="BI1051" s="15">
        <f t="shared" si="978"/>
        <v>0</v>
      </c>
      <c r="BJ1051" s="15">
        <f t="shared" si="979"/>
        <v>0</v>
      </c>
      <c r="BK1051" s="15" t="s">
        <v>2969</v>
      </c>
      <c r="BL1051" s="29">
        <v>8</v>
      </c>
    </row>
    <row r="1052" spans="1:64" ht="12.75">
      <c r="A1052" s="4" t="s">
        <v>979</v>
      </c>
      <c r="B1052" s="94" t="s">
        <v>1898</v>
      </c>
      <c r="C1052" s="152" t="s">
        <v>2817</v>
      </c>
      <c r="D1052" s="153"/>
      <c r="E1052" s="153"/>
      <c r="F1052" s="153"/>
      <c r="G1052" s="94" t="s">
        <v>2850</v>
      </c>
      <c r="H1052" s="73">
        <v>1</v>
      </c>
      <c r="I1052" s="105">
        <v>0</v>
      </c>
      <c r="J1052" s="15">
        <f t="shared" si="956"/>
        <v>0</v>
      </c>
      <c r="K1052" s="15">
        <f t="shared" si="957"/>
        <v>0</v>
      </c>
      <c r="L1052" s="15">
        <f t="shared" si="958"/>
        <v>0</v>
      </c>
      <c r="M1052" s="25"/>
      <c r="N1052" s="5"/>
      <c r="Z1052" s="29">
        <f t="shared" si="959"/>
        <v>0</v>
      </c>
      <c r="AB1052" s="29">
        <f t="shared" si="960"/>
        <v>0</v>
      </c>
      <c r="AC1052" s="29">
        <f t="shared" si="961"/>
        <v>0</v>
      </c>
      <c r="AD1052" s="29">
        <f t="shared" si="962"/>
        <v>0</v>
      </c>
      <c r="AE1052" s="29">
        <f t="shared" si="963"/>
        <v>0</v>
      </c>
      <c r="AF1052" s="29">
        <f t="shared" si="964"/>
        <v>0</v>
      </c>
      <c r="AG1052" s="29">
        <f t="shared" si="965"/>
        <v>0</v>
      </c>
      <c r="AH1052" s="29">
        <f t="shared" si="966"/>
        <v>0</v>
      </c>
      <c r="AI1052" s="28" t="s">
        <v>2888</v>
      </c>
      <c r="AJ1052" s="15">
        <f t="shared" si="967"/>
        <v>0</v>
      </c>
      <c r="AK1052" s="15">
        <f t="shared" si="968"/>
        <v>0</v>
      </c>
      <c r="AL1052" s="15">
        <f t="shared" si="969"/>
        <v>0</v>
      </c>
      <c r="AN1052" s="29">
        <v>15</v>
      </c>
      <c r="AO1052" s="29">
        <f t="shared" si="970"/>
        <v>0</v>
      </c>
      <c r="AP1052" s="29">
        <f t="shared" si="971"/>
        <v>0</v>
      </c>
      <c r="AQ1052" s="30" t="s">
        <v>7</v>
      </c>
      <c r="AV1052" s="29">
        <f t="shared" si="972"/>
        <v>0</v>
      </c>
      <c r="AW1052" s="29">
        <f t="shared" si="973"/>
        <v>0</v>
      </c>
      <c r="AX1052" s="29">
        <f t="shared" si="974"/>
        <v>0</v>
      </c>
      <c r="AY1052" s="32" t="s">
        <v>2933</v>
      </c>
      <c r="AZ1052" s="32" t="s">
        <v>2955</v>
      </c>
      <c r="BA1052" s="28" t="s">
        <v>2963</v>
      </c>
      <c r="BC1052" s="29">
        <f t="shared" si="975"/>
        <v>0</v>
      </c>
      <c r="BD1052" s="29">
        <f t="shared" si="976"/>
        <v>0</v>
      </c>
      <c r="BE1052" s="29">
        <v>0</v>
      </c>
      <c r="BF1052" s="29">
        <f>1052</f>
        <v>1052</v>
      </c>
      <c r="BH1052" s="15">
        <f t="shared" si="977"/>
        <v>0</v>
      </c>
      <c r="BI1052" s="15">
        <f t="shared" si="978"/>
        <v>0</v>
      </c>
      <c r="BJ1052" s="15">
        <f t="shared" si="979"/>
        <v>0</v>
      </c>
      <c r="BK1052" s="15" t="s">
        <v>2969</v>
      </c>
      <c r="BL1052" s="29">
        <v>8</v>
      </c>
    </row>
    <row r="1053" spans="1:64" ht="12.75">
      <c r="A1053" s="4" t="s">
        <v>980</v>
      </c>
      <c r="B1053" s="94" t="s">
        <v>1899</v>
      </c>
      <c r="C1053" s="152" t="s">
        <v>2818</v>
      </c>
      <c r="D1053" s="153"/>
      <c r="E1053" s="153"/>
      <c r="F1053" s="153"/>
      <c r="G1053" s="94" t="s">
        <v>2850</v>
      </c>
      <c r="H1053" s="73">
        <v>1</v>
      </c>
      <c r="I1053" s="105">
        <v>0</v>
      </c>
      <c r="J1053" s="15">
        <f t="shared" si="956"/>
        <v>0</v>
      </c>
      <c r="K1053" s="15">
        <f t="shared" si="957"/>
        <v>0</v>
      </c>
      <c r="L1053" s="15">
        <f t="shared" si="958"/>
        <v>0</v>
      </c>
      <c r="M1053" s="25"/>
      <c r="N1053" s="5"/>
      <c r="Z1053" s="29">
        <f t="shared" si="959"/>
        <v>0</v>
      </c>
      <c r="AB1053" s="29">
        <f t="shared" si="960"/>
        <v>0</v>
      </c>
      <c r="AC1053" s="29">
        <f t="shared" si="961"/>
        <v>0</v>
      </c>
      <c r="AD1053" s="29">
        <f t="shared" si="962"/>
        <v>0</v>
      </c>
      <c r="AE1053" s="29">
        <f t="shared" si="963"/>
        <v>0</v>
      </c>
      <c r="AF1053" s="29">
        <f t="shared" si="964"/>
        <v>0</v>
      </c>
      <c r="AG1053" s="29">
        <f t="shared" si="965"/>
        <v>0</v>
      </c>
      <c r="AH1053" s="29">
        <f t="shared" si="966"/>
        <v>0</v>
      </c>
      <c r="AI1053" s="28" t="s">
        <v>2888</v>
      </c>
      <c r="AJ1053" s="15">
        <f t="shared" si="967"/>
        <v>0</v>
      </c>
      <c r="AK1053" s="15">
        <f t="shared" si="968"/>
        <v>0</v>
      </c>
      <c r="AL1053" s="15">
        <f t="shared" si="969"/>
        <v>0</v>
      </c>
      <c r="AN1053" s="29">
        <v>15</v>
      </c>
      <c r="AO1053" s="29">
        <f t="shared" si="970"/>
        <v>0</v>
      </c>
      <c r="AP1053" s="29">
        <f t="shared" si="971"/>
        <v>0</v>
      </c>
      <c r="AQ1053" s="30" t="s">
        <v>7</v>
      </c>
      <c r="AV1053" s="29">
        <f t="shared" si="972"/>
        <v>0</v>
      </c>
      <c r="AW1053" s="29">
        <f t="shared" si="973"/>
        <v>0</v>
      </c>
      <c r="AX1053" s="29">
        <f t="shared" si="974"/>
        <v>0</v>
      </c>
      <c r="AY1053" s="32" t="s">
        <v>2933</v>
      </c>
      <c r="AZ1053" s="32" t="s">
        <v>2955</v>
      </c>
      <c r="BA1053" s="28" t="s">
        <v>2963</v>
      </c>
      <c r="BC1053" s="29">
        <f t="shared" si="975"/>
        <v>0</v>
      </c>
      <c r="BD1053" s="29">
        <f t="shared" si="976"/>
        <v>0</v>
      </c>
      <c r="BE1053" s="29">
        <v>0</v>
      </c>
      <c r="BF1053" s="29">
        <f>1053</f>
        <v>1053</v>
      </c>
      <c r="BH1053" s="15">
        <f t="shared" si="977"/>
        <v>0</v>
      </c>
      <c r="BI1053" s="15">
        <f t="shared" si="978"/>
        <v>0</v>
      </c>
      <c r="BJ1053" s="15">
        <f t="shared" si="979"/>
        <v>0</v>
      </c>
      <c r="BK1053" s="15" t="s">
        <v>2969</v>
      </c>
      <c r="BL1053" s="29">
        <v>8</v>
      </c>
    </row>
    <row r="1054" spans="1:64" ht="12.75">
      <c r="A1054" s="4" t="s">
        <v>981</v>
      </c>
      <c r="B1054" s="94" t="s">
        <v>1900</v>
      </c>
      <c r="C1054" s="152" t="s">
        <v>2819</v>
      </c>
      <c r="D1054" s="153"/>
      <c r="E1054" s="153"/>
      <c r="F1054" s="153"/>
      <c r="G1054" s="94" t="s">
        <v>2849</v>
      </c>
      <c r="H1054" s="73">
        <v>75</v>
      </c>
      <c r="I1054" s="105">
        <v>0</v>
      </c>
      <c r="J1054" s="15">
        <f t="shared" si="956"/>
        <v>0</v>
      </c>
      <c r="K1054" s="15">
        <f t="shared" si="957"/>
        <v>0</v>
      </c>
      <c r="L1054" s="15">
        <f t="shared" si="958"/>
        <v>0</v>
      </c>
      <c r="M1054" s="25"/>
      <c r="N1054" s="5"/>
      <c r="Z1054" s="29">
        <f t="shared" si="959"/>
        <v>0</v>
      </c>
      <c r="AB1054" s="29">
        <f t="shared" si="960"/>
        <v>0</v>
      </c>
      <c r="AC1054" s="29">
        <f t="shared" si="961"/>
        <v>0</v>
      </c>
      <c r="AD1054" s="29">
        <f t="shared" si="962"/>
        <v>0</v>
      </c>
      <c r="AE1054" s="29">
        <f t="shared" si="963"/>
        <v>0</v>
      </c>
      <c r="AF1054" s="29">
        <f t="shared" si="964"/>
        <v>0</v>
      </c>
      <c r="AG1054" s="29">
        <f t="shared" si="965"/>
        <v>0</v>
      </c>
      <c r="AH1054" s="29">
        <f t="shared" si="966"/>
        <v>0</v>
      </c>
      <c r="AI1054" s="28" t="s">
        <v>2888</v>
      </c>
      <c r="AJ1054" s="15">
        <f t="shared" si="967"/>
        <v>0</v>
      </c>
      <c r="AK1054" s="15">
        <f t="shared" si="968"/>
        <v>0</v>
      </c>
      <c r="AL1054" s="15">
        <f t="shared" si="969"/>
        <v>0</v>
      </c>
      <c r="AN1054" s="29">
        <v>15</v>
      </c>
      <c r="AO1054" s="29">
        <f t="shared" si="970"/>
        <v>0</v>
      </c>
      <c r="AP1054" s="29">
        <f t="shared" si="971"/>
        <v>0</v>
      </c>
      <c r="AQ1054" s="30" t="s">
        <v>7</v>
      </c>
      <c r="AV1054" s="29">
        <f t="shared" si="972"/>
        <v>0</v>
      </c>
      <c r="AW1054" s="29">
        <f t="shared" si="973"/>
        <v>0</v>
      </c>
      <c r="AX1054" s="29">
        <f t="shared" si="974"/>
        <v>0</v>
      </c>
      <c r="AY1054" s="32" t="s">
        <v>2933</v>
      </c>
      <c r="AZ1054" s="32" t="s">
        <v>2955</v>
      </c>
      <c r="BA1054" s="28" t="s">
        <v>2963</v>
      </c>
      <c r="BC1054" s="29">
        <f t="shared" si="975"/>
        <v>0</v>
      </c>
      <c r="BD1054" s="29">
        <f t="shared" si="976"/>
        <v>0</v>
      </c>
      <c r="BE1054" s="29">
        <v>0</v>
      </c>
      <c r="BF1054" s="29">
        <f>1054</f>
        <v>1054</v>
      </c>
      <c r="BH1054" s="15">
        <f t="shared" si="977"/>
        <v>0</v>
      </c>
      <c r="BI1054" s="15">
        <f t="shared" si="978"/>
        <v>0</v>
      </c>
      <c r="BJ1054" s="15">
        <f t="shared" si="979"/>
        <v>0</v>
      </c>
      <c r="BK1054" s="15" t="s">
        <v>2969</v>
      </c>
      <c r="BL1054" s="29">
        <v>8</v>
      </c>
    </row>
    <row r="1055" spans="1:64" ht="12.75">
      <c r="A1055" s="4" t="s">
        <v>982</v>
      </c>
      <c r="B1055" s="94" t="s">
        <v>1901</v>
      </c>
      <c r="C1055" s="152" t="s">
        <v>2820</v>
      </c>
      <c r="D1055" s="153"/>
      <c r="E1055" s="153"/>
      <c r="F1055" s="153"/>
      <c r="G1055" s="94" t="s">
        <v>2850</v>
      </c>
      <c r="H1055" s="73">
        <v>1</v>
      </c>
      <c r="I1055" s="105">
        <v>0</v>
      </c>
      <c r="J1055" s="15">
        <f t="shared" si="956"/>
        <v>0</v>
      </c>
      <c r="K1055" s="15">
        <f t="shared" si="957"/>
        <v>0</v>
      </c>
      <c r="L1055" s="15">
        <f t="shared" si="958"/>
        <v>0</v>
      </c>
      <c r="M1055" s="25"/>
      <c r="N1055" s="5"/>
      <c r="Z1055" s="29">
        <f t="shared" si="959"/>
        <v>0</v>
      </c>
      <c r="AB1055" s="29">
        <f t="shared" si="960"/>
        <v>0</v>
      </c>
      <c r="AC1055" s="29">
        <f t="shared" si="961"/>
        <v>0</v>
      </c>
      <c r="AD1055" s="29">
        <f t="shared" si="962"/>
        <v>0</v>
      </c>
      <c r="AE1055" s="29">
        <f t="shared" si="963"/>
        <v>0</v>
      </c>
      <c r="AF1055" s="29">
        <f t="shared" si="964"/>
        <v>0</v>
      </c>
      <c r="AG1055" s="29">
        <f t="shared" si="965"/>
        <v>0</v>
      </c>
      <c r="AH1055" s="29">
        <f t="shared" si="966"/>
        <v>0</v>
      </c>
      <c r="AI1055" s="28" t="s">
        <v>2888</v>
      </c>
      <c r="AJ1055" s="15">
        <f t="shared" si="967"/>
        <v>0</v>
      </c>
      <c r="AK1055" s="15">
        <f t="shared" si="968"/>
        <v>0</v>
      </c>
      <c r="AL1055" s="15">
        <f t="shared" si="969"/>
        <v>0</v>
      </c>
      <c r="AN1055" s="29">
        <v>15</v>
      </c>
      <c r="AO1055" s="29">
        <f t="shared" si="970"/>
        <v>0</v>
      </c>
      <c r="AP1055" s="29">
        <f t="shared" si="971"/>
        <v>0</v>
      </c>
      <c r="AQ1055" s="30" t="s">
        <v>7</v>
      </c>
      <c r="AV1055" s="29">
        <f t="shared" si="972"/>
        <v>0</v>
      </c>
      <c r="AW1055" s="29">
        <f t="shared" si="973"/>
        <v>0</v>
      </c>
      <c r="AX1055" s="29">
        <f t="shared" si="974"/>
        <v>0</v>
      </c>
      <c r="AY1055" s="32" t="s">
        <v>2933</v>
      </c>
      <c r="AZ1055" s="32" t="s">
        <v>2955</v>
      </c>
      <c r="BA1055" s="28" t="s">
        <v>2963</v>
      </c>
      <c r="BC1055" s="29">
        <f t="shared" si="975"/>
        <v>0</v>
      </c>
      <c r="BD1055" s="29">
        <f t="shared" si="976"/>
        <v>0</v>
      </c>
      <c r="BE1055" s="29">
        <v>0</v>
      </c>
      <c r="BF1055" s="29">
        <f>1055</f>
        <v>1055</v>
      </c>
      <c r="BH1055" s="15">
        <f t="shared" si="977"/>
        <v>0</v>
      </c>
      <c r="BI1055" s="15">
        <f t="shared" si="978"/>
        <v>0</v>
      </c>
      <c r="BJ1055" s="15">
        <f t="shared" si="979"/>
        <v>0</v>
      </c>
      <c r="BK1055" s="15" t="s">
        <v>2969</v>
      </c>
      <c r="BL1055" s="29">
        <v>8</v>
      </c>
    </row>
    <row r="1056" spans="1:64" ht="12.75">
      <c r="A1056" s="4" t="s">
        <v>983</v>
      </c>
      <c r="B1056" s="94" t="s">
        <v>1902</v>
      </c>
      <c r="C1056" s="152" t="s">
        <v>2821</v>
      </c>
      <c r="D1056" s="153"/>
      <c r="E1056" s="153"/>
      <c r="F1056" s="153"/>
      <c r="G1056" s="94" t="s">
        <v>2850</v>
      </c>
      <c r="H1056" s="73">
        <v>1</v>
      </c>
      <c r="I1056" s="105">
        <v>0</v>
      </c>
      <c r="J1056" s="15">
        <f t="shared" si="956"/>
        <v>0</v>
      </c>
      <c r="K1056" s="15">
        <f t="shared" si="957"/>
        <v>0</v>
      </c>
      <c r="L1056" s="15">
        <f t="shared" si="958"/>
        <v>0</v>
      </c>
      <c r="M1056" s="25"/>
      <c r="N1056" s="5"/>
      <c r="Z1056" s="29">
        <f t="shared" si="959"/>
        <v>0</v>
      </c>
      <c r="AB1056" s="29">
        <f t="shared" si="960"/>
        <v>0</v>
      </c>
      <c r="AC1056" s="29">
        <f t="shared" si="961"/>
        <v>0</v>
      </c>
      <c r="AD1056" s="29">
        <f t="shared" si="962"/>
        <v>0</v>
      </c>
      <c r="AE1056" s="29">
        <f t="shared" si="963"/>
        <v>0</v>
      </c>
      <c r="AF1056" s="29">
        <f t="shared" si="964"/>
        <v>0</v>
      </c>
      <c r="AG1056" s="29">
        <f t="shared" si="965"/>
        <v>0</v>
      </c>
      <c r="AH1056" s="29">
        <f t="shared" si="966"/>
        <v>0</v>
      </c>
      <c r="AI1056" s="28" t="s">
        <v>2888</v>
      </c>
      <c r="AJ1056" s="15">
        <f t="shared" si="967"/>
        <v>0</v>
      </c>
      <c r="AK1056" s="15">
        <f t="shared" si="968"/>
        <v>0</v>
      </c>
      <c r="AL1056" s="15">
        <f t="shared" si="969"/>
        <v>0</v>
      </c>
      <c r="AN1056" s="29">
        <v>15</v>
      </c>
      <c r="AO1056" s="29">
        <f t="shared" si="970"/>
        <v>0</v>
      </c>
      <c r="AP1056" s="29">
        <f t="shared" si="971"/>
        <v>0</v>
      </c>
      <c r="AQ1056" s="30" t="s">
        <v>7</v>
      </c>
      <c r="AV1056" s="29">
        <f t="shared" si="972"/>
        <v>0</v>
      </c>
      <c r="AW1056" s="29">
        <f t="shared" si="973"/>
        <v>0</v>
      </c>
      <c r="AX1056" s="29">
        <f t="shared" si="974"/>
        <v>0</v>
      </c>
      <c r="AY1056" s="32" t="s">
        <v>2933</v>
      </c>
      <c r="AZ1056" s="32" t="s">
        <v>2955</v>
      </c>
      <c r="BA1056" s="28" t="s">
        <v>2963</v>
      </c>
      <c r="BC1056" s="29">
        <f t="shared" si="975"/>
        <v>0</v>
      </c>
      <c r="BD1056" s="29">
        <f t="shared" si="976"/>
        <v>0</v>
      </c>
      <c r="BE1056" s="29">
        <v>0</v>
      </c>
      <c r="BF1056" s="29">
        <f>1056</f>
        <v>1056</v>
      </c>
      <c r="BH1056" s="15">
        <f t="shared" si="977"/>
        <v>0</v>
      </c>
      <c r="BI1056" s="15">
        <f t="shared" si="978"/>
        <v>0</v>
      </c>
      <c r="BJ1056" s="15">
        <f t="shared" si="979"/>
        <v>0</v>
      </c>
      <c r="BK1056" s="15" t="s">
        <v>2969</v>
      </c>
      <c r="BL1056" s="29">
        <v>8</v>
      </c>
    </row>
    <row r="1057" spans="1:64" ht="12.75">
      <c r="A1057" s="4" t="s">
        <v>984</v>
      </c>
      <c r="B1057" s="94" t="s">
        <v>1903</v>
      </c>
      <c r="C1057" s="152" t="s">
        <v>2822</v>
      </c>
      <c r="D1057" s="153"/>
      <c r="E1057" s="153"/>
      <c r="F1057" s="153"/>
      <c r="G1057" s="94" t="s">
        <v>2850</v>
      </c>
      <c r="H1057" s="73">
        <v>1</v>
      </c>
      <c r="I1057" s="105">
        <v>0</v>
      </c>
      <c r="J1057" s="15">
        <f t="shared" si="956"/>
        <v>0</v>
      </c>
      <c r="K1057" s="15">
        <f t="shared" si="957"/>
        <v>0</v>
      </c>
      <c r="L1057" s="15">
        <f t="shared" si="958"/>
        <v>0</v>
      </c>
      <c r="M1057" s="25"/>
      <c r="N1057" s="5"/>
      <c r="Z1057" s="29">
        <f t="shared" si="959"/>
        <v>0</v>
      </c>
      <c r="AB1057" s="29">
        <f t="shared" si="960"/>
        <v>0</v>
      </c>
      <c r="AC1057" s="29">
        <f t="shared" si="961"/>
        <v>0</v>
      </c>
      <c r="AD1057" s="29">
        <f t="shared" si="962"/>
        <v>0</v>
      </c>
      <c r="AE1057" s="29">
        <f t="shared" si="963"/>
        <v>0</v>
      </c>
      <c r="AF1057" s="29">
        <f t="shared" si="964"/>
        <v>0</v>
      </c>
      <c r="AG1057" s="29">
        <f t="shared" si="965"/>
        <v>0</v>
      </c>
      <c r="AH1057" s="29">
        <f t="shared" si="966"/>
        <v>0</v>
      </c>
      <c r="AI1057" s="28" t="s">
        <v>2888</v>
      </c>
      <c r="AJ1057" s="15">
        <f t="shared" si="967"/>
        <v>0</v>
      </c>
      <c r="AK1057" s="15">
        <f t="shared" si="968"/>
        <v>0</v>
      </c>
      <c r="AL1057" s="15">
        <f t="shared" si="969"/>
        <v>0</v>
      </c>
      <c r="AN1057" s="29">
        <v>15</v>
      </c>
      <c r="AO1057" s="29">
        <f t="shared" si="970"/>
        <v>0</v>
      </c>
      <c r="AP1057" s="29">
        <f t="shared" si="971"/>
        <v>0</v>
      </c>
      <c r="AQ1057" s="30" t="s">
        <v>7</v>
      </c>
      <c r="AV1057" s="29">
        <f t="shared" si="972"/>
        <v>0</v>
      </c>
      <c r="AW1057" s="29">
        <f t="shared" si="973"/>
        <v>0</v>
      </c>
      <c r="AX1057" s="29">
        <f t="shared" si="974"/>
        <v>0</v>
      </c>
      <c r="AY1057" s="32" t="s">
        <v>2933</v>
      </c>
      <c r="AZ1057" s="32" t="s">
        <v>2955</v>
      </c>
      <c r="BA1057" s="28" t="s">
        <v>2963</v>
      </c>
      <c r="BC1057" s="29">
        <f t="shared" si="975"/>
        <v>0</v>
      </c>
      <c r="BD1057" s="29">
        <f t="shared" si="976"/>
        <v>0</v>
      </c>
      <c r="BE1057" s="29">
        <v>0</v>
      </c>
      <c r="BF1057" s="29">
        <f>1057</f>
        <v>1057</v>
      </c>
      <c r="BH1057" s="15">
        <f t="shared" si="977"/>
        <v>0</v>
      </c>
      <c r="BI1057" s="15">
        <f t="shared" si="978"/>
        <v>0</v>
      </c>
      <c r="BJ1057" s="15">
        <f t="shared" si="979"/>
        <v>0</v>
      </c>
      <c r="BK1057" s="15" t="s">
        <v>2969</v>
      </c>
      <c r="BL1057" s="29">
        <v>8</v>
      </c>
    </row>
    <row r="1058" spans="1:64" ht="12.75">
      <c r="A1058" s="4" t="s">
        <v>985</v>
      </c>
      <c r="B1058" s="94" t="s">
        <v>1904</v>
      </c>
      <c r="C1058" s="152" t="s">
        <v>2823</v>
      </c>
      <c r="D1058" s="153"/>
      <c r="E1058" s="153"/>
      <c r="F1058" s="153"/>
      <c r="G1058" s="94" t="s">
        <v>2850</v>
      </c>
      <c r="H1058" s="73">
        <v>1</v>
      </c>
      <c r="I1058" s="105">
        <v>0</v>
      </c>
      <c r="J1058" s="15">
        <f t="shared" si="956"/>
        <v>0</v>
      </c>
      <c r="K1058" s="15">
        <f t="shared" si="957"/>
        <v>0</v>
      </c>
      <c r="L1058" s="15">
        <f t="shared" si="958"/>
        <v>0</v>
      </c>
      <c r="M1058" s="25"/>
      <c r="N1058" s="5"/>
      <c r="Z1058" s="29">
        <f t="shared" si="959"/>
        <v>0</v>
      </c>
      <c r="AB1058" s="29">
        <f t="shared" si="960"/>
        <v>0</v>
      </c>
      <c r="AC1058" s="29">
        <f t="shared" si="961"/>
        <v>0</v>
      </c>
      <c r="AD1058" s="29">
        <f t="shared" si="962"/>
        <v>0</v>
      </c>
      <c r="AE1058" s="29">
        <f t="shared" si="963"/>
        <v>0</v>
      </c>
      <c r="AF1058" s="29">
        <f t="shared" si="964"/>
        <v>0</v>
      </c>
      <c r="AG1058" s="29">
        <f t="shared" si="965"/>
        <v>0</v>
      </c>
      <c r="AH1058" s="29">
        <f t="shared" si="966"/>
        <v>0</v>
      </c>
      <c r="AI1058" s="28" t="s">
        <v>2888</v>
      </c>
      <c r="AJ1058" s="15">
        <f t="shared" si="967"/>
        <v>0</v>
      </c>
      <c r="AK1058" s="15">
        <f t="shared" si="968"/>
        <v>0</v>
      </c>
      <c r="AL1058" s="15">
        <f t="shared" si="969"/>
        <v>0</v>
      </c>
      <c r="AN1058" s="29">
        <v>15</v>
      </c>
      <c r="AO1058" s="29">
        <f t="shared" si="970"/>
        <v>0</v>
      </c>
      <c r="AP1058" s="29">
        <f t="shared" si="971"/>
        <v>0</v>
      </c>
      <c r="AQ1058" s="30" t="s">
        <v>7</v>
      </c>
      <c r="AV1058" s="29">
        <f t="shared" si="972"/>
        <v>0</v>
      </c>
      <c r="AW1058" s="29">
        <f t="shared" si="973"/>
        <v>0</v>
      </c>
      <c r="AX1058" s="29">
        <f t="shared" si="974"/>
        <v>0</v>
      </c>
      <c r="AY1058" s="32" t="s">
        <v>2933</v>
      </c>
      <c r="AZ1058" s="32" t="s">
        <v>2955</v>
      </c>
      <c r="BA1058" s="28" t="s">
        <v>2963</v>
      </c>
      <c r="BC1058" s="29">
        <f t="shared" si="975"/>
        <v>0</v>
      </c>
      <c r="BD1058" s="29">
        <f t="shared" si="976"/>
        <v>0</v>
      </c>
      <c r="BE1058" s="29">
        <v>0</v>
      </c>
      <c r="BF1058" s="29">
        <f>1058</f>
        <v>1058</v>
      </c>
      <c r="BH1058" s="15">
        <f t="shared" si="977"/>
        <v>0</v>
      </c>
      <c r="BI1058" s="15">
        <f t="shared" si="978"/>
        <v>0</v>
      </c>
      <c r="BJ1058" s="15">
        <f t="shared" si="979"/>
        <v>0</v>
      </c>
      <c r="BK1058" s="15" t="s">
        <v>2969</v>
      </c>
      <c r="BL1058" s="29">
        <v>8</v>
      </c>
    </row>
    <row r="1059" spans="1:64" ht="12.75">
      <c r="A1059" s="4" t="s">
        <v>986</v>
      </c>
      <c r="B1059" s="94" t="s">
        <v>1905</v>
      </c>
      <c r="C1059" s="152" t="s">
        <v>2824</v>
      </c>
      <c r="D1059" s="153"/>
      <c r="E1059" s="153"/>
      <c r="F1059" s="153"/>
      <c r="G1059" s="94" t="s">
        <v>2850</v>
      </c>
      <c r="H1059" s="73">
        <v>1</v>
      </c>
      <c r="I1059" s="105">
        <v>0</v>
      </c>
      <c r="J1059" s="15">
        <f t="shared" si="956"/>
        <v>0</v>
      </c>
      <c r="K1059" s="15">
        <f t="shared" si="957"/>
        <v>0</v>
      </c>
      <c r="L1059" s="15">
        <f t="shared" si="958"/>
        <v>0</v>
      </c>
      <c r="M1059" s="25"/>
      <c r="N1059" s="5"/>
      <c r="Z1059" s="29">
        <f t="shared" si="959"/>
        <v>0</v>
      </c>
      <c r="AB1059" s="29">
        <f t="shared" si="960"/>
        <v>0</v>
      </c>
      <c r="AC1059" s="29">
        <f t="shared" si="961"/>
        <v>0</v>
      </c>
      <c r="AD1059" s="29">
        <f t="shared" si="962"/>
        <v>0</v>
      </c>
      <c r="AE1059" s="29">
        <f t="shared" si="963"/>
        <v>0</v>
      </c>
      <c r="AF1059" s="29">
        <f t="shared" si="964"/>
        <v>0</v>
      </c>
      <c r="AG1059" s="29">
        <f t="shared" si="965"/>
        <v>0</v>
      </c>
      <c r="AH1059" s="29">
        <f t="shared" si="966"/>
        <v>0</v>
      </c>
      <c r="AI1059" s="28" t="s">
        <v>2888</v>
      </c>
      <c r="AJ1059" s="15">
        <f t="shared" si="967"/>
        <v>0</v>
      </c>
      <c r="AK1059" s="15">
        <f t="shared" si="968"/>
        <v>0</v>
      </c>
      <c r="AL1059" s="15">
        <f t="shared" si="969"/>
        <v>0</v>
      </c>
      <c r="AN1059" s="29">
        <v>15</v>
      </c>
      <c r="AO1059" s="29">
        <f t="shared" si="970"/>
        <v>0</v>
      </c>
      <c r="AP1059" s="29">
        <f t="shared" si="971"/>
        <v>0</v>
      </c>
      <c r="AQ1059" s="30" t="s">
        <v>7</v>
      </c>
      <c r="AV1059" s="29">
        <f t="shared" si="972"/>
        <v>0</v>
      </c>
      <c r="AW1059" s="29">
        <f t="shared" si="973"/>
        <v>0</v>
      </c>
      <c r="AX1059" s="29">
        <f t="shared" si="974"/>
        <v>0</v>
      </c>
      <c r="AY1059" s="32" t="s">
        <v>2933</v>
      </c>
      <c r="AZ1059" s="32" t="s">
        <v>2955</v>
      </c>
      <c r="BA1059" s="28" t="s">
        <v>2963</v>
      </c>
      <c r="BC1059" s="29">
        <f t="shared" si="975"/>
        <v>0</v>
      </c>
      <c r="BD1059" s="29">
        <f t="shared" si="976"/>
        <v>0</v>
      </c>
      <c r="BE1059" s="29">
        <v>0</v>
      </c>
      <c r="BF1059" s="29">
        <f>1059</f>
        <v>1059</v>
      </c>
      <c r="BH1059" s="15">
        <f t="shared" si="977"/>
        <v>0</v>
      </c>
      <c r="BI1059" s="15">
        <f t="shared" si="978"/>
        <v>0</v>
      </c>
      <c r="BJ1059" s="15">
        <f t="shared" si="979"/>
        <v>0</v>
      </c>
      <c r="BK1059" s="15" t="s">
        <v>2969</v>
      </c>
      <c r="BL1059" s="29">
        <v>8</v>
      </c>
    </row>
    <row r="1060" spans="1:64" ht="12.75">
      <c r="A1060" s="4" t="s">
        <v>987</v>
      </c>
      <c r="B1060" s="94" t="s">
        <v>1906</v>
      </c>
      <c r="C1060" s="152" t="s">
        <v>2825</v>
      </c>
      <c r="D1060" s="153"/>
      <c r="E1060" s="153"/>
      <c r="F1060" s="153"/>
      <c r="G1060" s="94" t="s">
        <v>2850</v>
      </c>
      <c r="H1060" s="73">
        <v>4</v>
      </c>
      <c r="I1060" s="105">
        <v>0</v>
      </c>
      <c r="J1060" s="15">
        <f t="shared" si="956"/>
        <v>0</v>
      </c>
      <c r="K1060" s="15">
        <f t="shared" si="957"/>
        <v>0</v>
      </c>
      <c r="L1060" s="15">
        <f t="shared" si="958"/>
        <v>0</v>
      </c>
      <c r="M1060" s="25"/>
      <c r="N1060" s="5"/>
      <c r="Z1060" s="29">
        <f t="shared" si="959"/>
        <v>0</v>
      </c>
      <c r="AB1060" s="29">
        <f t="shared" si="960"/>
        <v>0</v>
      </c>
      <c r="AC1060" s="29">
        <f t="shared" si="961"/>
        <v>0</v>
      </c>
      <c r="AD1060" s="29">
        <f t="shared" si="962"/>
        <v>0</v>
      </c>
      <c r="AE1060" s="29">
        <f t="shared" si="963"/>
        <v>0</v>
      </c>
      <c r="AF1060" s="29">
        <f t="shared" si="964"/>
        <v>0</v>
      </c>
      <c r="AG1060" s="29">
        <f t="shared" si="965"/>
        <v>0</v>
      </c>
      <c r="AH1060" s="29">
        <f t="shared" si="966"/>
        <v>0</v>
      </c>
      <c r="AI1060" s="28" t="s">
        <v>2888</v>
      </c>
      <c r="AJ1060" s="15">
        <f t="shared" si="967"/>
        <v>0</v>
      </c>
      <c r="AK1060" s="15">
        <f t="shared" si="968"/>
        <v>0</v>
      </c>
      <c r="AL1060" s="15">
        <f t="shared" si="969"/>
        <v>0</v>
      </c>
      <c r="AN1060" s="29">
        <v>15</v>
      </c>
      <c r="AO1060" s="29">
        <f t="shared" si="970"/>
        <v>0</v>
      </c>
      <c r="AP1060" s="29">
        <f t="shared" si="971"/>
        <v>0</v>
      </c>
      <c r="AQ1060" s="30" t="s">
        <v>7</v>
      </c>
      <c r="AV1060" s="29">
        <f t="shared" si="972"/>
        <v>0</v>
      </c>
      <c r="AW1060" s="29">
        <f t="shared" si="973"/>
        <v>0</v>
      </c>
      <c r="AX1060" s="29">
        <f t="shared" si="974"/>
        <v>0</v>
      </c>
      <c r="AY1060" s="32" t="s">
        <v>2933</v>
      </c>
      <c r="AZ1060" s="32" t="s">
        <v>2955</v>
      </c>
      <c r="BA1060" s="28" t="s">
        <v>2963</v>
      </c>
      <c r="BC1060" s="29">
        <f t="shared" si="975"/>
        <v>0</v>
      </c>
      <c r="BD1060" s="29">
        <f t="shared" si="976"/>
        <v>0</v>
      </c>
      <c r="BE1060" s="29">
        <v>0</v>
      </c>
      <c r="BF1060" s="29">
        <f>1060</f>
        <v>1060</v>
      </c>
      <c r="BH1060" s="15">
        <f t="shared" si="977"/>
        <v>0</v>
      </c>
      <c r="BI1060" s="15">
        <f t="shared" si="978"/>
        <v>0</v>
      </c>
      <c r="BJ1060" s="15">
        <f t="shared" si="979"/>
        <v>0</v>
      </c>
      <c r="BK1060" s="15" t="s">
        <v>2969</v>
      </c>
      <c r="BL1060" s="29">
        <v>8</v>
      </c>
    </row>
    <row r="1061" spans="1:64" ht="12.75">
      <c r="A1061" s="4" t="s">
        <v>988</v>
      </c>
      <c r="B1061" s="94" t="s">
        <v>1907</v>
      </c>
      <c r="C1061" s="152" t="s">
        <v>2826</v>
      </c>
      <c r="D1061" s="153"/>
      <c r="E1061" s="153"/>
      <c r="F1061" s="153"/>
      <c r="G1061" s="94" t="s">
        <v>2850</v>
      </c>
      <c r="H1061" s="73">
        <v>1</v>
      </c>
      <c r="I1061" s="105">
        <v>0</v>
      </c>
      <c r="J1061" s="15">
        <f t="shared" si="956"/>
        <v>0</v>
      </c>
      <c r="K1061" s="15">
        <f t="shared" si="957"/>
        <v>0</v>
      </c>
      <c r="L1061" s="15">
        <f t="shared" si="958"/>
        <v>0</v>
      </c>
      <c r="M1061" s="25"/>
      <c r="N1061" s="5"/>
      <c r="Z1061" s="29">
        <f t="shared" si="959"/>
        <v>0</v>
      </c>
      <c r="AB1061" s="29">
        <f t="shared" si="960"/>
        <v>0</v>
      </c>
      <c r="AC1061" s="29">
        <f t="shared" si="961"/>
        <v>0</v>
      </c>
      <c r="AD1061" s="29">
        <f t="shared" si="962"/>
        <v>0</v>
      </c>
      <c r="AE1061" s="29">
        <f t="shared" si="963"/>
        <v>0</v>
      </c>
      <c r="AF1061" s="29">
        <f t="shared" si="964"/>
        <v>0</v>
      </c>
      <c r="AG1061" s="29">
        <f t="shared" si="965"/>
        <v>0</v>
      </c>
      <c r="AH1061" s="29">
        <f t="shared" si="966"/>
        <v>0</v>
      </c>
      <c r="AI1061" s="28" t="s">
        <v>2888</v>
      </c>
      <c r="AJ1061" s="15">
        <f t="shared" si="967"/>
        <v>0</v>
      </c>
      <c r="AK1061" s="15">
        <f t="shared" si="968"/>
        <v>0</v>
      </c>
      <c r="AL1061" s="15">
        <f t="shared" si="969"/>
        <v>0</v>
      </c>
      <c r="AN1061" s="29">
        <v>15</v>
      </c>
      <c r="AO1061" s="29">
        <f t="shared" si="970"/>
        <v>0</v>
      </c>
      <c r="AP1061" s="29">
        <f t="shared" si="971"/>
        <v>0</v>
      </c>
      <c r="AQ1061" s="30" t="s">
        <v>7</v>
      </c>
      <c r="AV1061" s="29">
        <f t="shared" si="972"/>
        <v>0</v>
      </c>
      <c r="AW1061" s="29">
        <f t="shared" si="973"/>
        <v>0</v>
      </c>
      <c r="AX1061" s="29">
        <f t="shared" si="974"/>
        <v>0</v>
      </c>
      <c r="AY1061" s="32" t="s">
        <v>2933</v>
      </c>
      <c r="AZ1061" s="32" t="s">
        <v>2955</v>
      </c>
      <c r="BA1061" s="28" t="s">
        <v>2963</v>
      </c>
      <c r="BC1061" s="29">
        <f t="shared" si="975"/>
        <v>0</v>
      </c>
      <c r="BD1061" s="29">
        <f t="shared" si="976"/>
        <v>0</v>
      </c>
      <c r="BE1061" s="29">
        <v>0</v>
      </c>
      <c r="BF1061" s="29">
        <f>1061</f>
        <v>1061</v>
      </c>
      <c r="BH1061" s="15">
        <f t="shared" si="977"/>
        <v>0</v>
      </c>
      <c r="BI1061" s="15">
        <f t="shared" si="978"/>
        <v>0</v>
      </c>
      <c r="BJ1061" s="15">
        <f t="shared" si="979"/>
        <v>0</v>
      </c>
      <c r="BK1061" s="15" t="s">
        <v>2969</v>
      </c>
      <c r="BL1061" s="29">
        <v>8</v>
      </c>
    </row>
    <row r="1062" spans="1:64" ht="12.75">
      <c r="A1062" s="4" t="s">
        <v>989</v>
      </c>
      <c r="B1062" s="94" t="s">
        <v>1908</v>
      </c>
      <c r="C1062" s="152" t="s">
        <v>2189</v>
      </c>
      <c r="D1062" s="153"/>
      <c r="E1062" s="153"/>
      <c r="F1062" s="153"/>
      <c r="G1062" s="94" t="s">
        <v>2852</v>
      </c>
      <c r="H1062" s="73">
        <v>30</v>
      </c>
      <c r="I1062" s="105">
        <v>0</v>
      </c>
      <c r="J1062" s="15">
        <f t="shared" si="956"/>
        <v>0</v>
      </c>
      <c r="K1062" s="15">
        <f t="shared" si="957"/>
        <v>0</v>
      </c>
      <c r="L1062" s="15">
        <f t="shared" si="958"/>
        <v>0</v>
      </c>
      <c r="M1062" s="25"/>
      <c r="N1062" s="5"/>
      <c r="Z1062" s="29">
        <f t="shared" si="959"/>
        <v>0</v>
      </c>
      <c r="AB1062" s="29">
        <f t="shared" si="960"/>
        <v>0</v>
      </c>
      <c r="AC1062" s="29">
        <f t="shared" si="961"/>
        <v>0</v>
      </c>
      <c r="AD1062" s="29">
        <f t="shared" si="962"/>
        <v>0</v>
      </c>
      <c r="AE1062" s="29">
        <f t="shared" si="963"/>
        <v>0</v>
      </c>
      <c r="AF1062" s="29">
        <f t="shared" si="964"/>
        <v>0</v>
      </c>
      <c r="AG1062" s="29">
        <f t="shared" si="965"/>
        <v>0</v>
      </c>
      <c r="AH1062" s="29">
        <f t="shared" si="966"/>
        <v>0</v>
      </c>
      <c r="AI1062" s="28" t="s">
        <v>2888</v>
      </c>
      <c r="AJ1062" s="15">
        <f t="shared" si="967"/>
        <v>0</v>
      </c>
      <c r="AK1062" s="15">
        <f t="shared" si="968"/>
        <v>0</v>
      </c>
      <c r="AL1062" s="15">
        <f t="shared" si="969"/>
        <v>0</v>
      </c>
      <c r="AN1062" s="29">
        <v>15</v>
      </c>
      <c r="AO1062" s="29">
        <f t="shared" si="970"/>
        <v>0</v>
      </c>
      <c r="AP1062" s="29">
        <f t="shared" si="971"/>
        <v>0</v>
      </c>
      <c r="AQ1062" s="30" t="s">
        <v>7</v>
      </c>
      <c r="AV1062" s="29">
        <f t="shared" si="972"/>
        <v>0</v>
      </c>
      <c r="AW1062" s="29">
        <f t="shared" si="973"/>
        <v>0</v>
      </c>
      <c r="AX1062" s="29">
        <f t="shared" si="974"/>
        <v>0</v>
      </c>
      <c r="AY1062" s="32" t="s">
        <v>2933</v>
      </c>
      <c r="AZ1062" s="32" t="s">
        <v>2955</v>
      </c>
      <c r="BA1062" s="28" t="s">
        <v>2963</v>
      </c>
      <c r="BC1062" s="29">
        <f t="shared" si="975"/>
        <v>0</v>
      </c>
      <c r="BD1062" s="29">
        <f t="shared" si="976"/>
        <v>0</v>
      </c>
      <c r="BE1062" s="29">
        <v>0</v>
      </c>
      <c r="BF1062" s="29">
        <f>1062</f>
        <v>1062</v>
      </c>
      <c r="BH1062" s="15">
        <f t="shared" si="977"/>
        <v>0</v>
      </c>
      <c r="BI1062" s="15">
        <f t="shared" si="978"/>
        <v>0</v>
      </c>
      <c r="BJ1062" s="15">
        <f t="shared" si="979"/>
        <v>0</v>
      </c>
      <c r="BK1062" s="15" t="s">
        <v>2969</v>
      </c>
      <c r="BL1062" s="29">
        <v>8</v>
      </c>
    </row>
    <row r="1063" spans="1:64" ht="12.75">
      <c r="A1063" s="4" t="s">
        <v>990</v>
      </c>
      <c r="B1063" s="94" t="s">
        <v>1909</v>
      </c>
      <c r="C1063" s="152" t="s">
        <v>2754</v>
      </c>
      <c r="D1063" s="153"/>
      <c r="E1063" s="153"/>
      <c r="F1063" s="153"/>
      <c r="G1063" s="94" t="s">
        <v>2851</v>
      </c>
      <c r="H1063" s="73">
        <v>194.5</v>
      </c>
      <c r="I1063" s="105">
        <v>0</v>
      </c>
      <c r="J1063" s="15">
        <f t="shared" si="956"/>
        <v>0</v>
      </c>
      <c r="K1063" s="15">
        <f t="shared" si="957"/>
        <v>0</v>
      </c>
      <c r="L1063" s="15">
        <f t="shared" si="958"/>
        <v>0</v>
      </c>
      <c r="M1063" s="25"/>
      <c r="N1063" s="5"/>
      <c r="Z1063" s="29">
        <f t="shared" si="959"/>
        <v>0</v>
      </c>
      <c r="AB1063" s="29">
        <f t="shared" si="960"/>
        <v>0</v>
      </c>
      <c r="AC1063" s="29">
        <f t="shared" si="961"/>
        <v>0</v>
      </c>
      <c r="AD1063" s="29">
        <f t="shared" si="962"/>
        <v>0</v>
      </c>
      <c r="AE1063" s="29">
        <f t="shared" si="963"/>
        <v>0</v>
      </c>
      <c r="AF1063" s="29">
        <f t="shared" si="964"/>
        <v>0</v>
      </c>
      <c r="AG1063" s="29">
        <f t="shared" si="965"/>
        <v>0</v>
      </c>
      <c r="AH1063" s="29">
        <f t="shared" si="966"/>
        <v>0</v>
      </c>
      <c r="AI1063" s="28" t="s">
        <v>2888</v>
      </c>
      <c r="AJ1063" s="15">
        <f t="shared" si="967"/>
        <v>0</v>
      </c>
      <c r="AK1063" s="15">
        <f t="shared" si="968"/>
        <v>0</v>
      </c>
      <c r="AL1063" s="15">
        <f t="shared" si="969"/>
        <v>0</v>
      </c>
      <c r="AN1063" s="29">
        <v>15</v>
      </c>
      <c r="AO1063" s="29">
        <f t="shared" si="970"/>
        <v>0</v>
      </c>
      <c r="AP1063" s="29">
        <f t="shared" si="971"/>
        <v>0</v>
      </c>
      <c r="AQ1063" s="30" t="s">
        <v>7</v>
      </c>
      <c r="AV1063" s="29">
        <f t="shared" si="972"/>
        <v>0</v>
      </c>
      <c r="AW1063" s="29">
        <f t="shared" si="973"/>
        <v>0</v>
      </c>
      <c r="AX1063" s="29">
        <f t="shared" si="974"/>
        <v>0</v>
      </c>
      <c r="AY1063" s="32" t="s">
        <v>2933</v>
      </c>
      <c r="AZ1063" s="32" t="s">
        <v>2955</v>
      </c>
      <c r="BA1063" s="28" t="s">
        <v>2963</v>
      </c>
      <c r="BC1063" s="29">
        <f t="shared" si="975"/>
        <v>0</v>
      </c>
      <c r="BD1063" s="29">
        <f t="shared" si="976"/>
        <v>0</v>
      </c>
      <c r="BE1063" s="29">
        <v>0</v>
      </c>
      <c r="BF1063" s="29">
        <f>1063</f>
        <v>1063</v>
      </c>
      <c r="BH1063" s="15">
        <f t="shared" si="977"/>
        <v>0</v>
      </c>
      <c r="BI1063" s="15">
        <f t="shared" si="978"/>
        <v>0</v>
      </c>
      <c r="BJ1063" s="15">
        <f t="shared" si="979"/>
        <v>0</v>
      </c>
      <c r="BK1063" s="15" t="s">
        <v>2969</v>
      </c>
      <c r="BL1063" s="29">
        <v>8</v>
      </c>
    </row>
    <row r="1064" spans="1:64" ht="12.75">
      <c r="A1064" s="4" t="s">
        <v>991</v>
      </c>
      <c r="B1064" s="94" t="s">
        <v>1910</v>
      </c>
      <c r="C1064" s="152" t="s">
        <v>2755</v>
      </c>
      <c r="D1064" s="153"/>
      <c r="E1064" s="153"/>
      <c r="F1064" s="153"/>
      <c r="G1064" s="94" t="s">
        <v>2851</v>
      </c>
      <c r="H1064" s="73">
        <v>194.5</v>
      </c>
      <c r="I1064" s="105">
        <v>0</v>
      </c>
      <c r="J1064" s="15">
        <f t="shared" si="956"/>
        <v>0</v>
      </c>
      <c r="K1064" s="15">
        <f t="shared" si="957"/>
        <v>0</v>
      </c>
      <c r="L1064" s="15">
        <f t="shared" si="958"/>
        <v>0</v>
      </c>
      <c r="M1064" s="25"/>
      <c r="N1064" s="5"/>
      <c r="Z1064" s="29">
        <f t="shared" si="959"/>
        <v>0</v>
      </c>
      <c r="AB1064" s="29">
        <f t="shared" si="960"/>
        <v>0</v>
      </c>
      <c r="AC1064" s="29">
        <f t="shared" si="961"/>
        <v>0</v>
      </c>
      <c r="AD1064" s="29">
        <f t="shared" si="962"/>
        <v>0</v>
      </c>
      <c r="AE1064" s="29">
        <f t="shared" si="963"/>
        <v>0</v>
      </c>
      <c r="AF1064" s="29">
        <f t="shared" si="964"/>
        <v>0</v>
      </c>
      <c r="AG1064" s="29">
        <f t="shared" si="965"/>
        <v>0</v>
      </c>
      <c r="AH1064" s="29">
        <f t="shared" si="966"/>
        <v>0</v>
      </c>
      <c r="AI1064" s="28" t="s">
        <v>2888</v>
      </c>
      <c r="AJ1064" s="15">
        <f t="shared" si="967"/>
        <v>0</v>
      </c>
      <c r="AK1064" s="15">
        <f t="shared" si="968"/>
        <v>0</v>
      </c>
      <c r="AL1064" s="15">
        <f t="shared" si="969"/>
        <v>0</v>
      </c>
      <c r="AN1064" s="29">
        <v>15</v>
      </c>
      <c r="AO1064" s="29">
        <f t="shared" si="970"/>
        <v>0</v>
      </c>
      <c r="AP1064" s="29">
        <f t="shared" si="971"/>
        <v>0</v>
      </c>
      <c r="AQ1064" s="30" t="s">
        <v>7</v>
      </c>
      <c r="AV1064" s="29">
        <f t="shared" si="972"/>
        <v>0</v>
      </c>
      <c r="AW1064" s="29">
        <f t="shared" si="973"/>
        <v>0</v>
      </c>
      <c r="AX1064" s="29">
        <f t="shared" si="974"/>
        <v>0</v>
      </c>
      <c r="AY1064" s="32" t="s">
        <v>2933</v>
      </c>
      <c r="AZ1064" s="32" t="s">
        <v>2955</v>
      </c>
      <c r="BA1064" s="28" t="s">
        <v>2963</v>
      </c>
      <c r="BC1064" s="29">
        <f t="shared" si="975"/>
        <v>0</v>
      </c>
      <c r="BD1064" s="29">
        <f t="shared" si="976"/>
        <v>0</v>
      </c>
      <c r="BE1064" s="29">
        <v>0</v>
      </c>
      <c r="BF1064" s="29">
        <f>1064</f>
        <v>1064</v>
      </c>
      <c r="BH1064" s="15">
        <f t="shared" si="977"/>
        <v>0</v>
      </c>
      <c r="BI1064" s="15">
        <f t="shared" si="978"/>
        <v>0</v>
      </c>
      <c r="BJ1064" s="15">
        <f t="shared" si="979"/>
        <v>0</v>
      </c>
      <c r="BK1064" s="15" t="s">
        <v>2969</v>
      </c>
      <c r="BL1064" s="29">
        <v>8</v>
      </c>
    </row>
    <row r="1065" spans="1:64" ht="12.75">
      <c r="A1065" s="4" t="s">
        <v>992</v>
      </c>
      <c r="B1065" s="94" t="s">
        <v>1911</v>
      </c>
      <c r="C1065" s="152" t="s">
        <v>2756</v>
      </c>
      <c r="D1065" s="153"/>
      <c r="E1065" s="153"/>
      <c r="F1065" s="153"/>
      <c r="G1065" s="94" t="s">
        <v>2851</v>
      </c>
      <c r="H1065" s="73">
        <v>194.5</v>
      </c>
      <c r="I1065" s="105">
        <v>0</v>
      </c>
      <c r="J1065" s="15">
        <f t="shared" si="956"/>
        <v>0</v>
      </c>
      <c r="K1065" s="15">
        <f t="shared" si="957"/>
        <v>0</v>
      </c>
      <c r="L1065" s="15">
        <f t="shared" si="958"/>
        <v>0</v>
      </c>
      <c r="M1065" s="25"/>
      <c r="N1065" s="5"/>
      <c r="Z1065" s="29">
        <f t="shared" si="959"/>
        <v>0</v>
      </c>
      <c r="AB1065" s="29">
        <f t="shared" si="960"/>
        <v>0</v>
      </c>
      <c r="AC1065" s="29">
        <f t="shared" si="961"/>
        <v>0</v>
      </c>
      <c r="AD1065" s="29">
        <f t="shared" si="962"/>
        <v>0</v>
      </c>
      <c r="AE1065" s="29">
        <f t="shared" si="963"/>
        <v>0</v>
      </c>
      <c r="AF1065" s="29">
        <f t="shared" si="964"/>
        <v>0</v>
      </c>
      <c r="AG1065" s="29">
        <f t="shared" si="965"/>
        <v>0</v>
      </c>
      <c r="AH1065" s="29">
        <f t="shared" si="966"/>
        <v>0</v>
      </c>
      <c r="AI1065" s="28" t="s">
        <v>2888</v>
      </c>
      <c r="AJ1065" s="15">
        <f t="shared" si="967"/>
        <v>0</v>
      </c>
      <c r="AK1065" s="15">
        <f t="shared" si="968"/>
        <v>0</v>
      </c>
      <c r="AL1065" s="15">
        <f t="shared" si="969"/>
        <v>0</v>
      </c>
      <c r="AN1065" s="29">
        <v>15</v>
      </c>
      <c r="AO1065" s="29">
        <f t="shared" si="970"/>
        <v>0</v>
      </c>
      <c r="AP1065" s="29">
        <f t="shared" si="971"/>
        <v>0</v>
      </c>
      <c r="AQ1065" s="30" t="s">
        <v>7</v>
      </c>
      <c r="AV1065" s="29">
        <f t="shared" si="972"/>
        <v>0</v>
      </c>
      <c r="AW1065" s="29">
        <f t="shared" si="973"/>
        <v>0</v>
      </c>
      <c r="AX1065" s="29">
        <f t="shared" si="974"/>
        <v>0</v>
      </c>
      <c r="AY1065" s="32" t="s">
        <v>2933</v>
      </c>
      <c r="AZ1065" s="32" t="s">
        <v>2955</v>
      </c>
      <c r="BA1065" s="28" t="s">
        <v>2963</v>
      </c>
      <c r="BC1065" s="29">
        <f t="shared" si="975"/>
        <v>0</v>
      </c>
      <c r="BD1065" s="29">
        <f t="shared" si="976"/>
        <v>0</v>
      </c>
      <c r="BE1065" s="29">
        <v>0</v>
      </c>
      <c r="BF1065" s="29">
        <f>1065</f>
        <v>1065</v>
      </c>
      <c r="BH1065" s="15">
        <f t="shared" si="977"/>
        <v>0</v>
      </c>
      <c r="BI1065" s="15">
        <f t="shared" si="978"/>
        <v>0</v>
      </c>
      <c r="BJ1065" s="15">
        <f t="shared" si="979"/>
        <v>0</v>
      </c>
      <c r="BK1065" s="15" t="s">
        <v>2969</v>
      </c>
      <c r="BL1065" s="29">
        <v>8</v>
      </c>
    </row>
    <row r="1066" spans="1:64" ht="12.75">
      <c r="A1066" s="4" t="s">
        <v>993</v>
      </c>
      <c r="B1066" s="94" t="s">
        <v>1912</v>
      </c>
      <c r="C1066" s="152" t="s">
        <v>2827</v>
      </c>
      <c r="D1066" s="153"/>
      <c r="E1066" s="153"/>
      <c r="F1066" s="153"/>
      <c r="G1066" s="94" t="s">
        <v>2850</v>
      </c>
      <c r="H1066" s="73">
        <v>1</v>
      </c>
      <c r="I1066" s="105">
        <v>0</v>
      </c>
      <c r="J1066" s="15">
        <f t="shared" si="956"/>
        <v>0</v>
      </c>
      <c r="K1066" s="15">
        <f t="shared" si="957"/>
        <v>0</v>
      </c>
      <c r="L1066" s="15">
        <f t="shared" si="958"/>
        <v>0</v>
      </c>
      <c r="M1066" s="25"/>
      <c r="N1066" s="5"/>
      <c r="Z1066" s="29">
        <f t="shared" si="959"/>
        <v>0</v>
      </c>
      <c r="AB1066" s="29">
        <f t="shared" si="960"/>
        <v>0</v>
      </c>
      <c r="AC1066" s="29">
        <f t="shared" si="961"/>
        <v>0</v>
      </c>
      <c r="AD1066" s="29">
        <f t="shared" si="962"/>
        <v>0</v>
      </c>
      <c r="AE1066" s="29">
        <f t="shared" si="963"/>
        <v>0</v>
      </c>
      <c r="AF1066" s="29">
        <f t="shared" si="964"/>
        <v>0</v>
      </c>
      <c r="AG1066" s="29">
        <f t="shared" si="965"/>
        <v>0</v>
      </c>
      <c r="AH1066" s="29">
        <f t="shared" si="966"/>
        <v>0</v>
      </c>
      <c r="AI1066" s="28" t="s">
        <v>2888</v>
      </c>
      <c r="AJ1066" s="15">
        <f t="shared" si="967"/>
        <v>0</v>
      </c>
      <c r="AK1066" s="15">
        <f t="shared" si="968"/>
        <v>0</v>
      </c>
      <c r="AL1066" s="15">
        <f t="shared" si="969"/>
        <v>0</v>
      </c>
      <c r="AN1066" s="29">
        <v>15</v>
      </c>
      <c r="AO1066" s="29">
        <f t="shared" si="970"/>
        <v>0</v>
      </c>
      <c r="AP1066" s="29">
        <f t="shared" si="971"/>
        <v>0</v>
      </c>
      <c r="AQ1066" s="30" t="s">
        <v>7</v>
      </c>
      <c r="AV1066" s="29">
        <f t="shared" si="972"/>
        <v>0</v>
      </c>
      <c r="AW1066" s="29">
        <f t="shared" si="973"/>
        <v>0</v>
      </c>
      <c r="AX1066" s="29">
        <f t="shared" si="974"/>
        <v>0</v>
      </c>
      <c r="AY1066" s="32" t="s">
        <v>2933</v>
      </c>
      <c r="AZ1066" s="32" t="s">
        <v>2955</v>
      </c>
      <c r="BA1066" s="28" t="s">
        <v>2963</v>
      </c>
      <c r="BC1066" s="29">
        <f t="shared" si="975"/>
        <v>0</v>
      </c>
      <c r="BD1066" s="29">
        <f t="shared" si="976"/>
        <v>0</v>
      </c>
      <c r="BE1066" s="29">
        <v>0</v>
      </c>
      <c r="BF1066" s="29">
        <f>1066</f>
        <v>1066</v>
      </c>
      <c r="BH1066" s="15">
        <f t="shared" si="977"/>
        <v>0</v>
      </c>
      <c r="BI1066" s="15">
        <f t="shared" si="978"/>
        <v>0</v>
      </c>
      <c r="BJ1066" s="15">
        <f t="shared" si="979"/>
        <v>0</v>
      </c>
      <c r="BK1066" s="15" t="s">
        <v>2969</v>
      </c>
      <c r="BL1066" s="29">
        <v>8</v>
      </c>
    </row>
    <row r="1067" spans="1:64" ht="12.75">
      <c r="A1067" s="4" t="s">
        <v>994</v>
      </c>
      <c r="B1067" s="94" t="s">
        <v>1913</v>
      </c>
      <c r="C1067" s="152" t="s">
        <v>2745</v>
      </c>
      <c r="D1067" s="153"/>
      <c r="E1067" s="153"/>
      <c r="F1067" s="153"/>
      <c r="G1067" s="94" t="s">
        <v>2850</v>
      </c>
      <c r="H1067" s="73">
        <v>1</v>
      </c>
      <c r="I1067" s="105">
        <v>0</v>
      </c>
      <c r="J1067" s="15">
        <f t="shared" si="956"/>
        <v>0</v>
      </c>
      <c r="K1067" s="15">
        <f t="shared" si="957"/>
        <v>0</v>
      </c>
      <c r="L1067" s="15">
        <f t="shared" si="958"/>
        <v>0</v>
      </c>
      <c r="M1067" s="25"/>
      <c r="N1067" s="5"/>
      <c r="Z1067" s="29">
        <f t="shared" si="959"/>
        <v>0</v>
      </c>
      <c r="AB1067" s="29">
        <f t="shared" si="960"/>
        <v>0</v>
      </c>
      <c r="AC1067" s="29">
        <f t="shared" si="961"/>
        <v>0</v>
      </c>
      <c r="AD1067" s="29">
        <f t="shared" si="962"/>
        <v>0</v>
      </c>
      <c r="AE1067" s="29">
        <f t="shared" si="963"/>
        <v>0</v>
      </c>
      <c r="AF1067" s="29">
        <f t="shared" si="964"/>
        <v>0</v>
      </c>
      <c r="AG1067" s="29">
        <f t="shared" si="965"/>
        <v>0</v>
      </c>
      <c r="AH1067" s="29">
        <f t="shared" si="966"/>
        <v>0</v>
      </c>
      <c r="AI1067" s="28" t="s">
        <v>2888</v>
      </c>
      <c r="AJ1067" s="15">
        <f t="shared" si="967"/>
        <v>0</v>
      </c>
      <c r="AK1067" s="15">
        <f t="shared" si="968"/>
        <v>0</v>
      </c>
      <c r="AL1067" s="15">
        <f t="shared" si="969"/>
        <v>0</v>
      </c>
      <c r="AN1067" s="29">
        <v>15</v>
      </c>
      <c r="AO1067" s="29">
        <f t="shared" si="970"/>
        <v>0</v>
      </c>
      <c r="AP1067" s="29">
        <f t="shared" si="971"/>
        <v>0</v>
      </c>
      <c r="AQ1067" s="30" t="s">
        <v>7</v>
      </c>
      <c r="AV1067" s="29">
        <f t="shared" si="972"/>
        <v>0</v>
      </c>
      <c r="AW1067" s="29">
        <f t="shared" si="973"/>
        <v>0</v>
      </c>
      <c r="AX1067" s="29">
        <f t="shared" si="974"/>
        <v>0</v>
      </c>
      <c r="AY1067" s="32" t="s">
        <v>2933</v>
      </c>
      <c r="AZ1067" s="32" t="s">
        <v>2955</v>
      </c>
      <c r="BA1067" s="28" t="s">
        <v>2963</v>
      </c>
      <c r="BC1067" s="29">
        <f t="shared" si="975"/>
        <v>0</v>
      </c>
      <c r="BD1067" s="29">
        <f t="shared" si="976"/>
        <v>0</v>
      </c>
      <c r="BE1067" s="29">
        <v>0</v>
      </c>
      <c r="BF1067" s="29">
        <f>1067</f>
        <v>1067</v>
      </c>
      <c r="BH1067" s="15">
        <f t="shared" si="977"/>
        <v>0</v>
      </c>
      <c r="BI1067" s="15">
        <f t="shared" si="978"/>
        <v>0</v>
      </c>
      <c r="BJ1067" s="15">
        <f t="shared" si="979"/>
        <v>0</v>
      </c>
      <c r="BK1067" s="15" t="s">
        <v>2969</v>
      </c>
      <c r="BL1067" s="29">
        <v>8</v>
      </c>
    </row>
    <row r="1068" spans="1:64" ht="12.75">
      <c r="A1068" s="4" t="s">
        <v>995</v>
      </c>
      <c r="B1068" s="94" t="s">
        <v>1914</v>
      </c>
      <c r="C1068" s="152" t="s">
        <v>2194</v>
      </c>
      <c r="D1068" s="153"/>
      <c r="E1068" s="153"/>
      <c r="F1068" s="153"/>
      <c r="G1068" s="94" t="s">
        <v>2850</v>
      </c>
      <c r="H1068" s="73">
        <v>1</v>
      </c>
      <c r="I1068" s="105">
        <v>0</v>
      </c>
      <c r="J1068" s="15">
        <f t="shared" si="956"/>
        <v>0</v>
      </c>
      <c r="K1068" s="15">
        <f t="shared" si="957"/>
        <v>0</v>
      </c>
      <c r="L1068" s="15">
        <f t="shared" si="958"/>
        <v>0</v>
      </c>
      <c r="M1068" s="25"/>
      <c r="N1068" s="5"/>
      <c r="Z1068" s="29">
        <f t="shared" si="959"/>
        <v>0</v>
      </c>
      <c r="AB1068" s="29">
        <f t="shared" si="960"/>
        <v>0</v>
      </c>
      <c r="AC1068" s="29">
        <f t="shared" si="961"/>
        <v>0</v>
      </c>
      <c r="AD1068" s="29">
        <f t="shared" si="962"/>
        <v>0</v>
      </c>
      <c r="AE1068" s="29">
        <f t="shared" si="963"/>
        <v>0</v>
      </c>
      <c r="AF1068" s="29">
        <f t="shared" si="964"/>
        <v>0</v>
      </c>
      <c r="AG1068" s="29">
        <f t="shared" si="965"/>
        <v>0</v>
      </c>
      <c r="AH1068" s="29">
        <f t="shared" si="966"/>
        <v>0</v>
      </c>
      <c r="AI1068" s="28" t="s">
        <v>2888</v>
      </c>
      <c r="AJ1068" s="15">
        <f t="shared" si="967"/>
        <v>0</v>
      </c>
      <c r="AK1068" s="15">
        <f t="shared" si="968"/>
        <v>0</v>
      </c>
      <c r="AL1068" s="15">
        <f t="shared" si="969"/>
        <v>0</v>
      </c>
      <c r="AN1068" s="29">
        <v>15</v>
      </c>
      <c r="AO1068" s="29">
        <f t="shared" si="970"/>
        <v>0</v>
      </c>
      <c r="AP1068" s="29">
        <f t="shared" si="971"/>
        <v>0</v>
      </c>
      <c r="AQ1068" s="30" t="s">
        <v>7</v>
      </c>
      <c r="AV1068" s="29">
        <f t="shared" si="972"/>
        <v>0</v>
      </c>
      <c r="AW1068" s="29">
        <f t="shared" si="973"/>
        <v>0</v>
      </c>
      <c r="AX1068" s="29">
        <f t="shared" si="974"/>
        <v>0</v>
      </c>
      <c r="AY1068" s="32" t="s">
        <v>2933</v>
      </c>
      <c r="AZ1068" s="32" t="s">
        <v>2955</v>
      </c>
      <c r="BA1068" s="28" t="s">
        <v>2963</v>
      </c>
      <c r="BC1068" s="29">
        <f t="shared" si="975"/>
        <v>0</v>
      </c>
      <c r="BD1068" s="29">
        <f t="shared" si="976"/>
        <v>0</v>
      </c>
      <c r="BE1068" s="29">
        <v>0</v>
      </c>
      <c r="BF1068" s="29">
        <f>1068</f>
        <v>1068</v>
      </c>
      <c r="BH1068" s="15">
        <f t="shared" si="977"/>
        <v>0</v>
      </c>
      <c r="BI1068" s="15">
        <f t="shared" si="978"/>
        <v>0</v>
      </c>
      <c r="BJ1068" s="15">
        <f t="shared" si="979"/>
        <v>0</v>
      </c>
      <c r="BK1068" s="15" t="s">
        <v>2969</v>
      </c>
      <c r="BL1068" s="29">
        <v>8</v>
      </c>
    </row>
    <row r="1069" spans="1:64" ht="12.75">
      <c r="A1069" s="4" t="s">
        <v>996</v>
      </c>
      <c r="B1069" s="94" t="s">
        <v>1915</v>
      </c>
      <c r="C1069" s="152" t="s">
        <v>2195</v>
      </c>
      <c r="D1069" s="153"/>
      <c r="E1069" s="153"/>
      <c r="F1069" s="153"/>
      <c r="G1069" s="94" t="s">
        <v>2850</v>
      </c>
      <c r="H1069" s="73">
        <v>1</v>
      </c>
      <c r="I1069" s="105">
        <v>0</v>
      </c>
      <c r="J1069" s="15">
        <f t="shared" si="956"/>
        <v>0</v>
      </c>
      <c r="K1069" s="15">
        <f t="shared" si="957"/>
        <v>0</v>
      </c>
      <c r="L1069" s="15">
        <f t="shared" si="958"/>
        <v>0</v>
      </c>
      <c r="M1069" s="25"/>
      <c r="N1069" s="5"/>
      <c r="Z1069" s="29">
        <f t="shared" si="959"/>
        <v>0</v>
      </c>
      <c r="AB1069" s="29">
        <f t="shared" si="960"/>
        <v>0</v>
      </c>
      <c r="AC1069" s="29">
        <f t="shared" si="961"/>
        <v>0</v>
      </c>
      <c r="AD1069" s="29">
        <f t="shared" si="962"/>
        <v>0</v>
      </c>
      <c r="AE1069" s="29">
        <f t="shared" si="963"/>
        <v>0</v>
      </c>
      <c r="AF1069" s="29">
        <f t="shared" si="964"/>
        <v>0</v>
      </c>
      <c r="AG1069" s="29">
        <f t="shared" si="965"/>
        <v>0</v>
      </c>
      <c r="AH1069" s="29">
        <f t="shared" si="966"/>
        <v>0</v>
      </c>
      <c r="AI1069" s="28" t="s">
        <v>2888</v>
      </c>
      <c r="AJ1069" s="15">
        <f t="shared" si="967"/>
        <v>0</v>
      </c>
      <c r="AK1069" s="15">
        <f t="shared" si="968"/>
        <v>0</v>
      </c>
      <c r="AL1069" s="15">
        <f t="shared" si="969"/>
        <v>0</v>
      </c>
      <c r="AN1069" s="29">
        <v>15</v>
      </c>
      <c r="AO1069" s="29">
        <f t="shared" si="970"/>
        <v>0</v>
      </c>
      <c r="AP1069" s="29">
        <f t="shared" si="971"/>
        <v>0</v>
      </c>
      <c r="AQ1069" s="30" t="s">
        <v>7</v>
      </c>
      <c r="AV1069" s="29">
        <f t="shared" si="972"/>
        <v>0</v>
      </c>
      <c r="AW1069" s="29">
        <f t="shared" si="973"/>
        <v>0</v>
      </c>
      <c r="AX1069" s="29">
        <f t="shared" si="974"/>
        <v>0</v>
      </c>
      <c r="AY1069" s="32" t="s">
        <v>2933</v>
      </c>
      <c r="AZ1069" s="32" t="s">
        <v>2955</v>
      </c>
      <c r="BA1069" s="28" t="s">
        <v>2963</v>
      </c>
      <c r="BC1069" s="29">
        <f t="shared" si="975"/>
        <v>0</v>
      </c>
      <c r="BD1069" s="29">
        <f t="shared" si="976"/>
        <v>0</v>
      </c>
      <c r="BE1069" s="29">
        <v>0</v>
      </c>
      <c r="BF1069" s="29">
        <f>1069</f>
        <v>1069</v>
      </c>
      <c r="BH1069" s="15">
        <f t="shared" si="977"/>
        <v>0</v>
      </c>
      <c r="BI1069" s="15">
        <f t="shared" si="978"/>
        <v>0</v>
      </c>
      <c r="BJ1069" s="15">
        <f t="shared" si="979"/>
        <v>0</v>
      </c>
      <c r="BK1069" s="15" t="s">
        <v>2969</v>
      </c>
      <c r="BL1069" s="29">
        <v>8</v>
      </c>
    </row>
    <row r="1070" spans="1:64" ht="12.75">
      <c r="A1070" s="4" t="s">
        <v>997</v>
      </c>
      <c r="B1070" s="94" t="s">
        <v>1916</v>
      </c>
      <c r="C1070" s="152" t="s">
        <v>2196</v>
      </c>
      <c r="D1070" s="153"/>
      <c r="E1070" s="153"/>
      <c r="F1070" s="153"/>
      <c r="G1070" s="94" t="s">
        <v>2850</v>
      </c>
      <c r="H1070" s="73">
        <v>1</v>
      </c>
      <c r="I1070" s="105">
        <v>0</v>
      </c>
      <c r="J1070" s="15">
        <f t="shared" si="956"/>
        <v>0</v>
      </c>
      <c r="K1070" s="15">
        <f t="shared" si="957"/>
        <v>0</v>
      </c>
      <c r="L1070" s="15">
        <f t="shared" si="958"/>
        <v>0</v>
      </c>
      <c r="M1070" s="25"/>
      <c r="N1070" s="5"/>
      <c r="Z1070" s="29">
        <f t="shared" si="959"/>
        <v>0</v>
      </c>
      <c r="AB1070" s="29">
        <f t="shared" si="960"/>
        <v>0</v>
      </c>
      <c r="AC1070" s="29">
        <f t="shared" si="961"/>
        <v>0</v>
      </c>
      <c r="AD1070" s="29">
        <f t="shared" si="962"/>
        <v>0</v>
      </c>
      <c r="AE1070" s="29">
        <f t="shared" si="963"/>
        <v>0</v>
      </c>
      <c r="AF1070" s="29">
        <f t="shared" si="964"/>
        <v>0</v>
      </c>
      <c r="AG1070" s="29">
        <f t="shared" si="965"/>
        <v>0</v>
      </c>
      <c r="AH1070" s="29">
        <f t="shared" si="966"/>
        <v>0</v>
      </c>
      <c r="AI1070" s="28" t="s">
        <v>2888</v>
      </c>
      <c r="AJ1070" s="15">
        <f t="shared" si="967"/>
        <v>0</v>
      </c>
      <c r="AK1070" s="15">
        <f t="shared" si="968"/>
        <v>0</v>
      </c>
      <c r="AL1070" s="15">
        <f t="shared" si="969"/>
        <v>0</v>
      </c>
      <c r="AN1070" s="29">
        <v>15</v>
      </c>
      <c r="AO1070" s="29">
        <f t="shared" si="970"/>
        <v>0</v>
      </c>
      <c r="AP1070" s="29">
        <f t="shared" si="971"/>
        <v>0</v>
      </c>
      <c r="AQ1070" s="30" t="s">
        <v>7</v>
      </c>
      <c r="AV1070" s="29">
        <f t="shared" si="972"/>
        <v>0</v>
      </c>
      <c r="AW1070" s="29">
        <f t="shared" si="973"/>
        <v>0</v>
      </c>
      <c r="AX1070" s="29">
        <f t="shared" si="974"/>
        <v>0</v>
      </c>
      <c r="AY1070" s="32" t="s">
        <v>2933</v>
      </c>
      <c r="AZ1070" s="32" t="s">
        <v>2955</v>
      </c>
      <c r="BA1070" s="28" t="s">
        <v>2963</v>
      </c>
      <c r="BC1070" s="29">
        <f t="shared" si="975"/>
        <v>0</v>
      </c>
      <c r="BD1070" s="29">
        <f t="shared" si="976"/>
        <v>0</v>
      </c>
      <c r="BE1070" s="29">
        <v>0</v>
      </c>
      <c r="BF1070" s="29">
        <f>1070</f>
        <v>1070</v>
      </c>
      <c r="BH1070" s="15">
        <f t="shared" si="977"/>
        <v>0</v>
      </c>
      <c r="BI1070" s="15">
        <f t="shared" si="978"/>
        <v>0</v>
      </c>
      <c r="BJ1070" s="15">
        <f t="shared" si="979"/>
        <v>0</v>
      </c>
      <c r="BK1070" s="15" t="s">
        <v>2969</v>
      </c>
      <c r="BL1070" s="29">
        <v>8</v>
      </c>
    </row>
    <row r="1071" spans="1:14" ht="12.75">
      <c r="A1071" s="83"/>
      <c r="B1071" s="96"/>
      <c r="C1071" s="159" t="s">
        <v>2828</v>
      </c>
      <c r="D1071" s="160"/>
      <c r="E1071" s="160"/>
      <c r="F1071" s="160"/>
      <c r="G1071" s="84" t="s">
        <v>6</v>
      </c>
      <c r="H1071" s="84" t="s">
        <v>6</v>
      </c>
      <c r="I1071" s="84" t="s">
        <v>6</v>
      </c>
      <c r="J1071" s="85">
        <f>J1072</f>
        <v>0</v>
      </c>
      <c r="K1071" s="85">
        <f>K1072</f>
        <v>0</v>
      </c>
      <c r="L1071" s="85">
        <f>L1072</f>
        <v>0</v>
      </c>
      <c r="M1071" s="86"/>
      <c r="N1071" s="5"/>
    </row>
    <row r="1072" spans="1:47" ht="12.75">
      <c r="A1072" s="3"/>
      <c r="B1072" s="97"/>
      <c r="C1072" s="161" t="s">
        <v>2829</v>
      </c>
      <c r="D1072" s="162"/>
      <c r="E1072" s="162"/>
      <c r="F1072" s="162"/>
      <c r="G1072" s="13" t="s">
        <v>6</v>
      </c>
      <c r="H1072" s="13" t="s">
        <v>6</v>
      </c>
      <c r="I1072" s="13" t="s">
        <v>6</v>
      </c>
      <c r="J1072" s="34">
        <f>SUM(J1073:J1085)</f>
        <v>0</v>
      </c>
      <c r="K1072" s="34">
        <f>SUM(K1073:K1085)</f>
        <v>0</v>
      </c>
      <c r="L1072" s="34">
        <f>SUM(L1073:L1085)</f>
        <v>0</v>
      </c>
      <c r="M1072" s="24"/>
      <c r="N1072" s="5"/>
      <c r="AI1072" s="28" t="s">
        <v>2889</v>
      </c>
      <c r="AS1072" s="34">
        <f>SUM(AJ1073:AJ1085)</f>
        <v>0</v>
      </c>
      <c r="AT1072" s="34">
        <f>SUM(AK1073:AK1085)</f>
        <v>0</v>
      </c>
      <c r="AU1072" s="34">
        <f>SUM(AL1073:AL1085)</f>
        <v>0</v>
      </c>
    </row>
    <row r="1073" spans="1:64" ht="12.75">
      <c r="A1073" s="4" t="s">
        <v>998</v>
      </c>
      <c r="B1073" s="94" t="s">
        <v>1917</v>
      </c>
      <c r="C1073" s="152" t="s">
        <v>2830</v>
      </c>
      <c r="D1073" s="153"/>
      <c r="E1073" s="153"/>
      <c r="F1073" s="153"/>
      <c r="G1073" s="94" t="s">
        <v>2850</v>
      </c>
      <c r="H1073" s="73">
        <v>1</v>
      </c>
      <c r="I1073" s="105">
        <v>0</v>
      </c>
      <c r="J1073" s="15">
        <f aca="true" t="shared" si="980" ref="J1073:J1085">H1073*AO1073</f>
        <v>0</v>
      </c>
      <c r="K1073" s="15">
        <f aca="true" t="shared" si="981" ref="K1073:K1085">H1073*AP1073</f>
        <v>0</v>
      </c>
      <c r="L1073" s="15">
        <f aca="true" t="shared" si="982" ref="L1073:L1085">H1073*I1073</f>
        <v>0</v>
      </c>
      <c r="M1073" s="25" t="s">
        <v>2872</v>
      </c>
      <c r="N1073" s="5"/>
      <c r="Z1073" s="29">
        <f aca="true" t="shared" si="983" ref="Z1073:Z1085">IF(AQ1073="5",BJ1073,0)</f>
        <v>0</v>
      </c>
      <c r="AB1073" s="29">
        <f aca="true" t="shared" si="984" ref="AB1073:AB1085">IF(AQ1073="1",BH1073,0)</f>
        <v>0</v>
      </c>
      <c r="AC1073" s="29">
        <f aca="true" t="shared" si="985" ref="AC1073:AC1085">IF(AQ1073="1",BI1073,0)</f>
        <v>0</v>
      </c>
      <c r="AD1073" s="29">
        <f aca="true" t="shared" si="986" ref="AD1073:AD1085">IF(AQ1073="7",BH1073,0)</f>
        <v>0</v>
      </c>
      <c r="AE1073" s="29">
        <f aca="true" t="shared" si="987" ref="AE1073:AE1085">IF(AQ1073="7",BI1073,0)</f>
        <v>0</v>
      </c>
      <c r="AF1073" s="29">
        <f aca="true" t="shared" si="988" ref="AF1073:AF1085">IF(AQ1073="2",BH1073,0)</f>
        <v>0</v>
      </c>
      <c r="AG1073" s="29">
        <f aca="true" t="shared" si="989" ref="AG1073:AG1085">IF(AQ1073="2",BI1073,0)</f>
        <v>0</v>
      </c>
      <c r="AH1073" s="29">
        <f aca="true" t="shared" si="990" ref="AH1073:AH1085">IF(AQ1073="0",BJ1073,0)</f>
        <v>0</v>
      </c>
      <c r="AI1073" s="28" t="s">
        <v>2889</v>
      </c>
      <c r="AJ1073" s="15">
        <f aca="true" t="shared" si="991" ref="AJ1073:AJ1085">IF(AN1073=0,L1073,0)</f>
        <v>0</v>
      </c>
      <c r="AK1073" s="15">
        <f aca="true" t="shared" si="992" ref="AK1073:AK1085">IF(AN1073=15,L1073,0)</f>
        <v>0</v>
      </c>
      <c r="AL1073" s="15">
        <f aca="true" t="shared" si="993" ref="AL1073:AL1085">IF(AN1073=21,L1073,0)</f>
        <v>0</v>
      </c>
      <c r="AN1073" s="29">
        <v>15</v>
      </c>
      <c r="AO1073" s="29">
        <f aca="true" t="shared" si="994" ref="AO1073:AO1085">I1073*0</f>
        <v>0</v>
      </c>
      <c r="AP1073" s="29">
        <f aca="true" t="shared" si="995" ref="AP1073:AP1085">I1073*(1-0)</f>
        <v>0</v>
      </c>
      <c r="AQ1073" s="30" t="s">
        <v>7</v>
      </c>
      <c r="AV1073" s="29">
        <f aca="true" t="shared" si="996" ref="AV1073:AV1085">AW1073+AX1073</f>
        <v>0</v>
      </c>
      <c r="AW1073" s="29">
        <f aca="true" t="shared" si="997" ref="AW1073:AW1085">H1073*AO1073</f>
        <v>0</v>
      </c>
      <c r="AX1073" s="29">
        <f aca="true" t="shared" si="998" ref="AX1073:AX1085">H1073*AP1073</f>
        <v>0</v>
      </c>
      <c r="AY1073" s="32" t="s">
        <v>2934</v>
      </c>
      <c r="AZ1073" s="32" t="s">
        <v>2956</v>
      </c>
      <c r="BA1073" s="28" t="s">
        <v>2964</v>
      </c>
      <c r="BC1073" s="29">
        <f aca="true" t="shared" si="999" ref="BC1073:BC1085">AW1073+AX1073</f>
        <v>0</v>
      </c>
      <c r="BD1073" s="29">
        <f aca="true" t="shared" si="1000" ref="BD1073:BD1085">I1073/(100-BE1073)*100</f>
        <v>0</v>
      </c>
      <c r="BE1073" s="29">
        <v>0</v>
      </c>
      <c r="BF1073" s="29">
        <f>1073</f>
        <v>1073</v>
      </c>
      <c r="BH1073" s="15">
        <f aca="true" t="shared" si="1001" ref="BH1073:BH1085">H1073*AO1073</f>
        <v>0</v>
      </c>
      <c r="BI1073" s="15">
        <f aca="true" t="shared" si="1002" ref="BI1073:BI1085">H1073*AP1073</f>
        <v>0</v>
      </c>
      <c r="BJ1073" s="15">
        <f aca="true" t="shared" si="1003" ref="BJ1073:BJ1085">H1073*I1073</f>
        <v>0</v>
      </c>
      <c r="BK1073" s="15" t="s">
        <v>2969</v>
      </c>
      <c r="BL1073" s="29"/>
    </row>
    <row r="1074" spans="1:64" ht="12.75">
      <c r="A1074" s="4" t="s">
        <v>999</v>
      </c>
      <c r="B1074" s="94" t="s">
        <v>1918</v>
      </c>
      <c r="C1074" s="152" t="s">
        <v>2831</v>
      </c>
      <c r="D1074" s="153"/>
      <c r="E1074" s="153"/>
      <c r="F1074" s="153"/>
      <c r="G1074" s="94" t="s">
        <v>2850</v>
      </c>
      <c r="H1074" s="73">
        <v>1</v>
      </c>
      <c r="I1074" s="105">
        <v>0</v>
      </c>
      <c r="J1074" s="15">
        <f t="shared" si="980"/>
        <v>0</v>
      </c>
      <c r="K1074" s="15">
        <f t="shared" si="981"/>
        <v>0</v>
      </c>
      <c r="L1074" s="15">
        <f t="shared" si="982"/>
        <v>0</v>
      </c>
      <c r="M1074" s="25" t="s">
        <v>2872</v>
      </c>
      <c r="N1074" s="5"/>
      <c r="Z1074" s="29">
        <f t="shared" si="983"/>
        <v>0</v>
      </c>
      <c r="AB1074" s="29">
        <f t="shared" si="984"/>
        <v>0</v>
      </c>
      <c r="AC1074" s="29">
        <f t="shared" si="985"/>
        <v>0</v>
      </c>
      <c r="AD1074" s="29">
        <f t="shared" si="986"/>
        <v>0</v>
      </c>
      <c r="AE1074" s="29">
        <f t="shared" si="987"/>
        <v>0</v>
      </c>
      <c r="AF1074" s="29">
        <f t="shared" si="988"/>
        <v>0</v>
      </c>
      <c r="AG1074" s="29">
        <f t="shared" si="989"/>
        <v>0</v>
      </c>
      <c r="AH1074" s="29">
        <f t="shared" si="990"/>
        <v>0</v>
      </c>
      <c r="AI1074" s="28" t="s">
        <v>2889</v>
      </c>
      <c r="AJ1074" s="15">
        <f t="shared" si="991"/>
        <v>0</v>
      </c>
      <c r="AK1074" s="15">
        <f t="shared" si="992"/>
        <v>0</v>
      </c>
      <c r="AL1074" s="15">
        <f t="shared" si="993"/>
        <v>0</v>
      </c>
      <c r="AN1074" s="29">
        <v>15</v>
      </c>
      <c r="AO1074" s="29">
        <f t="shared" si="994"/>
        <v>0</v>
      </c>
      <c r="AP1074" s="29">
        <f t="shared" si="995"/>
        <v>0</v>
      </c>
      <c r="AQ1074" s="30" t="s">
        <v>7</v>
      </c>
      <c r="AV1074" s="29">
        <f t="shared" si="996"/>
        <v>0</v>
      </c>
      <c r="AW1074" s="29">
        <f t="shared" si="997"/>
        <v>0</v>
      </c>
      <c r="AX1074" s="29">
        <f t="shared" si="998"/>
        <v>0</v>
      </c>
      <c r="AY1074" s="32" t="s">
        <v>2934</v>
      </c>
      <c r="AZ1074" s="32" t="s">
        <v>2956</v>
      </c>
      <c r="BA1074" s="28" t="s">
        <v>2964</v>
      </c>
      <c r="BC1074" s="29">
        <f t="shared" si="999"/>
        <v>0</v>
      </c>
      <c r="BD1074" s="29">
        <f t="shared" si="1000"/>
        <v>0</v>
      </c>
      <c r="BE1074" s="29">
        <v>0</v>
      </c>
      <c r="BF1074" s="29">
        <f>1074</f>
        <v>1074</v>
      </c>
      <c r="BH1074" s="15">
        <f t="shared" si="1001"/>
        <v>0</v>
      </c>
      <c r="BI1074" s="15">
        <f t="shared" si="1002"/>
        <v>0</v>
      </c>
      <c r="BJ1074" s="15">
        <f t="shared" si="1003"/>
        <v>0</v>
      </c>
      <c r="BK1074" s="15" t="s">
        <v>2969</v>
      </c>
      <c r="BL1074" s="29"/>
    </row>
    <row r="1075" spans="1:64" ht="12.75">
      <c r="A1075" s="4" t="s">
        <v>1000</v>
      </c>
      <c r="B1075" s="94" t="s">
        <v>1919</v>
      </c>
      <c r="C1075" s="152" t="s">
        <v>2832</v>
      </c>
      <c r="D1075" s="153"/>
      <c r="E1075" s="153"/>
      <c r="F1075" s="153"/>
      <c r="G1075" s="94" t="s">
        <v>2850</v>
      </c>
      <c r="H1075" s="73">
        <v>1</v>
      </c>
      <c r="I1075" s="105">
        <v>0</v>
      </c>
      <c r="J1075" s="15">
        <f t="shared" si="980"/>
        <v>0</v>
      </c>
      <c r="K1075" s="15">
        <f t="shared" si="981"/>
        <v>0</v>
      </c>
      <c r="L1075" s="15">
        <f t="shared" si="982"/>
        <v>0</v>
      </c>
      <c r="M1075" s="25" t="s">
        <v>2872</v>
      </c>
      <c r="N1075" s="5"/>
      <c r="Z1075" s="29">
        <f t="shared" si="983"/>
        <v>0</v>
      </c>
      <c r="AB1075" s="29">
        <f t="shared" si="984"/>
        <v>0</v>
      </c>
      <c r="AC1075" s="29">
        <f t="shared" si="985"/>
        <v>0</v>
      </c>
      <c r="AD1075" s="29">
        <f t="shared" si="986"/>
        <v>0</v>
      </c>
      <c r="AE1075" s="29">
        <f t="shared" si="987"/>
        <v>0</v>
      </c>
      <c r="AF1075" s="29">
        <f t="shared" si="988"/>
        <v>0</v>
      </c>
      <c r="AG1075" s="29">
        <f t="shared" si="989"/>
        <v>0</v>
      </c>
      <c r="AH1075" s="29">
        <f t="shared" si="990"/>
        <v>0</v>
      </c>
      <c r="AI1075" s="28" t="s">
        <v>2889</v>
      </c>
      <c r="AJ1075" s="15">
        <f t="shared" si="991"/>
        <v>0</v>
      </c>
      <c r="AK1075" s="15">
        <f t="shared" si="992"/>
        <v>0</v>
      </c>
      <c r="AL1075" s="15">
        <f t="shared" si="993"/>
        <v>0</v>
      </c>
      <c r="AN1075" s="29">
        <v>15</v>
      </c>
      <c r="AO1075" s="29">
        <f t="shared" si="994"/>
        <v>0</v>
      </c>
      <c r="AP1075" s="29">
        <f t="shared" si="995"/>
        <v>0</v>
      </c>
      <c r="AQ1075" s="30" t="s">
        <v>7</v>
      </c>
      <c r="AV1075" s="29">
        <f t="shared" si="996"/>
        <v>0</v>
      </c>
      <c r="AW1075" s="29">
        <f t="shared" si="997"/>
        <v>0</v>
      </c>
      <c r="AX1075" s="29">
        <f t="shared" si="998"/>
        <v>0</v>
      </c>
      <c r="AY1075" s="32" t="s">
        <v>2934</v>
      </c>
      <c r="AZ1075" s="32" t="s">
        <v>2956</v>
      </c>
      <c r="BA1075" s="28" t="s">
        <v>2964</v>
      </c>
      <c r="BC1075" s="29">
        <f t="shared" si="999"/>
        <v>0</v>
      </c>
      <c r="BD1075" s="29">
        <f t="shared" si="1000"/>
        <v>0</v>
      </c>
      <c r="BE1075" s="29">
        <v>0</v>
      </c>
      <c r="BF1075" s="29">
        <f>1075</f>
        <v>1075</v>
      </c>
      <c r="BH1075" s="15">
        <f t="shared" si="1001"/>
        <v>0</v>
      </c>
      <c r="BI1075" s="15">
        <f t="shared" si="1002"/>
        <v>0</v>
      </c>
      <c r="BJ1075" s="15">
        <f t="shared" si="1003"/>
        <v>0</v>
      </c>
      <c r="BK1075" s="15" t="s">
        <v>2969</v>
      </c>
      <c r="BL1075" s="29"/>
    </row>
    <row r="1076" spans="1:64" ht="12.75">
      <c r="A1076" s="4" t="s">
        <v>1001</v>
      </c>
      <c r="B1076" s="94" t="s">
        <v>1920</v>
      </c>
      <c r="C1076" s="152" t="s">
        <v>2833</v>
      </c>
      <c r="D1076" s="153"/>
      <c r="E1076" s="153"/>
      <c r="F1076" s="153"/>
      <c r="G1076" s="94" t="s">
        <v>2850</v>
      </c>
      <c r="H1076" s="73">
        <v>1</v>
      </c>
      <c r="I1076" s="105">
        <v>0</v>
      </c>
      <c r="J1076" s="15">
        <f t="shared" si="980"/>
        <v>0</v>
      </c>
      <c r="K1076" s="15">
        <f t="shared" si="981"/>
        <v>0</v>
      </c>
      <c r="L1076" s="15">
        <f t="shared" si="982"/>
        <v>0</v>
      </c>
      <c r="M1076" s="25" t="s">
        <v>2872</v>
      </c>
      <c r="N1076" s="5"/>
      <c r="Z1076" s="29">
        <f t="shared" si="983"/>
        <v>0</v>
      </c>
      <c r="AB1076" s="29">
        <f t="shared" si="984"/>
        <v>0</v>
      </c>
      <c r="AC1076" s="29">
        <f t="shared" si="985"/>
        <v>0</v>
      </c>
      <c r="AD1076" s="29">
        <f t="shared" si="986"/>
        <v>0</v>
      </c>
      <c r="AE1076" s="29">
        <f t="shared" si="987"/>
        <v>0</v>
      </c>
      <c r="AF1076" s="29">
        <f t="shared" si="988"/>
        <v>0</v>
      </c>
      <c r="AG1076" s="29">
        <f t="shared" si="989"/>
        <v>0</v>
      </c>
      <c r="AH1076" s="29">
        <f t="shared" si="990"/>
        <v>0</v>
      </c>
      <c r="AI1076" s="28" t="s">
        <v>2889</v>
      </c>
      <c r="AJ1076" s="15">
        <f t="shared" si="991"/>
        <v>0</v>
      </c>
      <c r="AK1076" s="15">
        <f t="shared" si="992"/>
        <v>0</v>
      </c>
      <c r="AL1076" s="15">
        <f t="shared" si="993"/>
        <v>0</v>
      </c>
      <c r="AN1076" s="29">
        <v>15</v>
      </c>
      <c r="AO1076" s="29">
        <f t="shared" si="994"/>
        <v>0</v>
      </c>
      <c r="AP1076" s="29">
        <f t="shared" si="995"/>
        <v>0</v>
      </c>
      <c r="AQ1076" s="30" t="s">
        <v>7</v>
      </c>
      <c r="AV1076" s="29">
        <f t="shared" si="996"/>
        <v>0</v>
      </c>
      <c r="AW1076" s="29">
        <f t="shared" si="997"/>
        <v>0</v>
      </c>
      <c r="AX1076" s="29">
        <f t="shared" si="998"/>
        <v>0</v>
      </c>
      <c r="AY1076" s="32" t="s">
        <v>2934</v>
      </c>
      <c r="AZ1076" s="32" t="s">
        <v>2956</v>
      </c>
      <c r="BA1076" s="28" t="s">
        <v>2964</v>
      </c>
      <c r="BC1076" s="29">
        <f t="shared" si="999"/>
        <v>0</v>
      </c>
      <c r="BD1076" s="29">
        <f t="shared" si="1000"/>
        <v>0</v>
      </c>
      <c r="BE1076" s="29">
        <v>0</v>
      </c>
      <c r="BF1076" s="29">
        <f>1076</f>
        <v>1076</v>
      </c>
      <c r="BH1076" s="15">
        <f t="shared" si="1001"/>
        <v>0</v>
      </c>
      <c r="BI1076" s="15">
        <f t="shared" si="1002"/>
        <v>0</v>
      </c>
      <c r="BJ1076" s="15">
        <f t="shared" si="1003"/>
        <v>0</v>
      </c>
      <c r="BK1076" s="15" t="s">
        <v>2969</v>
      </c>
      <c r="BL1076" s="29"/>
    </row>
    <row r="1077" spans="1:64" ht="12.75">
      <c r="A1077" s="4" t="s">
        <v>1002</v>
      </c>
      <c r="B1077" s="94" t="s">
        <v>1921</v>
      </c>
      <c r="C1077" s="152" t="s">
        <v>2834</v>
      </c>
      <c r="D1077" s="153"/>
      <c r="E1077" s="153"/>
      <c r="F1077" s="153"/>
      <c r="G1077" s="94" t="s">
        <v>2850</v>
      </c>
      <c r="H1077" s="73">
        <v>1</v>
      </c>
      <c r="I1077" s="105">
        <v>0</v>
      </c>
      <c r="J1077" s="15">
        <f t="shared" si="980"/>
        <v>0</v>
      </c>
      <c r="K1077" s="15">
        <f t="shared" si="981"/>
        <v>0</v>
      </c>
      <c r="L1077" s="15">
        <f t="shared" si="982"/>
        <v>0</v>
      </c>
      <c r="M1077" s="25" t="s">
        <v>2872</v>
      </c>
      <c r="N1077" s="5"/>
      <c r="Z1077" s="29">
        <f t="shared" si="983"/>
        <v>0</v>
      </c>
      <c r="AB1077" s="29">
        <f t="shared" si="984"/>
        <v>0</v>
      </c>
      <c r="AC1077" s="29">
        <f t="shared" si="985"/>
        <v>0</v>
      </c>
      <c r="AD1077" s="29">
        <f t="shared" si="986"/>
        <v>0</v>
      </c>
      <c r="AE1077" s="29">
        <f t="shared" si="987"/>
        <v>0</v>
      </c>
      <c r="AF1077" s="29">
        <f t="shared" si="988"/>
        <v>0</v>
      </c>
      <c r="AG1077" s="29">
        <f t="shared" si="989"/>
        <v>0</v>
      </c>
      <c r="AH1077" s="29">
        <f t="shared" si="990"/>
        <v>0</v>
      </c>
      <c r="AI1077" s="28" t="s">
        <v>2889</v>
      </c>
      <c r="AJ1077" s="15">
        <f t="shared" si="991"/>
        <v>0</v>
      </c>
      <c r="AK1077" s="15">
        <f t="shared" si="992"/>
        <v>0</v>
      </c>
      <c r="AL1077" s="15">
        <f t="shared" si="993"/>
        <v>0</v>
      </c>
      <c r="AN1077" s="29">
        <v>15</v>
      </c>
      <c r="AO1077" s="29">
        <f t="shared" si="994"/>
        <v>0</v>
      </c>
      <c r="AP1077" s="29">
        <f t="shared" si="995"/>
        <v>0</v>
      </c>
      <c r="AQ1077" s="30" t="s">
        <v>7</v>
      </c>
      <c r="AV1077" s="29">
        <f t="shared" si="996"/>
        <v>0</v>
      </c>
      <c r="AW1077" s="29">
        <f t="shared" si="997"/>
        <v>0</v>
      </c>
      <c r="AX1077" s="29">
        <f t="shared" si="998"/>
        <v>0</v>
      </c>
      <c r="AY1077" s="32" t="s">
        <v>2934</v>
      </c>
      <c r="AZ1077" s="32" t="s">
        <v>2956</v>
      </c>
      <c r="BA1077" s="28" t="s">
        <v>2964</v>
      </c>
      <c r="BC1077" s="29">
        <f t="shared" si="999"/>
        <v>0</v>
      </c>
      <c r="BD1077" s="29">
        <f t="shared" si="1000"/>
        <v>0</v>
      </c>
      <c r="BE1077" s="29">
        <v>0</v>
      </c>
      <c r="BF1077" s="29">
        <f>1077</f>
        <v>1077</v>
      </c>
      <c r="BH1077" s="15">
        <f t="shared" si="1001"/>
        <v>0</v>
      </c>
      <c r="BI1077" s="15">
        <f t="shared" si="1002"/>
        <v>0</v>
      </c>
      <c r="BJ1077" s="15">
        <f t="shared" si="1003"/>
        <v>0</v>
      </c>
      <c r="BK1077" s="15" t="s">
        <v>2969</v>
      </c>
      <c r="BL1077" s="29"/>
    </row>
    <row r="1078" spans="1:64" ht="12.75">
      <c r="A1078" s="4" t="s">
        <v>1003</v>
      </c>
      <c r="B1078" s="94" t="s">
        <v>1922</v>
      </c>
      <c r="C1078" s="152" t="s">
        <v>2835</v>
      </c>
      <c r="D1078" s="153"/>
      <c r="E1078" s="153"/>
      <c r="F1078" s="153"/>
      <c r="G1078" s="94" t="s">
        <v>2850</v>
      </c>
      <c r="H1078" s="73">
        <v>1</v>
      </c>
      <c r="I1078" s="105">
        <v>0</v>
      </c>
      <c r="J1078" s="15">
        <f t="shared" si="980"/>
        <v>0</v>
      </c>
      <c r="K1078" s="15">
        <f t="shared" si="981"/>
        <v>0</v>
      </c>
      <c r="L1078" s="15">
        <f t="shared" si="982"/>
        <v>0</v>
      </c>
      <c r="M1078" s="25" t="s">
        <v>2872</v>
      </c>
      <c r="N1078" s="5"/>
      <c r="Z1078" s="29">
        <f t="shared" si="983"/>
        <v>0</v>
      </c>
      <c r="AB1078" s="29">
        <f t="shared" si="984"/>
        <v>0</v>
      </c>
      <c r="AC1078" s="29">
        <f t="shared" si="985"/>
        <v>0</v>
      </c>
      <c r="AD1078" s="29">
        <f t="shared" si="986"/>
        <v>0</v>
      </c>
      <c r="AE1078" s="29">
        <f t="shared" si="987"/>
        <v>0</v>
      </c>
      <c r="AF1078" s="29">
        <f t="shared" si="988"/>
        <v>0</v>
      </c>
      <c r="AG1078" s="29">
        <f t="shared" si="989"/>
        <v>0</v>
      </c>
      <c r="AH1078" s="29">
        <f t="shared" si="990"/>
        <v>0</v>
      </c>
      <c r="AI1078" s="28" t="s">
        <v>2889</v>
      </c>
      <c r="AJ1078" s="15">
        <f t="shared" si="991"/>
        <v>0</v>
      </c>
      <c r="AK1078" s="15">
        <f t="shared" si="992"/>
        <v>0</v>
      </c>
      <c r="AL1078" s="15">
        <f t="shared" si="993"/>
        <v>0</v>
      </c>
      <c r="AN1078" s="29">
        <v>15</v>
      </c>
      <c r="AO1078" s="29">
        <f t="shared" si="994"/>
        <v>0</v>
      </c>
      <c r="AP1078" s="29">
        <f t="shared" si="995"/>
        <v>0</v>
      </c>
      <c r="AQ1078" s="30" t="s">
        <v>7</v>
      </c>
      <c r="AV1078" s="29">
        <f t="shared" si="996"/>
        <v>0</v>
      </c>
      <c r="AW1078" s="29">
        <f t="shared" si="997"/>
        <v>0</v>
      </c>
      <c r="AX1078" s="29">
        <f t="shared" si="998"/>
        <v>0</v>
      </c>
      <c r="AY1078" s="32" t="s">
        <v>2934</v>
      </c>
      <c r="AZ1078" s="32" t="s">
        <v>2956</v>
      </c>
      <c r="BA1078" s="28" t="s">
        <v>2964</v>
      </c>
      <c r="BC1078" s="29">
        <f t="shared" si="999"/>
        <v>0</v>
      </c>
      <c r="BD1078" s="29">
        <f t="shared" si="1000"/>
        <v>0</v>
      </c>
      <c r="BE1078" s="29">
        <v>0</v>
      </c>
      <c r="BF1078" s="29">
        <f>1078</f>
        <v>1078</v>
      </c>
      <c r="BH1078" s="15">
        <f t="shared" si="1001"/>
        <v>0</v>
      </c>
      <c r="BI1078" s="15">
        <f t="shared" si="1002"/>
        <v>0</v>
      </c>
      <c r="BJ1078" s="15">
        <f t="shared" si="1003"/>
        <v>0</v>
      </c>
      <c r="BK1078" s="15" t="s">
        <v>2969</v>
      </c>
      <c r="BL1078" s="29"/>
    </row>
    <row r="1079" spans="1:64" ht="12.75">
      <c r="A1079" s="4" t="s">
        <v>1004</v>
      </c>
      <c r="B1079" s="94" t="s">
        <v>1923</v>
      </c>
      <c r="C1079" s="152" t="s">
        <v>2836</v>
      </c>
      <c r="D1079" s="153"/>
      <c r="E1079" s="153"/>
      <c r="F1079" s="153"/>
      <c r="G1079" s="94" t="s">
        <v>2850</v>
      </c>
      <c r="H1079" s="73">
        <v>1</v>
      </c>
      <c r="I1079" s="105">
        <v>0</v>
      </c>
      <c r="J1079" s="15">
        <f t="shared" si="980"/>
        <v>0</v>
      </c>
      <c r="K1079" s="15">
        <f t="shared" si="981"/>
        <v>0</v>
      </c>
      <c r="L1079" s="15">
        <f t="shared" si="982"/>
        <v>0</v>
      </c>
      <c r="M1079" s="25" t="s">
        <v>2872</v>
      </c>
      <c r="N1079" s="5"/>
      <c r="Z1079" s="29">
        <f t="shared" si="983"/>
        <v>0</v>
      </c>
      <c r="AB1079" s="29">
        <f t="shared" si="984"/>
        <v>0</v>
      </c>
      <c r="AC1079" s="29">
        <f t="shared" si="985"/>
        <v>0</v>
      </c>
      <c r="AD1079" s="29">
        <f t="shared" si="986"/>
        <v>0</v>
      </c>
      <c r="AE1079" s="29">
        <f t="shared" si="987"/>
        <v>0</v>
      </c>
      <c r="AF1079" s="29">
        <f t="shared" si="988"/>
        <v>0</v>
      </c>
      <c r="AG1079" s="29">
        <f t="shared" si="989"/>
        <v>0</v>
      </c>
      <c r="AH1079" s="29">
        <f t="shared" si="990"/>
        <v>0</v>
      </c>
      <c r="AI1079" s="28" t="s">
        <v>2889</v>
      </c>
      <c r="AJ1079" s="15">
        <f t="shared" si="991"/>
        <v>0</v>
      </c>
      <c r="AK1079" s="15">
        <f t="shared" si="992"/>
        <v>0</v>
      </c>
      <c r="AL1079" s="15">
        <f t="shared" si="993"/>
        <v>0</v>
      </c>
      <c r="AN1079" s="29">
        <v>15</v>
      </c>
      <c r="AO1079" s="29">
        <f t="shared" si="994"/>
        <v>0</v>
      </c>
      <c r="AP1079" s="29">
        <f t="shared" si="995"/>
        <v>0</v>
      </c>
      <c r="AQ1079" s="30" t="s">
        <v>7</v>
      </c>
      <c r="AV1079" s="29">
        <f t="shared" si="996"/>
        <v>0</v>
      </c>
      <c r="AW1079" s="29">
        <f t="shared" si="997"/>
        <v>0</v>
      </c>
      <c r="AX1079" s="29">
        <f t="shared" si="998"/>
        <v>0</v>
      </c>
      <c r="AY1079" s="32" t="s">
        <v>2934</v>
      </c>
      <c r="AZ1079" s="32" t="s">
        <v>2956</v>
      </c>
      <c r="BA1079" s="28" t="s">
        <v>2964</v>
      </c>
      <c r="BC1079" s="29">
        <f t="shared" si="999"/>
        <v>0</v>
      </c>
      <c r="BD1079" s="29">
        <f t="shared" si="1000"/>
        <v>0</v>
      </c>
      <c r="BE1079" s="29">
        <v>0</v>
      </c>
      <c r="BF1079" s="29">
        <f>1079</f>
        <v>1079</v>
      </c>
      <c r="BH1079" s="15">
        <f t="shared" si="1001"/>
        <v>0</v>
      </c>
      <c r="BI1079" s="15">
        <f t="shared" si="1002"/>
        <v>0</v>
      </c>
      <c r="BJ1079" s="15">
        <f t="shared" si="1003"/>
        <v>0</v>
      </c>
      <c r="BK1079" s="15" t="s">
        <v>2969</v>
      </c>
      <c r="BL1079" s="29"/>
    </row>
    <row r="1080" spans="1:64" ht="12.75">
      <c r="A1080" s="4" t="s">
        <v>1005</v>
      </c>
      <c r="B1080" s="94" t="s">
        <v>1924</v>
      </c>
      <c r="C1080" s="152" t="s">
        <v>2837</v>
      </c>
      <c r="D1080" s="153"/>
      <c r="E1080" s="153"/>
      <c r="F1080" s="153"/>
      <c r="G1080" s="94" t="s">
        <v>2850</v>
      </c>
      <c r="H1080" s="73">
        <v>1</v>
      </c>
      <c r="I1080" s="105">
        <v>0</v>
      </c>
      <c r="J1080" s="15">
        <f t="shared" si="980"/>
        <v>0</v>
      </c>
      <c r="K1080" s="15">
        <f t="shared" si="981"/>
        <v>0</v>
      </c>
      <c r="L1080" s="15">
        <f t="shared" si="982"/>
        <v>0</v>
      </c>
      <c r="M1080" s="25" t="s">
        <v>2872</v>
      </c>
      <c r="N1080" s="5"/>
      <c r="Z1080" s="29">
        <f t="shared" si="983"/>
        <v>0</v>
      </c>
      <c r="AB1080" s="29">
        <f t="shared" si="984"/>
        <v>0</v>
      </c>
      <c r="AC1080" s="29">
        <f t="shared" si="985"/>
        <v>0</v>
      </c>
      <c r="AD1080" s="29">
        <f t="shared" si="986"/>
        <v>0</v>
      </c>
      <c r="AE1080" s="29">
        <f t="shared" si="987"/>
        <v>0</v>
      </c>
      <c r="AF1080" s="29">
        <f t="shared" si="988"/>
        <v>0</v>
      </c>
      <c r="AG1080" s="29">
        <f t="shared" si="989"/>
        <v>0</v>
      </c>
      <c r="AH1080" s="29">
        <f t="shared" si="990"/>
        <v>0</v>
      </c>
      <c r="AI1080" s="28" t="s">
        <v>2889</v>
      </c>
      <c r="AJ1080" s="15">
        <f t="shared" si="991"/>
        <v>0</v>
      </c>
      <c r="AK1080" s="15">
        <f t="shared" si="992"/>
        <v>0</v>
      </c>
      <c r="AL1080" s="15">
        <f t="shared" si="993"/>
        <v>0</v>
      </c>
      <c r="AN1080" s="29">
        <v>15</v>
      </c>
      <c r="AO1080" s="29">
        <f t="shared" si="994"/>
        <v>0</v>
      </c>
      <c r="AP1080" s="29">
        <f t="shared" si="995"/>
        <v>0</v>
      </c>
      <c r="AQ1080" s="30" t="s">
        <v>7</v>
      </c>
      <c r="AV1080" s="29">
        <f t="shared" si="996"/>
        <v>0</v>
      </c>
      <c r="AW1080" s="29">
        <f t="shared" si="997"/>
        <v>0</v>
      </c>
      <c r="AX1080" s="29">
        <f t="shared" si="998"/>
        <v>0</v>
      </c>
      <c r="AY1080" s="32" t="s">
        <v>2934</v>
      </c>
      <c r="AZ1080" s="32" t="s">
        <v>2956</v>
      </c>
      <c r="BA1080" s="28" t="s">
        <v>2964</v>
      </c>
      <c r="BC1080" s="29">
        <f t="shared" si="999"/>
        <v>0</v>
      </c>
      <c r="BD1080" s="29">
        <f t="shared" si="1000"/>
        <v>0</v>
      </c>
      <c r="BE1080" s="29">
        <v>0</v>
      </c>
      <c r="BF1080" s="29">
        <f>1080</f>
        <v>1080</v>
      </c>
      <c r="BH1080" s="15">
        <f t="shared" si="1001"/>
        <v>0</v>
      </c>
      <c r="BI1080" s="15">
        <f t="shared" si="1002"/>
        <v>0</v>
      </c>
      <c r="BJ1080" s="15">
        <f t="shared" si="1003"/>
        <v>0</v>
      </c>
      <c r="BK1080" s="15" t="s">
        <v>2969</v>
      </c>
      <c r="BL1080" s="29"/>
    </row>
    <row r="1081" spans="1:64" ht="12.75">
      <c r="A1081" s="4" t="s">
        <v>1006</v>
      </c>
      <c r="B1081" s="94" t="s">
        <v>1925</v>
      </c>
      <c r="C1081" s="152" t="s">
        <v>2838</v>
      </c>
      <c r="D1081" s="153"/>
      <c r="E1081" s="153"/>
      <c r="F1081" s="153"/>
      <c r="G1081" s="94" t="s">
        <v>2850</v>
      </c>
      <c r="H1081" s="73">
        <v>1</v>
      </c>
      <c r="I1081" s="105">
        <v>0</v>
      </c>
      <c r="J1081" s="15">
        <f t="shared" si="980"/>
        <v>0</v>
      </c>
      <c r="K1081" s="15">
        <f t="shared" si="981"/>
        <v>0</v>
      </c>
      <c r="L1081" s="15">
        <f t="shared" si="982"/>
        <v>0</v>
      </c>
      <c r="M1081" s="25" t="s">
        <v>2872</v>
      </c>
      <c r="N1081" s="5"/>
      <c r="Z1081" s="29">
        <f t="shared" si="983"/>
        <v>0</v>
      </c>
      <c r="AB1081" s="29">
        <f t="shared" si="984"/>
        <v>0</v>
      </c>
      <c r="AC1081" s="29">
        <f t="shared" si="985"/>
        <v>0</v>
      </c>
      <c r="AD1081" s="29">
        <f t="shared" si="986"/>
        <v>0</v>
      </c>
      <c r="AE1081" s="29">
        <f t="shared" si="987"/>
        <v>0</v>
      </c>
      <c r="AF1081" s="29">
        <f t="shared" si="988"/>
        <v>0</v>
      </c>
      <c r="AG1081" s="29">
        <f t="shared" si="989"/>
        <v>0</v>
      </c>
      <c r="AH1081" s="29">
        <f t="shared" si="990"/>
        <v>0</v>
      </c>
      <c r="AI1081" s="28" t="s">
        <v>2889</v>
      </c>
      <c r="AJ1081" s="15">
        <f t="shared" si="991"/>
        <v>0</v>
      </c>
      <c r="AK1081" s="15">
        <f t="shared" si="992"/>
        <v>0</v>
      </c>
      <c r="AL1081" s="15">
        <f t="shared" si="993"/>
        <v>0</v>
      </c>
      <c r="AN1081" s="29">
        <v>15</v>
      </c>
      <c r="AO1081" s="29">
        <f t="shared" si="994"/>
        <v>0</v>
      </c>
      <c r="AP1081" s="29">
        <f t="shared" si="995"/>
        <v>0</v>
      </c>
      <c r="AQ1081" s="30" t="s">
        <v>7</v>
      </c>
      <c r="AV1081" s="29">
        <f t="shared" si="996"/>
        <v>0</v>
      </c>
      <c r="AW1081" s="29">
        <f t="shared" si="997"/>
        <v>0</v>
      </c>
      <c r="AX1081" s="29">
        <f t="shared" si="998"/>
        <v>0</v>
      </c>
      <c r="AY1081" s="32" t="s">
        <v>2934</v>
      </c>
      <c r="AZ1081" s="32" t="s">
        <v>2956</v>
      </c>
      <c r="BA1081" s="28" t="s">
        <v>2964</v>
      </c>
      <c r="BC1081" s="29">
        <f t="shared" si="999"/>
        <v>0</v>
      </c>
      <c r="BD1081" s="29">
        <f t="shared" si="1000"/>
        <v>0</v>
      </c>
      <c r="BE1081" s="29">
        <v>0</v>
      </c>
      <c r="BF1081" s="29">
        <f>1081</f>
        <v>1081</v>
      </c>
      <c r="BH1081" s="15">
        <f t="shared" si="1001"/>
        <v>0</v>
      </c>
      <c r="BI1081" s="15">
        <f t="shared" si="1002"/>
        <v>0</v>
      </c>
      <c r="BJ1081" s="15">
        <f t="shared" si="1003"/>
        <v>0</v>
      </c>
      <c r="BK1081" s="15" t="s">
        <v>2969</v>
      </c>
      <c r="BL1081" s="29"/>
    </row>
    <row r="1082" spans="1:64" ht="12.75">
      <c r="A1082" s="4" t="s">
        <v>1007</v>
      </c>
      <c r="B1082" s="94" t="s">
        <v>1926</v>
      </c>
      <c r="C1082" s="152" t="s">
        <v>2839</v>
      </c>
      <c r="D1082" s="153"/>
      <c r="E1082" s="153"/>
      <c r="F1082" s="153"/>
      <c r="G1082" s="94" t="s">
        <v>2850</v>
      </c>
      <c r="H1082" s="73">
        <v>1</v>
      </c>
      <c r="I1082" s="105">
        <v>0</v>
      </c>
      <c r="J1082" s="15">
        <f t="shared" si="980"/>
        <v>0</v>
      </c>
      <c r="K1082" s="15">
        <f t="shared" si="981"/>
        <v>0</v>
      </c>
      <c r="L1082" s="15">
        <f t="shared" si="982"/>
        <v>0</v>
      </c>
      <c r="M1082" s="25" t="s">
        <v>2872</v>
      </c>
      <c r="N1082" s="5"/>
      <c r="Z1082" s="29">
        <f t="shared" si="983"/>
        <v>0</v>
      </c>
      <c r="AB1082" s="29">
        <f t="shared" si="984"/>
        <v>0</v>
      </c>
      <c r="AC1082" s="29">
        <f t="shared" si="985"/>
        <v>0</v>
      </c>
      <c r="AD1082" s="29">
        <f t="shared" si="986"/>
        <v>0</v>
      </c>
      <c r="AE1082" s="29">
        <f t="shared" si="987"/>
        <v>0</v>
      </c>
      <c r="AF1082" s="29">
        <f t="shared" si="988"/>
        <v>0</v>
      </c>
      <c r="AG1082" s="29">
        <f t="shared" si="989"/>
        <v>0</v>
      </c>
      <c r="AH1082" s="29">
        <f t="shared" si="990"/>
        <v>0</v>
      </c>
      <c r="AI1082" s="28" t="s">
        <v>2889</v>
      </c>
      <c r="AJ1082" s="15">
        <f t="shared" si="991"/>
        <v>0</v>
      </c>
      <c r="AK1082" s="15">
        <f t="shared" si="992"/>
        <v>0</v>
      </c>
      <c r="AL1082" s="15">
        <f t="shared" si="993"/>
        <v>0</v>
      </c>
      <c r="AN1082" s="29">
        <v>15</v>
      </c>
      <c r="AO1082" s="29">
        <f t="shared" si="994"/>
        <v>0</v>
      </c>
      <c r="AP1082" s="29">
        <f t="shared" si="995"/>
        <v>0</v>
      </c>
      <c r="AQ1082" s="30" t="s">
        <v>7</v>
      </c>
      <c r="AV1082" s="29">
        <f t="shared" si="996"/>
        <v>0</v>
      </c>
      <c r="AW1082" s="29">
        <f t="shared" si="997"/>
        <v>0</v>
      </c>
      <c r="AX1082" s="29">
        <f t="shared" si="998"/>
        <v>0</v>
      </c>
      <c r="AY1082" s="32" t="s">
        <v>2934</v>
      </c>
      <c r="AZ1082" s="32" t="s">
        <v>2956</v>
      </c>
      <c r="BA1082" s="28" t="s">
        <v>2964</v>
      </c>
      <c r="BC1082" s="29">
        <f t="shared" si="999"/>
        <v>0</v>
      </c>
      <c r="BD1082" s="29">
        <f t="shared" si="1000"/>
        <v>0</v>
      </c>
      <c r="BE1082" s="29">
        <v>0</v>
      </c>
      <c r="BF1082" s="29">
        <f>1082</f>
        <v>1082</v>
      </c>
      <c r="BH1082" s="15">
        <f t="shared" si="1001"/>
        <v>0</v>
      </c>
      <c r="BI1082" s="15">
        <f t="shared" si="1002"/>
        <v>0</v>
      </c>
      <c r="BJ1082" s="15">
        <f t="shared" si="1003"/>
        <v>0</v>
      </c>
      <c r="BK1082" s="15" t="s">
        <v>2969</v>
      </c>
      <c r="BL1082" s="29"/>
    </row>
    <row r="1083" spans="1:64" ht="12.75">
      <c r="A1083" s="4" t="s">
        <v>1008</v>
      </c>
      <c r="B1083" s="94" t="s">
        <v>1927</v>
      </c>
      <c r="C1083" s="152" t="s">
        <v>2840</v>
      </c>
      <c r="D1083" s="153"/>
      <c r="E1083" s="153"/>
      <c r="F1083" s="153"/>
      <c r="G1083" s="94" t="s">
        <v>2850</v>
      </c>
      <c r="H1083" s="73">
        <v>1</v>
      </c>
      <c r="I1083" s="105">
        <v>0</v>
      </c>
      <c r="J1083" s="15">
        <f t="shared" si="980"/>
        <v>0</v>
      </c>
      <c r="K1083" s="15">
        <f t="shared" si="981"/>
        <v>0</v>
      </c>
      <c r="L1083" s="15">
        <f t="shared" si="982"/>
        <v>0</v>
      </c>
      <c r="M1083" s="25" t="s">
        <v>2872</v>
      </c>
      <c r="N1083" s="5"/>
      <c r="Z1083" s="29">
        <f t="shared" si="983"/>
        <v>0</v>
      </c>
      <c r="AB1083" s="29">
        <f t="shared" si="984"/>
        <v>0</v>
      </c>
      <c r="AC1083" s="29">
        <f t="shared" si="985"/>
        <v>0</v>
      </c>
      <c r="AD1083" s="29">
        <f t="shared" si="986"/>
        <v>0</v>
      </c>
      <c r="AE1083" s="29">
        <f t="shared" si="987"/>
        <v>0</v>
      </c>
      <c r="AF1083" s="29">
        <f t="shared" si="988"/>
        <v>0</v>
      </c>
      <c r="AG1083" s="29">
        <f t="shared" si="989"/>
        <v>0</v>
      </c>
      <c r="AH1083" s="29">
        <f t="shared" si="990"/>
        <v>0</v>
      </c>
      <c r="AI1083" s="28" t="s">
        <v>2889</v>
      </c>
      <c r="AJ1083" s="15">
        <f t="shared" si="991"/>
        <v>0</v>
      </c>
      <c r="AK1083" s="15">
        <f t="shared" si="992"/>
        <v>0</v>
      </c>
      <c r="AL1083" s="15">
        <f t="shared" si="993"/>
        <v>0</v>
      </c>
      <c r="AN1083" s="29">
        <v>15</v>
      </c>
      <c r="AO1083" s="29">
        <f t="shared" si="994"/>
        <v>0</v>
      </c>
      <c r="AP1083" s="29">
        <f t="shared" si="995"/>
        <v>0</v>
      </c>
      <c r="AQ1083" s="30" t="s">
        <v>7</v>
      </c>
      <c r="AV1083" s="29">
        <f t="shared" si="996"/>
        <v>0</v>
      </c>
      <c r="AW1083" s="29">
        <f t="shared" si="997"/>
        <v>0</v>
      </c>
      <c r="AX1083" s="29">
        <f t="shared" si="998"/>
        <v>0</v>
      </c>
      <c r="AY1083" s="32" t="s">
        <v>2934</v>
      </c>
      <c r="AZ1083" s="32" t="s">
        <v>2956</v>
      </c>
      <c r="BA1083" s="28" t="s">
        <v>2964</v>
      </c>
      <c r="BC1083" s="29">
        <f t="shared" si="999"/>
        <v>0</v>
      </c>
      <c r="BD1083" s="29">
        <f t="shared" si="1000"/>
        <v>0</v>
      </c>
      <c r="BE1083" s="29">
        <v>0</v>
      </c>
      <c r="BF1083" s="29">
        <f>1083</f>
        <v>1083</v>
      </c>
      <c r="BH1083" s="15">
        <f t="shared" si="1001"/>
        <v>0</v>
      </c>
      <c r="BI1083" s="15">
        <f t="shared" si="1002"/>
        <v>0</v>
      </c>
      <c r="BJ1083" s="15">
        <f t="shared" si="1003"/>
        <v>0</v>
      </c>
      <c r="BK1083" s="15" t="s">
        <v>2969</v>
      </c>
      <c r="BL1083" s="29"/>
    </row>
    <row r="1084" spans="1:64" ht="12.75">
      <c r="A1084" s="4" t="s">
        <v>1009</v>
      </c>
      <c r="B1084" s="94" t="s">
        <v>1928</v>
      </c>
      <c r="C1084" s="152" t="s">
        <v>2841</v>
      </c>
      <c r="D1084" s="153"/>
      <c r="E1084" s="153"/>
      <c r="F1084" s="153"/>
      <c r="G1084" s="94" t="s">
        <v>2850</v>
      </c>
      <c r="H1084" s="73">
        <v>1</v>
      </c>
      <c r="I1084" s="105">
        <v>0</v>
      </c>
      <c r="J1084" s="15">
        <f aca="true" t="shared" si="1004" ref="J1084">H1084*AO1084</f>
        <v>0</v>
      </c>
      <c r="K1084" s="15">
        <f aca="true" t="shared" si="1005" ref="K1084">H1084*AP1084</f>
        <v>0</v>
      </c>
      <c r="L1084" s="15">
        <f aca="true" t="shared" si="1006" ref="L1084">H1084*I1084</f>
        <v>0</v>
      </c>
      <c r="M1084" s="25"/>
      <c r="N1084" s="5"/>
      <c r="Z1084" s="29"/>
      <c r="AB1084" s="29"/>
      <c r="AC1084" s="29"/>
      <c r="AD1084" s="29"/>
      <c r="AE1084" s="29"/>
      <c r="AF1084" s="29"/>
      <c r="AG1084" s="29"/>
      <c r="AH1084" s="29"/>
      <c r="AI1084" s="28"/>
      <c r="AJ1084" s="15"/>
      <c r="AK1084" s="15"/>
      <c r="AL1084" s="15"/>
      <c r="AN1084" s="29"/>
      <c r="AO1084" s="29"/>
      <c r="AP1084" s="29"/>
      <c r="AQ1084" s="30"/>
      <c r="AV1084" s="29"/>
      <c r="AW1084" s="29"/>
      <c r="AX1084" s="29"/>
      <c r="AY1084" s="32"/>
      <c r="AZ1084" s="32"/>
      <c r="BA1084" s="28"/>
      <c r="BC1084" s="29"/>
      <c r="BD1084" s="29"/>
      <c r="BE1084" s="29"/>
      <c r="BF1084" s="29"/>
      <c r="BH1084" s="15"/>
      <c r="BI1084" s="15"/>
      <c r="BJ1084" s="15"/>
      <c r="BK1084" s="15"/>
      <c r="BL1084" s="29"/>
    </row>
    <row r="1085" spans="1:64" ht="12.75">
      <c r="A1085" s="101" t="s">
        <v>3298</v>
      </c>
      <c r="B1085" s="102" t="s">
        <v>3299</v>
      </c>
      <c r="C1085" s="154" t="s">
        <v>3300</v>
      </c>
      <c r="D1085" s="155"/>
      <c r="E1085" s="155"/>
      <c r="F1085" s="155"/>
      <c r="G1085" s="102" t="s">
        <v>2850</v>
      </c>
      <c r="H1085" s="103">
        <v>1</v>
      </c>
      <c r="I1085" s="107">
        <v>0</v>
      </c>
      <c r="J1085" s="104">
        <f t="shared" si="980"/>
        <v>0</v>
      </c>
      <c r="K1085" s="104">
        <f t="shared" si="981"/>
        <v>0</v>
      </c>
      <c r="L1085" s="104">
        <f t="shared" si="982"/>
        <v>0</v>
      </c>
      <c r="M1085" s="206" t="s">
        <v>2872</v>
      </c>
      <c r="N1085" s="5"/>
      <c r="Z1085" s="29">
        <f t="shared" si="983"/>
        <v>0</v>
      </c>
      <c r="AB1085" s="29">
        <f t="shared" si="984"/>
        <v>0</v>
      </c>
      <c r="AC1085" s="29">
        <f t="shared" si="985"/>
        <v>0</v>
      </c>
      <c r="AD1085" s="29">
        <f t="shared" si="986"/>
        <v>0</v>
      </c>
      <c r="AE1085" s="29">
        <f t="shared" si="987"/>
        <v>0</v>
      </c>
      <c r="AF1085" s="29">
        <f t="shared" si="988"/>
        <v>0</v>
      </c>
      <c r="AG1085" s="29">
        <f t="shared" si="989"/>
        <v>0</v>
      </c>
      <c r="AH1085" s="29">
        <f t="shared" si="990"/>
        <v>0</v>
      </c>
      <c r="AI1085" s="28" t="s">
        <v>2889</v>
      </c>
      <c r="AJ1085" s="15">
        <f t="shared" si="991"/>
        <v>0</v>
      </c>
      <c r="AK1085" s="15">
        <f t="shared" si="992"/>
        <v>0</v>
      </c>
      <c r="AL1085" s="15">
        <f t="shared" si="993"/>
        <v>0</v>
      </c>
      <c r="AN1085" s="29">
        <v>15</v>
      </c>
      <c r="AO1085" s="29">
        <f t="shared" si="994"/>
        <v>0</v>
      </c>
      <c r="AP1085" s="29">
        <f t="shared" si="995"/>
        <v>0</v>
      </c>
      <c r="AQ1085" s="30" t="s">
        <v>7</v>
      </c>
      <c r="AV1085" s="29">
        <f t="shared" si="996"/>
        <v>0</v>
      </c>
      <c r="AW1085" s="29">
        <f t="shared" si="997"/>
        <v>0</v>
      </c>
      <c r="AX1085" s="29">
        <f t="shared" si="998"/>
        <v>0</v>
      </c>
      <c r="AY1085" s="32" t="s">
        <v>2934</v>
      </c>
      <c r="AZ1085" s="32" t="s">
        <v>2956</v>
      </c>
      <c r="BA1085" s="28" t="s">
        <v>2964</v>
      </c>
      <c r="BC1085" s="29">
        <f t="shared" si="999"/>
        <v>0</v>
      </c>
      <c r="BD1085" s="29">
        <f t="shared" si="1000"/>
        <v>0</v>
      </c>
      <c r="BE1085" s="29">
        <v>0</v>
      </c>
      <c r="BF1085" s="29">
        <f>1084</f>
        <v>1084</v>
      </c>
      <c r="BH1085" s="15">
        <f t="shared" si="1001"/>
        <v>0</v>
      </c>
      <c r="BI1085" s="15">
        <f t="shared" si="1002"/>
        <v>0</v>
      </c>
      <c r="BJ1085" s="15">
        <f t="shared" si="1003"/>
        <v>0</v>
      </c>
      <c r="BK1085" s="15" t="s">
        <v>2969</v>
      </c>
      <c r="BL1085" s="29"/>
    </row>
    <row r="1086" spans="1:13" ht="12.75">
      <c r="A1086" s="8"/>
      <c r="B1086" s="8"/>
      <c r="C1086" s="8"/>
      <c r="D1086" s="8"/>
      <c r="E1086" s="8"/>
      <c r="F1086" s="8"/>
      <c r="G1086" s="8"/>
      <c r="H1086" s="8"/>
      <c r="I1086" s="8"/>
      <c r="J1086" s="156" t="s">
        <v>2867</v>
      </c>
      <c r="K1086" s="143"/>
      <c r="L1086" s="35">
        <f>L13+L16+L22+L26+L28+L30+L50+L64+L73+L93+L96+L101+L104+L119+L136+L142+L152+L155+L164+L177+L179+L189+L199+L224+L278+L344+L365+L422+L520+L528+L535+L564+L593+L608+L618+L633+L638+L648+L780+L847+L850+L852+L857+L867+L883+L885+L888+L923+L946+L988+L1029+L1072</f>
        <v>0</v>
      </c>
      <c r="M1086" s="8"/>
    </row>
    <row r="1087" ht="11.25" customHeight="1">
      <c r="A1087" s="9" t="s">
        <v>1010</v>
      </c>
    </row>
    <row r="1088" spans="1:13" ht="12.75">
      <c r="A1088" s="157"/>
      <c r="B1088" s="158"/>
      <c r="C1088" s="158"/>
      <c r="D1088" s="158"/>
      <c r="E1088" s="158"/>
      <c r="F1088" s="158"/>
      <c r="G1088" s="158"/>
      <c r="H1088" s="158"/>
      <c r="I1088" s="158"/>
      <c r="J1088" s="158"/>
      <c r="K1088" s="158"/>
      <c r="L1088" s="158"/>
      <c r="M1088" s="158"/>
    </row>
  </sheetData>
  <sheetProtection algorithmName="SHA-512" hashValue="Iq/G8viUSgcG/4YWfZ8xolpG0H1XzZYtz2JoOnFfmMvyANdk13QQaWydnJ4E1ZyIg4y9pl/kK+A5iZl+Jt9ZiA==" saltValue="X6Eh9WduB8dSFBWK6DfirQ==" spinCount="100000" sheet="1" objects="1" scenarios="1"/>
  <mergeCells count="1104">
    <mergeCell ref="A6:B7"/>
    <mergeCell ref="C6:D7"/>
    <mergeCell ref="E6:F7"/>
    <mergeCell ref="G6:H7"/>
    <mergeCell ref="I6:I7"/>
    <mergeCell ref="J6:M7"/>
    <mergeCell ref="A4:B5"/>
    <mergeCell ref="C4:D5"/>
    <mergeCell ref="E4:F5"/>
    <mergeCell ref="G4:H5"/>
    <mergeCell ref="I4:I5"/>
    <mergeCell ref="J4:M5"/>
    <mergeCell ref="A1:M1"/>
    <mergeCell ref="A2:B3"/>
    <mergeCell ref="C2:D3"/>
    <mergeCell ref="E2:F3"/>
    <mergeCell ref="G2:H3"/>
    <mergeCell ref="I2:I3"/>
    <mergeCell ref="J2:M3"/>
    <mergeCell ref="C15:F15"/>
    <mergeCell ref="C16:F16"/>
    <mergeCell ref="C17:F17"/>
    <mergeCell ref="C18:M18"/>
    <mergeCell ref="C19:F19"/>
    <mergeCell ref="C20:F20"/>
    <mergeCell ref="C10:F10"/>
    <mergeCell ref="J10:L10"/>
    <mergeCell ref="C11:F11"/>
    <mergeCell ref="C12:F12"/>
    <mergeCell ref="C13:F13"/>
    <mergeCell ref="C14:F14"/>
    <mergeCell ref="A8:B9"/>
    <mergeCell ref="C8:D9"/>
    <mergeCell ref="E8:F9"/>
    <mergeCell ref="G8:H9"/>
    <mergeCell ref="I8:I9"/>
    <mergeCell ref="J8:M9"/>
    <mergeCell ref="C33:F33"/>
    <mergeCell ref="C34:M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M32"/>
    <mergeCell ref="C21:F21"/>
    <mergeCell ref="C22:F22"/>
    <mergeCell ref="C23:F23"/>
    <mergeCell ref="C24:F24"/>
    <mergeCell ref="C25:F25"/>
    <mergeCell ref="C26:F26"/>
    <mergeCell ref="C51:F51"/>
    <mergeCell ref="C52:F52"/>
    <mergeCell ref="C53:F53"/>
    <mergeCell ref="C54:F54"/>
    <mergeCell ref="C55:F55"/>
    <mergeCell ref="C56:F56"/>
    <mergeCell ref="C45:F45"/>
    <mergeCell ref="C46:F46"/>
    <mergeCell ref="C47:F47"/>
    <mergeCell ref="C48:F48"/>
    <mergeCell ref="C49:M49"/>
    <mergeCell ref="C50:F50"/>
    <mergeCell ref="C39:F39"/>
    <mergeCell ref="C40:F40"/>
    <mergeCell ref="C41:F41"/>
    <mergeCell ref="C42:F42"/>
    <mergeCell ref="C43:F43"/>
    <mergeCell ref="C44:F44"/>
    <mergeCell ref="C69:F69"/>
    <mergeCell ref="C70:F70"/>
    <mergeCell ref="C71:F71"/>
    <mergeCell ref="C72:F72"/>
    <mergeCell ref="C73:F73"/>
    <mergeCell ref="C74:F74"/>
    <mergeCell ref="C63:F63"/>
    <mergeCell ref="C64:F64"/>
    <mergeCell ref="C65:F65"/>
    <mergeCell ref="C66:F66"/>
    <mergeCell ref="C67:F67"/>
    <mergeCell ref="C68:F68"/>
    <mergeCell ref="C57:F57"/>
    <mergeCell ref="C58:F58"/>
    <mergeCell ref="C59:F59"/>
    <mergeCell ref="C60:F60"/>
    <mergeCell ref="C61:F61"/>
    <mergeCell ref="C62:F62"/>
    <mergeCell ref="C87:F87"/>
    <mergeCell ref="C88:F88"/>
    <mergeCell ref="C89:F89"/>
    <mergeCell ref="C90:F90"/>
    <mergeCell ref="C91:F91"/>
    <mergeCell ref="C92:F92"/>
    <mergeCell ref="C81:F81"/>
    <mergeCell ref="C82:F82"/>
    <mergeCell ref="C83:F83"/>
    <mergeCell ref="C84:F84"/>
    <mergeCell ref="C85:F85"/>
    <mergeCell ref="C86:F86"/>
    <mergeCell ref="C75:F75"/>
    <mergeCell ref="C76:F76"/>
    <mergeCell ref="C77:F77"/>
    <mergeCell ref="C78:F78"/>
    <mergeCell ref="C79:F79"/>
    <mergeCell ref="C80:F80"/>
    <mergeCell ref="C105:F105"/>
    <mergeCell ref="C106:F106"/>
    <mergeCell ref="C107:F107"/>
    <mergeCell ref="C108:F108"/>
    <mergeCell ref="C109:F109"/>
    <mergeCell ref="C110:F110"/>
    <mergeCell ref="C99:F99"/>
    <mergeCell ref="C100:M100"/>
    <mergeCell ref="C101:F101"/>
    <mergeCell ref="C102:F102"/>
    <mergeCell ref="C103:F103"/>
    <mergeCell ref="C104:F104"/>
    <mergeCell ref="C93:F93"/>
    <mergeCell ref="C94:F94"/>
    <mergeCell ref="C95:F95"/>
    <mergeCell ref="C96:F96"/>
    <mergeCell ref="C97:F97"/>
    <mergeCell ref="C98:M98"/>
    <mergeCell ref="C123:F123"/>
    <mergeCell ref="C124:M124"/>
    <mergeCell ref="C125:F125"/>
    <mergeCell ref="C126:M126"/>
    <mergeCell ref="C127:F127"/>
    <mergeCell ref="C128:M128"/>
    <mergeCell ref="C117:F117"/>
    <mergeCell ref="C118:F118"/>
    <mergeCell ref="C119:F119"/>
    <mergeCell ref="C120:F120"/>
    <mergeCell ref="C121:F121"/>
    <mergeCell ref="C122:F122"/>
    <mergeCell ref="C111:F111"/>
    <mergeCell ref="C112:F112"/>
    <mergeCell ref="C113:F113"/>
    <mergeCell ref="C114:F114"/>
    <mergeCell ref="C115:F115"/>
    <mergeCell ref="C116:F116"/>
    <mergeCell ref="C141:F141"/>
    <mergeCell ref="C142:F142"/>
    <mergeCell ref="C143:F143"/>
    <mergeCell ref="C144:F144"/>
    <mergeCell ref="C145:F145"/>
    <mergeCell ref="C146:F146"/>
    <mergeCell ref="C135:F135"/>
    <mergeCell ref="C136:F136"/>
    <mergeCell ref="C137:F137"/>
    <mergeCell ref="C138:F138"/>
    <mergeCell ref="C139:F139"/>
    <mergeCell ref="C140:F140"/>
    <mergeCell ref="C129:F129"/>
    <mergeCell ref="C130:F130"/>
    <mergeCell ref="C131:M131"/>
    <mergeCell ref="C132:F132"/>
    <mergeCell ref="C133:F133"/>
    <mergeCell ref="C134:F134"/>
    <mergeCell ref="C159:F159"/>
    <mergeCell ref="C160:F160"/>
    <mergeCell ref="C161:F161"/>
    <mergeCell ref="C162:F162"/>
    <mergeCell ref="C163:F163"/>
    <mergeCell ref="C164:F164"/>
    <mergeCell ref="C153:F153"/>
    <mergeCell ref="C154:F154"/>
    <mergeCell ref="C155:F155"/>
    <mergeCell ref="C156:F156"/>
    <mergeCell ref="C157:F157"/>
    <mergeCell ref="C158:F158"/>
    <mergeCell ref="C147:F147"/>
    <mergeCell ref="C148:F148"/>
    <mergeCell ref="C149:F149"/>
    <mergeCell ref="C150:F150"/>
    <mergeCell ref="C151:F151"/>
    <mergeCell ref="C152:F152"/>
    <mergeCell ref="C177:F177"/>
    <mergeCell ref="C178:F178"/>
    <mergeCell ref="C179:F179"/>
    <mergeCell ref="C180:F180"/>
    <mergeCell ref="C181:F181"/>
    <mergeCell ref="C182:F182"/>
    <mergeCell ref="C171:F171"/>
    <mergeCell ref="C172:F172"/>
    <mergeCell ref="C173:F173"/>
    <mergeCell ref="C174:F174"/>
    <mergeCell ref="C175:F175"/>
    <mergeCell ref="C176:F176"/>
    <mergeCell ref="C165:F165"/>
    <mergeCell ref="C166:F166"/>
    <mergeCell ref="C167:F167"/>
    <mergeCell ref="C168:F168"/>
    <mergeCell ref="C169:F169"/>
    <mergeCell ref="C170:F170"/>
    <mergeCell ref="C195:F195"/>
    <mergeCell ref="C196:F196"/>
    <mergeCell ref="C197:F197"/>
    <mergeCell ref="C198:F198"/>
    <mergeCell ref="C199:F199"/>
    <mergeCell ref="C200:F200"/>
    <mergeCell ref="C189:F189"/>
    <mergeCell ref="C190:F190"/>
    <mergeCell ref="C191:F191"/>
    <mergeCell ref="C192:F192"/>
    <mergeCell ref="C193:F193"/>
    <mergeCell ref="C194:F194"/>
    <mergeCell ref="C183:F183"/>
    <mergeCell ref="C184:F184"/>
    <mergeCell ref="C185:F185"/>
    <mergeCell ref="C186:F186"/>
    <mergeCell ref="C187:F187"/>
    <mergeCell ref="C188:F188"/>
    <mergeCell ref="C213:F213"/>
    <mergeCell ref="C214:F214"/>
    <mergeCell ref="C215:F215"/>
    <mergeCell ref="C216:F216"/>
    <mergeCell ref="C217:F217"/>
    <mergeCell ref="C218:F218"/>
    <mergeCell ref="C207:F207"/>
    <mergeCell ref="C208:F208"/>
    <mergeCell ref="C209:F209"/>
    <mergeCell ref="C210:F210"/>
    <mergeCell ref="C211:F211"/>
    <mergeCell ref="C212:F212"/>
    <mergeCell ref="C201:F201"/>
    <mergeCell ref="C202:F202"/>
    <mergeCell ref="C203:F203"/>
    <mergeCell ref="C204:F204"/>
    <mergeCell ref="C205:F205"/>
    <mergeCell ref="C206:F206"/>
    <mergeCell ref="C231:F231"/>
    <mergeCell ref="C232:F232"/>
    <mergeCell ref="C233:F233"/>
    <mergeCell ref="C234:F234"/>
    <mergeCell ref="C235:F235"/>
    <mergeCell ref="C236:F236"/>
    <mergeCell ref="C225:F225"/>
    <mergeCell ref="C226:F226"/>
    <mergeCell ref="C227:F227"/>
    <mergeCell ref="C228:F228"/>
    <mergeCell ref="C229:F229"/>
    <mergeCell ref="C230:F230"/>
    <mergeCell ref="C219:F219"/>
    <mergeCell ref="C220:F220"/>
    <mergeCell ref="C221:F221"/>
    <mergeCell ref="C222:F222"/>
    <mergeCell ref="C223:F223"/>
    <mergeCell ref="C224:F224"/>
    <mergeCell ref="C249:F249"/>
    <mergeCell ref="C250:F250"/>
    <mergeCell ref="C251:F251"/>
    <mergeCell ref="C252:F252"/>
    <mergeCell ref="C253:F253"/>
    <mergeCell ref="C254:F254"/>
    <mergeCell ref="C243:F243"/>
    <mergeCell ref="C244:F244"/>
    <mergeCell ref="C245:F245"/>
    <mergeCell ref="C246:F246"/>
    <mergeCell ref="C247:F247"/>
    <mergeCell ref="C248:F248"/>
    <mergeCell ref="C237:F237"/>
    <mergeCell ref="C238:F238"/>
    <mergeCell ref="C239:F239"/>
    <mergeCell ref="C240:F240"/>
    <mergeCell ref="C241:F241"/>
    <mergeCell ref="C242:F242"/>
    <mergeCell ref="C267:F267"/>
    <mergeCell ref="C268:F268"/>
    <mergeCell ref="C269:F269"/>
    <mergeCell ref="C270:F270"/>
    <mergeCell ref="C271:F271"/>
    <mergeCell ref="C272:F272"/>
    <mergeCell ref="C261:F261"/>
    <mergeCell ref="C262:F262"/>
    <mergeCell ref="C263:F263"/>
    <mergeCell ref="C264:F264"/>
    <mergeCell ref="C265:F265"/>
    <mergeCell ref="C266:F266"/>
    <mergeCell ref="C255:F255"/>
    <mergeCell ref="C256:F256"/>
    <mergeCell ref="C257:F257"/>
    <mergeCell ref="C258:F258"/>
    <mergeCell ref="C259:F259"/>
    <mergeCell ref="C260:F260"/>
    <mergeCell ref="C285:F285"/>
    <mergeCell ref="C286:F286"/>
    <mergeCell ref="C287:F287"/>
    <mergeCell ref="C288:F288"/>
    <mergeCell ref="C289:F289"/>
    <mergeCell ref="C290:F290"/>
    <mergeCell ref="C279:F279"/>
    <mergeCell ref="C280:F280"/>
    <mergeCell ref="C281:F281"/>
    <mergeCell ref="C282:F282"/>
    <mergeCell ref="C283:F283"/>
    <mergeCell ref="C284:F284"/>
    <mergeCell ref="C273:F273"/>
    <mergeCell ref="C274:F274"/>
    <mergeCell ref="C275:F275"/>
    <mergeCell ref="C276:F276"/>
    <mergeCell ref="C277:F277"/>
    <mergeCell ref="C278:F278"/>
    <mergeCell ref="C303:F303"/>
    <mergeCell ref="C304:F304"/>
    <mergeCell ref="C305:F305"/>
    <mergeCell ref="C306:F306"/>
    <mergeCell ref="C307:F307"/>
    <mergeCell ref="C308:F308"/>
    <mergeCell ref="C297:F297"/>
    <mergeCell ref="C298:F298"/>
    <mergeCell ref="C299:F299"/>
    <mergeCell ref="C300:F300"/>
    <mergeCell ref="C301:F301"/>
    <mergeCell ref="C302:F302"/>
    <mergeCell ref="C291:F291"/>
    <mergeCell ref="C292:F292"/>
    <mergeCell ref="C293:F293"/>
    <mergeCell ref="C294:F294"/>
    <mergeCell ref="C295:F295"/>
    <mergeCell ref="C296:F296"/>
    <mergeCell ref="C321:F321"/>
    <mergeCell ref="C322:F322"/>
    <mergeCell ref="C323:F323"/>
    <mergeCell ref="C324:F324"/>
    <mergeCell ref="C325:F325"/>
    <mergeCell ref="C326:F326"/>
    <mergeCell ref="C315:F315"/>
    <mergeCell ref="C316:F316"/>
    <mergeCell ref="C317:F317"/>
    <mergeCell ref="C318:F318"/>
    <mergeCell ref="C319:F319"/>
    <mergeCell ref="C320:F320"/>
    <mergeCell ref="C309:F309"/>
    <mergeCell ref="C310:F310"/>
    <mergeCell ref="C311:F311"/>
    <mergeCell ref="C312:F312"/>
    <mergeCell ref="C313:F313"/>
    <mergeCell ref="C314:F314"/>
    <mergeCell ref="C339:F339"/>
    <mergeCell ref="C340:F340"/>
    <mergeCell ref="C341:F341"/>
    <mergeCell ref="C342:F342"/>
    <mergeCell ref="C343:F343"/>
    <mergeCell ref="C344:F344"/>
    <mergeCell ref="C333:F333"/>
    <mergeCell ref="C334:F334"/>
    <mergeCell ref="C335:F335"/>
    <mergeCell ref="C336:F336"/>
    <mergeCell ref="C337:F337"/>
    <mergeCell ref="C338:F338"/>
    <mergeCell ref="C327:F327"/>
    <mergeCell ref="C328:F328"/>
    <mergeCell ref="C329:F329"/>
    <mergeCell ref="C330:F330"/>
    <mergeCell ref="C331:F331"/>
    <mergeCell ref="C332:F332"/>
    <mergeCell ref="C357:F357"/>
    <mergeCell ref="C358:F358"/>
    <mergeCell ref="C359:F359"/>
    <mergeCell ref="C360:F360"/>
    <mergeCell ref="C361:F361"/>
    <mergeCell ref="C362:F362"/>
    <mergeCell ref="C351:F351"/>
    <mergeCell ref="C352:F352"/>
    <mergeCell ref="C353:F353"/>
    <mergeCell ref="C354:F354"/>
    <mergeCell ref="C355:F355"/>
    <mergeCell ref="C356:F356"/>
    <mergeCell ref="C345:F345"/>
    <mergeCell ref="C346:F346"/>
    <mergeCell ref="C347:F347"/>
    <mergeCell ref="C348:F348"/>
    <mergeCell ref="C349:F349"/>
    <mergeCell ref="C350:F350"/>
    <mergeCell ref="C375:F375"/>
    <mergeCell ref="C376:F376"/>
    <mergeCell ref="C377:F377"/>
    <mergeCell ref="C378:F378"/>
    <mergeCell ref="C379:F379"/>
    <mergeCell ref="C380:F380"/>
    <mergeCell ref="C369:F369"/>
    <mergeCell ref="C370:F370"/>
    <mergeCell ref="C371:F371"/>
    <mergeCell ref="C372:F372"/>
    <mergeCell ref="C373:F373"/>
    <mergeCell ref="C374:F374"/>
    <mergeCell ref="C363:F363"/>
    <mergeCell ref="C364:F364"/>
    <mergeCell ref="C365:F365"/>
    <mergeCell ref="C366:F366"/>
    <mergeCell ref="C367:F367"/>
    <mergeCell ref="C368:F368"/>
    <mergeCell ref="C393:F393"/>
    <mergeCell ref="C394:F394"/>
    <mergeCell ref="C395:F395"/>
    <mergeCell ref="C396:F396"/>
    <mergeCell ref="C397:F397"/>
    <mergeCell ref="C398:F398"/>
    <mergeCell ref="C387:F387"/>
    <mergeCell ref="C388:F388"/>
    <mergeCell ref="C389:F389"/>
    <mergeCell ref="C390:F390"/>
    <mergeCell ref="C391:F391"/>
    <mergeCell ref="C392:F392"/>
    <mergeCell ref="C381:F381"/>
    <mergeCell ref="C382:F382"/>
    <mergeCell ref="C383:F383"/>
    <mergeCell ref="C384:F384"/>
    <mergeCell ref="C385:F385"/>
    <mergeCell ref="C386:F386"/>
    <mergeCell ref="C411:F411"/>
    <mergeCell ref="C412:F412"/>
    <mergeCell ref="C413:F413"/>
    <mergeCell ref="C414:F414"/>
    <mergeCell ref="C415:F415"/>
    <mergeCell ref="C416:F416"/>
    <mergeCell ref="C405:F405"/>
    <mergeCell ref="C406:F406"/>
    <mergeCell ref="C407:F407"/>
    <mergeCell ref="C408:F408"/>
    <mergeCell ref="C409:F409"/>
    <mergeCell ref="C410:F410"/>
    <mergeCell ref="C399:F399"/>
    <mergeCell ref="C400:F400"/>
    <mergeCell ref="C401:F401"/>
    <mergeCell ref="C402:F402"/>
    <mergeCell ref="C403:F403"/>
    <mergeCell ref="C404:F404"/>
    <mergeCell ref="C429:F429"/>
    <mergeCell ref="C430:F430"/>
    <mergeCell ref="C431:F431"/>
    <mergeCell ref="C432:F432"/>
    <mergeCell ref="C433:F433"/>
    <mergeCell ref="C434:F434"/>
    <mergeCell ref="C423:F423"/>
    <mergeCell ref="C424:F424"/>
    <mergeCell ref="C425:F425"/>
    <mergeCell ref="C426:F426"/>
    <mergeCell ref="C427:F427"/>
    <mergeCell ref="C428:F428"/>
    <mergeCell ref="C417:F417"/>
    <mergeCell ref="C418:F418"/>
    <mergeCell ref="C419:F419"/>
    <mergeCell ref="C420:F420"/>
    <mergeCell ref="C421:F421"/>
    <mergeCell ref="C422:F422"/>
    <mergeCell ref="C447:F447"/>
    <mergeCell ref="C448:F448"/>
    <mergeCell ref="C449:F449"/>
    <mergeCell ref="C450:F450"/>
    <mergeCell ref="C451:F451"/>
    <mergeCell ref="C452:F452"/>
    <mergeCell ref="C441:F441"/>
    <mergeCell ref="C442:F442"/>
    <mergeCell ref="C443:F443"/>
    <mergeCell ref="C444:F444"/>
    <mergeCell ref="C445:F445"/>
    <mergeCell ref="C446:F446"/>
    <mergeCell ref="C435:F435"/>
    <mergeCell ref="C436:F436"/>
    <mergeCell ref="C437:F437"/>
    <mergeCell ref="C438:F438"/>
    <mergeCell ref="C439:F439"/>
    <mergeCell ref="C440:F440"/>
    <mergeCell ref="C465:F465"/>
    <mergeCell ref="C466:F466"/>
    <mergeCell ref="C467:F467"/>
    <mergeCell ref="C468:F468"/>
    <mergeCell ref="C469:F469"/>
    <mergeCell ref="C470:F470"/>
    <mergeCell ref="C459:F459"/>
    <mergeCell ref="C460:F460"/>
    <mergeCell ref="C461:F461"/>
    <mergeCell ref="C462:F462"/>
    <mergeCell ref="C463:F463"/>
    <mergeCell ref="C464:F464"/>
    <mergeCell ref="C453:F453"/>
    <mergeCell ref="C454:F454"/>
    <mergeCell ref="C455:F455"/>
    <mergeCell ref="C456:F456"/>
    <mergeCell ref="C457:F457"/>
    <mergeCell ref="C458:F458"/>
    <mergeCell ref="C483:F483"/>
    <mergeCell ref="C484:F484"/>
    <mergeCell ref="C485:F485"/>
    <mergeCell ref="C486:F486"/>
    <mergeCell ref="C487:F487"/>
    <mergeCell ref="C488:F488"/>
    <mergeCell ref="C477:F477"/>
    <mergeCell ref="C478:F478"/>
    <mergeCell ref="C479:F479"/>
    <mergeCell ref="C480:F480"/>
    <mergeCell ref="C481:F481"/>
    <mergeCell ref="C482:F482"/>
    <mergeCell ref="C471:F471"/>
    <mergeCell ref="C472:F472"/>
    <mergeCell ref="C473:F473"/>
    <mergeCell ref="C474:F474"/>
    <mergeCell ref="C475:F475"/>
    <mergeCell ref="C476:F476"/>
    <mergeCell ref="C501:F501"/>
    <mergeCell ref="C502:F502"/>
    <mergeCell ref="C503:F503"/>
    <mergeCell ref="C504:F504"/>
    <mergeCell ref="C505:F505"/>
    <mergeCell ref="C506:F506"/>
    <mergeCell ref="C495:F495"/>
    <mergeCell ref="C496:F496"/>
    <mergeCell ref="C497:F497"/>
    <mergeCell ref="C498:F498"/>
    <mergeCell ref="C499:F499"/>
    <mergeCell ref="C500:F500"/>
    <mergeCell ref="C489:F489"/>
    <mergeCell ref="C490:F490"/>
    <mergeCell ref="C491:F491"/>
    <mergeCell ref="C492:F492"/>
    <mergeCell ref="C493:F493"/>
    <mergeCell ref="C494:F494"/>
    <mergeCell ref="C519:F519"/>
    <mergeCell ref="C520:F520"/>
    <mergeCell ref="C521:F521"/>
    <mergeCell ref="C522:F522"/>
    <mergeCell ref="C523:F523"/>
    <mergeCell ref="C524:F524"/>
    <mergeCell ref="C513:F513"/>
    <mergeCell ref="C514:F514"/>
    <mergeCell ref="C515:F515"/>
    <mergeCell ref="C516:F516"/>
    <mergeCell ref="C517:F517"/>
    <mergeCell ref="C518:F518"/>
    <mergeCell ref="C507:F507"/>
    <mergeCell ref="C508:F508"/>
    <mergeCell ref="C509:F509"/>
    <mergeCell ref="C510:F510"/>
    <mergeCell ref="C511:F511"/>
    <mergeCell ref="C512:F512"/>
    <mergeCell ref="C537:F537"/>
    <mergeCell ref="C538:F538"/>
    <mergeCell ref="C539:F539"/>
    <mergeCell ref="C540:F540"/>
    <mergeCell ref="C541:F541"/>
    <mergeCell ref="C542:F542"/>
    <mergeCell ref="C531:F531"/>
    <mergeCell ref="C532:F532"/>
    <mergeCell ref="C533:F533"/>
    <mergeCell ref="C534:F534"/>
    <mergeCell ref="C535:F535"/>
    <mergeCell ref="C536:F536"/>
    <mergeCell ref="C525:F525"/>
    <mergeCell ref="C526:F526"/>
    <mergeCell ref="C527:F527"/>
    <mergeCell ref="C528:F528"/>
    <mergeCell ref="C529:F529"/>
    <mergeCell ref="C530:F530"/>
    <mergeCell ref="C555:F555"/>
    <mergeCell ref="C556:F556"/>
    <mergeCell ref="C557:F557"/>
    <mergeCell ref="C558:F558"/>
    <mergeCell ref="C559:F559"/>
    <mergeCell ref="C560:F560"/>
    <mergeCell ref="C549:F549"/>
    <mergeCell ref="C550:F550"/>
    <mergeCell ref="C551:F551"/>
    <mergeCell ref="C552:F552"/>
    <mergeCell ref="C553:F553"/>
    <mergeCell ref="C554:F554"/>
    <mergeCell ref="C543:F543"/>
    <mergeCell ref="C544:F544"/>
    <mergeCell ref="C545:F545"/>
    <mergeCell ref="C546:F546"/>
    <mergeCell ref="C547:F547"/>
    <mergeCell ref="C548:F548"/>
    <mergeCell ref="C573:F573"/>
    <mergeCell ref="C574:F574"/>
    <mergeCell ref="C575:F575"/>
    <mergeCell ref="C576:F576"/>
    <mergeCell ref="C577:F577"/>
    <mergeCell ref="C578:F578"/>
    <mergeCell ref="C567:F567"/>
    <mergeCell ref="C568:F568"/>
    <mergeCell ref="C569:F569"/>
    <mergeCell ref="C570:F570"/>
    <mergeCell ref="C571:F571"/>
    <mergeCell ref="C572:F572"/>
    <mergeCell ref="C561:F561"/>
    <mergeCell ref="C562:F562"/>
    <mergeCell ref="C563:F563"/>
    <mergeCell ref="C564:F564"/>
    <mergeCell ref="C565:F565"/>
    <mergeCell ref="C566:F566"/>
    <mergeCell ref="C591:F591"/>
    <mergeCell ref="C592:F592"/>
    <mergeCell ref="C593:F593"/>
    <mergeCell ref="C594:F594"/>
    <mergeCell ref="C595:F595"/>
    <mergeCell ref="C596:F596"/>
    <mergeCell ref="C585:F585"/>
    <mergeCell ref="C586:F586"/>
    <mergeCell ref="C587:F587"/>
    <mergeCell ref="C588:F588"/>
    <mergeCell ref="C589:F589"/>
    <mergeCell ref="C590:F590"/>
    <mergeCell ref="C579:F579"/>
    <mergeCell ref="C580:F580"/>
    <mergeCell ref="C581:F581"/>
    <mergeCell ref="C582:F582"/>
    <mergeCell ref="C583:F583"/>
    <mergeCell ref="C584:F584"/>
    <mergeCell ref="C609:F609"/>
    <mergeCell ref="C610:F610"/>
    <mergeCell ref="C611:F611"/>
    <mergeCell ref="C612:F612"/>
    <mergeCell ref="C613:F613"/>
    <mergeCell ref="C614:F614"/>
    <mergeCell ref="C603:F603"/>
    <mergeCell ref="C604:F604"/>
    <mergeCell ref="C605:F605"/>
    <mergeCell ref="C606:F606"/>
    <mergeCell ref="C607:F607"/>
    <mergeCell ref="C608:F608"/>
    <mergeCell ref="C597:F597"/>
    <mergeCell ref="C598:F598"/>
    <mergeCell ref="C599:F599"/>
    <mergeCell ref="C600:F600"/>
    <mergeCell ref="C601:F601"/>
    <mergeCell ref="C602:F602"/>
    <mergeCell ref="C627:F627"/>
    <mergeCell ref="C628:F628"/>
    <mergeCell ref="C629:F629"/>
    <mergeCell ref="C630:F630"/>
    <mergeCell ref="C631:F631"/>
    <mergeCell ref="C632:F632"/>
    <mergeCell ref="C621:F621"/>
    <mergeCell ref="C622:F622"/>
    <mergeCell ref="C623:F623"/>
    <mergeCell ref="C624:F624"/>
    <mergeCell ref="C625:F625"/>
    <mergeCell ref="C626:F626"/>
    <mergeCell ref="C615:F615"/>
    <mergeCell ref="C616:F616"/>
    <mergeCell ref="C617:F617"/>
    <mergeCell ref="C618:F618"/>
    <mergeCell ref="C619:F619"/>
    <mergeCell ref="C620:F620"/>
    <mergeCell ref="C645:F645"/>
    <mergeCell ref="C646:F646"/>
    <mergeCell ref="C647:F647"/>
    <mergeCell ref="C648:F648"/>
    <mergeCell ref="C649:F649"/>
    <mergeCell ref="C650:F650"/>
    <mergeCell ref="C639:F639"/>
    <mergeCell ref="C640:F640"/>
    <mergeCell ref="C641:F641"/>
    <mergeCell ref="C642:F642"/>
    <mergeCell ref="C643:F643"/>
    <mergeCell ref="C644:F644"/>
    <mergeCell ref="C633:F633"/>
    <mergeCell ref="C634:F634"/>
    <mergeCell ref="C635:F635"/>
    <mergeCell ref="C636:F636"/>
    <mergeCell ref="C637:F637"/>
    <mergeCell ref="C638:F638"/>
    <mergeCell ref="C663:F663"/>
    <mergeCell ref="C664:F664"/>
    <mergeCell ref="C665:F665"/>
    <mergeCell ref="C666:F666"/>
    <mergeCell ref="C667:F667"/>
    <mergeCell ref="C668:F668"/>
    <mergeCell ref="C657:F657"/>
    <mergeCell ref="C658:F658"/>
    <mergeCell ref="C659:F659"/>
    <mergeCell ref="C660:F660"/>
    <mergeCell ref="C661:F661"/>
    <mergeCell ref="C662:F662"/>
    <mergeCell ref="C651:F651"/>
    <mergeCell ref="C652:F652"/>
    <mergeCell ref="C653:F653"/>
    <mergeCell ref="C654:F654"/>
    <mergeCell ref="C655:F655"/>
    <mergeCell ref="C656:F656"/>
    <mergeCell ref="C681:F681"/>
    <mergeCell ref="C682:F682"/>
    <mergeCell ref="C683:F683"/>
    <mergeCell ref="C684:F684"/>
    <mergeCell ref="C685:F685"/>
    <mergeCell ref="C686:F686"/>
    <mergeCell ref="C675:F675"/>
    <mergeCell ref="C676:F676"/>
    <mergeCell ref="C677:F677"/>
    <mergeCell ref="C678:F678"/>
    <mergeCell ref="C679:F679"/>
    <mergeCell ref="C680:F680"/>
    <mergeCell ref="C669:F669"/>
    <mergeCell ref="C670:F670"/>
    <mergeCell ref="C671:F671"/>
    <mergeCell ref="C672:F672"/>
    <mergeCell ref="C673:F673"/>
    <mergeCell ref="C674:F674"/>
    <mergeCell ref="C699:F699"/>
    <mergeCell ref="C700:F700"/>
    <mergeCell ref="C701:F701"/>
    <mergeCell ref="C702:F702"/>
    <mergeCell ref="C703:F703"/>
    <mergeCell ref="C704:F704"/>
    <mergeCell ref="C693:F693"/>
    <mergeCell ref="C694:F694"/>
    <mergeCell ref="C695:F695"/>
    <mergeCell ref="C696:F696"/>
    <mergeCell ref="C697:F697"/>
    <mergeCell ref="C698:F698"/>
    <mergeCell ref="C687:F687"/>
    <mergeCell ref="C688:F688"/>
    <mergeCell ref="C689:F689"/>
    <mergeCell ref="C690:F690"/>
    <mergeCell ref="C691:F691"/>
    <mergeCell ref="C692:F692"/>
    <mergeCell ref="C717:F717"/>
    <mergeCell ref="C718:F718"/>
    <mergeCell ref="C719:F719"/>
    <mergeCell ref="C720:F720"/>
    <mergeCell ref="C721:F721"/>
    <mergeCell ref="C722:F722"/>
    <mergeCell ref="C711:F711"/>
    <mergeCell ref="C712:F712"/>
    <mergeCell ref="C713:F713"/>
    <mergeCell ref="C714:F714"/>
    <mergeCell ref="C715:F715"/>
    <mergeCell ref="C716:F716"/>
    <mergeCell ref="C705:F705"/>
    <mergeCell ref="C706:F706"/>
    <mergeCell ref="C707:F707"/>
    <mergeCell ref="C708:F708"/>
    <mergeCell ref="C709:F709"/>
    <mergeCell ref="C710:F710"/>
    <mergeCell ref="C735:F735"/>
    <mergeCell ref="C736:F736"/>
    <mergeCell ref="C737:F737"/>
    <mergeCell ref="C738:F738"/>
    <mergeCell ref="C739:F739"/>
    <mergeCell ref="C740:F740"/>
    <mergeCell ref="C729:F729"/>
    <mergeCell ref="C730:F730"/>
    <mergeCell ref="C731:F731"/>
    <mergeCell ref="C732:F732"/>
    <mergeCell ref="C733:F733"/>
    <mergeCell ref="C734:F734"/>
    <mergeCell ref="C723:F723"/>
    <mergeCell ref="C724:F724"/>
    <mergeCell ref="C725:F725"/>
    <mergeCell ref="C726:F726"/>
    <mergeCell ref="C727:F727"/>
    <mergeCell ref="C728:F728"/>
    <mergeCell ref="C753:F753"/>
    <mergeCell ref="C754:F754"/>
    <mergeCell ref="C755:F755"/>
    <mergeCell ref="C756:F756"/>
    <mergeCell ref="C757:F757"/>
    <mergeCell ref="C758:F758"/>
    <mergeCell ref="C747:F747"/>
    <mergeCell ref="C748:F748"/>
    <mergeCell ref="C749:F749"/>
    <mergeCell ref="C750:F750"/>
    <mergeCell ref="C751:F751"/>
    <mergeCell ref="C752:F752"/>
    <mergeCell ref="C741:F741"/>
    <mergeCell ref="C742:F742"/>
    <mergeCell ref="C743:F743"/>
    <mergeCell ref="C744:F744"/>
    <mergeCell ref="C745:F745"/>
    <mergeCell ref="C746:F746"/>
    <mergeCell ref="C771:F771"/>
    <mergeCell ref="C772:F772"/>
    <mergeCell ref="C773:F773"/>
    <mergeCell ref="C774:F774"/>
    <mergeCell ref="C775:F775"/>
    <mergeCell ref="C776:F776"/>
    <mergeCell ref="C765:F765"/>
    <mergeCell ref="C766:F766"/>
    <mergeCell ref="C767:F767"/>
    <mergeCell ref="C768:F768"/>
    <mergeCell ref="C769:F769"/>
    <mergeCell ref="C770:F770"/>
    <mergeCell ref="C759:F759"/>
    <mergeCell ref="C760:F760"/>
    <mergeCell ref="C761:F761"/>
    <mergeCell ref="C762:F762"/>
    <mergeCell ref="C763:F763"/>
    <mergeCell ref="C764:F764"/>
    <mergeCell ref="C789:F789"/>
    <mergeCell ref="C790:F790"/>
    <mergeCell ref="C791:F791"/>
    <mergeCell ref="C792:F792"/>
    <mergeCell ref="C793:F793"/>
    <mergeCell ref="C794:F794"/>
    <mergeCell ref="C783:F783"/>
    <mergeCell ref="C784:F784"/>
    <mergeCell ref="C785:F785"/>
    <mergeCell ref="C786:F786"/>
    <mergeCell ref="C787:F787"/>
    <mergeCell ref="C788:F788"/>
    <mergeCell ref="C777:F777"/>
    <mergeCell ref="C778:F778"/>
    <mergeCell ref="C779:F779"/>
    <mergeCell ref="C780:F780"/>
    <mergeCell ref="C781:F781"/>
    <mergeCell ref="C782:F782"/>
    <mergeCell ref="C807:F807"/>
    <mergeCell ref="C808:F808"/>
    <mergeCell ref="C809:F809"/>
    <mergeCell ref="C810:F810"/>
    <mergeCell ref="C811:F811"/>
    <mergeCell ref="C812:F812"/>
    <mergeCell ref="C801:F801"/>
    <mergeCell ref="C802:F802"/>
    <mergeCell ref="C803:F803"/>
    <mergeCell ref="C804:F804"/>
    <mergeCell ref="C805:F805"/>
    <mergeCell ref="C806:F806"/>
    <mergeCell ref="C795:F795"/>
    <mergeCell ref="C796:F796"/>
    <mergeCell ref="C797:F797"/>
    <mergeCell ref="C798:F798"/>
    <mergeCell ref="C799:F799"/>
    <mergeCell ref="C800:F800"/>
    <mergeCell ref="C825:F825"/>
    <mergeCell ref="C826:F826"/>
    <mergeCell ref="C827:F827"/>
    <mergeCell ref="C828:F828"/>
    <mergeCell ref="C829:F829"/>
    <mergeCell ref="C830:F830"/>
    <mergeCell ref="C819:F819"/>
    <mergeCell ref="C820:F820"/>
    <mergeCell ref="C821:F821"/>
    <mergeCell ref="C822:F822"/>
    <mergeCell ref="C823:F823"/>
    <mergeCell ref="C824:F824"/>
    <mergeCell ref="C813:F813"/>
    <mergeCell ref="C814:F814"/>
    <mergeCell ref="C815:F815"/>
    <mergeCell ref="C816:F816"/>
    <mergeCell ref="C817:F817"/>
    <mergeCell ref="C818:F818"/>
    <mergeCell ref="C843:F843"/>
    <mergeCell ref="C844:F844"/>
    <mergeCell ref="C845:F845"/>
    <mergeCell ref="C846:F846"/>
    <mergeCell ref="C847:F847"/>
    <mergeCell ref="C848:F848"/>
    <mergeCell ref="C837:F837"/>
    <mergeCell ref="C838:F838"/>
    <mergeCell ref="C839:F839"/>
    <mergeCell ref="C840:F840"/>
    <mergeCell ref="C841:F841"/>
    <mergeCell ref="C842:F842"/>
    <mergeCell ref="C831:F831"/>
    <mergeCell ref="C832:F832"/>
    <mergeCell ref="C833:F833"/>
    <mergeCell ref="C834:F834"/>
    <mergeCell ref="C835:F835"/>
    <mergeCell ref="C836:F836"/>
    <mergeCell ref="C861:F861"/>
    <mergeCell ref="C862:F862"/>
    <mergeCell ref="C863:F863"/>
    <mergeCell ref="C864:F864"/>
    <mergeCell ref="C865:F865"/>
    <mergeCell ref="C866:F866"/>
    <mergeCell ref="C855:F855"/>
    <mergeCell ref="C856:F856"/>
    <mergeCell ref="C857:F857"/>
    <mergeCell ref="C858:F858"/>
    <mergeCell ref="C859:F859"/>
    <mergeCell ref="C860:F860"/>
    <mergeCell ref="C849:F849"/>
    <mergeCell ref="C850:F850"/>
    <mergeCell ref="C851:F851"/>
    <mergeCell ref="C852:F852"/>
    <mergeCell ref="C853:F853"/>
    <mergeCell ref="C854:F854"/>
    <mergeCell ref="C879:F879"/>
    <mergeCell ref="C880:F880"/>
    <mergeCell ref="C881:F881"/>
    <mergeCell ref="C882:F882"/>
    <mergeCell ref="C883:F883"/>
    <mergeCell ref="C884:F884"/>
    <mergeCell ref="C873:F873"/>
    <mergeCell ref="C874:F874"/>
    <mergeCell ref="C875:F875"/>
    <mergeCell ref="C876:F876"/>
    <mergeCell ref="C877:F877"/>
    <mergeCell ref="C878:F878"/>
    <mergeCell ref="C867:F867"/>
    <mergeCell ref="C868:F868"/>
    <mergeCell ref="C869:F869"/>
    <mergeCell ref="C870:F870"/>
    <mergeCell ref="C871:F871"/>
    <mergeCell ref="C872:F872"/>
    <mergeCell ref="C897:F897"/>
    <mergeCell ref="C898:F898"/>
    <mergeCell ref="C899:F899"/>
    <mergeCell ref="C900:F900"/>
    <mergeCell ref="C901:F901"/>
    <mergeCell ref="C902:F902"/>
    <mergeCell ref="C891:F891"/>
    <mergeCell ref="C892:F892"/>
    <mergeCell ref="C893:F893"/>
    <mergeCell ref="C894:F894"/>
    <mergeCell ref="C895:F895"/>
    <mergeCell ref="C896:F896"/>
    <mergeCell ref="C885:F885"/>
    <mergeCell ref="C886:F886"/>
    <mergeCell ref="C887:F887"/>
    <mergeCell ref="C888:F888"/>
    <mergeCell ref="C889:F889"/>
    <mergeCell ref="C890:F890"/>
    <mergeCell ref="C915:F915"/>
    <mergeCell ref="C916:F916"/>
    <mergeCell ref="C917:F917"/>
    <mergeCell ref="C918:F918"/>
    <mergeCell ref="C919:F919"/>
    <mergeCell ref="C920:F920"/>
    <mergeCell ref="C909:F909"/>
    <mergeCell ref="C910:F910"/>
    <mergeCell ref="C911:F911"/>
    <mergeCell ref="C912:F912"/>
    <mergeCell ref="C913:F913"/>
    <mergeCell ref="C914:F914"/>
    <mergeCell ref="C903:F903"/>
    <mergeCell ref="C904:F904"/>
    <mergeCell ref="C905:F905"/>
    <mergeCell ref="C906:F906"/>
    <mergeCell ref="C907:F907"/>
    <mergeCell ref="C908:F908"/>
    <mergeCell ref="C933:F933"/>
    <mergeCell ref="C934:F934"/>
    <mergeCell ref="C935:F935"/>
    <mergeCell ref="C936:F936"/>
    <mergeCell ref="C937:F937"/>
    <mergeCell ref="C938:F938"/>
    <mergeCell ref="C927:F927"/>
    <mergeCell ref="C928:F928"/>
    <mergeCell ref="C929:F929"/>
    <mergeCell ref="C930:F930"/>
    <mergeCell ref="C931:F931"/>
    <mergeCell ref="C932:F932"/>
    <mergeCell ref="C921:F921"/>
    <mergeCell ref="C922:F922"/>
    <mergeCell ref="C923:F923"/>
    <mergeCell ref="C924:F924"/>
    <mergeCell ref="C925:F925"/>
    <mergeCell ref="C926:F926"/>
    <mergeCell ref="C951:F951"/>
    <mergeCell ref="C952:F952"/>
    <mergeCell ref="C953:F953"/>
    <mergeCell ref="C954:F954"/>
    <mergeCell ref="C955:F955"/>
    <mergeCell ref="C956:F956"/>
    <mergeCell ref="C945:F945"/>
    <mergeCell ref="C946:F946"/>
    <mergeCell ref="C947:F947"/>
    <mergeCell ref="C948:F948"/>
    <mergeCell ref="C949:F949"/>
    <mergeCell ref="C950:F950"/>
    <mergeCell ref="C939:F939"/>
    <mergeCell ref="C940:F940"/>
    <mergeCell ref="C941:F941"/>
    <mergeCell ref="C942:F942"/>
    <mergeCell ref="C943:F943"/>
    <mergeCell ref="C944:F944"/>
    <mergeCell ref="C969:F969"/>
    <mergeCell ref="C970:F970"/>
    <mergeCell ref="C971:F971"/>
    <mergeCell ref="C972:F972"/>
    <mergeCell ref="C973:F973"/>
    <mergeCell ref="C974:F974"/>
    <mergeCell ref="C963:F963"/>
    <mergeCell ref="C964:F964"/>
    <mergeCell ref="C965:F965"/>
    <mergeCell ref="C966:F966"/>
    <mergeCell ref="C967:F967"/>
    <mergeCell ref="C968:F968"/>
    <mergeCell ref="C957:F957"/>
    <mergeCell ref="C958:F958"/>
    <mergeCell ref="C959:F959"/>
    <mergeCell ref="C960:F960"/>
    <mergeCell ref="C961:F961"/>
    <mergeCell ref="C962:F962"/>
    <mergeCell ref="C987:F987"/>
    <mergeCell ref="C988:F988"/>
    <mergeCell ref="C989:F989"/>
    <mergeCell ref="C990:F990"/>
    <mergeCell ref="C991:F991"/>
    <mergeCell ref="C992:F992"/>
    <mergeCell ref="C981:F981"/>
    <mergeCell ref="C982:F982"/>
    <mergeCell ref="C983:F983"/>
    <mergeCell ref="C984:F984"/>
    <mergeCell ref="C985:F985"/>
    <mergeCell ref="C986:F986"/>
    <mergeCell ref="C975:F975"/>
    <mergeCell ref="C976:F976"/>
    <mergeCell ref="C977:F977"/>
    <mergeCell ref="C978:F978"/>
    <mergeCell ref="C979:F979"/>
    <mergeCell ref="C980:F980"/>
    <mergeCell ref="C1005:F1005"/>
    <mergeCell ref="C1006:F1006"/>
    <mergeCell ref="C1007:F1007"/>
    <mergeCell ref="C1008:F1008"/>
    <mergeCell ref="C1009:F1009"/>
    <mergeCell ref="C1010:F1010"/>
    <mergeCell ref="C999:F999"/>
    <mergeCell ref="C1000:F1000"/>
    <mergeCell ref="C1001:F1001"/>
    <mergeCell ref="C1002:F1002"/>
    <mergeCell ref="C1003:F1003"/>
    <mergeCell ref="C1004:F1004"/>
    <mergeCell ref="C993:F993"/>
    <mergeCell ref="C994:F994"/>
    <mergeCell ref="C995:F995"/>
    <mergeCell ref="C996:F996"/>
    <mergeCell ref="C997:F997"/>
    <mergeCell ref="C998:F998"/>
    <mergeCell ref="C1023:F1023"/>
    <mergeCell ref="C1024:F1024"/>
    <mergeCell ref="C1025:F1025"/>
    <mergeCell ref="C1026:F1026"/>
    <mergeCell ref="C1027:F1027"/>
    <mergeCell ref="C1028:F1028"/>
    <mergeCell ref="C1017:F1017"/>
    <mergeCell ref="C1018:F1018"/>
    <mergeCell ref="C1019:F1019"/>
    <mergeCell ref="C1020:F1020"/>
    <mergeCell ref="C1021:F1021"/>
    <mergeCell ref="C1022:F1022"/>
    <mergeCell ref="C1011:F1011"/>
    <mergeCell ref="C1012:F1012"/>
    <mergeCell ref="C1013:F1013"/>
    <mergeCell ref="C1014:F1014"/>
    <mergeCell ref="C1015:F1015"/>
    <mergeCell ref="C1016:F1016"/>
    <mergeCell ref="C1041:F1041"/>
    <mergeCell ref="C1042:F1042"/>
    <mergeCell ref="C1043:F1043"/>
    <mergeCell ref="C1044:F1044"/>
    <mergeCell ref="C1045:F1045"/>
    <mergeCell ref="C1046:F1046"/>
    <mergeCell ref="C1035:F1035"/>
    <mergeCell ref="C1036:F1036"/>
    <mergeCell ref="C1037:F1037"/>
    <mergeCell ref="C1038:F1038"/>
    <mergeCell ref="C1039:F1039"/>
    <mergeCell ref="C1040:F1040"/>
    <mergeCell ref="C1029:F1029"/>
    <mergeCell ref="C1030:F1030"/>
    <mergeCell ref="C1031:F1031"/>
    <mergeCell ref="C1032:F1032"/>
    <mergeCell ref="C1033:F1033"/>
    <mergeCell ref="C1034:F1034"/>
    <mergeCell ref="C1059:F1059"/>
    <mergeCell ref="C1060:F1060"/>
    <mergeCell ref="C1061:F1061"/>
    <mergeCell ref="C1062:F1062"/>
    <mergeCell ref="C1063:F1063"/>
    <mergeCell ref="C1064:F1064"/>
    <mergeCell ref="C1053:F1053"/>
    <mergeCell ref="C1054:F1054"/>
    <mergeCell ref="C1055:F1055"/>
    <mergeCell ref="C1056:F1056"/>
    <mergeCell ref="C1057:F1057"/>
    <mergeCell ref="C1058:F1058"/>
    <mergeCell ref="C1047:F1047"/>
    <mergeCell ref="C1048:F1048"/>
    <mergeCell ref="C1049:F1049"/>
    <mergeCell ref="C1050:F1050"/>
    <mergeCell ref="C1051:F1051"/>
    <mergeCell ref="C1052:F1052"/>
    <mergeCell ref="C1083:F1083"/>
    <mergeCell ref="C1085:F1085"/>
    <mergeCell ref="J1086:K1086"/>
    <mergeCell ref="A1088:M1088"/>
    <mergeCell ref="C1077:F1077"/>
    <mergeCell ref="C1078:F1078"/>
    <mergeCell ref="C1079:F1079"/>
    <mergeCell ref="C1080:F1080"/>
    <mergeCell ref="C1081:F1081"/>
    <mergeCell ref="C1082:F1082"/>
    <mergeCell ref="C1071:F1071"/>
    <mergeCell ref="C1072:F1072"/>
    <mergeCell ref="C1073:F1073"/>
    <mergeCell ref="C1074:F1074"/>
    <mergeCell ref="C1075:F1075"/>
    <mergeCell ref="C1076:F1076"/>
    <mergeCell ref="C1065:F1065"/>
    <mergeCell ref="C1066:F1066"/>
    <mergeCell ref="C1067:F1067"/>
    <mergeCell ref="C1068:F1068"/>
    <mergeCell ref="C1069:F1069"/>
    <mergeCell ref="C1070:F1070"/>
    <mergeCell ref="C1084:F108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18"/>
  <sheetViews>
    <sheetView workbookViewId="0" topLeftCell="A1">
      <pane ySplit="10" topLeftCell="A1432" activePane="bottomLeft" state="frozen"/>
      <selection pane="topLeft" activeCell="A1" sqref="A1:I1"/>
      <selection pane="bottomLeft" activeCell="G166" sqref="A166:G166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93.421875" style="0" customWidth="1"/>
    <col min="5" max="5" width="38.00390625" style="0" customWidth="1"/>
    <col min="6" max="6" width="7.00390625" style="0" customWidth="1"/>
    <col min="7" max="7" width="11.140625" style="0" customWidth="1"/>
    <col min="8" max="8" width="18.140625" style="0" hidden="1" customWidth="1"/>
  </cols>
  <sheetData>
    <row r="1" spans="1:8" ht="72.95" customHeight="1">
      <c r="A1" s="149" t="s">
        <v>2980</v>
      </c>
      <c r="B1" s="139"/>
      <c r="C1" s="139"/>
      <c r="D1" s="139"/>
      <c r="E1" s="139"/>
      <c r="F1" s="139"/>
      <c r="G1" s="139"/>
      <c r="H1" s="139"/>
    </row>
    <row r="2" spans="1:9" ht="12.75">
      <c r="A2" s="140" t="s">
        <v>1</v>
      </c>
      <c r="B2" s="141"/>
      <c r="C2" s="142" t="str">
        <f>'Stavební rozpočet'!C2</f>
        <v>Azylový dům města Česká Lípa</v>
      </c>
      <c r="D2" s="143"/>
      <c r="E2" s="145" t="s">
        <v>2858</v>
      </c>
      <c r="F2" s="145" t="str">
        <f>'Stavební rozpočet'!J2</f>
        <v> </v>
      </c>
      <c r="G2" s="141"/>
      <c r="H2" s="192"/>
      <c r="I2" s="5"/>
    </row>
    <row r="3" spans="1:9" ht="12.75">
      <c r="A3" s="132"/>
      <c r="B3" s="109"/>
      <c r="C3" s="144"/>
      <c r="D3" s="144"/>
      <c r="E3" s="109"/>
      <c r="F3" s="109"/>
      <c r="G3" s="109"/>
      <c r="H3" s="135"/>
      <c r="I3" s="5"/>
    </row>
    <row r="4" spans="1:9" ht="12.75">
      <c r="A4" s="131" t="s">
        <v>2</v>
      </c>
      <c r="B4" s="109"/>
      <c r="C4" s="108" t="str">
        <f>'Stavební rozpočet'!C4</f>
        <v xml:space="preserve"> </v>
      </c>
      <c r="D4" s="109"/>
      <c r="E4" s="108" t="s">
        <v>2859</v>
      </c>
      <c r="F4" s="108" t="str">
        <f>'Stavební rozpočet'!J4</f>
        <v> </v>
      </c>
      <c r="G4" s="109"/>
      <c r="H4" s="135"/>
      <c r="I4" s="5"/>
    </row>
    <row r="5" spans="1:9" ht="12.75">
      <c r="A5" s="132"/>
      <c r="B5" s="109"/>
      <c r="C5" s="109"/>
      <c r="D5" s="109"/>
      <c r="E5" s="109"/>
      <c r="F5" s="109"/>
      <c r="G5" s="109"/>
      <c r="H5" s="135"/>
      <c r="I5" s="5"/>
    </row>
    <row r="6" spans="1:9" ht="12.75">
      <c r="A6" s="131" t="s">
        <v>3</v>
      </c>
      <c r="B6" s="109"/>
      <c r="C6" s="108" t="str">
        <f>'Stavební rozpočet'!C6</f>
        <v>st.p.č. 3006, 3007, k.ú.Česká Lípa, ul.Dubická č.p.931, Česká Lípa</v>
      </c>
      <c r="D6" s="109"/>
      <c r="E6" s="108" t="s">
        <v>2860</v>
      </c>
      <c r="F6" s="108" t="str">
        <f>'Stavební rozpočet'!J6</f>
        <v> </v>
      </c>
      <c r="G6" s="109"/>
      <c r="H6" s="135"/>
      <c r="I6" s="5"/>
    </row>
    <row r="7" spans="1:9" ht="12.75">
      <c r="A7" s="132"/>
      <c r="B7" s="109"/>
      <c r="C7" s="109"/>
      <c r="D7" s="109"/>
      <c r="E7" s="109"/>
      <c r="F7" s="109"/>
      <c r="G7" s="109"/>
      <c r="H7" s="135"/>
      <c r="I7" s="5"/>
    </row>
    <row r="8" spans="1:9" ht="12.75">
      <c r="A8" s="131" t="s">
        <v>2861</v>
      </c>
      <c r="B8" s="109"/>
      <c r="C8" s="108" t="str">
        <f>'Stavební rozpočet'!J8</f>
        <v> </v>
      </c>
      <c r="D8" s="109"/>
      <c r="E8" s="108" t="s">
        <v>2845</v>
      </c>
      <c r="F8" s="108"/>
      <c r="G8" s="109"/>
      <c r="H8" s="135"/>
      <c r="I8" s="5"/>
    </row>
    <row r="9" spans="1:9" ht="12.75">
      <c r="A9" s="179"/>
      <c r="B9" s="180"/>
      <c r="C9" s="180"/>
      <c r="D9" s="180"/>
      <c r="E9" s="180"/>
      <c r="F9" s="180"/>
      <c r="G9" s="180"/>
      <c r="H9" s="197"/>
      <c r="I9" s="5"/>
    </row>
    <row r="10" spans="1:9" ht="12.75">
      <c r="A10" s="38" t="s">
        <v>5</v>
      </c>
      <c r="B10" s="39" t="s">
        <v>2973</v>
      </c>
      <c r="C10" s="39" t="s">
        <v>1011</v>
      </c>
      <c r="D10" s="193" t="s">
        <v>1932</v>
      </c>
      <c r="E10" s="194"/>
      <c r="F10" s="39" t="s">
        <v>2846</v>
      </c>
      <c r="G10" s="46" t="s">
        <v>2857</v>
      </c>
      <c r="H10" s="49" t="s">
        <v>3252</v>
      </c>
      <c r="I10" s="27"/>
    </row>
    <row r="11" spans="1:9" ht="12.75">
      <c r="A11" s="43"/>
      <c r="B11" s="100"/>
      <c r="C11" s="100" t="s">
        <v>17</v>
      </c>
      <c r="D11" s="195" t="s">
        <v>2678</v>
      </c>
      <c r="E11" s="196"/>
      <c r="F11" s="100"/>
      <c r="G11" s="72"/>
      <c r="H11" s="50"/>
      <c r="I11" s="5"/>
    </row>
    <row r="12" spans="1:9" ht="12.75">
      <c r="A12" s="4" t="s">
        <v>7</v>
      </c>
      <c r="B12" s="94" t="s">
        <v>2883</v>
      </c>
      <c r="C12" s="94" t="s">
        <v>1746</v>
      </c>
      <c r="D12" s="152" t="s">
        <v>2679</v>
      </c>
      <c r="E12" s="153"/>
      <c r="F12" s="94" t="s">
        <v>2849</v>
      </c>
      <c r="G12" s="73">
        <v>158</v>
      </c>
      <c r="H12" s="51">
        <v>0</v>
      </c>
      <c r="I12" s="5"/>
    </row>
    <row r="13" spans="1:9" ht="12.2" customHeight="1">
      <c r="A13" s="5"/>
      <c r="D13" s="45" t="s">
        <v>164</v>
      </c>
      <c r="E13" s="190"/>
      <c r="F13" s="191"/>
      <c r="G13" s="47">
        <v>158</v>
      </c>
      <c r="H13" s="52"/>
      <c r="I13" s="5"/>
    </row>
    <row r="14" spans="1:9" ht="12.75">
      <c r="A14" s="4" t="s">
        <v>8</v>
      </c>
      <c r="B14" s="94" t="s">
        <v>2883</v>
      </c>
      <c r="C14" s="94" t="s">
        <v>1747</v>
      </c>
      <c r="D14" s="152" t="s">
        <v>2680</v>
      </c>
      <c r="E14" s="153"/>
      <c r="F14" s="94" t="s">
        <v>2849</v>
      </c>
      <c r="G14" s="73">
        <v>158</v>
      </c>
      <c r="H14" s="51">
        <v>0</v>
      </c>
      <c r="I14" s="5"/>
    </row>
    <row r="15" spans="1:9" ht="12.2" customHeight="1">
      <c r="A15" s="5"/>
      <c r="D15" s="45" t="s">
        <v>164</v>
      </c>
      <c r="E15" s="190"/>
      <c r="F15" s="191"/>
      <c r="G15" s="47">
        <v>158</v>
      </c>
      <c r="H15" s="52"/>
      <c r="I15" s="5"/>
    </row>
    <row r="16" spans="1:9" ht="12.75">
      <c r="A16" s="44"/>
      <c r="B16" s="97"/>
      <c r="C16" s="97" t="s">
        <v>18</v>
      </c>
      <c r="D16" s="161" t="s">
        <v>1935</v>
      </c>
      <c r="E16" s="162"/>
      <c r="F16" s="97"/>
      <c r="G16" s="74"/>
      <c r="H16" s="24"/>
      <c r="I16" s="5"/>
    </row>
    <row r="17" spans="1:9" ht="12.75">
      <c r="A17" s="4" t="s">
        <v>9</v>
      </c>
      <c r="B17" s="94" t="s">
        <v>2882</v>
      </c>
      <c r="C17" s="94" t="s">
        <v>1012</v>
      </c>
      <c r="D17" s="152" t="s">
        <v>1936</v>
      </c>
      <c r="E17" s="153"/>
      <c r="F17" s="94" t="s">
        <v>2847</v>
      </c>
      <c r="G17" s="73">
        <v>79.071</v>
      </c>
      <c r="H17" s="51">
        <v>0</v>
      </c>
      <c r="I17" s="5"/>
    </row>
    <row r="18" spans="1:9" ht="12.2" customHeight="1">
      <c r="A18" s="5"/>
      <c r="D18" s="45" t="s">
        <v>2981</v>
      </c>
      <c r="E18" s="190"/>
      <c r="F18" s="191"/>
      <c r="G18" s="47">
        <v>79.071</v>
      </c>
      <c r="H18" s="52"/>
      <c r="I18" s="5"/>
    </row>
    <row r="19" spans="1:9" ht="12.75">
      <c r="A19" s="4" t="s">
        <v>10</v>
      </c>
      <c r="B19" s="94" t="s">
        <v>2882</v>
      </c>
      <c r="C19" s="94" t="s">
        <v>1013</v>
      </c>
      <c r="D19" s="152" t="s">
        <v>1937</v>
      </c>
      <c r="E19" s="153"/>
      <c r="F19" s="94" t="s">
        <v>2847</v>
      </c>
      <c r="G19" s="73">
        <v>143.556</v>
      </c>
      <c r="H19" s="51">
        <v>0</v>
      </c>
      <c r="I19" s="5"/>
    </row>
    <row r="20" spans="1:9" ht="12.2" customHeight="1">
      <c r="A20" s="5"/>
      <c r="D20" s="45" t="s">
        <v>2982</v>
      </c>
      <c r="E20" s="190"/>
      <c r="F20" s="191"/>
      <c r="G20" s="47">
        <v>6.008</v>
      </c>
      <c r="H20" s="52"/>
      <c r="I20" s="5"/>
    </row>
    <row r="21" spans="1:9" ht="12.2" customHeight="1">
      <c r="A21" s="4"/>
      <c r="B21" s="94"/>
      <c r="C21" s="94"/>
      <c r="D21" s="45" t="s">
        <v>2983</v>
      </c>
      <c r="E21" s="190"/>
      <c r="F21" s="190"/>
      <c r="G21" s="75">
        <v>92.468</v>
      </c>
      <c r="H21" s="25"/>
      <c r="I21" s="5"/>
    </row>
    <row r="22" spans="1:9" ht="12.2" customHeight="1">
      <c r="A22" s="4"/>
      <c r="B22" s="94"/>
      <c r="C22" s="94"/>
      <c r="D22" s="45" t="s">
        <v>2984</v>
      </c>
      <c r="E22" s="190"/>
      <c r="F22" s="190"/>
      <c r="G22" s="75">
        <v>45.08</v>
      </c>
      <c r="H22" s="25"/>
      <c r="I22" s="5"/>
    </row>
    <row r="23" spans="1:9" ht="12.75">
      <c r="A23" s="4" t="s">
        <v>11</v>
      </c>
      <c r="B23" s="94" t="s">
        <v>2883</v>
      </c>
      <c r="C23" s="94" t="s">
        <v>1748</v>
      </c>
      <c r="D23" s="152" t="s">
        <v>2681</v>
      </c>
      <c r="E23" s="153"/>
      <c r="F23" s="94" t="s">
        <v>2847</v>
      </c>
      <c r="G23" s="73">
        <v>132</v>
      </c>
      <c r="H23" s="51">
        <v>0</v>
      </c>
      <c r="I23" s="5"/>
    </row>
    <row r="24" spans="1:9" ht="12.2" customHeight="1">
      <c r="A24" s="5"/>
      <c r="D24" s="45" t="s">
        <v>2985</v>
      </c>
      <c r="E24" s="190"/>
      <c r="F24" s="191"/>
      <c r="G24" s="47">
        <v>132</v>
      </c>
      <c r="H24" s="52"/>
      <c r="I24" s="5"/>
    </row>
    <row r="25" spans="1:9" ht="12.75">
      <c r="A25" s="44"/>
      <c r="B25" s="97"/>
      <c r="C25" s="97" t="s">
        <v>19</v>
      </c>
      <c r="D25" s="161" t="s">
        <v>1938</v>
      </c>
      <c r="E25" s="162"/>
      <c r="F25" s="97"/>
      <c r="G25" s="74"/>
      <c r="H25" s="24"/>
      <c r="I25" s="5"/>
    </row>
    <row r="26" spans="1:9" ht="12.75">
      <c r="A26" s="4" t="s">
        <v>12</v>
      </c>
      <c r="B26" s="94" t="s">
        <v>2882</v>
      </c>
      <c r="C26" s="94" t="s">
        <v>1014</v>
      </c>
      <c r="D26" s="152" t="s">
        <v>1939</v>
      </c>
      <c r="E26" s="153"/>
      <c r="F26" s="94" t="s">
        <v>2847</v>
      </c>
      <c r="G26" s="73">
        <v>6</v>
      </c>
      <c r="H26" s="51">
        <v>0</v>
      </c>
      <c r="I26" s="5"/>
    </row>
    <row r="27" spans="1:9" ht="12.2" customHeight="1">
      <c r="A27" s="5"/>
      <c r="D27" s="45" t="s">
        <v>12</v>
      </c>
      <c r="E27" s="190"/>
      <c r="F27" s="191"/>
      <c r="G27" s="47">
        <v>6</v>
      </c>
      <c r="H27" s="52"/>
      <c r="I27" s="5"/>
    </row>
    <row r="28" spans="1:9" ht="12.75">
      <c r="A28" s="4" t="s">
        <v>13</v>
      </c>
      <c r="B28" s="94" t="s">
        <v>2882</v>
      </c>
      <c r="C28" s="94" t="s">
        <v>1016</v>
      </c>
      <c r="D28" s="152" t="s">
        <v>1941</v>
      </c>
      <c r="E28" s="153"/>
      <c r="F28" s="94" t="s">
        <v>2847</v>
      </c>
      <c r="G28" s="73">
        <v>15.392</v>
      </c>
      <c r="H28" s="51">
        <v>0</v>
      </c>
      <c r="I28" s="5"/>
    </row>
    <row r="29" spans="1:9" ht="12.2" customHeight="1">
      <c r="A29" s="5"/>
      <c r="D29" s="45" t="s">
        <v>2986</v>
      </c>
      <c r="E29" s="190"/>
      <c r="F29" s="191"/>
      <c r="G29" s="47">
        <v>9.144</v>
      </c>
      <c r="H29" s="52"/>
      <c r="I29" s="5"/>
    </row>
    <row r="30" spans="1:9" ht="12.2" customHeight="1">
      <c r="A30" s="4"/>
      <c r="B30" s="94"/>
      <c r="C30" s="94"/>
      <c r="D30" s="45" t="s">
        <v>2987</v>
      </c>
      <c r="E30" s="190"/>
      <c r="F30" s="190"/>
      <c r="G30" s="75">
        <v>6.248</v>
      </c>
      <c r="H30" s="25"/>
      <c r="I30" s="5"/>
    </row>
    <row r="31" spans="1:9" ht="12.75">
      <c r="A31" s="4" t="s">
        <v>14</v>
      </c>
      <c r="B31" s="94" t="s">
        <v>2882</v>
      </c>
      <c r="C31" s="94" t="s">
        <v>1017</v>
      </c>
      <c r="D31" s="152" t="s">
        <v>1942</v>
      </c>
      <c r="E31" s="153"/>
      <c r="F31" s="94" t="s">
        <v>2847</v>
      </c>
      <c r="G31" s="73">
        <v>53.684</v>
      </c>
      <c r="H31" s="51">
        <v>0</v>
      </c>
      <c r="I31" s="5"/>
    </row>
    <row r="32" spans="1:9" ht="12.2" customHeight="1">
      <c r="A32" s="5"/>
      <c r="D32" s="45" t="s">
        <v>2988</v>
      </c>
      <c r="E32" s="190"/>
      <c r="F32" s="191"/>
      <c r="G32" s="47">
        <v>45.516</v>
      </c>
      <c r="H32" s="52"/>
      <c r="I32" s="5"/>
    </row>
    <row r="33" spans="1:9" ht="12.2" customHeight="1">
      <c r="A33" s="4"/>
      <c r="B33" s="94"/>
      <c r="C33" s="94"/>
      <c r="D33" s="45" t="s">
        <v>2989</v>
      </c>
      <c r="E33" s="190"/>
      <c r="F33" s="190"/>
      <c r="G33" s="75">
        <v>8.168</v>
      </c>
      <c r="H33" s="25"/>
      <c r="I33" s="5"/>
    </row>
    <row r="34" spans="1:9" ht="12.75">
      <c r="A34" s="4" t="s">
        <v>15</v>
      </c>
      <c r="B34" s="94" t="s">
        <v>2882</v>
      </c>
      <c r="C34" s="94" t="s">
        <v>1018</v>
      </c>
      <c r="D34" s="152" t="s">
        <v>1943</v>
      </c>
      <c r="E34" s="153"/>
      <c r="F34" s="94" t="s">
        <v>2847</v>
      </c>
      <c r="G34" s="73">
        <v>13.816</v>
      </c>
      <c r="H34" s="51">
        <v>0</v>
      </c>
      <c r="I34" s="5"/>
    </row>
    <row r="35" spans="1:9" ht="12.2" customHeight="1">
      <c r="A35" s="5"/>
      <c r="D35" s="45" t="s">
        <v>2990</v>
      </c>
      <c r="E35" s="190"/>
      <c r="F35" s="191"/>
      <c r="G35" s="47">
        <v>9.103</v>
      </c>
      <c r="H35" s="52"/>
      <c r="I35" s="5"/>
    </row>
    <row r="36" spans="1:9" ht="12.2" customHeight="1">
      <c r="A36" s="4"/>
      <c r="B36" s="94"/>
      <c r="C36" s="94"/>
      <c r="D36" s="45" t="s">
        <v>2991</v>
      </c>
      <c r="E36" s="190"/>
      <c r="F36" s="190"/>
      <c r="G36" s="75">
        <v>1.634</v>
      </c>
      <c r="H36" s="25"/>
      <c r="I36" s="5"/>
    </row>
    <row r="37" spans="1:9" ht="12.2" customHeight="1">
      <c r="A37" s="4"/>
      <c r="B37" s="94"/>
      <c r="C37" s="94"/>
      <c r="D37" s="45" t="s">
        <v>2992</v>
      </c>
      <c r="E37" s="190"/>
      <c r="F37" s="190"/>
      <c r="G37" s="75">
        <v>1.829</v>
      </c>
      <c r="H37" s="25"/>
      <c r="I37" s="5"/>
    </row>
    <row r="38" spans="1:9" ht="12.2" customHeight="1">
      <c r="A38" s="4"/>
      <c r="B38" s="94"/>
      <c r="C38" s="94"/>
      <c r="D38" s="45" t="s">
        <v>2993</v>
      </c>
      <c r="E38" s="190"/>
      <c r="F38" s="190"/>
      <c r="G38" s="75">
        <v>1.25</v>
      </c>
      <c r="H38" s="25"/>
      <c r="I38" s="5"/>
    </row>
    <row r="39" spans="1:9" ht="12.75">
      <c r="A39" s="44"/>
      <c r="B39" s="97"/>
      <c r="C39" s="97" t="s">
        <v>22</v>
      </c>
      <c r="D39" s="161" t="s">
        <v>1944</v>
      </c>
      <c r="E39" s="162"/>
      <c r="F39" s="97"/>
      <c r="G39" s="74"/>
      <c r="H39" s="24"/>
      <c r="I39" s="5"/>
    </row>
    <row r="40" spans="1:9" ht="12.75">
      <c r="A40" s="4" t="s">
        <v>16</v>
      </c>
      <c r="B40" s="94" t="s">
        <v>2882</v>
      </c>
      <c r="C40" s="94" t="s">
        <v>1019</v>
      </c>
      <c r="D40" s="152" t="s">
        <v>1945</v>
      </c>
      <c r="E40" s="153"/>
      <c r="F40" s="94" t="s">
        <v>2847</v>
      </c>
      <c r="G40" s="73">
        <v>203.802</v>
      </c>
      <c r="H40" s="51">
        <v>0</v>
      </c>
      <c r="I40" s="5"/>
    </row>
    <row r="41" spans="1:9" ht="12.2" customHeight="1">
      <c r="A41" s="5"/>
      <c r="D41" s="45" t="s">
        <v>2994</v>
      </c>
      <c r="E41" s="190"/>
      <c r="F41" s="191"/>
      <c r="G41" s="47">
        <v>203.802</v>
      </c>
      <c r="H41" s="52"/>
      <c r="I41" s="5"/>
    </row>
    <row r="42" spans="1:9" ht="12.75">
      <c r="A42" s="4" t="s">
        <v>17</v>
      </c>
      <c r="B42" s="94" t="s">
        <v>2882</v>
      </c>
      <c r="C42" s="94" t="s">
        <v>1020</v>
      </c>
      <c r="D42" s="152" t="s">
        <v>1946</v>
      </c>
      <c r="E42" s="153"/>
      <c r="F42" s="94" t="s">
        <v>2847</v>
      </c>
      <c r="G42" s="73">
        <v>22.645</v>
      </c>
      <c r="H42" s="51">
        <v>0</v>
      </c>
      <c r="I42" s="5"/>
    </row>
    <row r="43" spans="1:9" ht="12.2" customHeight="1">
      <c r="A43" s="5"/>
      <c r="D43" s="45" t="s">
        <v>2995</v>
      </c>
      <c r="E43" s="190"/>
      <c r="F43" s="191"/>
      <c r="G43" s="47">
        <v>22.645</v>
      </c>
      <c r="H43" s="52"/>
      <c r="I43" s="5"/>
    </row>
    <row r="44" spans="1:9" ht="12.75">
      <c r="A44" s="4" t="s">
        <v>18</v>
      </c>
      <c r="B44" s="94" t="s">
        <v>2882</v>
      </c>
      <c r="C44" s="94" t="s">
        <v>1021</v>
      </c>
      <c r="D44" s="152" t="s">
        <v>1947</v>
      </c>
      <c r="E44" s="153"/>
      <c r="F44" s="94" t="s">
        <v>2847</v>
      </c>
      <c r="G44" s="73">
        <v>203.802</v>
      </c>
      <c r="H44" s="51">
        <v>0</v>
      </c>
      <c r="I44" s="5"/>
    </row>
    <row r="45" spans="1:9" ht="12.2" customHeight="1">
      <c r="A45" s="5"/>
      <c r="D45" s="45" t="s">
        <v>2994</v>
      </c>
      <c r="E45" s="190"/>
      <c r="F45" s="191"/>
      <c r="G45" s="47">
        <v>203.802</v>
      </c>
      <c r="H45" s="52"/>
      <c r="I45" s="5"/>
    </row>
    <row r="46" spans="1:9" ht="12.75">
      <c r="A46" s="44"/>
      <c r="B46" s="97"/>
      <c r="C46" s="97" t="s">
        <v>23</v>
      </c>
      <c r="D46" s="161" t="s">
        <v>1948</v>
      </c>
      <c r="E46" s="162"/>
      <c r="F46" s="97"/>
      <c r="G46" s="74"/>
      <c r="H46" s="24"/>
      <c r="I46" s="5"/>
    </row>
    <row r="47" spans="1:9" ht="12.75">
      <c r="A47" s="4" t="s">
        <v>19</v>
      </c>
      <c r="B47" s="94" t="s">
        <v>2882</v>
      </c>
      <c r="C47" s="94" t="s">
        <v>1022</v>
      </c>
      <c r="D47" s="152" t="s">
        <v>1949</v>
      </c>
      <c r="E47" s="153"/>
      <c r="F47" s="94" t="s">
        <v>2847</v>
      </c>
      <c r="G47" s="73">
        <v>22.645</v>
      </c>
      <c r="H47" s="51">
        <v>0</v>
      </c>
      <c r="I47" s="5"/>
    </row>
    <row r="48" spans="1:9" ht="12.2" customHeight="1">
      <c r="A48" s="5"/>
      <c r="D48" s="45" t="s">
        <v>2995</v>
      </c>
      <c r="E48" s="190"/>
      <c r="F48" s="191"/>
      <c r="G48" s="47">
        <v>22.645</v>
      </c>
      <c r="H48" s="52"/>
      <c r="I48" s="5"/>
    </row>
    <row r="49" spans="1:9" ht="12.75">
      <c r="A49" s="44"/>
      <c r="B49" s="97"/>
      <c r="C49" s="97" t="s">
        <v>25</v>
      </c>
      <c r="D49" s="161" t="s">
        <v>1950</v>
      </c>
      <c r="E49" s="162"/>
      <c r="F49" s="97"/>
      <c r="G49" s="74"/>
      <c r="H49" s="24"/>
      <c r="I49" s="5"/>
    </row>
    <row r="50" spans="1:9" ht="12.75">
      <c r="A50" s="4" t="s">
        <v>20</v>
      </c>
      <c r="B50" s="94" t="s">
        <v>2882</v>
      </c>
      <c r="C50" s="94" t="s">
        <v>1023</v>
      </c>
      <c r="D50" s="152" t="s">
        <v>1951</v>
      </c>
      <c r="E50" s="153"/>
      <c r="F50" s="94" t="s">
        <v>2848</v>
      </c>
      <c r="G50" s="73">
        <v>269.035</v>
      </c>
      <c r="H50" s="51">
        <v>0</v>
      </c>
      <c r="I50" s="5"/>
    </row>
    <row r="51" spans="1:9" ht="12.2" customHeight="1">
      <c r="A51" s="5"/>
      <c r="D51" s="45" t="s">
        <v>2996</v>
      </c>
      <c r="E51" s="190"/>
      <c r="F51" s="191"/>
      <c r="G51" s="47">
        <v>269.035</v>
      </c>
      <c r="H51" s="52"/>
      <c r="I51" s="5"/>
    </row>
    <row r="52" spans="1:9" ht="12.75">
      <c r="A52" s="44"/>
      <c r="B52" s="97"/>
      <c r="C52" s="97" t="s">
        <v>33</v>
      </c>
      <c r="D52" s="161" t="s">
        <v>1952</v>
      </c>
      <c r="E52" s="162"/>
      <c r="F52" s="97"/>
      <c r="G52" s="74"/>
      <c r="H52" s="24"/>
      <c r="I52" s="5"/>
    </row>
    <row r="53" spans="1:9" ht="12.75">
      <c r="A53" s="4" t="s">
        <v>21</v>
      </c>
      <c r="B53" s="94" t="s">
        <v>2882</v>
      </c>
      <c r="C53" s="94" t="s">
        <v>1024</v>
      </c>
      <c r="D53" s="152" t="s">
        <v>1953</v>
      </c>
      <c r="E53" s="153"/>
      <c r="F53" s="94" t="s">
        <v>2849</v>
      </c>
      <c r="G53" s="73">
        <v>119.332</v>
      </c>
      <c r="H53" s="51">
        <v>0</v>
      </c>
      <c r="I53" s="5"/>
    </row>
    <row r="54" spans="1:9" ht="12.2" customHeight="1">
      <c r="A54" s="5"/>
      <c r="D54" s="45" t="s">
        <v>2997</v>
      </c>
      <c r="E54" s="190"/>
      <c r="F54" s="191"/>
      <c r="G54" s="47">
        <v>18.206</v>
      </c>
      <c r="H54" s="52"/>
      <c r="I54" s="5"/>
    </row>
    <row r="55" spans="1:9" ht="12.2" customHeight="1">
      <c r="A55" s="4"/>
      <c r="B55" s="94"/>
      <c r="C55" s="94"/>
      <c r="D55" s="45" t="s">
        <v>2998</v>
      </c>
      <c r="E55" s="190"/>
      <c r="F55" s="190"/>
      <c r="G55" s="75">
        <v>3.267</v>
      </c>
      <c r="H55" s="25"/>
      <c r="I55" s="5"/>
    </row>
    <row r="56" spans="1:9" ht="12.2" customHeight="1">
      <c r="A56" s="4"/>
      <c r="B56" s="94"/>
      <c r="C56" s="94"/>
      <c r="D56" s="45" t="s">
        <v>2999</v>
      </c>
      <c r="E56" s="190"/>
      <c r="F56" s="190"/>
      <c r="G56" s="75">
        <v>3.658</v>
      </c>
      <c r="H56" s="25"/>
      <c r="I56" s="5"/>
    </row>
    <row r="57" spans="1:9" ht="12.2" customHeight="1">
      <c r="A57" s="4"/>
      <c r="B57" s="94"/>
      <c r="C57" s="94"/>
      <c r="D57" s="45" t="s">
        <v>3000</v>
      </c>
      <c r="E57" s="190"/>
      <c r="F57" s="190"/>
      <c r="G57" s="75">
        <v>2.499</v>
      </c>
      <c r="H57" s="25"/>
      <c r="I57" s="5"/>
    </row>
    <row r="58" spans="1:9" ht="12.2" customHeight="1">
      <c r="A58" s="4"/>
      <c r="B58" s="94"/>
      <c r="C58" s="94"/>
      <c r="D58" s="45" t="s">
        <v>3001</v>
      </c>
      <c r="E58" s="190"/>
      <c r="F58" s="190"/>
      <c r="G58" s="75">
        <v>91.702</v>
      </c>
      <c r="H58" s="25"/>
      <c r="I58" s="5"/>
    </row>
    <row r="59" spans="1:9" ht="12.75">
      <c r="A59" s="4" t="s">
        <v>22</v>
      </c>
      <c r="B59" s="94" t="s">
        <v>2882</v>
      </c>
      <c r="C59" s="94" t="s">
        <v>1025</v>
      </c>
      <c r="D59" s="152" t="s">
        <v>1955</v>
      </c>
      <c r="E59" s="153"/>
      <c r="F59" s="94" t="s">
        <v>2849</v>
      </c>
      <c r="G59" s="73">
        <v>229.018</v>
      </c>
      <c r="H59" s="51">
        <v>0</v>
      </c>
      <c r="I59" s="5"/>
    </row>
    <row r="60" spans="1:9" ht="12.2" customHeight="1">
      <c r="A60" s="5"/>
      <c r="D60" s="45" t="s">
        <v>3002</v>
      </c>
      <c r="E60" s="190"/>
      <c r="F60" s="191"/>
      <c r="G60" s="47">
        <v>229.018</v>
      </c>
      <c r="H60" s="52"/>
      <c r="I60" s="5"/>
    </row>
    <row r="61" spans="1:9" ht="12.75">
      <c r="A61" s="4" t="s">
        <v>23</v>
      </c>
      <c r="B61" s="94" t="s">
        <v>2882</v>
      </c>
      <c r="C61" s="94" t="s">
        <v>1026</v>
      </c>
      <c r="D61" s="152" t="s">
        <v>1956</v>
      </c>
      <c r="E61" s="153"/>
      <c r="F61" s="94" t="s">
        <v>2847</v>
      </c>
      <c r="G61" s="73">
        <v>39.058</v>
      </c>
      <c r="H61" s="51">
        <v>0</v>
      </c>
      <c r="I61" s="5"/>
    </row>
    <row r="62" spans="1:9" ht="12.2" customHeight="1">
      <c r="A62" s="5"/>
      <c r="D62" s="45" t="s">
        <v>3003</v>
      </c>
      <c r="E62" s="190"/>
      <c r="F62" s="191"/>
      <c r="G62" s="47">
        <v>39.058</v>
      </c>
      <c r="H62" s="52"/>
      <c r="I62" s="5"/>
    </row>
    <row r="63" spans="1:9" ht="12.75">
      <c r="A63" s="4" t="s">
        <v>24</v>
      </c>
      <c r="B63" s="94" t="s">
        <v>2882</v>
      </c>
      <c r="C63" s="94" t="s">
        <v>1027</v>
      </c>
      <c r="D63" s="152" t="s">
        <v>1957</v>
      </c>
      <c r="E63" s="153"/>
      <c r="F63" s="94" t="s">
        <v>2849</v>
      </c>
      <c r="G63" s="73">
        <v>28.672</v>
      </c>
      <c r="H63" s="51">
        <v>0</v>
      </c>
      <c r="I63" s="5"/>
    </row>
    <row r="64" spans="1:9" ht="12.2" customHeight="1">
      <c r="A64" s="5"/>
      <c r="D64" s="45" t="s">
        <v>3004</v>
      </c>
      <c r="E64" s="190"/>
      <c r="F64" s="191"/>
      <c r="G64" s="47">
        <v>28.672</v>
      </c>
      <c r="H64" s="52"/>
      <c r="I64" s="5"/>
    </row>
    <row r="65" spans="1:9" ht="12.75">
      <c r="A65" s="4" t="s">
        <v>25</v>
      </c>
      <c r="B65" s="94" t="s">
        <v>2882</v>
      </c>
      <c r="C65" s="94" t="s">
        <v>1028</v>
      </c>
      <c r="D65" s="152" t="s">
        <v>1958</v>
      </c>
      <c r="E65" s="153"/>
      <c r="F65" s="94" t="s">
        <v>2849</v>
      </c>
      <c r="G65" s="73">
        <v>28.672</v>
      </c>
      <c r="H65" s="51">
        <v>0</v>
      </c>
      <c r="I65" s="5"/>
    </row>
    <row r="66" spans="1:9" ht="12.2" customHeight="1">
      <c r="A66" s="5"/>
      <c r="D66" s="45" t="s">
        <v>3004</v>
      </c>
      <c r="E66" s="190"/>
      <c r="F66" s="191"/>
      <c r="G66" s="47">
        <v>28.672</v>
      </c>
      <c r="H66" s="52"/>
      <c r="I66" s="5"/>
    </row>
    <row r="67" spans="1:9" ht="12.75">
      <c r="A67" s="4" t="s">
        <v>26</v>
      </c>
      <c r="B67" s="94" t="s">
        <v>2882</v>
      </c>
      <c r="C67" s="94" t="s">
        <v>1029</v>
      </c>
      <c r="D67" s="152" t="s">
        <v>1959</v>
      </c>
      <c r="E67" s="153"/>
      <c r="F67" s="94" t="s">
        <v>2848</v>
      </c>
      <c r="G67" s="73">
        <v>3.313</v>
      </c>
      <c r="H67" s="51">
        <v>0</v>
      </c>
      <c r="I67" s="5"/>
    </row>
    <row r="68" spans="1:9" ht="12.2" customHeight="1">
      <c r="A68" s="5"/>
      <c r="D68" s="45" t="s">
        <v>3005</v>
      </c>
      <c r="E68" s="190"/>
      <c r="F68" s="191"/>
      <c r="G68" s="47">
        <v>3.313</v>
      </c>
      <c r="H68" s="52"/>
      <c r="I68" s="5"/>
    </row>
    <row r="69" spans="1:9" ht="12.75">
      <c r="A69" s="4" t="s">
        <v>27</v>
      </c>
      <c r="B69" s="94" t="s">
        <v>2882</v>
      </c>
      <c r="C69" s="94" t="s">
        <v>1030</v>
      </c>
      <c r="D69" s="152" t="s">
        <v>1960</v>
      </c>
      <c r="E69" s="153"/>
      <c r="F69" s="94" t="s">
        <v>2849</v>
      </c>
      <c r="G69" s="73">
        <v>44.806</v>
      </c>
      <c r="H69" s="51">
        <v>0</v>
      </c>
      <c r="I69" s="5"/>
    </row>
    <row r="70" spans="1:9" ht="12.2" customHeight="1">
      <c r="A70" s="5"/>
      <c r="D70" s="45" t="s">
        <v>3006</v>
      </c>
      <c r="E70" s="190"/>
      <c r="F70" s="191"/>
      <c r="G70" s="47">
        <v>21.353</v>
      </c>
      <c r="H70" s="52"/>
      <c r="I70" s="5"/>
    </row>
    <row r="71" spans="1:9" ht="12.2" customHeight="1">
      <c r="A71" s="4"/>
      <c r="B71" s="94"/>
      <c r="C71" s="94"/>
      <c r="D71" s="45" t="s">
        <v>3007</v>
      </c>
      <c r="E71" s="190"/>
      <c r="F71" s="190"/>
      <c r="G71" s="75">
        <v>23.453</v>
      </c>
      <c r="H71" s="25"/>
      <c r="I71" s="5"/>
    </row>
    <row r="72" spans="1:9" ht="12.75">
      <c r="A72" s="4" t="s">
        <v>28</v>
      </c>
      <c r="B72" s="94" t="s">
        <v>2882</v>
      </c>
      <c r="C72" s="94" t="s">
        <v>1031</v>
      </c>
      <c r="D72" s="152" t="s">
        <v>1961</v>
      </c>
      <c r="E72" s="153"/>
      <c r="F72" s="94" t="s">
        <v>2849</v>
      </c>
      <c r="G72" s="73">
        <v>69.323</v>
      </c>
      <c r="H72" s="51">
        <v>0</v>
      </c>
      <c r="I72" s="5"/>
    </row>
    <row r="73" spans="1:9" ht="12.2" customHeight="1">
      <c r="A73" s="5"/>
      <c r="D73" s="45" t="s">
        <v>3008</v>
      </c>
      <c r="E73" s="190"/>
      <c r="F73" s="191"/>
      <c r="G73" s="47">
        <v>69.323</v>
      </c>
      <c r="H73" s="52"/>
      <c r="I73" s="5"/>
    </row>
    <row r="74" spans="1:9" ht="12.75">
      <c r="A74" s="4" t="s">
        <v>29</v>
      </c>
      <c r="B74" s="94" t="s">
        <v>2882</v>
      </c>
      <c r="C74" s="94" t="s">
        <v>1032</v>
      </c>
      <c r="D74" s="152" t="s">
        <v>1962</v>
      </c>
      <c r="E74" s="153"/>
      <c r="F74" s="94" t="s">
        <v>2847</v>
      </c>
      <c r="G74" s="73">
        <v>55.261</v>
      </c>
      <c r="H74" s="51">
        <v>0</v>
      </c>
      <c r="I74" s="5"/>
    </row>
    <row r="75" spans="1:9" ht="12.2" customHeight="1">
      <c r="A75" s="5"/>
      <c r="D75" s="45" t="s">
        <v>3009</v>
      </c>
      <c r="E75" s="190"/>
      <c r="F75" s="191"/>
      <c r="G75" s="47">
        <v>36.413</v>
      </c>
      <c r="H75" s="52"/>
      <c r="I75" s="5"/>
    </row>
    <row r="76" spans="1:9" ht="12.2" customHeight="1">
      <c r="A76" s="4"/>
      <c r="B76" s="94"/>
      <c r="C76" s="94"/>
      <c r="D76" s="45" t="s">
        <v>3010</v>
      </c>
      <c r="E76" s="190"/>
      <c r="F76" s="190"/>
      <c r="G76" s="75">
        <v>6.534</v>
      </c>
      <c r="H76" s="25"/>
      <c r="I76" s="5"/>
    </row>
    <row r="77" spans="1:9" ht="12.2" customHeight="1">
      <c r="A77" s="4"/>
      <c r="B77" s="94"/>
      <c r="C77" s="94"/>
      <c r="D77" s="45" t="s">
        <v>3011</v>
      </c>
      <c r="E77" s="190"/>
      <c r="F77" s="190"/>
      <c r="G77" s="75">
        <v>7.315</v>
      </c>
      <c r="H77" s="25"/>
      <c r="I77" s="5"/>
    </row>
    <row r="78" spans="1:9" ht="12.2" customHeight="1">
      <c r="A78" s="4"/>
      <c r="B78" s="94"/>
      <c r="C78" s="94"/>
      <c r="D78" s="45" t="s">
        <v>3012</v>
      </c>
      <c r="E78" s="190"/>
      <c r="F78" s="190"/>
      <c r="G78" s="75">
        <v>4.999</v>
      </c>
      <c r="H78" s="25"/>
      <c r="I78" s="5"/>
    </row>
    <row r="79" spans="1:9" ht="12.75">
      <c r="A79" s="4" t="s">
        <v>30</v>
      </c>
      <c r="B79" s="94" t="s">
        <v>2882</v>
      </c>
      <c r="C79" s="94" t="s">
        <v>1033</v>
      </c>
      <c r="D79" s="152" t="s">
        <v>1963</v>
      </c>
      <c r="E79" s="153"/>
      <c r="F79" s="94" t="s">
        <v>2850</v>
      </c>
      <c r="G79" s="73">
        <v>10</v>
      </c>
      <c r="H79" s="51">
        <v>0</v>
      </c>
      <c r="I79" s="5"/>
    </row>
    <row r="80" spans="1:9" ht="12.2" customHeight="1">
      <c r="A80" s="5"/>
      <c r="D80" s="45" t="s">
        <v>3013</v>
      </c>
      <c r="E80" s="190"/>
      <c r="F80" s="191"/>
      <c r="G80" s="47">
        <v>10</v>
      </c>
      <c r="H80" s="52"/>
      <c r="I80" s="5"/>
    </row>
    <row r="81" spans="1:9" ht="12.75">
      <c r="A81" s="4" t="s">
        <v>31</v>
      </c>
      <c r="B81" s="94" t="s">
        <v>2882</v>
      </c>
      <c r="C81" s="94" t="s">
        <v>1034</v>
      </c>
      <c r="D81" s="152" t="s">
        <v>1964</v>
      </c>
      <c r="E81" s="153"/>
      <c r="F81" s="94" t="s">
        <v>2850</v>
      </c>
      <c r="G81" s="73">
        <v>1</v>
      </c>
      <c r="H81" s="51">
        <v>0</v>
      </c>
      <c r="I81" s="5"/>
    </row>
    <row r="82" spans="1:9" ht="12.2" customHeight="1">
      <c r="A82" s="5"/>
      <c r="D82" s="45" t="s">
        <v>7</v>
      </c>
      <c r="E82" s="190"/>
      <c r="F82" s="191"/>
      <c r="G82" s="47">
        <v>1</v>
      </c>
      <c r="H82" s="52"/>
      <c r="I82" s="5"/>
    </row>
    <row r="83" spans="1:9" ht="12.75">
      <c r="A83" s="4" t="s">
        <v>32</v>
      </c>
      <c r="B83" s="94" t="s">
        <v>2882</v>
      </c>
      <c r="C83" s="94" t="s">
        <v>1035</v>
      </c>
      <c r="D83" s="152" t="s">
        <v>1965</v>
      </c>
      <c r="E83" s="153"/>
      <c r="F83" s="94" t="s">
        <v>2850</v>
      </c>
      <c r="G83" s="73">
        <v>2</v>
      </c>
      <c r="H83" s="51">
        <v>0</v>
      </c>
      <c r="I83" s="5"/>
    </row>
    <row r="84" spans="1:9" ht="12.2" customHeight="1">
      <c r="A84" s="5"/>
      <c r="D84" s="45" t="s">
        <v>3014</v>
      </c>
      <c r="E84" s="190"/>
      <c r="F84" s="191"/>
      <c r="G84" s="47">
        <v>2</v>
      </c>
      <c r="H84" s="52"/>
      <c r="I84" s="5"/>
    </row>
    <row r="85" spans="1:9" ht="12.75">
      <c r="A85" s="4" t="s">
        <v>33</v>
      </c>
      <c r="B85" s="94" t="s">
        <v>2882</v>
      </c>
      <c r="C85" s="94" t="s">
        <v>1036</v>
      </c>
      <c r="D85" s="152" t="s">
        <v>1966</v>
      </c>
      <c r="E85" s="153"/>
      <c r="F85" s="94" t="s">
        <v>2850</v>
      </c>
      <c r="G85" s="73">
        <v>1</v>
      </c>
      <c r="H85" s="51">
        <v>0</v>
      </c>
      <c r="I85" s="5"/>
    </row>
    <row r="86" spans="1:9" ht="12.2" customHeight="1">
      <c r="A86" s="5"/>
      <c r="D86" s="45" t="s">
        <v>7</v>
      </c>
      <c r="E86" s="190"/>
      <c r="F86" s="191"/>
      <c r="G86" s="47">
        <v>1</v>
      </c>
      <c r="H86" s="52"/>
      <c r="I86" s="5"/>
    </row>
    <row r="87" spans="1:9" ht="12.75">
      <c r="A87" s="4" t="s">
        <v>34</v>
      </c>
      <c r="B87" s="94" t="s">
        <v>2882</v>
      </c>
      <c r="C87" s="94" t="s">
        <v>1036</v>
      </c>
      <c r="D87" s="152" t="s">
        <v>1967</v>
      </c>
      <c r="E87" s="153"/>
      <c r="F87" s="94" t="s">
        <v>2850</v>
      </c>
      <c r="G87" s="73">
        <v>1</v>
      </c>
      <c r="H87" s="51">
        <v>0</v>
      </c>
      <c r="I87" s="5"/>
    </row>
    <row r="88" spans="1:9" ht="12.2" customHeight="1">
      <c r="A88" s="5"/>
      <c r="D88" s="45" t="s">
        <v>7</v>
      </c>
      <c r="E88" s="190"/>
      <c r="F88" s="191"/>
      <c r="G88" s="47">
        <v>1</v>
      </c>
      <c r="H88" s="52"/>
      <c r="I88" s="5"/>
    </row>
    <row r="89" spans="1:9" ht="12.75">
      <c r="A89" s="4" t="s">
        <v>35</v>
      </c>
      <c r="B89" s="94" t="s">
        <v>2882</v>
      </c>
      <c r="C89" s="94" t="s">
        <v>1036</v>
      </c>
      <c r="D89" s="152" t="s">
        <v>1968</v>
      </c>
      <c r="E89" s="153"/>
      <c r="F89" s="94" t="s">
        <v>2850</v>
      </c>
      <c r="G89" s="73">
        <v>2</v>
      </c>
      <c r="H89" s="51">
        <v>0</v>
      </c>
      <c r="I89" s="5"/>
    </row>
    <row r="90" spans="1:9" ht="12.2" customHeight="1">
      <c r="A90" s="5"/>
      <c r="D90" s="45" t="s">
        <v>3014</v>
      </c>
      <c r="E90" s="190"/>
      <c r="F90" s="191"/>
      <c r="G90" s="47">
        <v>2</v>
      </c>
      <c r="H90" s="52"/>
      <c r="I90" s="5"/>
    </row>
    <row r="91" spans="1:9" ht="12.75">
      <c r="A91" s="4" t="s">
        <v>36</v>
      </c>
      <c r="B91" s="94" t="s">
        <v>2882</v>
      </c>
      <c r="C91" s="94" t="s">
        <v>1037</v>
      </c>
      <c r="D91" s="152" t="s">
        <v>1969</v>
      </c>
      <c r="E91" s="153"/>
      <c r="F91" s="94" t="s">
        <v>2848</v>
      </c>
      <c r="G91" s="73">
        <v>0.55</v>
      </c>
      <c r="H91" s="51">
        <v>0</v>
      </c>
      <c r="I91" s="5"/>
    </row>
    <row r="92" spans="1:9" ht="12.2" customHeight="1">
      <c r="A92" s="5"/>
      <c r="D92" s="45" t="s">
        <v>3015</v>
      </c>
      <c r="E92" s="190"/>
      <c r="F92" s="191"/>
      <c r="G92" s="47">
        <v>0.55</v>
      </c>
      <c r="H92" s="52"/>
      <c r="I92" s="5"/>
    </row>
    <row r="93" spans="1:9" ht="12.75">
      <c r="A93" s="44"/>
      <c r="B93" s="97"/>
      <c r="C93" s="97" t="s">
        <v>37</v>
      </c>
      <c r="D93" s="161" t="s">
        <v>1971</v>
      </c>
      <c r="E93" s="162"/>
      <c r="F93" s="97"/>
      <c r="G93" s="74"/>
      <c r="H93" s="24"/>
      <c r="I93" s="5"/>
    </row>
    <row r="94" spans="1:9" ht="12.75">
      <c r="A94" s="4" t="s">
        <v>37</v>
      </c>
      <c r="B94" s="94" t="s">
        <v>2882</v>
      </c>
      <c r="C94" s="94" t="s">
        <v>1038</v>
      </c>
      <c r="D94" s="152" t="s">
        <v>1972</v>
      </c>
      <c r="E94" s="153"/>
      <c r="F94" s="94" t="s">
        <v>2849</v>
      </c>
      <c r="G94" s="73">
        <v>317.96</v>
      </c>
      <c r="H94" s="51">
        <v>0</v>
      </c>
      <c r="I94" s="5"/>
    </row>
    <row r="95" spans="1:9" ht="12.2" customHeight="1">
      <c r="A95" s="5"/>
      <c r="D95" s="45" t="s">
        <v>3016</v>
      </c>
      <c r="E95" s="190"/>
      <c r="F95" s="191"/>
      <c r="G95" s="47">
        <v>185.578</v>
      </c>
      <c r="H95" s="52"/>
      <c r="I95" s="5"/>
    </row>
    <row r="96" spans="1:9" ht="12.2" customHeight="1">
      <c r="A96" s="4"/>
      <c r="B96" s="94"/>
      <c r="C96" s="94"/>
      <c r="D96" s="45" t="s">
        <v>3017</v>
      </c>
      <c r="E96" s="190"/>
      <c r="F96" s="190"/>
      <c r="G96" s="75">
        <v>-18.05</v>
      </c>
      <c r="H96" s="25"/>
      <c r="I96" s="5"/>
    </row>
    <row r="97" spans="1:9" ht="12.2" customHeight="1">
      <c r="A97" s="4"/>
      <c r="B97" s="94"/>
      <c r="C97" s="94"/>
      <c r="D97" s="45" t="s">
        <v>3018</v>
      </c>
      <c r="E97" s="190"/>
      <c r="F97" s="190"/>
      <c r="G97" s="75">
        <v>-12</v>
      </c>
      <c r="H97" s="25"/>
      <c r="I97" s="5"/>
    </row>
    <row r="98" spans="1:9" ht="12.2" customHeight="1">
      <c r="A98" s="4"/>
      <c r="B98" s="94"/>
      <c r="C98" s="94"/>
      <c r="D98" s="45" t="s">
        <v>3019</v>
      </c>
      <c r="E98" s="190"/>
      <c r="F98" s="190"/>
      <c r="G98" s="75">
        <v>172.555</v>
      </c>
      <c r="H98" s="25"/>
      <c r="I98" s="5"/>
    </row>
    <row r="99" spans="1:9" ht="12.2" customHeight="1">
      <c r="A99" s="4"/>
      <c r="B99" s="94"/>
      <c r="C99" s="94"/>
      <c r="D99" s="45" t="s">
        <v>3020</v>
      </c>
      <c r="E99" s="190"/>
      <c r="F99" s="190"/>
      <c r="G99" s="75">
        <v>-36.8</v>
      </c>
      <c r="H99" s="25"/>
      <c r="I99" s="5"/>
    </row>
    <row r="100" spans="1:9" ht="12.2" customHeight="1">
      <c r="A100" s="4"/>
      <c r="B100" s="94"/>
      <c r="C100" s="94"/>
      <c r="D100" s="45" t="s">
        <v>3021</v>
      </c>
      <c r="E100" s="190"/>
      <c r="F100" s="190"/>
      <c r="G100" s="75">
        <v>26.677</v>
      </c>
      <c r="H100" s="25"/>
      <c r="I100" s="5"/>
    </row>
    <row r="101" spans="1:9" ht="12.75">
      <c r="A101" s="4" t="s">
        <v>38</v>
      </c>
      <c r="B101" s="94" t="s">
        <v>2882</v>
      </c>
      <c r="C101" s="94" t="s">
        <v>1038</v>
      </c>
      <c r="D101" s="152" t="s">
        <v>1973</v>
      </c>
      <c r="E101" s="153"/>
      <c r="F101" s="94" t="s">
        <v>2849</v>
      </c>
      <c r="G101" s="73">
        <v>18.606</v>
      </c>
      <c r="H101" s="51">
        <v>0</v>
      </c>
      <c r="I101" s="5"/>
    </row>
    <row r="102" spans="1:9" ht="12.2" customHeight="1">
      <c r="A102" s="5"/>
      <c r="D102" s="45" t="s">
        <v>3022</v>
      </c>
      <c r="E102" s="190"/>
      <c r="F102" s="191"/>
      <c r="G102" s="47">
        <v>18.606</v>
      </c>
      <c r="H102" s="52"/>
      <c r="I102" s="5"/>
    </row>
    <row r="103" spans="1:9" ht="12.75">
      <c r="A103" s="4" t="s">
        <v>39</v>
      </c>
      <c r="B103" s="94" t="s">
        <v>2882</v>
      </c>
      <c r="C103" s="94" t="s">
        <v>1039</v>
      </c>
      <c r="D103" s="152" t="s">
        <v>1974</v>
      </c>
      <c r="E103" s="153"/>
      <c r="F103" s="94" t="s">
        <v>2850</v>
      </c>
      <c r="G103" s="73">
        <v>15</v>
      </c>
      <c r="H103" s="51">
        <v>0</v>
      </c>
      <c r="I103" s="5"/>
    </row>
    <row r="104" spans="1:9" ht="12.2" customHeight="1">
      <c r="A104" s="5"/>
      <c r="D104" s="45" t="s">
        <v>3023</v>
      </c>
      <c r="E104" s="190"/>
      <c r="F104" s="191"/>
      <c r="G104" s="47">
        <v>15</v>
      </c>
      <c r="H104" s="52"/>
      <c r="I104" s="5"/>
    </row>
    <row r="105" spans="1:9" ht="12.75">
      <c r="A105" s="4" t="s">
        <v>40</v>
      </c>
      <c r="B105" s="94" t="s">
        <v>2882</v>
      </c>
      <c r="C105" s="94" t="s">
        <v>1039</v>
      </c>
      <c r="D105" s="152" t="s">
        <v>1975</v>
      </c>
      <c r="E105" s="153"/>
      <c r="F105" s="94" t="s">
        <v>2850</v>
      </c>
      <c r="G105" s="73">
        <v>36</v>
      </c>
      <c r="H105" s="51">
        <v>0</v>
      </c>
      <c r="I105" s="5"/>
    </row>
    <row r="106" spans="1:9" ht="12.2" customHeight="1">
      <c r="A106" s="5"/>
      <c r="D106" s="45" t="s">
        <v>3024</v>
      </c>
      <c r="E106" s="190"/>
      <c r="F106" s="191"/>
      <c r="G106" s="47">
        <v>36</v>
      </c>
      <c r="H106" s="52"/>
      <c r="I106" s="5"/>
    </row>
    <row r="107" spans="1:9" ht="12.75">
      <c r="A107" s="4" t="s">
        <v>41</v>
      </c>
      <c r="B107" s="94" t="s">
        <v>2882</v>
      </c>
      <c r="C107" s="94" t="s">
        <v>1040</v>
      </c>
      <c r="D107" s="152" t="s">
        <v>1976</v>
      </c>
      <c r="E107" s="153"/>
      <c r="F107" s="94" t="s">
        <v>2850</v>
      </c>
      <c r="G107" s="73">
        <v>1</v>
      </c>
      <c r="H107" s="51">
        <v>0</v>
      </c>
      <c r="I107" s="5"/>
    </row>
    <row r="108" spans="1:9" ht="12.2" customHeight="1">
      <c r="A108" s="5"/>
      <c r="D108" s="45" t="s">
        <v>7</v>
      </c>
      <c r="E108" s="190"/>
      <c r="F108" s="191"/>
      <c r="G108" s="47">
        <v>1</v>
      </c>
      <c r="H108" s="52"/>
      <c r="I108" s="5"/>
    </row>
    <row r="109" spans="1:9" ht="12.75">
      <c r="A109" s="4" t="s">
        <v>42</v>
      </c>
      <c r="B109" s="94" t="s">
        <v>2882</v>
      </c>
      <c r="C109" s="94" t="s">
        <v>1040</v>
      </c>
      <c r="D109" s="152" t="s">
        <v>1977</v>
      </c>
      <c r="E109" s="153"/>
      <c r="F109" s="94" t="s">
        <v>2850</v>
      </c>
      <c r="G109" s="73">
        <v>2</v>
      </c>
      <c r="H109" s="51">
        <v>0</v>
      </c>
      <c r="I109" s="5"/>
    </row>
    <row r="110" spans="1:9" ht="12.2" customHeight="1">
      <c r="A110" s="5"/>
      <c r="D110" s="45" t="s">
        <v>3025</v>
      </c>
      <c r="E110" s="190"/>
      <c r="F110" s="191"/>
      <c r="G110" s="47">
        <v>2</v>
      </c>
      <c r="H110" s="52"/>
      <c r="I110" s="5"/>
    </row>
    <row r="111" spans="1:9" ht="12.75">
      <c r="A111" s="4" t="s">
        <v>43</v>
      </c>
      <c r="B111" s="94" t="s">
        <v>2882</v>
      </c>
      <c r="C111" s="94" t="s">
        <v>1041</v>
      </c>
      <c r="D111" s="152" t="s">
        <v>1978</v>
      </c>
      <c r="E111" s="153"/>
      <c r="F111" s="94" t="s">
        <v>2850</v>
      </c>
      <c r="G111" s="73">
        <v>1</v>
      </c>
      <c r="H111" s="51">
        <v>0</v>
      </c>
      <c r="I111" s="5"/>
    </row>
    <row r="112" spans="1:9" ht="12.2" customHeight="1">
      <c r="A112" s="5"/>
      <c r="D112" s="45" t="s">
        <v>7</v>
      </c>
      <c r="E112" s="190"/>
      <c r="F112" s="191"/>
      <c r="G112" s="47">
        <v>1</v>
      </c>
      <c r="H112" s="52"/>
      <c r="I112" s="5"/>
    </row>
    <row r="113" spans="1:9" ht="12.75">
      <c r="A113" s="4" t="s">
        <v>44</v>
      </c>
      <c r="B113" s="94" t="s">
        <v>2882</v>
      </c>
      <c r="C113" s="94" t="s">
        <v>1042</v>
      </c>
      <c r="D113" s="152" t="s">
        <v>1979</v>
      </c>
      <c r="E113" s="153"/>
      <c r="F113" s="94" t="s">
        <v>2850</v>
      </c>
      <c r="G113" s="73">
        <v>2</v>
      </c>
      <c r="H113" s="51">
        <v>0</v>
      </c>
      <c r="I113" s="5"/>
    </row>
    <row r="114" spans="1:9" ht="12.2" customHeight="1">
      <c r="A114" s="5"/>
      <c r="D114" s="45" t="s">
        <v>8</v>
      </c>
      <c r="E114" s="190"/>
      <c r="F114" s="191"/>
      <c r="G114" s="47">
        <v>2</v>
      </c>
      <c r="H114" s="52"/>
      <c r="I114" s="5"/>
    </row>
    <row r="115" spans="1:9" ht="12.75">
      <c r="A115" s="4" t="s">
        <v>45</v>
      </c>
      <c r="B115" s="94" t="s">
        <v>2882</v>
      </c>
      <c r="C115" s="94" t="s">
        <v>1043</v>
      </c>
      <c r="D115" s="152" t="s">
        <v>1980</v>
      </c>
      <c r="E115" s="153"/>
      <c r="F115" s="94" t="s">
        <v>2850</v>
      </c>
      <c r="G115" s="73">
        <v>22</v>
      </c>
      <c r="H115" s="51">
        <v>0</v>
      </c>
      <c r="I115" s="5"/>
    </row>
    <row r="116" spans="1:9" ht="12.2" customHeight="1">
      <c r="A116" s="5"/>
      <c r="D116" s="45" t="s">
        <v>3026</v>
      </c>
      <c r="E116" s="190"/>
      <c r="F116" s="191"/>
      <c r="G116" s="47">
        <v>22</v>
      </c>
      <c r="H116" s="52"/>
      <c r="I116" s="5"/>
    </row>
    <row r="117" spans="1:9" ht="12.75">
      <c r="A117" s="4" t="s">
        <v>46</v>
      </c>
      <c r="B117" s="94" t="s">
        <v>2882</v>
      </c>
      <c r="C117" s="94" t="s">
        <v>1044</v>
      </c>
      <c r="D117" s="152" t="s">
        <v>1981</v>
      </c>
      <c r="E117" s="153"/>
      <c r="F117" s="94" t="s">
        <v>2850</v>
      </c>
      <c r="G117" s="73">
        <v>20</v>
      </c>
      <c r="H117" s="51">
        <v>0</v>
      </c>
      <c r="I117" s="5"/>
    </row>
    <row r="118" spans="1:9" ht="12.2" customHeight="1">
      <c r="A118" s="5"/>
      <c r="D118" s="45" t="s">
        <v>3027</v>
      </c>
      <c r="E118" s="190"/>
      <c r="F118" s="191"/>
      <c r="G118" s="47">
        <v>20</v>
      </c>
      <c r="H118" s="52"/>
      <c r="I118" s="5"/>
    </row>
    <row r="119" spans="1:9" ht="12.75">
      <c r="A119" s="4" t="s">
        <v>47</v>
      </c>
      <c r="B119" s="94" t="s">
        <v>2882</v>
      </c>
      <c r="C119" s="94" t="s">
        <v>1045</v>
      </c>
      <c r="D119" s="152" t="s">
        <v>1982</v>
      </c>
      <c r="E119" s="153"/>
      <c r="F119" s="94" t="s">
        <v>2850</v>
      </c>
      <c r="G119" s="73">
        <v>2</v>
      </c>
      <c r="H119" s="51">
        <v>0</v>
      </c>
      <c r="I119" s="5"/>
    </row>
    <row r="120" spans="1:9" ht="12.2" customHeight="1">
      <c r="A120" s="5"/>
      <c r="D120" s="45" t="s">
        <v>8</v>
      </c>
      <c r="E120" s="190"/>
      <c r="F120" s="191"/>
      <c r="G120" s="47">
        <v>2</v>
      </c>
      <c r="H120" s="52"/>
      <c r="I120" s="5"/>
    </row>
    <row r="121" spans="1:9" ht="12.75">
      <c r="A121" s="4" t="s">
        <v>48</v>
      </c>
      <c r="B121" s="94" t="s">
        <v>2882</v>
      </c>
      <c r="C121" s="94" t="s">
        <v>1046</v>
      </c>
      <c r="D121" s="152" t="s">
        <v>1983</v>
      </c>
      <c r="E121" s="153"/>
      <c r="F121" s="94" t="s">
        <v>2850</v>
      </c>
      <c r="G121" s="73">
        <v>22</v>
      </c>
      <c r="H121" s="51">
        <v>0</v>
      </c>
      <c r="I121" s="5"/>
    </row>
    <row r="122" spans="1:9" ht="12.2" customHeight="1">
      <c r="A122" s="5"/>
      <c r="D122" s="45" t="s">
        <v>3026</v>
      </c>
      <c r="E122" s="190"/>
      <c r="F122" s="191"/>
      <c r="G122" s="47">
        <v>22</v>
      </c>
      <c r="H122" s="52"/>
      <c r="I122" s="5"/>
    </row>
    <row r="123" spans="1:9" ht="12.75">
      <c r="A123" s="4" t="s">
        <v>49</v>
      </c>
      <c r="B123" s="94" t="s">
        <v>2882</v>
      </c>
      <c r="C123" s="94" t="s">
        <v>1047</v>
      </c>
      <c r="D123" s="152" t="s">
        <v>1984</v>
      </c>
      <c r="E123" s="153"/>
      <c r="F123" s="94" t="s">
        <v>2850</v>
      </c>
      <c r="G123" s="73">
        <v>20</v>
      </c>
      <c r="H123" s="51">
        <v>0</v>
      </c>
      <c r="I123" s="5"/>
    </row>
    <row r="124" spans="1:9" ht="12.2" customHeight="1">
      <c r="A124" s="5"/>
      <c r="D124" s="45" t="s">
        <v>3027</v>
      </c>
      <c r="E124" s="190"/>
      <c r="F124" s="191"/>
      <c r="G124" s="47">
        <v>20</v>
      </c>
      <c r="H124" s="52"/>
      <c r="I124" s="5"/>
    </row>
    <row r="125" spans="1:9" ht="12.75">
      <c r="A125" s="44"/>
      <c r="B125" s="97"/>
      <c r="C125" s="97" t="s">
        <v>40</v>
      </c>
      <c r="D125" s="161" t="s">
        <v>1985</v>
      </c>
      <c r="E125" s="162"/>
      <c r="F125" s="97"/>
      <c r="G125" s="74"/>
      <c r="H125" s="24"/>
      <c r="I125" s="5"/>
    </row>
    <row r="126" spans="1:9" ht="12.75">
      <c r="A126" s="4" t="s">
        <v>50</v>
      </c>
      <c r="B126" s="94" t="s">
        <v>2882</v>
      </c>
      <c r="C126" s="94" t="s">
        <v>1048</v>
      </c>
      <c r="D126" s="152" t="s">
        <v>1986</v>
      </c>
      <c r="E126" s="153"/>
      <c r="F126" s="94" t="s">
        <v>2849</v>
      </c>
      <c r="G126" s="73">
        <v>6.288</v>
      </c>
      <c r="H126" s="51">
        <v>0</v>
      </c>
      <c r="I126" s="5"/>
    </row>
    <row r="127" spans="1:9" ht="12.2" customHeight="1">
      <c r="A127" s="5"/>
      <c r="D127" s="45" t="s">
        <v>3028</v>
      </c>
      <c r="E127" s="190"/>
      <c r="F127" s="191"/>
      <c r="G127" s="47">
        <v>6.288</v>
      </c>
      <c r="H127" s="52"/>
      <c r="I127" s="5"/>
    </row>
    <row r="128" spans="1:9" ht="12.75">
      <c r="A128" s="4" t="s">
        <v>51</v>
      </c>
      <c r="B128" s="94" t="s">
        <v>2882</v>
      </c>
      <c r="C128" s="94" t="s">
        <v>1049</v>
      </c>
      <c r="D128" s="152" t="s">
        <v>1987</v>
      </c>
      <c r="E128" s="153"/>
      <c r="F128" s="94" t="s">
        <v>2849</v>
      </c>
      <c r="G128" s="73">
        <v>12.27</v>
      </c>
      <c r="H128" s="51">
        <v>0</v>
      </c>
      <c r="I128" s="5"/>
    </row>
    <row r="129" spans="1:9" ht="12.2" customHeight="1">
      <c r="A129" s="5"/>
      <c r="D129" s="45" t="s">
        <v>3029</v>
      </c>
      <c r="E129" s="190"/>
      <c r="F129" s="191"/>
      <c r="G129" s="47">
        <v>9.39</v>
      </c>
      <c r="H129" s="52"/>
      <c r="I129" s="5"/>
    </row>
    <row r="130" spans="1:9" ht="12.2" customHeight="1">
      <c r="A130" s="4"/>
      <c r="B130" s="94"/>
      <c r="C130" s="94"/>
      <c r="D130" s="45" t="s">
        <v>3030</v>
      </c>
      <c r="E130" s="190"/>
      <c r="F130" s="190"/>
      <c r="G130" s="75">
        <v>2.88</v>
      </c>
      <c r="H130" s="25"/>
      <c r="I130" s="5"/>
    </row>
    <row r="131" spans="1:9" ht="12.75">
      <c r="A131" s="4" t="s">
        <v>52</v>
      </c>
      <c r="B131" s="94" t="s">
        <v>2882</v>
      </c>
      <c r="C131" s="94" t="s">
        <v>1050</v>
      </c>
      <c r="D131" s="152" t="s">
        <v>1988</v>
      </c>
      <c r="E131" s="153"/>
      <c r="F131" s="94" t="s">
        <v>2849</v>
      </c>
      <c r="G131" s="73">
        <v>345.874</v>
      </c>
      <c r="H131" s="51">
        <v>0</v>
      </c>
      <c r="I131" s="5"/>
    </row>
    <row r="132" spans="1:9" ht="12.2" customHeight="1">
      <c r="A132" s="5"/>
      <c r="D132" s="45" t="s">
        <v>3031</v>
      </c>
      <c r="E132" s="190"/>
      <c r="F132" s="191"/>
      <c r="G132" s="47">
        <v>50.204</v>
      </c>
      <c r="H132" s="52"/>
      <c r="I132" s="5"/>
    </row>
    <row r="133" spans="1:9" ht="12.2" customHeight="1">
      <c r="A133" s="4"/>
      <c r="B133" s="94"/>
      <c r="C133" s="94"/>
      <c r="D133" s="45" t="s">
        <v>3032</v>
      </c>
      <c r="E133" s="190"/>
      <c r="F133" s="190"/>
      <c r="G133" s="75">
        <v>73.108</v>
      </c>
      <c r="H133" s="25"/>
      <c r="I133" s="5"/>
    </row>
    <row r="134" spans="1:9" ht="12.2" customHeight="1">
      <c r="A134" s="4"/>
      <c r="B134" s="94"/>
      <c r="C134" s="94"/>
      <c r="D134" s="45" t="s">
        <v>3033</v>
      </c>
      <c r="E134" s="190"/>
      <c r="F134" s="190"/>
      <c r="G134" s="75">
        <v>-10.908</v>
      </c>
      <c r="H134" s="25"/>
      <c r="I134" s="5"/>
    </row>
    <row r="135" spans="1:9" ht="12.2" customHeight="1">
      <c r="A135" s="4"/>
      <c r="B135" s="94"/>
      <c r="C135" s="94"/>
      <c r="D135" s="45" t="s">
        <v>3034</v>
      </c>
      <c r="E135" s="190"/>
      <c r="F135" s="190"/>
      <c r="G135" s="75">
        <v>251.65</v>
      </c>
      <c r="H135" s="25"/>
      <c r="I135" s="5"/>
    </row>
    <row r="136" spans="1:9" ht="12.2" customHeight="1">
      <c r="A136" s="4"/>
      <c r="B136" s="94"/>
      <c r="C136" s="94"/>
      <c r="D136" s="45" t="s">
        <v>3035</v>
      </c>
      <c r="E136" s="190"/>
      <c r="F136" s="190"/>
      <c r="G136" s="75">
        <v>-18.18</v>
      </c>
      <c r="H136" s="25"/>
      <c r="I136" s="5"/>
    </row>
    <row r="137" spans="1:9" ht="12.75">
      <c r="A137" s="4" t="s">
        <v>53</v>
      </c>
      <c r="B137" s="94" t="s">
        <v>2882</v>
      </c>
      <c r="C137" s="94" t="s">
        <v>1051</v>
      </c>
      <c r="D137" s="152" t="s">
        <v>1989</v>
      </c>
      <c r="E137" s="153"/>
      <c r="F137" s="94" t="s">
        <v>2849</v>
      </c>
      <c r="G137" s="73">
        <v>131.49</v>
      </c>
      <c r="H137" s="51">
        <v>0</v>
      </c>
      <c r="I137" s="5"/>
    </row>
    <row r="138" spans="1:9" ht="12.2" customHeight="1">
      <c r="A138" s="5"/>
      <c r="D138" s="45" t="s">
        <v>3036</v>
      </c>
      <c r="E138" s="190"/>
      <c r="F138" s="191"/>
      <c r="G138" s="47">
        <v>76.077</v>
      </c>
      <c r="H138" s="52"/>
      <c r="I138" s="5"/>
    </row>
    <row r="139" spans="1:9" ht="12.2" customHeight="1">
      <c r="A139" s="4"/>
      <c r="B139" s="94"/>
      <c r="C139" s="94"/>
      <c r="D139" s="45" t="s">
        <v>3037</v>
      </c>
      <c r="E139" s="190"/>
      <c r="F139" s="190"/>
      <c r="G139" s="75">
        <v>49.723</v>
      </c>
      <c r="H139" s="25"/>
      <c r="I139" s="5"/>
    </row>
    <row r="140" spans="1:9" ht="12.2" customHeight="1">
      <c r="A140" s="4"/>
      <c r="B140" s="94"/>
      <c r="C140" s="94"/>
      <c r="D140" s="45" t="s">
        <v>3038</v>
      </c>
      <c r="E140" s="190"/>
      <c r="F140" s="190"/>
      <c r="G140" s="75">
        <v>-22.22</v>
      </c>
      <c r="H140" s="25"/>
      <c r="I140" s="5"/>
    </row>
    <row r="141" spans="1:9" ht="12.2" customHeight="1">
      <c r="A141" s="4"/>
      <c r="B141" s="94"/>
      <c r="C141" s="94"/>
      <c r="D141" s="45" t="s">
        <v>3039</v>
      </c>
      <c r="E141" s="190"/>
      <c r="F141" s="190"/>
      <c r="G141" s="75">
        <v>35.99</v>
      </c>
      <c r="H141" s="25"/>
      <c r="I141" s="5"/>
    </row>
    <row r="142" spans="1:9" ht="12.2" customHeight="1">
      <c r="A142" s="4"/>
      <c r="B142" s="94"/>
      <c r="C142" s="94"/>
      <c r="D142" s="45" t="s">
        <v>3040</v>
      </c>
      <c r="E142" s="190"/>
      <c r="F142" s="190"/>
      <c r="G142" s="75">
        <v>-8.08</v>
      </c>
      <c r="H142" s="25"/>
      <c r="I142" s="5"/>
    </row>
    <row r="143" spans="1:9" ht="12.75">
      <c r="A143" s="4" t="s">
        <v>54</v>
      </c>
      <c r="B143" s="94" t="s">
        <v>2882</v>
      </c>
      <c r="C143" s="94" t="s">
        <v>1052</v>
      </c>
      <c r="D143" s="152" t="s">
        <v>1990</v>
      </c>
      <c r="E143" s="153"/>
      <c r="F143" s="94" t="s">
        <v>2851</v>
      </c>
      <c r="G143" s="73">
        <v>175.11</v>
      </c>
      <c r="H143" s="51">
        <v>0</v>
      </c>
      <c r="I143" s="5"/>
    </row>
    <row r="144" spans="1:9" ht="12.2" customHeight="1">
      <c r="A144" s="5"/>
      <c r="D144" s="45" t="s">
        <v>3041</v>
      </c>
      <c r="E144" s="190"/>
      <c r="F144" s="191"/>
      <c r="G144" s="47">
        <v>15.64</v>
      </c>
      <c r="H144" s="52"/>
      <c r="I144" s="5"/>
    </row>
    <row r="145" spans="1:9" ht="12.2" customHeight="1">
      <c r="A145" s="4"/>
      <c r="B145" s="94"/>
      <c r="C145" s="94"/>
      <c r="D145" s="45" t="s">
        <v>3042</v>
      </c>
      <c r="E145" s="190"/>
      <c r="F145" s="190"/>
      <c r="G145" s="75">
        <v>22.775</v>
      </c>
      <c r="H145" s="25"/>
      <c r="I145" s="5"/>
    </row>
    <row r="146" spans="1:9" ht="12.2" customHeight="1">
      <c r="A146" s="4"/>
      <c r="B146" s="94"/>
      <c r="C146" s="94"/>
      <c r="D146" s="45" t="s">
        <v>3043</v>
      </c>
      <c r="E146" s="190"/>
      <c r="F146" s="190"/>
      <c r="G146" s="75">
        <v>85.305</v>
      </c>
      <c r="H146" s="25"/>
      <c r="I146" s="5"/>
    </row>
    <row r="147" spans="1:9" ht="12.2" customHeight="1">
      <c r="A147" s="4"/>
      <c r="B147" s="94"/>
      <c r="C147" s="94"/>
      <c r="D147" s="45" t="s">
        <v>3044</v>
      </c>
      <c r="E147" s="190"/>
      <c r="F147" s="190"/>
      <c r="G147" s="75">
        <v>23.7</v>
      </c>
      <c r="H147" s="25"/>
      <c r="I147" s="5"/>
    </row>
    <row r="148" spans="1:9" ht="12.2" customHeight="1">
      <c r="A148" s="4"/>
      <c r="B148" s="94"/>
      <c r="C148" s="94"/>
      <c r="D148" s="45" t="s">
        <v>3045</v>
      </c>
      <c r="E148" s="190"/>
      <c r="F148" s="190"/>
      <c r="G148" s="75">
        <v>15.49</v>
      </c>
      <c r="H148" s="25"/>
      <c r="I148" s="5"/>
    </row>
    <row r="149" spans="1:9" ht="12.2" customHeight="1">
      <c r="A149" s="4"/>
      <c r="B149" s="94"/>
      <c r="C149" s="94"/>
      <c r="D149" s="45" t="s">
        <v>3046</v>
      </c>
      <c r="E149" s="190"/>
      <c r="F149" s="190"/>
      <c r="G149" s="75">
        <v>12.2</v>
      </c>
      <c r="H149" s="25"/>
      <c r="I149" s="5"/>
    </row>
    <row r="150" spans="1:9" ht="12.75">
      <c r="A150" s="4" t="s">
        <v>55</v>
      </c>
      <c r="B150" s="94" t="s">
        <v>2882</v>
      </c>
      <c r="C150" s="94" t="s">
        <v>1053</v>
      </c>
      <c r="D150" s="152" t="s">
        <v>1991</v>
      </c>
      <c r="E150" s="153"/>
      <c r="F150" s="94" t="s">
        <v>2851</v>
      </c>
      <c r="G150" s="73">
        <v>204.58</v>
      </c>
      <c r="H150" s="51">
        <v>0</v>
      </c>
      <c r="I150" s="5"/>
    </row>
    <row r="151" spans="1:9" ht="12.2" customHeight="1">
      <c r="A151" s="5"/>
      <c r="D151" s="45" t="s">
        <v>3047</v>
      </c>
      <c r="E151" s="190"/>
      <c r="F151" s="191"/>
      <c r="G151" s="47">
        <v>121.98</v>
      </c>
      <c r="H151" s="52"/>
      <c r="I151" s="5"/>
    </row>
    <row r="152" spans="1:9" ht="12.2" customHeight="1">
      <c r="A152" s="4"/>
      <c r="B152" s="94"/>
      <c r="C152" s="94"/>
      <c r="D152" s="45" t="s">
        <v>3048</v>
      </c>
      <c r="E152" s="190"/>
      <c r="F152" s="190"/>
      <c r="G152" s="75">
        <v>82.6</v>
      </c>
      <c r="H152" s="25"/>
      <c r="I152" s="5"/>
    </row>
    <row r="153" spans="1:9" ht="12.75">
      <c r="A153" s="4" t="s">
        <v>56</v>
      </c>
      <c r="B153" s="94" t="s">
        <v>2882</v>
      </c>
      <c r="C153" s="94" t="s">
        <v>1054</v>
      </c>
      <c r="D153" s="152" t="s">
        <v>1992</v>
      </c>
      <c r="E153" s="153"/>
      <c r="F153" s="94" t="s">
        <v>2849</v>
      </c>
      <c r="G153" s="73">
        <v>131.43</v>
      </c>
      <c r="H153" s="51">
        <v>0</v>
      </c>
      <c r="I153" s="5"/>
    </row>
    <row r="154" spans="1:9" ht="12.2" customHeight="1">
      <c r="A154" s="5"/>
      <c r="D154" s="45" t="s">
        <v>3049</v>
      </c>
      <c r="E154" s="190"/>
      <c r="F154" s="191"/>
      <c r="G154" s="47">
        <v>65.715</v>
      </c>
      <c r="H154" s="52"/>
      <c r="I154" s="5"/>
    </row>
    <row r="155" spans="1:9" ht="12.2" customHeight="1">
      <c r="A155" s="4"/>
      <c r="B155" s="94"/>
      <c r="C155" s="94"/>
      <c r="D155" s="45" t="s">
        <v>3049</v>
      </c>
      <c r="E155" s="190"/>
      <c r="F155" s="190"/>
      <c r="G155" s="75">
        <v>65.715</v>
      </c>
      <c r="H155" s="25"/>
      <c r="I155" s="5"/>
    </row>
    <row r="156" spans="1:9" ht="12.75">
      <c r="A156" s="4" t="s">
        <v>57</v>
      </c>
      <c r="B156" s="94" t="s">
        <v>2882</v>
      </c>
      <c r="C156" s="94" t="s">
        <v>1055</v>
      </c>
      <c r="D156" s="152" t="s">
        <v>1993</v>
      </c>
      <c r="E156" s="153"/>
      <c r="F156" s="94" t="s">
        <v>2851</v>
      </c>
      <c r="G156" s="73">
        <v>145.71</v>
      </c>
      <c r="H156" s="51">
        <v>0</v>
      </c>
      <c r="I156" s="5"/>
    </row>
    <row r="157" spans="1:9" ht="12.2" customHeight="1">
      <c r="A157" s="5"/>
      <c r="D157" s="45" t="s">
        <v>3041</v>
      </c>
      <c r="E157" s="190"/>
      <c r="F157" s="191"/>
      <c r="G157" s="47">
        <v>15.64</v>
      </c>
      <c r="H157" s="52"/>
      <c r="I157" s="5"/>
    </row>
    <row r="158" spans="1:9" ht="12.2" customHeight="1">
      <c r="A158" s="4"/>
      <c r="B158" s="94"/>
      <c r="C158" s="94"/>
      <c r="D158" s="45" t="s">
        <v>3042</v>
      </c>
      <c r="E158" s="190"/>
      <c r="F158" s="190"/>
      <c r="G158" s="75">
        <v>22.775</v>
      </c>
      <c r="H158" s="25"/>
      <c r="I158" s="5"/>
    </row>
    <row r="159" spans="1:9" ht="12.2" customHeight="1">
      <c r="A159" s="4"/>
      <c r="B159" s="94"/>
      <c r="C159" s="94"/>
      <c r="D159" s="45" t="s">
        <v>3043</v>
      </c>
      <c r="E159" s="190"/>
      <c r="F159" s="190"/>
      <c r="G159" s="75">
        <v>85.305</v>
      </c>
      <c r="H159" s="25"/>
      <c r="I159" s="5"/>
    </row>
    <row r="160" spans="1:9" ht="12.2" customHeight="1">
      <c r="A160" s="4"/>
      <c r="B160" s="94"/>
      <c r="C160" s="94"/>
      <c r="D160" s="45" t="s">
        <v>3044</v>
      </c>
      <c r="E160" s="190"/>
      <c r="F160" s="190"/>
      <c r="G160" s="75">
        <v>23.7</v>
      </c>
      <c r="H160" s="25"/>
      <c r="I160" s="5"/>
    </row>
    <row r="161" spans="1:9" ht="12.2" customHeight="1">
      <c r="A161" s="4"/>
      <c r="B161" s="94"/>
      <c r="C161" s="94"/>
      <c r="D161" s="45" t="s">
        <v>3045</v>
      </c>
      <c r="E161" s="190"/>
      <c r="F161" s="190"/>
      <c r="G161" s="75">
        <v>15.49</v>
      </c>
      <c r="H161" s="25"/>
      <c r="I161" s="5"/>
    </row>
    <row r="162" spans="1:9" ht="12.2" customHeight="1">
      <c r="A162" s="4"/>
      <c r="B162" s="94"/>
      <c r="C162" s="94"/>
      <c r="D162" s="45" t="s">
        <v>3046</v>
      </c>
      <c r="E162" s="190"/>
      <c r="F162" s="190"/>
      <c r="G162" s="75">
        <v>12.2</v>
      </c>
      <c r="H162" s="25"/>
      <c r="I162" s="5"/>
    </row>
    <row r="163" spans="1:9" ht="12.2" customHeight="1">
      <c r="A163" s="4"/>
      <c r="B163" s="94"/>
      <c r="C163" s="94"/>
      <c r="D163" s="45" t="s">
        <v>3050</v>
      </c>
      <c r="E163" s="190"/>
      <c r="F163" s="190"/>
      <c r="G163" s="75">
        <v>-14.4</v>
      </c>
      <c r="H163" s="25"/>
      <c r="I163" s="5"/>
    </row>
    <row r="164" spans="1:9" ht="12.2" customHeight="1">
      <c r="A164" s="4"/>
      <c r="B164" s="94"/>
      <c r="C164" s="94"/>
      <c r="D164" s="45" t="s">
        <v>3051</v>
      </c>
      <c r="E164" s="190"/>
      <c r="F164" s="190"/>
      <c r="G164" s="75">
        <v>-15</v>
      </c>
      <c r="H164" s="25"/>
      <c r="I164" s="5"/>
    </row>
    <row r="165" spans="1:9" ht="12.75">
      <c r="A165" s="44"/>
      <c r="B165" s="97"/>
      <c r="C165" s="97" t="s">
        <v>47</v>
      </c>
      <c r="D165" s="161" t="s">
        <v>1994</v>
      </c>
      <c r="E165" s="162"/>
      <c r="F165" s="97"/>
      <c r="G165" s="74"/>
      <c r="H165" s="24"/>
      <c r="I165" s="5"/>
    </row>
    <row r="166" spans="1:9" ht="12.75">
      <c r="A166" s="198" t="s">
        <v>58</v>
      </c>
      <c r="B166" s="199" t="s">
        <v>2882</v>
      </c>
      <c r="C166" s="199" t="s">
        <v>3301</v>
      </c>
      <c r="D166" s="200" t="s">
        <v>3302</v>
      </c>
      <c r="E166" s="201"/>
      <c r="F166" s="199" t="s">
        <v>2849</v>
      </c>
      <c r="G166" s="202">
        <v>370.034</v>
      </c>
      <c r="H166" s="51">
        <v>0</v>
      </c>
      <c r="I166" s="5"/>
    </row>
    <row r="167" spans="1:9" ht="12.2" customHeight="1">
      <c r="A167" s="5"/>
      <c r="D167" s="45" t="s">
        <v>3052</v>
      </c>
      <c r="E167" s="190"/>
      <c r="F167" s="191"/>
      <c r="G167" s="47">
        <v>185.017</v>
      </c>
      <c r="H167" s="52"/>
      <c r="I167" s="5"/>
    </row>
    <row r="168" spans="1:9" ht="12.2" customHeight="1">
      <c r="A168" s="4"/>
      <c r="B168" s="94"/>
      <c r="C168" s="94"/>
      <c r="D168" s="45" t="s">
        <v>3052</v>
      </c>
      <c r="E168" s="190"/>
      <c r="F168" s="190"/>
      <c r="G168" s="75">
        <v>185.017</v>
      </c>
      <c r="H168" s="25"/>
      <c r="I168" s="5"/>
    </row>
    <row r="169" spans="1:9" ht="12.75">
      <c r="A169" s="4" t="s">
        <v>59</v>
      </c>
      <c r="B169" s="94" t="s">
        <v>2882</v>
      </c>
      <c r="C169" s="94" t="s">
        <v>1056</v>
      </c>
      <c r="D169" s="152" t="s">
        <v>1995</v>
      </c>
      <c r="E169" s="153"/>
      <c r="F169" s="94" t="s">
        <v>2847</v>
      </c>
      <c r="G169" s="73">
        <v>13.573</v>
      </c>
      <c r="H169" s="51">
        <v>0</v>
      </c>
      <c r="I169" s="5"/>
    </row>
    <row r="170" spans="1:9" ht="12.2" customHeight="1">
      <c r="A170" s="5"/>
      <c r="D170" s="45" t="s">
        <v>3053</v>
      </c>
      <c r="E170" s="190"/>
      <c r="F170" s="191"/>
      <c r="G170" s="47">
        <v>5.026</v>
      </c>
      <c r="H170" s="52"/>
      <c r="I170" s="5"/>
    </row>
    <row r="171" spans="1:9" ht="12.2" customHeight="1">
      <c r="A171" s="4"/>
      <c r="B171" s="94"/>
      <c r="C171" s="94"/>
      <c r="D171" s="45" t="s">
        <v>3054</v>
      </c>
      <c r="E171" s="190"/>
      <c r="F171" s="190"/>
      <c r="G171" s="75">
        <v>8.547</v>
      </c>
      <c r="H171" s="25"/>
      <c r="I171" s="5"/>
    </row>
    <row r="172" spans="1:9" ht="12.75">
      <c r="A172" s="4" t="s">
        <v>60</v>
      </c>
      <c r="B172" s="94" t="s">
        <v>2882</v>
      </c>
      <c r="C172" s="94" t="s">
        <v>1057</v>
      </c>
      <c r="D172" s="152" t="s">
        <v>1996</v>
      </c>
      <c r="E172" s="153"/>
      <c r="F172" s="94" t="s">
        <v>2849</v>
      </c>
      <c r="G172" s="73">
        <v>72.615</v>
      </c>
      <c r="H172" s="51">
        <v>0</v>
      </c>
      <c r="I172" s="5"/>
    </row>
    <row r="173" spans="1:9" ht="12.2" customHeight="1">
      <c r="A173" s="5"/>
      <c r="D173" s="45" t="s">
        <v>3055</v>
      </c>
      <c r="E173" s="190"/>
      <c r="F173" s="191"/>
      <c r="G173" s="47">
        <v>8.694</v>
      </c>
      <c r="H173" s="52"/>
      <c r="I173" s="5"/>
    </row>
    <row r="174" spans="1:9" ht="12.2" customHeight="1">
      <c r="A174" s="4"/>
      <c r="B174" s="94"/>
      <c r="C174" s="94"/>
      <c r="D174" s="45" t="s">
        <v>3056</v>
      </c>
      <c r="E174" s="190"/>
      <c r="F174" s="190"/>
      <c r="G174" s="75">
        <v>9.628</v>
      </c>
      <c r="H174" s="25"/>
      <c r="I174" s="5"/>
    </row>
    <row r="175" spans="1:9" ht="12.2" customHeight="1">
      <c r="A175" s="4"/>
      <c r="B175" s="94"/>
      <c r="C175" s="94"/>
      <c r="D175" s="45" t="s">
        <v>3057</v>
      </c>
      <c r="E175" s="190"/>
      <c r="F175" s="190"/>
      <c r="G175" s="75">
        <v>20.104</v>
      </c>
      <c r="H175" s="25"/>
      <c r="I175" s="5"/>
    </row>
    <row r="176" spans="1:9" ht="12.2" customHeight="1">
      <c r="A176" s="4"/>
      <c r="B176" s="94"/>
      <c r="C176" s="94"/>
      <c r="D176" s="45" t="s">
        <v>3058</v>
      </c>
      <c r="E176" s="190"/>
      <c r="F176" s="190"/>
      <c r="G176" s="75">
        <v>34.189</v>
      </c>
      <c r="H176" s="25"/>
      <c r="I176" s="5"/>
    </row>
    <row r="177" spans="1:9" ht="12.75">
      <c r="A177" s="4" t="s">
        <v>61</v>
      </c>
      <c r="B177" s="94" t="s">
        <v>2882</v>
      </c>
      <c r="C177" s="94" t="s">
        <v>1058</v>
      </c>
      <c r="D177" s="152" t="s">
        <v>1997</v>
      </c>
      <c r="E177" s="153"/>
      <c r="F177" s="94" t="s">
        <v>2849</v>
      </c>
      <c r="G177" s="73">
        <v>72.615</v>
      </c>
      <c r="H177" s="51">
        <v>0</v>
      </c>
      <c r="I177" s="5"/>
    </row>
    <row r="178" spans="1:9" ht="12.2" customHeight="1">
      <c r="A178" s="5"/>
      <c r="D178" s="45" t="s">
        <v>3055</v>
      </c>
      <c r="E178" s="190"/>
      <c r="F178" s="191"/>
      <c r="G178" s="47">
        <v>8.694</v>
      </c>
      <c r="H178" s="52"/>
      <c r="I178" s="5"/>
    </row>
    <row r="179" spans="1:9" ht="12.2" customHeight="1">
      <c r="A179" s="4"/>
      <c r="B179" s="94"/>
      <c r="C179" s="94"/>
      <c r="D179" s="45" t="s">
        <v>3056</v>
      </c>
      <c r="E179" s="190"/>
      <c r="F179" s="190"/>
      <c r="G179" s="75">
        <v>9.628</v>
      </c>
      <c r="H179" s="25"/>
      <c r="I179" s="5"/>
    </row>
    <row r="180" spans="1:9" ht="12.2" customHeight="1">
      <c r="A180" s="4"/>
      <c r="B180" s="94"/>
      <c r="C180" s="94"/>
      <c r="D180" s="45" t="s">
        <v>3057</v>
      </c>
      <c r="E180" s="190"/>
      <c r="F180" s="190"/>
      <c r="G180" s="75">
        <v>20.104</v>
      </c>
      <c r="H180" s="25"/>
      <c r="I180" s="5"/>
    </row>
    <row r="181" spans="1:9" ht="12.2" customHeight="1">
      <c r="A181" s="4"/>
      <c r="B181" s="94"/>
      <c r="C181" s="94"/>
      <c r="D181" s="45" t="s">
        <v>3058</v>
      </c>
      <c r="E181" s="190"/>
      <c r="F181" s="190"/>
      <c r="G181" s="75">
        <v>34.189</v>
      </c>
      <c r="H181" s="25"/>
      <c r="I181" s="5"/>
    </row>
    <row r="182" spans="1:9" ht="12.75">
      <c r="A182" s="4" t="s">
        <v>62</v>
      </c>
      <c r="B182" s="94" t="s">
        <v>2882</v>
      </c>
      <c r="C182" s="94" t="s">
        <v>1059</v>
      </c>
      <c r="D182" s="152" t="s">
        <v>1998</v>
      </c>
      <c r="E182" s="153"/>
      <c r="F182" s="94" t="s">
        <v>2849</v>
      </c>
      <c r="G182" s="73">
        <v>54.293</v>
      </c>
      <c r="H182" s="51">
        <v>0</v>
      </c>
      <c r="I182" s="5"/>
    </row>
    <row r="183" spans="1:9" ht="12.2" customHeight="1">
      <c r="A183" s="5"/>
      <c r="D183" s="45" t="s">
        <v>3057</v>
      </c>
      <c r="E183" s="190"/>
      <c r="F183" s="191"/>
      <c r="G183" s="47">
        <v>20.104</v>
      </c>
      <c r="H183" s="52"/>
      <c r="I183" s="5"/>
    </row>
    <row r="184" spans="1:9" ht="12.2" customHeight="1">
      <c r="A184" s="4"/>
      <c r="B184" s="94"/>
      <c r="C184" s="94"/>
      <c r="D184" s="45" t="s">
        <v>3058</v>
      </c>
      <c r="E184" s="190"/>
      <c r="F184" s="190"/>
      <c r="G184" s="75">
        <v>34.189</v>
      </c>
      <c r="H184" s="25"/>
      <c r="I184" s="5"/>
    </row>
    <row r="185" spans="1:9" ht="12.75">
      <c r="A185" s="4" t="s">
        <v>63</v>
      </c>
      <c r="B185" s="94" t="s">
        <v>2882</v>
      </c>
      <c r="C185" s="94" t="s">
        <v>1060</v>
      </c>
      <c r="D185" s="152" t="s">
        <v>1999</v>
      </c>
      <c r="E185" s="153"/>
      <c r="F185" s="94" t="s">
        <v>2849</v>
      </c>
      <c r="G185" s="73">
        <v>54.293</v>
      </c>
      <c r="H185" s="51">
        <v>0</v>
      </c>
      <c r="I185" s="5"/>
    </row>
    <row r="186" spans="1:9" ht="12.2" customHeight="1">
      <c r="A186" s="5"/>
      <c r="D186" s="45" t="s">
        <v>3057</v>
      </c>
      <c r="E186" s="190"/>
      <c r="F186" s="191"/>
      <c r="G186" s="47">
        <v>20.104</v>
      </c>
      <c r="H186" s="52"/>
      <c r="I186" s="5"/>
    </row>
    <row r="187" spans="1:9" ht="12.2" customHeight="1">
      <c r="A187" s="4"/>
      <c r="B187" s="94"/>
      <c r="C187" s="94"/>
      <c r="D187" s="45" t="s">
        <v>3058</v>
      </c>
      <c r="E187" s="190"/>
      <c r="F187" s="190"/>
      <c r="G187" s="75">
        <v>34.189</v>
      </c>
      <c r="H187" s="25"/>
      <c r="I187" s="5"/>
    </row>
    <row r="188" spans="1:9" ht="12.75">
      <c r="A188" s="4" t="s">
        <v>64</v>
      </c>
      <c r="B188" s="94" t="s">
        <v>2882</v>
      </c>
      <c r="C188" s="94" t="s">
        <v>1061</v>
      </c>
      <c r="D188" s="152" t="s">
        <v>2000</v>
      </c>
      <c r="E188" s="153"/>
      <c r="F188" s="94" t="s">
        <v>2848</v>
      </c>
      <c r="G188" s="73">
        <v>3.394</v>
      </c>
      <c r="H188" s="51">
        <v>0</v>
      </c>
      <c r="I188" s="5"/>
    </row>
    <row r="189" spans="1:9" ht="12.2" customHeight="1">
      <c r="A189" s="5"/>
      <c r="D189" s="45" t="s">
        <v>3059</v>
      </c>
      <c r="E189" s="190"/>
      <c r="F189" s="191"/>
      <c r="G189" s="47">
        <v>1.257</v>
      </c>
      <c r="H189" s="52"/>
      <c r="I189" s="5"/>
    </row>
    <row r="190" spans="1:9" ht="12.2" customHeight="1">
      <c r="A190" s="4"/>
      <c r="B190" s="94"/>
      <c r="C190" s="94"/>
      <c r="D190" s="45" t="s">
        <v>3060</v>
      </c>
      <c r="E190" s="190"/>
      <c r="F190" s="190"/>
      <c r="G190" s="75">
        <v>2.137</v>
      </c>
      <c r="H190" s="25"/>
      <c r="I190" s="5"/>
    </row>
    <row r="191" spans="1:9" ht="12.75">
      <c r="A191" s="4" t="s">
        <v>65</v>
      </c>
      <c r="B191" s="94" t="s">
        <v>2882</v>
      </c>
      <c r="C191" s="94" t="s">
        <v>1062</v>
      </c>
      <c r="D191" s="152" t="s">
        <v>2001</v>
      </c>
      <c r="E191" s="153"/>
      <c r="F191" s="94" t="s">
        <v>2850</v>
      </c>
      <c r="G191" s="73">
        <v>8</v>
      </c>
      <c r="H191" s="51">
        <v>0</v>
      </c>
      <c r="I191" s="5"/>
    </row>
    <row r="192" spans="1:9" ht="12.2" customHeight="1">
      <c r="A192" s="5"/>
      <c r="D192" s="45" t="s">
        <v>3061</v>
      </c>
      <c r="E192" s="190"/>
      <c r="F192" s="191"/>
      <c r="G192" s="47">
        <v>8</v>
      </c>
      <c r="H192" s="52"/>
      <c r="I192" s="5"/>
    </row>
    <row r="193" spans="1:9" ht="12.75">
      <c r="A193" s="4" t="s">
        <v>66</v>
      </c>
      <c r="B193" s="94" t="s">
        <v>2882</v>
      </c>
      <c r="C193" s="94" t="s">
        <v>1063</v>
      </c>
      <c r="D193" s="152" t="s">
        <v>2002</v>
      </c>
      <c r="E193" s="153"/>
      <c r="F193" s="94" t="s">
        <v>2850</v>
      </c>
      <c r="G193" s="73">
        <v>12</v>
      </c>
      <c r="H193" s="51">
        <v>0</v>
      </c>
      <c r="I193" s="5"/>
    </row>
    <row r="194" spans="1:9" ht="12.2" customHeight="1">
      <c r="A194" s="5"/>
      <c r="D194" s="45" t="s">
        <v>3062</v>
      </c>
      <c r="E194" s="190"/>
      <c r="F194" s="191"/>
      <c r="G194" s="47">
        <v>12</v>
      </c>
      <c r="H194" s="52"/>
      <c r="I194" s="5"/>
    </row>
    <row r="195" spans="1:9" ht="12.75">
      <c r="A195" s="4" t="s">
        <v>67</v>
      </c>
      <c r="B195" s="94" t="s">
        <v>2882</v>
      </c>
      <c r="C195" s="94" t="s">
        <v>1064</v>
      </c>
      <c r="D195" s="152" t="s">
        <v>2003</v>
      </c>
      <c r="E195" s="153"/>
      <c r="F195" s="94" t="s">
        <v>2849</v>
      </c>
      <c r="G195" s="73">
        <v>6</v>
      </c>
      <c r="H195" s="51">
        <v>0</v>
      </c>
      <c r="I195" s="5"/>
    </row>
    <row r="196" spans="1:9" ht="12.2" customHeight="1">
      <c r="A196" s="5"/>
      <c r="D196" s="45" t="s">
        <v>3063</v>
      </c>
      <c r="E196" s="190"/>
      <c r="F196" s="191"/>
      <c r="G196" s="47">
        <v>6</v>
      </c>
      <c r="H196" s="52"/>
      <c r="I196" s="5"/>
    </row>
    <row r="197" spans="1:9" ht="12.75">
      <c r="A197" s="4" t="s">
        <v>68</v>
      </c>
      <c r="B197" s="94" t="s">
        <v>2882</v>
      </c>
      <c r="C197" s="94" t="s">
        <v>1065</v>
      </c>
      <c r="D197" s="152" t="s">
        <v>2004</v>
      </c>
      <c r="E197" s="153"/>
      <c r="F197" s="94" t="s">
        <v>2849</v>
      </c>
      <c r="G197" s="73">
        <v>214.47</v>
      </c>
      <c r="H197" s="51">
        <v>0</v>
      </c>
      <c r="I197" s="5"/>
    </row>
    <row r="198" spans="1:9" ht="12.2" customHeight="1">
      <c r="A198" s="5"/>
      <c r="D198" s="45" t="s">
        <v>3064</v>
      </c>
      <c r="E198" s="190"/>
      <c r="F198" s="191"/>
      <c r="G198" s="47">
        <v>41.03</v>
      </c>
      <c r="H198" s="52"/>
      <c r="I198" s="5"/>
    </row>
    <row r="199" spans="1:9" ht="12.2" customHeight="1">
      <c r="A199" s="4"/>
      <c r="B199" s="94"/>
      <c r="C199" s="94"/>
      <c r="D199" s="45" t="s">
        <v>3065</v>
      </c>
      <c r="E199" s="190"/>
      <c r="F199" s="190"/>
      <c r="G199" s="75">
        <v>173.44</v>
      </c>
      <c r="H199" s="25"/>
      <c r="I199" s="5"/>
    </row>
    <row r="200" spans="1:9" ht="12.75">
      <c r="A200" s="4" t="s">
        <v>69</v>
      </c>
      <c r="B200" s="94" t="s">
        <v>2882</v>
      </c>
      <c r="C200" s="94" t="s">
        <v>1066</v>
      </c>
      <c r="D200" s="152" t="s">
        <v>2005</v>
      </c>
      <c r="E200" s="153"/>
      <c r="F200" s="94" t="s">
        <v>2849</v>
      </c>
      <c r="G200" s="73">
        <v>81.32</v>
      </c>
      <c r="H200" s="51">
        <v>0</v>
      </c>
      <c r="I200" s="5"/>
    </row>
    <row r="201" spans="1:9" ht="12.2" customHeight="1">
      <c r="A201" s="5"/>
      <c r="D201" s="45" t="s">
        <v>3066</v>
      </c>
      <c r="E201" s="190"/>
      <c r="F201" s="191"/>
      <c r="G201" s="47">
        <v>73.09</v>
      </c>
      <c r="H201" s="52"/>
      <c r="I201" s="5"/>
    </row>
    <row r="202" spans="1:9" ht="12.2" customHeight="1">
      <c r="A202" s="4"/>
      <c r="B202" s="94"/>
      <c r="C202" s="94"/>
      <c r="D202" s="45" t="s">
        <v>3067</v>
      </c>
      <c r="E202" s="190"/>
      <c r="F202" s="190"/>
      <c r="G202" s="75">
        <v>8.23</v>
      </c>
      <c r="H202" s="25"/>
      <c r="I202" s="5"/>
    </row>
    <row r="203" spans="1:9" ht="12.75">
      <c r="A203" s="4" t="s">
        <v>70</v>
      </c>
      <c r="B203" s="94" t="s">
        <v>2882</v>
      </c>
      <c r="C203" s="94" t="s">
        <v>1067</v>
      </c>
      <c r="D203" s="152" t="s">
        <v>2006</v>
      </c>
      <c r="E203" s="153"/>
      <c r="F203" s="94" t="s">
        <v>2849</v>
      </c>
      <c r="G203" s="73">
        <v>83.83</v>
      </c>
      <c r="H203" s="51">
        <v>0</v>
      </c>
      <c r="I203" s="5"/>
    </row>
    <row r="204" spans="1:9" ht="12.2" customHeight="1">
      <c r="A204" s="5"/>
      <c r="D204" s="45" t="s">
        <v>3068</v>
      </c>
      <c r="E204" s="190"/>
      <c r="F204" s="191"/>
      <c r="G204" s="47">
        <v>74.55</v>
      </c>
      <c r="H204" s="52"/>
      <c r="I204" s="5"/>
    </row>
    <row r="205" spans="1:9" ht="12.2" customHeight="1">
      <c r="A205" s="4"/>
      <c r="B205" s="94"/>
      <c r="C205" s="94"/>
      <c r="D205" s="45" t="s">
        <v>3069</v>
      </c>
      <c r="E205" s="190"/>
      <c r="F205" s="190"/>
      <c r="G205" s="75">
        <v>9.28</v>
      </c>
      <c r="H205" s="25"/>
      <c r="I205" s="5"/>
    </row>
    <row r="206" spans="1:9" ht="12.75">
      <c r="A206" s="4" t="s">
        <v>71</v>
      </c>
      <c r="B206" s="94" t="s">
        <v>2882</v>
      </c>
      <c r="C206" s="94" t="s">
        <v>1068</v>
      </c>
      <c r="D206" s="152" t="s">
        <v>2007</v>
      </c>
      <c r="E206" s="153"/>
      <c r="F206" s="94" t="s">
        <v>2849</v>
      </c>
      <c r="G206" s="73">
        <v>214.47</v>
      </c>
      <c r="H206" s="51">
        <v>0</v>
      </c>
      <c r="I206" s="5"/>
    </row>
    <row r="207" spans="1:9" ht="12.2" customHeight="1">
      <c r="A207" s="5"/>
      <c r="D207" s="45" t="s">
        <v>3070</v>
      </c>
      <c r="E207" s="190"/>
      <c r="F207" s="191"/>
      <c r="G207" s="47">
        <v>214.47</v>
      </c>
      <c r="H207" s="52"/>
      <c r="I207" s="5"/>
    </row>
    <row r="208" spans="1:9" ht="12.75">
      <c r="A208" s="4" t="s">
        <v>72</v>
      </c>
      <c r="B208" s="94" t="s">
        <v>2882</v>
      </c>
      <c r="C208" s="94" t="s">
        <v>1069</v>
      </c>
      <c r="D208" s="152" t="s">
        <v>2008</v>
      </c>
      <c r="E208" s="153"/>
      <c r="F208" s="94" t="s">
        <v>2851</v>
      </c>
      <c r="G208" s="73">
        <v>131.43</v>
      </c>
      <c r="H208" s="51">
        <v>0</v>
      </c>
      <c r="I208" s="5"/>
    </row>
    <row r="209" spans="1:9" ht="12.2" customHeight="1">
      <c r="A209" s="5"/>
      <c r="D209" s="45" t="s">
        <v>3049</v>
      </c>
      <c r="E209" s="190"/>
      <c r="F209" s="191"/>
      <c r="G209" s="47">
        <v>65.715</v>
      </c>
      <c r="H209" s="52"/>
      <c r="I209" s="5"/>
    </row>
    <row r="210" spans="1:9" ht="12.2" customHeight="1">
      <c r="A210" s="4"/>
      <c r="B210" s="94"/>
      <c r="C210" s="94"/>
      <c r="D210" s="45" t="s">
        <v>3049</v>
      </c>
      <c r="E210" s="190"/>
      <c r="F210" s="190"/>
      <c r="G210" s="75">
        <v>65.715</v>
      </c>
      <c r="H210" s="25"/>
      <c r="I210" s="5"/>
    </row>
    <row r="211" spans="1:9" ht="12.75">
      <c r="A211" s="4" t="s">
        <v>73</v>
      </c>
      <c r="B211" s="94" t="s">
        <v>2882</v>
      </c>
      <c r="C211" s="94" t="s">
        <v>1070</v>
      </c>
      <c r="D211" s="152" t="s">
        <v>2009</v>
      </c>
      <c r="E211" s="153"/>
      <c r="F211" s="94" t="s">
        <v>2847</v>
      </c>
      <c r="G211" s="73">
        <v>9.787</v>
      </c>
      <c r="H211" s="51">
        <v>0</v>
      </c>
      <c r="I211" s="5"/>
    </row>
    <row r="212" spans="1:9" ht="12.2" customHeight="1">
      <c r="A212" s="5"/>
      <c r="D212" s="45" t="s">
        <v>3071</v>
      </c>
      <c r="E212" s="190"/>
      <c r="F212" s="191"/>
      <c r="G212" s="47">
        <v>0.671</v>
      </c>
      <c r="H212" s="52"/>
      <c r="I212" s="5"/>
    </row>
    <row r="213" spans="1:9" ht="12.2" customHeight="1">
      <c r="A213" s="4"/>
      <c r="B213" s="94"/>
      <c r="C213" s="94"/>
      <c r="D213" s="45" t="s">
        <v>3072</v>
      </c>
      <c r="E213" s="190"/>
      <c r="F213" s="190"/>
      <c r="G213" s="75">
        <v>4.558</v>
      </c>
      <c r="H213" s="25"/>
      <c r="I213" s="5"/>
    </row>
    <row r="214" spans="1:9" ht="12.2" customHeight="1">
      <c r="A214" s="4"/>
      <c r="B214" s="94"/>
      <c r="C214" s="94"/>
      <c r="D214" s="45" t="s">
        <v>3072</v>
      </c>
      <c r="E214" s="190"/>
      <c r="F214" s="190"/>
      <c r="G214" s="75">
        <v>4.558</v>
      </c>
      <c r="H214" s="25"/>
      <c r="I214" s="5"/>
    </row>
    <row r="215" spans="1:9" ht="12.75">
      <c r="A215" s="4" t="s">
        <v>74</v>
      </c>
      <c r="B215" s="94" t="s">
        <v>2882</v>
      </c>
      <c r="C215" s="94" t="s">
        <v>1071</v>
      </c>
      <c r="D215" s="152" t="s">
        <v>2010</v>
      </c>
      <c r="E215" s="153"/>
      <c r="F215" s="94" t="s">
        <v>2851</v>
      </c>
      <c r="G215" s="73">
        <v>55.668</v>
      </c>
      <c r="H215" s="51">
        <v>0</v>
      </c>
      <c r="I215" s="5"/>
    </row>
    <row r="216" spans="1:9" ht="12.2" customHeight="1">
      <c r="A216" s="5"/>
      <c r="D216" s="45" t="s">
        <v>3073</v>
      </c>
      <c r="E216" s="190"/>
      <c r="F216" s="191"/>
      <c r="G216" s="47">
        <v>3.576</v>
      </c>
      <c r="H216" s="52"/>
      <c r="I216" s="5"/>
    </row>
    <row r="217" spans="1:9" ht="12.2" customHeight="1">
      <c r="A217" s="4"/>
      <c r="B217" s="94"/>
      <c r="C217" s="94"/>
      <c r="D217" s="45" t="s">
        <v>3074</v>
      </c>
      <c r="E217" s="190"/>
      <c r="F217" s="190"/>
      <c r="G217" s="75">
        <v>26.046</v>
      </c>
      <c r="H217" s="25"/>
      <c r="I217" s="5"/>
    </row>
    <row r="218" spans="1:9" ht="12.2" customHeight="1">
      <c r="A218" s="4"/>
      <c r="B218" s="94"/>
      <c r="C218" s="94"/>
      <c r="D218" s="45" t="s">
        <v>3074</v>
      </c>
      <c r="E218" s="190"/>
      <c r="F218" s="190"/>
      <c r="G218" s="75">
        <v>26.046</v>
      </c>
      <c r="H218" s="25"/>
      <c r="I218" s="5"/>
    </row>
    <row r="219" spans="1:9" ht="12.75">
      <c r="A219" s="4" t="s">
        <v>75</v>
      </c>
      <c r="B219" s="94" t="s">
        <v>2882</v>
      </c>
      <c r="C219" s="94" t="s">
        <v>1072</v>
      </c>
      <c r="D219" s="152" t="s">
        <v>2011</v>
      </c>
      <c r="E219" s="153"/>
      <c r="F219" s="94" t="s">
        <v>2851</v>
      </c>
      <c r="G219" s="73">
        <v>55.668</v>
      </c>
      <c r="H219" s="51">
        <v>0</v>
      </c>
      <c r="I219" s="5"/>
    </row>
    <row r="220" spans="1:9" ht="12.2" customHeight="1">
      <c r="A220" s="5"/>
      <c r="D220" s="45" t="s">
        <v>3073</v>
      </c>
      <c r="E220" s="190"/>
      <c r="F220" s="191"/>
      <c r="G220" s="47">
        <v>3.576</v>
      </c>
      <c r="H220" s="52"/>
      <c r="I220" s="5"/>
    </row>
    <row r="221" spans="1:9" ht="12.2" customHeight="1">
      <c r="A221" s="4"/>
      <c r="B221" s="94"/>
      <c r="C221" s="94"/>
      <c r="D221" s="45" t="s">
        <v>3074</v>
      </c>
      <c r="E221" s="190"/>
      <c r="F221" s="190"/>
      <c r="G221" s="75">
        <v>26.046</v>
      </c>
      <c r="H221" s="25"/>
      <c r="I221" s="5"/>
    </row>
    <row r="222" spans="1:9" ht="12.2" customHeight="1">
      <c r="A222" s="4"/>
      <c r="B222" s="94"/>
      <c r="C222" s="94"/>
      <c r="D222" s="45" t="s">
        <v>3074</v>
      </c>
      <c r="E222" s="190"/>
      <c r="F222" s="190"/>
      <c r="G222" s="75">
        <v>26.046</v>
      </c>
      <c r="H222" s="25"/>
      <c r="I222" s="5"/>
    </row>
    <row r="223" spans="1:9" ht="12.75">
      <c r="A223" s="4" t="s">
        <v>76</v>
      </c>
      <c r="B223" s="94" t="s">
        <v>2882</v>
      </c>
      <c r="C223" s="94" t="s">
        <v>1073</v>
      </c>
      <c r="D223" s="152" t="s">
        <v>2012</v>
      </c>
      <c r="E223" s="153"/>
      <c r="F223" s="94" t="s">
        <v>2848</v>
      </c>
      <c r="G223" s="73">
        <v>1.469</v>
      </c>
      <c r="H223" s="51">
        <v>0</v>
      </c>
      <c r="I223" s="5"/>
    </row>
    <row r="224" spans="1:9" ht="12.2" customHeight="1">
      <c r="A224" s="5"/>
      <c r="D224" s="45" t="s">
        <v>3075</v>
      </c>
      <c r="E224" s="190"/>
      <c r="F224" s="191"/>
      <c r="G224" s="47">
        <v>0.101</v>
      </c>
      <c r="H224" s="52"/>
      <c r="I224" s="5"/>
    </row>
    <row r="225" spans="1:9" ht="12.2" customHeight="1">
      <c r="A225" s="4"/>
      <c r="B225" s="94"/>
      <c r="C225" s="94"/>
      <c r="D225" s="45" t="s">
        <v>3076</v>
      </c>
      <c r="E225" s="190"/>
      <c r="F225" s="190"/>
      <c r="G225" s="75">
        <v>0.684</v>
      </c>
      <c r="H225" s="25"/>
      <c r="I225" s="5"/>
    </row>
    <row r="226" spans="1:9" ht="12.2" customHeight="1">
      <c r="A226" s="4"/>
      <c r="B226" s="94"/>
      <c r="C226" s="94"/>
      <c r="D226" s="45" t="s">
        <v>3076</v>
      </c>
      <c r="E226" s="190"/>
      <c r="F226" s="190"/>
      <c r="G226" s="75">
        <v>0.684</v>
      </c>
      <c r="H226" s="25"/>
      <c r="I226" s="5"/>
    </row>
    <row r="227" spans="1:9" ht="12.75">
      <c r="A227" s="44"/>
      <c r="B227" s="97"/>
      <c r="C227" s="97" t="s">
        <v>49</v>
      </c>
      <c r="D227" s="161" t="s">
        <v>2013</v>
      </c>
      <c r="E227" s="162"/>
      <c r="F227" s="97"/>
      <c r="G227" s="74"/>
      <c r="H227" s="24"/>
      <c r="I227" s="5"/>
    </row>
    <row r="228" spans="1:9" ht="12.75">
      <c r="A228" s="4" t="s">
        <v>77</v>
      </c>
      <c r="B228" s="94" t="s">
        <v>2882</v>
      </c>
      <c r="C228" s="94" t="s">
        <v>1074</v>
      </c>
      <c r="D228" s="152" t="s">
        <v>2014</v>
      </c>
      <c r="E228" s="153"/>
      <c r="F228" s="94" t="s">
        <v>2851</v>
      </c>
      <c r="G228" s="73">
        <v>26.46</v>
      </c>
      <c r="H228" s="51">
        <v>0</v>
      </c>
      <c r="I228" s="5"/>
    </row>
    <row r="229" spans="1:9" ht="12.2" customHeight="1">
      <c r="A229" s="5"/>
      <c r="D229" s="45" t="s">
        <v>3077</v>
      </c>
      <c r="E229" s="190"/>
      <c r="F229" s="191"/>
      <c r="G229" s="47">
        <v>26.46</v>
      </c>
      <c r="H229" s="52"/>
      <c r="I229" s="5"/>
    </row>
    <row r="230" spans="1:9" ht="12.75">
      <c r="A230" s="4" t="s">
        <v>78</v>
      </c>
      <c r="B230" s="94" t="s">
        <v>2882</v>
      </c>
      <c r="C230" s="94" t="s">
        <v>1075</v>
      </c>
      <c r="D230" s="152" t="s">
        <v>2015</v>
      </c>
      <c r="E230" s="153"/>
      <c r="F230" s="94" t="s">
        <v>2847</v>
      </c>
      <c r="G230" s="73">
        <v>2.294</v>
      </c>
      <c r="H230" s="51">
        <v>0</v>
      </c>
      <c r="I230" s="5"/>
    </row>
    <row r="231" spans="1:9" ht="12.2" customHeight="1">
      <c r="A231" s="5"/>
      <c r="D231" s="45" t="s">
        <v>3078</v>
      </c>
      <c r="E231" s="190"/>
      <c r="F231" s="191"/>
      <c r="G231" s="47">
        <v>2.294</v>
      </c>
      <c r="H231" s="52"/>
      <c r="I231" s="5"/>
    </row>
    <row r="232" spans="1:9" ht="12.75">
      <c r="A232" s="44"/>
      <c r="B232" s="97"/>
      <c r="C232" s="97" t="s">
        <v>62</v>
      </c>
      <c r="D232" s="161" t="s">
        <v>2682</v>
      </c>
      <c r="E232" s="162"/>
      <c r="F232" s="97"/>
      <c r="G232" s="74"/>
      <c r="H232" s="24"/>
      <c r="I232" s="5"/>
    </row>
    <row r="233" spans="1:9" ht="12.75">
      <c r="A233" s="4" t="s">
        <v>79</v>
      </c>
      <c r="B233" s="94" t="s">
        <v>2883</v>
      </c>
      <c r="C233" s="94" t="s">
        <v>1749</v>
      </c>
      <c r="D233" s="152" t="s">
        <v>2683</v>
      </c>
      <c r="E233" s="153"/>
      <c r="F233" s="94" t="s">
        <v>2849</v>
      </c>
      <c r="G233" s="73">
        <v>40</v>
      </c>
      <c r="H233" s="51">
        <v>0</v>
      </c>
      <c r="I233" s="5"/>
    </row>
    <row r="234" spans="1:9" ht="12.2" customHeight="1">
      <c r="A234" s="5"/>
      <c r="D234" s="45" t="s">
        <v>46</v>
      </c>
      <c r="E234" s="190"/>
      <c r="F234" s="191"/>
      <c r="G234" s="47">
        <v>40</v>
      </c>
      <c r="H234" s="52"/>
      <c r="I234" s="5"/>
    </row>
    <row r="235" spans="1:9" ht="12.75">
      <c r="A235" s="4" t="s">
        <v>80</v>
      </c>
      <c r="B235" s="94" t="s">
        <v>2883</v>
      </c>
      <c r="C235" s="94" t="s">
        <v>1750</v>
      </c>
      <c r="D235" s="152" t="s">
        <v>2684</v>
      </c>
      <c r="E235" s="153"/>
      <c r="F235" s="94" t="s">
        <v>2849</v>
      </c>
      <c r="G235" s="73">
        <v>40</v>
      </c>
      <c r="H235" s="51">
        <v>0</v>
      </c>
      <c r="I235" s="5"/>
    </row>
    <row r="236" spans="1:9" ht="12.2" customHeight="1">
      <c r="A236" s="5"/>
      <c r="D236" s="45" t="s">
        <v>46</v>
      </c>
      <c r="E236" s="190"/>
      <c r="F236" s="191"/>
      <c r="G236" s="47">
        <v>40</v>
      </c>
      <c r="H236" s="52"/>
      <c r="I236" s="5"/>
    </row>
    <row r="237" spans="1:9" ht="12.75">
      <c r="A237" s="4" t="s">
        <v>81</v>
      </c>
      <c r="B237" s="94" t="s">
        <v>2883</v>
      </c>
      <c r="C237" s="94" t="s">
        <v>1751</v>
      </c>
      <c r="D237" s="152" t="s">
        <v>2685</v>
      </c>
      <c r="E237" s="153"/>
      <c r="F237" s="94" t="s">
        <v>2849</v>
      </c>
      <c r="G237" s="73">
        <v>290</v>
      </c>
      <c r="H237" s="51">
        <v>0</v>
      </c>
      <c r="I237" s="5"/>
    </row>
    <row r="238" spans="1:9" ht="12.2" customHeight="1">
      <c r="A238" s="5"/>
      <c r="D238" s="45" t="s">
        <v>296</v>
      </c>
      <c r="E238" s="190"/>
      <c r="F238" s="191"/>
      <c r="G238" s="47">
        <v>290</v>
      </c>
      <c r="H238" s="52"/>
      <c r="I238" s="5"/>
    </row>
    <row r="239" spans="1:9" ht="12.75">
      <c r="A239" s="4" t="s">
        <v>82</v>
      </c>
      <c r="B239" s="94" t="s">
        <v>2883</v>
      </c>
      <c r="C239" s="94" t="s">
        <v>1752</v>
      </c>
      <c r="D239" s="152" t="s">
        <v>2686</v>
      </c>
      <c r="E239" s="153"/>
      <c r="F239" s="94" t="s">
        <v>2849</v>
      </c>
      <c r="G239" s="73">
        <v>290</v>
      </c>
      <c r="H239" s="51">
        <v>0</v>
      </c>
      <c r="I239" s="5"/>
    </row>
    <row r="240" spans="1:9" ht="12.2" customHeight="1">
      <c r="A240" s="5"/>
      <c r="D240" s="45" t="s">
        <v>296</v>
      </c>
      <c r="E240" s="190"/>
      <c r="F240" s="191"/>
      <c r="G240" s="47">
        <v>290</v>
      </c>
      <c r="H240" s="52"/>
      <c r="I240" s="5"/>
    </row>
    <row r="241" spans="1:9" ht="12.75">
      <c r="A241" s="44"/>
      <c r="B241" s="97"/>
      <c r="C241" s="97" t="s">
        <v>65</v>
      </c>
      <c r="D241" s="161" t="s">
        <v>2016</v>
      </c>
      <c r="E241" s="162"/>
      <c r="F241" s="97"/>
      <c r="G241" s="74"/>
      <c r="H241" s="24"/>
      <c r="I241" s="5"/>
    </row>
    <row r="242" spans="1:9" ht="12.75">
      <c r="A242" s="4" t="s">
        <v>83</v>
      </c>
      <c r="B242" s="94" t="s">
        <v>2882</v>
      </c>
      <c r="C242" s="94" t="s">
        <v>1076</v>
      </c>
      <c r="D242" s="152" t="s">
        <v>2017</v>
      </c>
      <c r="E242" s="153"/>
      <c r="F242" s="94" t="s">
        <v>2849</v>
      </c>
      <c r="G242" s="73">
        <v>12.921</v>
      </c>
      <c r="H242" s="51">
        <v>0</v>
      </c>
      <c r="I242" s="5"/>
    </row>
    <row r="243" spans="1:9" ht="12.2" customHeight="1">
      <c r="A243" s="5"/>
      <c r="D243" s="45" t="s">
        <v>3079</v>
      </c>
      <c r="E243" s="190"/>
      <c r="F243" s="191"/>
      <c r="G243" s="47">
        <v>12.921</v>
      </c>
      <c r="H243" s="52"/>
      <c r="I243" s="5"/>
    </row>
    <row r="244" spans="1:9" ht="12.75">
      <c r="A244" s="4" t="s">
        <v>84</v>
      </c>
      <c r="B244" s="94" t="s">
        <v>2882</v>
      </c>
      <c r="C244" s="94" t="s">
        <v>1077</v>
      </c>
      <c r="D244" s="152" t="s">
        <v>2019</v>
      </c>
      <c r="E244" s="153"/>
      <c r="F244" s="94" t="s">
        <v>2849</v>
      </c>
      <c r="G244" s="73">
        <v>38.838</v>
      </c>
      <c r="H244" s="51">
        <v>0</v>
      </c>
      <c r="I244" s="5"/>
    </row>
    <row r="245" spans="1:9" ht="12.2" customHeight="1">
      <c r="A245" s="5"/>
      <c r="D245" s="45" t="s">
        <v>3080</v>
      </c>
      <c r="E245" s="190"/>
      <c r="F245" s="191"/>
      <c r="G245" s="47">
        <v>38.838</v>
      </c>
      <c r="H245" s="52"/>
      <c r="I245" s="5"/>
    </row>
    <row r="246" spans="1:9" ht="12.75">
      <c r="A246" s="4" t="s">
        <v>85</v>
      </c>
      <c r="B246" s="94" t="s">
        <v>2883</v>
      </c>
      <c r="C246" s="94" t="s">
        <v>1753</v>
      </c>
      <c r="D246" s="152" t="s">
        <v>2687</v>
      </c>
      <c r="E246" s="153"/>
      <c r="F246" s="94" t="s">
        <v>2849</v>
      </c>
      <c r="G246" s="73">
        <v>290</v>
      </c>
      <c r="H246" s="51">
        <v>0</v>
      </c>
      <c r="I246" s="5"/>
    </row>
    <row r="247" spans="1:9" ht="12.2" customHeight="1">
      <c r="A247" s="5"/>
      <c r="D247" s="45" t="s">
        <v>296</v>
      </c>
      <c r="E247" s="190"/>
      <c r="F247" s="191"/>
      <c r="G247" s="47">
        <v>290</v>
      </c>
      <c r="H247" s="52"/>
      <c r="I247" s="5"/>
    </row>
    <row r="248" spans="1:9" ht="12.75">
      <c r="A248" s="6" t="s">
        <v>86</v>
      </c>
      <c r="B248" s="98" t="s">
        <v>2883</v>
      </c>
      <c r="C248" s="98" t="s">
        <v>1754</v>
      </c>
      <c r="D248" s="163" t="s">
        <v>2688</v>
      </c>
      <c r="E248" s="164"/>
      <c r="F248" s="98" t="s">
        <v>2849</v>
      </c>
      <c r="G248" s="76">
        <v>304.5</v>
      </c>
      <c r="H248" s="53">
        <v>0</v>
      </c>
      <c r="I248" s="5"/>
    </row>
    <row r="249" spans="1:9" ht="12.2" customHeight="1">
      <c r="A249" s="5"/>
      <c r="D249" s="45" t="s">
        <v>296</v>
      </c>
      <c r="E249" s="190"/>
      <c r="F249" s="191"/>
      <c r="G249" s="48">
        <v>290</v>
      </c>
      <c r="H249" s="52"/>
      <c r="I249" s="5"/>
    </row>
    <row r="250" spans="1:9" ht="12.2" customHeight="1">
      <c r="A250" s="6"/>
      <c r="B250" s="98"/>
      <c r="C250" s="98"/>
      <c r="D250" s="45" t="s">
        <v>3081</v>
      </c>
      <c r="E250" s="190"/>
      <c r="F250" s="190"/>
      <c r="G250" s="77">
        <v>14.5</v>
      </c>
      <c r="H250" s="26"/>
      <c r="I250" s="5"/>
    </row>
    <row r="251" spans="1:9" ht="12.75">
      <c r="A251" s="4" t="s">
        <v>87</v>
      </c>
      <c r="B251" s="94" t="s">
        <v>2883</v>
      </c>
      <c r="C251" s="94" t="s">
        <v>1755</v>
      </c>
      <c r="D251" s="152" t="s">
        <v>2689</v>
      </c>
      <c r="E251" s="153"/>
      <c r="F251" s="94" t="s">
        <v>2849</v>
      </c>
      <c r="G251" s="73">
        <v>158</v>
      </c>
      <c r="H251" s="51">
        <v>0</v>
      </c>
      <c r="I251" s="5"/>
    </row>
    <row r="252" spans="1:9" ht="12.2" customHeight="1">
      <c r="A252" s="5"/>
      <c r="D252" s="45" t="s">
        <v>164</v>
      </c>
      <c r="E252" s="190"/>
      <c r="F252" s="191"/>
      <c r="G252" s="47">
        <v>158</v>
      </c>
      <c r="H252" s="52"/>
      <c r="I252" s="5"/>
    </row>
    <row r="253" spans="1:9" ht="12.75">
      <c r="A253" s="4" t="s">
        <v>88</v>
      </c>
      <c r="B253" s="94" t="s">
        <v>2883</v>
      </c>
      <c r="C253" s="94" t="s">
        <v>1756</v>
      </c>
      <c r="D253" s="152" t="s">
        <v>2690</v>
      </c>
      <c r="E253" s="153"/>
      <c r="F253" s="94" t="s">
        <v>2849</v>
      </c>
      <c r="G253" s="73">
        <v>40</v>
      </c>
      <c r="H253" s="51">
        <v>0</v>
      </c>
      <c r="I253" s="5"/>
    </row>
    <row r="254" spans="1:9" ht="12.2" customHeight="1">
      <c r="A254" s="5"/>
      <c r="D254" s="45" t="s">
        <v>46</v>
      </c>
      <c r="E254" s="190"/>
      <c r="F254" s="191"/>
      <c r="G254" s="47">
        <v>40</v>
      </c>
      <c r="H254" s="52"/>
      <c r="I254" s="5"/>
    </row>
    <row r="255" spans="1:9" ht="12.75">
      <c r="A255" s="4" t="s">
        <v>89</v>
      </c>
      <c r="B255" s="94" t="s">
        <v>2883</v>
      </c>
      <c r="C255" s="94" t="s">
        <v>1757</v>
      </c>
      <c r="D255" s="152" t="s">
        <v>2691</v>
      </c>
      <c r="E255" s="153"/>
      <c r="F255" s="94" t="s">
        <v>2847</v>
      </c>
      <c r="G255" s="73">
        <v>3.2</v>
      </c>
      <c r="H255" s="51">
        <v>0</v>
      </c>
      <c r="I255" s="5"/>
    </row>
    <row r="256" spans="1:9" ht="12.2" customHeight="1">
      <c r="A256" s="5"/>
      <c r="D256" s="45" t="s">
        <v>3082</v>
      </c>
      <c r="E256" s="190"/>
      <c r="F256" s="191"/>
      <c r="G256" s="47">
        <v>3.2</v>
      </c>
      <c r="H256" s="52"/>
      <c r="I256" s="5"/>
    </row>
    <row r="257" spans="1:9" ht="12.75">
      <c r="A257" s="6" t="s">
        <v>90</v>
      </c>
      <c r="B257" s="98" t="s">
        <v>2883</v>
      </c>
      <c r="C257" s="98" t="s">
        <v>1758</v>
      </c>
      <c r="D257" s="163" t="s">
        <v>2692</v>
      </c>
      <c r="E257" s="164"/>
      <c r="F257" s="98" t="s">
        <v>2850</v>
      </c>
      <c r="G257" s="76">
        <v>175.14</v>
      </c>
      <c r="H257" s="53">
        <v>0</v>
      </c>
      <c r="I257" s="5"/>
    </row>
    <row r="258" spans="1:9" ht="12.2" customHeight="1">
      <c r="A258" s="5"/>
      <c r="D258" s="45" t="s">
        <v>3083</v>
      </c>
      <c r="E258" s="190"/>
      <c r="F258" s="191"/>
      <c r="G258" s="48">
        <v>166.8</v>
      </c>
      <c r="H258" s="52"/>
      <c r="I258" s="5"/>
    </row>
    <row r="259" spans="1:9" ht="12.2" customHeight="1">
      <c r="A259" s="6"/>
      <c r="B259" s="98"/>
      <c r="C259" s="98"/>
      <c r="D259" s="45" t="s">
        <v>3084</v>
      </c>
      <c r="E259" s="190"/>
      <c r="F259" s="190"/>
      <c r="G259" s="77">
        <v>8.34</v>
      </c>
      <c r="H259" s="26"/>
      <c r="I259" s="5"/>
    </row>
    <row r="260" spans="1:9" ht="12.75">
      <c r="A260" s="4" t="s">
        <v>91</v>
      </c>
      <c r="B260" s="94" t="s">
        <v>2883</v>
      </c>
      <c r="C260" s="94" t="s">
        <v>1759</v>
      </c>
      <c r="D260" s="152" t="s">
        <v>2693</v>
      </c>
      <c r="E260" s="153"/>
      <c r="F260" s="94" t="s">
        <v>2851</v>
      </c>
      <c r="G260" s="73">
        <v>12</v>
      </c>
      <c r="H260" s="51">
        <v>0</v>
      </c>
      <c r="I260" s="5"/>
    </row>
    <row r="261" spans="1:9" ht="12.2" customHeight="1">
      <c r="A261" s="5"/>
      <c r="D261" s="45" t="s">
        <v>3085</v>
      </c>
      <c r="E261" s="190"/>
      <c r="F261" s="191"/>
      <c r="G261" s="47">
        <v>12</v>
      </c>
      <c r="H261" s="52"/>
      <c r="I261" s="5"/>
    </row>
    <row r="262" spans="1:9" ht="12.75">
      <c r="A262" s="4" t="s">
        <v>92</v>
      </c>
      <c r="B262" s="94" t="s">
        <v>2883</v>
      </c>
      <c r="C262" s="94" t="s">
        <v>1760</v>
      </c>
      <c r="D262" s="152" t="s">
        <v>2694</v>
      </c>
      <c r="E262" s="153"/>
      <c r="F262" s="94" t="s">
        <v>2851</v>
      </c>
      <c r="G262" s="73">
        <v>19</v>
      </c>
      <c r="H262" s="51">
        <v>0</v>
      </c>
      <c r="I262" s="5"/>
    </row>
    <row r="263" spans="1:9" ht="12.2" customHeight="1">
      <c r="A263" s="5"/>
      <c r="D263" s="45" t="s">
        <v>25</v>
      </c>
      <c r="E263" s="190"/>
      <c r="F263" s="191"/>
      <c r="G263" s="47">
        <v>19</v>
      </c>
      <c r="H263" s="52"/>
      <c r="I263" s="5"/>
    </row>
    <row r="264" spans="1:9" ht="12.75">
      <c r="A264" s="4" t="s">
        <v>93</v>
      </c>
      <c r="B264" s="94" t="s">
        <v>2883</v>
      </c>
      <c r="C264" s="94" t="s">
        <v>1761</v>
      </c>
      <c r="D264" s="152" t="s">
        <v>2695</v>
      </c>
      <c r="E264" s="153"/>
      <c r="F264" s="94" t="s">
        <v>2850</v>
      </c>
      <c r="G264" s="73">
        <v>1</v>
      </c>
      <c r="H264" s="51">
        <v>0</v>
      </c>
      <c r="I264" s="5"/>
    </row>
    <row r="265" spans="1:9" ht="12.2" customHeight="1">
      <c r="A265" s="5"/>
      <c r="D265" s="45" t="s">
        <v>7</v>
      </c>
      <c r="E265" s="190"/>
      <c r="F265" s="191"/>
      <c r="G265" s="47">
        <v>1</v>
      </c>
      <c r="H265" s="52"/>
      <c r="I265" s="5"/>
    </row>
    <row r="266" spans="1:9" ht="12.75">
      <c r="A266" s="44"/>
      <c r="B266" s="97"/>
      <c r="C266" s="97" t="s">
        <v>66</v>
      </c>
      <c r="D266" s="161" t="s">
        <v>2021</v>
      </c>
      <c r="E266" s="162"/>
      <c r="F266" s="97"/>
      <c r="G266" s="74"/>
      <c r="H266" s="24"/>
      <c r="I266" s="5"/>
    </row>
    <row r="267" spans="1:9" ht="12.75">
      <c r="A267" s="4" t="s">
        <v>94</v>
      </c>
      <c r="B267" s="94" t="s">
        <v>2882</v>
      </c>
      <c r="C267" s="94" t="s">
        <v>1078</v>
      </c>
      <c r="D267" s="152" t="s">
        <v>2022</v>
      </c>
      <c r="E267" s="153"/>
      <c r="F267" s="94" t="s">
        <v>2849</v>
      </c>
      <c r="G267" s="73">
        <v>15.296</v>
      </c>
      <c r="H267" s="51">
        <v>0</v>
      </c>
      <c r="I267" s="5"/>
    </row>
    <row r="268" spans="1:9" ht="12.2" customHeight="1">
      <c r="A268" s="5"/>
      <c r="D268" s="45" t="s">
        <v>3086</v>
      </c>
      <c r="E268" s="190"/>
      <c r="F268" s="191"/>
      <c r="G268" s="47">
        <v>15.296</v>
      </c>
      <c r="H268" s="52"/>
      <c r="I268" s="5"/>
    </row>
    <row r="269" spans="1:9" ht="12.75">
      <c r="A269" s="4" t="s">
        <v>95</v>
      </c>
      <c r="B269" s="94" t="s">
        <v>2882</v>
      </c>
      <c r="C269" s="94" t="s">
        <v>1079</v>
      </c>
      <c r="D269" s="152" t="s">
        <v>2023</v>
      </c>
      <c r="E269" s="153"/>
      <c r="F269" s="94" t="s">
        <v>2849</v>
      </c>
      <c r="G269" s="73">
        <v>15.296</v>
      </c>
      <c r="H269" s="51">
        <v>0</v>
      </c>
      <c r="I269" s="5"/>
    </row>
    <row r="270" spans="1:9" ht="12.2" customHeight="1">
      <c r="A270" s="5"/>
      <c r="D270" s="45" t="s">
        <v>3086</v>
      </c>
      <c r="E270" s="190"/>
      <c r="F270" s="191"/>
      <c r="G270" s="47">
        <v>15.296</v>
      </c>
      <c r="H270" s="52"/>
      <c r="I270" s="5"/>
    </row>
    <row r="271" spans="1:9" ht="12.75">
      <c r="A271" s="44"/>
      <c r="B271" s="97"/>
      <c r="C271" s="97" t="s">
        <v>67</v>
      </c>
      <c r="D271" s="161" t="s">
        <v>2024</v>
      </c>
      <c r="E271" s="162"/>
      <c r="F271" s="97"/>
      <c r="G271" s="74"/>
      <c r="H271" s="24"/>
      <c r="I271" s="5"/>
    </row>
    <row r="272" spans="1:9" ht="12.75">
      <c r="A272" s="4" t="s">
        <v>96</v>
      </c>
      <c r="B272" s="94" t="s">
        <v>2882</v>
      </c>
      <c r="C272" s="94" t="s">
        <v>1080</v>
      </c>
      <c r="D272" s="152" t="s">
        <v>2025</v>
      </c>
      <c r="E272" s="153"/>
      <c r="F272" s="94" t="s">
        <v>2849</v>
      </c>
      <c r="G272" s="73">
        <v>882.706</v>
      </c>
      <c r="H272" s="51">
        <v>0</v>
      </c>
      <c r="I272" s="5"/>
    </row>
    <row r="273" spans="1:9" ht="12.2" customHeight="1">
      <c r="A273" s="5"/>
      <c r="D273" s="45" t="s">
        <v>3087</v>
      </c>
      <c r="E273" s="190"/>
      <c r="F273" s="191"/>
      <c r="G273" s="47">
        <v>378.341</v>
      </c>
      <c r="H273" s="52"/>
      <c r="I273" s="5"/>
    </row>
    <row r="274" spans="1:9" ht="12.2" customHeight="1">
      <c r="A274" s="4"/>
      <c r="B274" s="94"/>
      <c r="C274" s="94"/>
      <c r="D274" s="45" t="s">
        <v>3088</v>
      </c>
      <c r="E274" s="190"/>
      <c r="F274" s="190"/>
      <c r="G274" s="75">
        <v>-33.142</v>
      </c>
      <c r="H274" s="25"/>
      <c r="I274" s="5"/>
    </row>
    <row r="275" spans="1:9" ht="12.2" customHeight="1">
      <c r="A275" s="4"/>
      <c r="B275" s="94"/>
      <c r="C275" s="94"/>
      <c r="D275" s="45" t="s">
        <v>3089</v>
      </c>
      <c r="E275" s="190"/>
      <c r="F275" s="190"/>
      <c r="G275" s="75">
        <v>603.167</v>
      </c>
      <c r="H275" s="25"/>
      <c r="I275" s="5"/>
    </row>
    <row r="276" spans="1:9" ht="12.2" customHeight="1">
      <c r="A276" s="4"/>
      <c r="B276" s="94"/>
      <c r="C276" s="94"/>
      <c r="D276" s="45" t="s">
        <v>3090</v>
      </c>
      <c r="E276" s="190"/>
      <c r="F276" s="190"/>
      <c r="G276" s="75">
        <v>-65.66</v>
      </c>
      <c r="H276" s="25"/>
      <c r="I276" s="5"/>
    </row>
    <row r="277" spans="1:9" ht="12.75">
      <c r="A277" s="4" t="s">
        <v>97</v>
      </c>
      <c r="B277" s="94" t="s">
        <v>2882</v>
      </c>
      <c r="C277" s="94" t="s">
        <v>1081</v>
      </c>
      <c r="D277" s="152" t="s">
        <v>2026</v>
      </c>
      <c r="E277" s="153"/>
      <c r="F277" s="94" t="s">
        <v>2849</v>
      </c>
      <c r="G277" s="73">
        <v>882.706</v>
      </c>
      <c r="H277" s="51">
        <v>0</v>
      </c>
      <c r="I277" s="5"/>
    </row>
    <row r="278" spans="1:9" ht="12.2" customHeight="1">
      <c r="A278" s="5"/>
      <c r="D278" s="45" t="s">
        <v>3091</v>
      </c>
      <c r="E278" s="190"/>
      <c r="F278" s="191"/>
      <c r="G278" s="47">
        <v>882.706</v>
      </c>
      <c r="H278" s="52"/>
      <c r="I278" s="5"/>
    </row>
    <row r="279" spans="1:9" ht="12.75">
      <c r="A279" s="4" t="s">
        <v>98</v>
      </c>
      <c r="B279" s="94" t="s">
        <v>2882</v>
      </c>
      <c r="C279" s="94" t="s">
        <v>1082</v>
      </c>
      <c r="D279" s="152" t="s">
        <v>2027</v>
      </c>
      <c r="E279" s="153"/>
      <c r="F279" s="94" t="s">
        <v>2849</v>
      </c>
      <c r="G279" s="73">
        <v>938.587</v>
      </c>
      <c r="H279" s="51">
        <v>0</v>
      </c>
      <c r="I279" s="5"/>
    </row>
    <row r="280" spans="1:9" ht="12.2" customHeight="1">
      <c r="A280" s="5"/>
      <c r="D280" s="45" t="s">
        <v>3092</v>
      </c>
      <c r="E280" s="190"/>
      <c r="F280" s="191"/>
      <c r="G280" s="47">
        <v>55.881</v>
      </c>
      <c r="H280" s="52"/>
      <c r="I280" s="5"/>
    </row>
    <row r="281" spans="1:9" ht="12.2" customHeight="1">
      <c r="A281" s="4"/>
      <c r="B281" s="94"/>
      <c r="C281" s="94"/>
      <c r="D281" s="45" t="s">
        <v>3091</v>
      </c>
      <c r="E281" s="190"/>
      <c r="F281" s="190"/>
      <c r="G281" s="75">
        <v>882.706</v>
      </c>
      <c r="H281" s="25"/>
      <c r="I281" s="5"/>
    </row>
    <row r="282" spans="1:9" ht="12.75">
      <c r="A282" s="4" t="s">
        <v>99</v>
      </c>
      <c r="B282" s="94" t="s">
        <v>2882</v>
      </c>
      <c r="C282" s="94" t="s">
        <v>1083</v>
      </c>
      <c r="D282" s="152" t="s">
        <v>2028</v>
      </c>
      <c r="E282" s="153"/>
      <c r="F282" s="94" t="s">
        <v>2849</v>
      </c>
      <c r="G282" s="73">
        <v>882.587</v>
      </c>
      <c r="H282" s="51">
        <v>0</v>
      </c>
      <c r="I282" s="5"/>
    </row>
    <row r="283" spans="1:9" ht="12.2" customHeight="1">
      <c r="A283" s="5"/>
      <c r="D283" s="45" t="s">
        <v>3093</v>
      </c>
      <c r="E283" s="190"/>
      <c r="F283" s="191"/>
      <c r="G283" s="47">
        <v>882.587</v>
      </c>
      <c r="H283" s="52"/>
      <c r="I283" s="5"/>
    </row>
    <row r="284" spans="1:9" ht="12.75">
      <c r="A284" s="4" t="s">
        <v>100</v>
      </c>
      <c r="B284" s="94" t="s">
        <v>2882</v>
      </c>
      <c r="C284" s="94" t="s">
        <v>1084</v>
      </c>
      <c r="D284" s="152" t="s">
        <v>2029</v>
      </c>
      <c r="E284" s="153"/>
      <c r="F284" s="94" t="s">
        <v>2849</v>
      </c>
      <c r="G284" s="73">
        <v>56</v>
      </c>
      <c r="H284" s="51">
        <v>0</v>
      </c>
      <c r="I284" s="5"/>
    </row>
    <row r="285" spans="1:9" ht="12.2" customHeight="1">
      <c r="A285" s="5"/>
      <c r="D285" s="45" t="s">
        <v>3094</v>
      </c>
      <c r="E285" s="190"/>
      <c r="F285" s="191"/>
      <c r="G285" s="47">
        <v>56</v>
      </c>
      <c r="H285" s="52"/>
      <c r="I285" s="5"/>
    </row>
    <row r="286" spans="1:9" ht="12.75">
      <c r="A286" s="4" t="s">
        <v>101</v>
      </c>
      <c r="B286" s="94" t="s">
        <v>2882</v>
      </c>
      <c r="C286" s="94" t="s">
        <v>1085</v>
      </c>
      <c r="D286" s="152" t="s">
        <v>2030</v>
      </c>
      <c r="E286" s="153"/>
      <c r="F286" s="94" t="s">
        <v>2849</v>
      </c>
      <c r="G286" s="73">
        <v>379.62</v>
      </c>
      <c r="H286" s="51">
        <v>0</v>
      </c>
      <c r="I286" s="5"/>
    </row>
    <row r="287" spans="1:9" ht="12.2" customHeight="1">
      <c r="A287" s="5"/>
      <c r="D287" s="45" t="s">
        <v>3095</v>
      </c>
      <c r="E287" s="190"/>
      <c r="F287" s="191"/>
      <c r="G287" s="47">
        <v>379.62</v>
      </c>
      <c r="H287" s="52"/>
      <c r="I287" s="5"/>
    </row>
    <row r="288" spans="1:9" ht="12.75">
      <c r="A288" s="4" t="s">
        <v>102</v>
      </c>
      <c r="B288" s="94" t="s">
        <v>2882</v>
      </c>
      <c r="C288" s="94" t="s">
        <v>1086</v>
      </c>
      <c r="D288" s="152" t="s">
        <v>2031</v>
      </c>
      <c r="E288" s="153"/>
      <c r="F288" s="94" t="s">
        <v>2851</v>
      </c>
      <c r="G288" s="73">
        <v>186.27</v>
      </c>
      <c r="H288" s="51">
        <v>0</v>
      </c>
      <c r="I288" s="5"/>
    </row>
    <row r="289" spans="1:9" ht="12.2" customHeight="1">
      <c r="A289" s="5"/>
      <c r="D289" s="45" t="s">
        <v>3096</v>
      </c>
      <c r="E289" s="190"/>
      <c r="F289" s="191"/>
      <c r="G289" s="47">
        <v>186.27</v>
      </c>
      <c r="H289" s="52"/>
      <c r="I289" s="5"/>
    </row>
    <row r="290" spans="1:9" ht="12.75">
      <c r="A290" s="4" t="s">
        <v>103</v>
      </c>
      <c r="B290" s="94" t="s">
        <v>2882</v>
      </c>
      <c r="C290" s="94" t="s">
        <v>1087</v>
      </c>
      <c r="D290" s="152" t="s">
        <v>2032</v>
      </c>
      <c r="E290" s="153"/>
      <c r="F290" s="94" t="s">
        <v>2849</v>
      </c>
      <c r="G290" s="73">
        <v>149.484</v>
      </c>
      <c r="H290" s="51">
        <v>0</v>
      </c>
      <c r="I290" s="5"/>
    </row>
    <row r="291" spans="1:9" ht="12.2" customHeight="1">
      <c r="A291" s="5"/>
      <c r="D291" s="45" t="s">
        <v>3097</v>
      </c>
      <c r="E291" s="190"/>
      <c r="F291" s="191"/>
      <c r="G291" s="47">
        <v>149.484</v>
      </c>
      <c r="H291" s="52"/>
      <c r="I291" s="5"/>
    </row>
    <row r="292" spans="1:9" ht="12.75">
      <c r="A292" s="4" t="s">
        <v>104</v>
      </c>
      <c r="B292" s="94" t="s">
        <v>2882</v>
      </c>
      <c r="C292" s="94" t="s">
        <v>1088</v>
      </c>
      <c r="D292" s="152" t="s">
        <v>2033</v>
      </c>
      <c r="E292" s="153"/>
      <c r="F292" s="94" t="s">
        <v>2849</v>
      </c>
      <c r="G292" s="73">
        <v>15.296</v>
      </c>
      <c r="H292" s="51">
        <v>0</v>
      </c>
      <c r="I292" s="5"/>
    </row>
    <row r="293" spans="1:9" ht="12.2" customHeight="1">
      <c r="A293" s="5"/>
      <c r="D293" s="45" t="s">
        <v>3086</v>
      </c>
      <c r="E293" s="190"/>
      <c r="F293" s="191"/>
      <c r="G293" s="47">
        <v>15.296</v>
      </c>
      <c r="H293" s="52"/>
      <c r="I293" s="5"/>
    </row>
    <row r="294" spans="1:9" ht="12.75">
      <c r="A294" s="4" t="s">
        <v>105</v>
      </c>
      <c r="B294" s="94" t="s">
        <v>2882</v>
      </c>
      <c r="C294" s="94" t="s">
        <v>1089</v>
      </c>
      <c r="D294" s="152" t="s">
        <v>2034</v>
      </c>
      <c r="E294" s="153"/>
      <c r="F294" s="94" t="s">
        <v>2851</v>
      </c>
      <c r="G294" s="73">
        <v>548.7</v>
      </c>
      <c r="H294" s="51">
        <v>0</v>
      </c>
      <c r="I294" s="5"/>
    </row>
    <row r="295" spans="1:9" ht="12.2" customHeight="1">
      <c r="A295" s="5"/>
      <c r="D295" s="45" t="s">
        <v>3096</v>
      </c>
      <c r="E295" s="190"/>
      <c r="F295" s="191"/>
      <c r="G295" s="47">
        <v>186.27</v>
      </c>
      <c r="H295" s="52"/>
      <c r="I295" s="5"/>
    </row>
    <row r="296" spans="1:9" ht="12.2" customHeight="1">
      <c r="A296" s="4"/>
      <c r="B296" s="94"/>
      <c r="C296" s="94"/>
      <c r="D296" s="45" t="s">
        <v>3098</v>
      </c>
      <c r="E296" s="190"/>
      <c r="F296" s="190"/>
      <c r="G296" s="75">
        <v>362.43</v>
      </c>
      <c r="H296" s="25"/>
      <c r="I296" s="5"/>
    </row>
    <row r="297" spans="1:9" ht="12.75">
      <c r="A297" s="4" t="s">
        <v>106</v>
      </c>
      <c r="B297" s="94" t="s">
        <v>2882</v>
      </c>
      <c r="C297" s="94" t="s">
        <v>1090</v>
      </c>
      <c r="D297" s="152" t="s">
        <v>2035</v>
      </c>
      <c r="E297" s="153"/>
      <c r="F297" s="94" t="s">
        <v>2849</v>
      </c>
      <c r="G297" s="73">
        <v>186.846</v>
      </c>
      <c r="H297" s="51">
        <v>0</v>
      </c>
      <c r="I297" s="5"/>
    </row>
    <row r="298" spans="1:9" ht="12.2" customHeight="1">
      <c r="A298" s="5"/>
      <c r="D298" s="45" t="s">
        <v>3099</v>
      </c>
      <c r="E298" s="190"/>
      <c r="F298" s="191"/>
      <c r="G298" s="47">
        <v>223.052</v>
      </c>
      <c r="H298" s="52"/>
      <c r="I298" s="5"/>
    </row>
    <row r="299" spans="1:9" ht="12.2" customHeight="1">
      <c r="A299" s="4"/>
      <c r="B299" s="94"/>
      <c r="C299" s="94"/>
      <c r="D299" s="45" t="s">
        <v>3100</v>
      </c>
      <c r="E299" s="190"/>
      <c r="F299" s="190"/>
      <c r="G299" s="75">
        <v>-37.562</v>
      </c>
      <c r="H299" s="25"/>
      <c r="I299" s="5"/>
    </row>
    <row r="300" spans="1:9" ht="12.2" customHeight="1">
      <c r="A300" s="4"/>
      <c r="B300" s="94"/>
      <c r="C300" s="94"/>
      <c r="D300" s="45" t="s">
        <v>3101</v>
      </c>
      <c r="E300" s="190"/>
      <c r="F300" s="190"/>
      <c r="G300" s="75">
        <v>1.356</v>
      </c>
      <c r="H300" s="25"/>
      <c r="I300" s="5"/>
    </row>
    <row r="301" spans="1:9" ht="12.75">
      <c r="A301" s="4" t="s">
        <v>107</v>
      </c>
      <c r="B301" s="94" t="s">
        <v>2882</v>
      </c>
      <c r="C301" s="94" t="s">
        <v>1091</v>
      </c>
      <c r="D301" s="152" t="s">
        <v>2036</v>
      </c>
      <c r="E301" s="153"/>
      <c r="F301" s="94" t="s">
        <v>2849</v>
      </c>
      <c r="G301" s="73">
        <v>55.881</v>
      </c>
      <c r="H301" s="51">
        <v>0</v>
      </c>
      <c r="I301" s="5"/>
    </row>
    <row r="302" spans="1:9" ht="12.2" customHeight="1">
      <c r="A302" s="5"/>
      <c r="D302" s="45" t="s">
        <v>3092</v>
      </c>
      <c r="E302" s="190"/>
      <c r="F302" s="191"/>
      <c r="G302" s="47">
        <v>55.881</v>
      </c>
      <c r="H302" s="52"/>
      <c r="I302" s="5"/>
    </row>
    <row r="303" spans="1:9" ht="12.75">
      <c r="A303" s="4" t="s">
        <v>108</v>
      </c>
      <c r="B303" s="94" t="s">
        <v>2882</v>
      </c>
      <c r="C303" s="94" t="s">
        <v>1092</v>
      </c>
      <c r="D303" s="152" t="s">
        <v>2037</v>
      </c>
      <c r="E303" s="153"/>
      <c r="F303" s="94" t="s">
        <v>2849</v>
      </c>
      <c r="G303" s="73">
        <v>9.96</v>
      </c>
      <c r="H303" s="51">
        <v>0</v>
      </c>
      <c r="I303" s="5"/>
    </row>
    <row r="304" spans="1:9" ht="12.2" customHeight="1">
      <c r="A304" s="5"/>
      <c r="D304" s="45" t="s">
        <v>3102</v>
      </c>
      <c r="E304" s="190"/>
      <c r="F304" s="191"/>
      <c r="G304" s="47">
        <v>9.96</v>
      </c>
      <c r="H304" s="52"/>
      <c r="I304" s="5"/>
    </row>
    <row r="305" spans="1:9" ht="12.75">
      <c r="A305" s="4" t="s">
        <v>109</v>
      </c>
      <c r="B305" s="94" t="s">
        <v>2882</v>
      </c>
      <c r="C305" s="94" t="s">
        <v>1093</v>
      </c>
      <c r="D305" s="152" t="s">
        <v>2038</v>
      </c>
      <c r="E305" s="153"/>
      <c r="F305" s="94" t="s">
        <v>2851</v>
      </c>
      <c r="G305" s="73">
        <v>239.02</v>
      </c>
      <c r="H305" s="51">
        <v>0</v>
      </c>
      <c r="I305" s="5"/>
    </row>
    <row r="306" spans="1:9" ht="12.2" customHeight="1">
      <c r="A306" s="5"/>
      <c r="D306" s="45" t="s">
        <v>3096</v>
      </c>
      <c r="E306" s="190"/>
      <c r="F306" s="191"/>
      <c r="G306" s="47">
        <v>186.27</v>
      </c>
      <c r="H306" s="52"/>
      <c r="I306" s="5"/>
    </row>
    <row r="307" spans="1:9" ht="12.2" customHeight="1">
      <c r="A307" s="4"/>
      <c r="B307" s="94"/>
      <c r="C307" s="94"/>
      <c r="D307" s="45" t="s">
        <v>3103</v>
      </c>
      <c r="E307" s="190"/>
      <c r="F307" s="190"/>
      <c r="G307" s="75">
        <v>52.75</v>
      </c>
      <c r="H307" s="25"/>
      <c r="I307" s="5"/>
    </row>
    <row r="308" spans="1:9" ht="12.75">
      <c r="A308" s="44"/>
      <c r="B308" s="97"/>
      <c r="C308" s="97" t="s">
        <v>68</v>
      </c>
      <c r="D308" s="161" t="s">
        <v>2039</v>
      </c>
      <c r="E308" s="162"/>
      <c r="F308" s="97"/>
      <c r="G308" s="74"/>
      <c r="H308" s="24"/>
      <c r="I308" s="5"/>
    </row>
    <row r="309" spans="1:9" ht="12.75">
      <c r="A309" s="4" t="s">
        <v>110</v>
      </c>
      <c r="B309" s="94" t="s">
        <v>2882</v>
      </c>
      <c r="C309" s="94" t="s">
        <v>1094</v>
      </c>
      <c r="D309" s="152" t="s">
        <v>2040</v>
      </c>
      <c r="E309" s="153"/>
      <c r="F309" s="94" t="s">
        <v>2849</v>
      </c>
      <c r="G309" s="73">
        <v>120.314</v>
      </c>
      <c r="H309" s="51">
        <v>0</v>
      </c>
      <c r="I309" s="5"/>
    </row>
    <row r="310" spans="1:9" ht="12.2" customHeight="1">
      <c r="A310" s="5"/>
      <c r="D310" s="45" t="s">
        <v>3104</v>
      </c>
      <c r="E310" s="190"/>
      <c r="F310" s="191"/>
      <c r="G310" s="47">
        <v>120.314</v>
      </c>
      <c r="H310" s="52"/>
      <c r="I310" s="5"/>
    </row>
    <row r="311" spans="1:9" ht="12.75">
      <c r="A311" s="4" t="s">
        <v>111</v>
      </c>
      <c r="B311" s="94" t="s">
        <v>2882</v>
      </c>
      <c r="C311" s="94" t="s">
        <v>1095</v>
      </c>
      <c r="D311" s="152" t="s">
        <v>2041</v>
      </c>
      <c r="E311" s="153"/>
      <c r="F311" s="94" t="s">
        <v>2851</v>
      </c>
      <c r="G311" s="73">
        <v>45</v>
      </c>
      <c r="H311" s="51">
        <v>0</v>
      </c>
      <c r="I311" s="5"/>
    </row>
    <row r="312" spans="1:9" ht="12.2" customHeight="1">
      <c r="A312" s="5"/>
      <c r="D312" s="45" t="s">
        <v>51</v>
      </c>
      <c r="E312" s="190"/>
      <c r="F312" s="191"/>
      <c r="G312" s="47">
        <v>45</v>
      </c>
      <c r="H312" s="52"/>
      <c r="I312" s="5"/>
    </row>
    <row r="313" spans="1:9" ht="12.75">
      <c r="A313" s="4" t="s">
        <v>112</v>
      </c>
      <c r="B313" s="94" t="s">
        <v>2882</v>
      </c>
      <c r="C313" s="94" t="s">
        <v>1096</v>
      </c>
      <c r="D313" s="152" t="s">
        <v>2042</v>
      </c>
      <c r="E313" s="153"/>
      <c r="F313" s="94" t="s">
        <v>2851</v>
      </c>
      <c r="G313" s="73">
        <v>76.565</v>
      </c>
      <c r="H313" s="51">
        <v>0</v>
      </c>
      <c r="I313" s="5"/>
    </row>
    <row r="314" spans="1:9" ht="12.2" customHeight="1">
      <c r="A314" s="5"/>
      <c r="D314" s="45" t="s">
        <v>3105</v>
      </c>
      <c r="E314" s="190"/>
      <c r="F314" s="191"/>
      <c r="G314" s="47">
        <v>76.565</v>
      </c>
      <c r="H314" s="52"/>
      <c r="I314" s="5"/>
    </row>
    <row r="315" spans="1:9" ht="12.75">
      <c r="A315" s="4" t="s">
        <v>113</v>
      </c>
      <c r="B315" s="94" t="s">
        <v>2882</v>
      </c>
      <c r="C315" s="94" t="s">
        <v>1097</v>
      </c>
      <c r="D315" s="152" t="s">
        <v>2043</v>
      </c>
      <c r="E315" s="153"/>
      <c r="F315" s="94" t="s">
        <v>2849</v>
      </c>
      <c r="G315" s="73">
        <v>37.6</v>
      </c>
      <c r="H315" s="51">
        <v>0</v>
      </c>
      <c r="I315" s="5"/>
    </row>
    <row r="316" spans="1:9" ht="12.2" customHeight="1">
      <c r="A316" s="5"/>
      <c r="D316" s="45" t="s">
        <v>3106</v>
      </c>
      <c r="E316" s="190"/>
      <c r="F316" s="191"/>
      <c r="G316" s="47">
        <v>37.6</v>
      </c>
      <c r="H316" s="52"/>
      <c r="I316" s="5"/>
    </row>
    <row r="317" spans="1:9" ht="12.75">
      <c r="A317" s="4" t="s">
        <v>114</v>
      </c>
      <c r="B317" s="94" t="s">
        <v>2882</v>
      </c>
      <c r="C317" s="94" t="s">
        <v>1098</v>
      </c>
      <c r="D317" s="152" t="s">
        <v>2045</v>
      </c>
      <c r="E317" s="153"/>
      <c r="F317" s="94" t="s">
        <v>2849</v>
      </c>
      <c r="G317" s="73">
        <v>281.569</v>
      </c>
      <c r="H317" s="51">
        <v>0</v>
      </c>
      <c r="I317" s="5"/>
    </row>
    <row r="318" spans="1:9" ht="12.2" customHeight="1">
      <c r="A318" s="5"/>
      <c r="D318" s="45" t="s">
        <v>3107</v>
      </c>
      <c r="E318" s="190"/>
      <c r="F318" s="191"/>
      <c r="G318" s="47">
        <v>439.483</v>
      </c>
      <c r="H318" s="52"/>
      <c r="I318" s="5"/>
    </row>
    <row r="319" spans="1:9" ht="12.2" customHeight="1">
      <c r="A319" s="4"/>
      <c r="B319" s="94"/>
      <c r="C319" s="94"/>
      <c r="D319" s="45" t="s">
        <v>3108</v>
      </c>
      <c r="E319" s="190"/>
      <c r="F319" s="190"/>
      <c r="G319" s="75">
        <v>-157.914</v>
      </c>
      <c r="H319" s="25"/>
      <c r="I319" s="5"/>
    </row>
    <row r="320" spans="1:9" ht="12.75">
      <c r="A320" s="4" t="s">
        <v>115</v>
      </c>
      <c r="B320" s="94" t="s">
        <v>2882</v>
      </c>
      <c r="C320" s="94" t="s">
        <v>1099</v>
      </c>
      <c r="D320" s="152" t="s">
        <v>2047</v>
      </c>
      <c r="E320" s="153"/>
      <c r="F320" s="94" t="s">
        <v>2849</v>
      </c>
      <c r="G320" s="73">
        <v>89.395</v>
      </c>
      <c r="H320" s="51">
        <v>0</v>
      </c>
      <c r="I320" s="5"/>
    </row>
    <row r="321" spans="1:9" ht="12.2" customHeight="1">
      <c r="A321" s="5"/>
      <c r="D321" s="45" t="s">
        <v>3109</v>
      </c>
      <c r="E321" s="190"/>
      <c r="F321" s="191"/>
      <c r="G321" s="47">
        <v>89.395</v>
      </c>
      <c r="H321" s="52"/>
      <c r="I321" s="5"/>
    </row>
    <row r="322" spans="1:9" ht="12.75">
      <c r="A322" s="4" t="s">
        <v>116</v>
      </c>
      <c r="B322" s="94" t="s">
        <v>2882</v>
      </c>
      <c r="C322" s="94" t="s">
        <v>1100</v>
      </c>
      <c r="D322" s="152" t="s">
        <v>2049</v>
      </c>
      <c r="E322" s="153"/>
      <c r="F322" s="94" t="s">
        <v>2849</v>
      </c>
      <c r="G322" s="73">
        <v>31.36</v>
      </c>
      <c r="H322" s="51">
        <v>0</v>
      </c>
      <c r="I322" s="5"/>
    </row>
    <row r="323" spans="1:9" ht="12.2" customHeight="1">
      <c r="A323" s="5"/>
      <c r="D323" s="45" t="s">
        <v>3110</v>
      </c>
      <c r="E323" s="190"/>
      <c r="F323" s="191"/>
      <c r="G323" s="47">
        <v>24.024</v>
      </c>
      <c r="H323" s="52"/>
      <c r="I323" s="5"/>
    </row>
    <row r="324" spans="1:9" ht="12.2" customHeight="1">
      <c r="A324" s="4"/>
      <c r="B324" s="94"/>
      <c r="C324" s="94"/>
      <c r="D324" s="45" t="s">
        <v>3111</v>
      </c>
      <c r="E324" s="190"/>
      <c r="F324" s="190"/>
      <c r="G324" s="75">
        <v>7.336</v>
      </c>
      <c r="H324" s="25"/>
      <c r="I324" s="5"/>
    </row>
    <row r="325" spans="1:9" ht="12.75">
      <c r="A325" s="4" t="s">
        <v>117</v>
      </c>
      <c r="B325" s="94" t="s">
        <v>2882</v>
      </c>
      <c r="C325" s="94" t="s">
        <v>1101</v>
      </c>
      <c r="D325" s="152" t="s">
        <v>2050</v>
      </c>
      <c r="E325" s="153"/>
      <c r="F325" s="94" t="s">
        <v>2849</v>
      </c>
      <c r="G325" s="73">
        <v>29.426</v>
      </c>
      <c r="H325" s="51">
        <v>0</v>
      </c>
      <c r="I325" s="5"/>
    </row>
    <row r="326" spans="1:9" ht="12.2" customHeight="1">
      <c r="A326" s="5"/>
      <c r="D326" s="45" t="s">
        <v>3112</v>
      </c>
      <c r="E326" s="190"/>
      <c r="F326" s="191"/>
      <c r="G326" s="47">
        <v>29.426</v>
      </c>
      <c r="H326" s="52"/>
      <c r="I326" s="5"/>
    </row>
    <row r="327" spans="1:9" ht="12.75">
      <c r="A327" s="4" t="s">
        <v>118</v>
      </c>
      <c r="B327" s="94" t="s">
        <v>2882</v>
      </c>
      <c r="C327" s="94" t="s">
        <v>1102</v>
      </c>
      <c r="D327" s="152" t="s">
        <v>2052</v>
      </c>
      <c r="E327" s="153"/>
      <c r="F327" s="94" t="s">
        <v>2849</v>
      </c>
      <c r="G327" s="73">
        <v>437.99</v>
      </c>
      <c r="H327" s="51">
        <v>0</v>
      </c>
      <c r="I327" s="5"/>
    </row>
    <row r="328" spans="1:9" ht="12.2" customHeight="1">
      <c r="A328" s="5"/>
      <c r="D328" s="45" t="s">
        <v>3113</v>
      </c>
      <c r="E328" s="190"/>
      <c r="F328" s="191"/>
      <c r="G328" s="47">
        <v>437.99</v>
      </c>
      <c r="H328" s="52"/>
      <c r="I328" s="5"/>
    </row>
    <row r="329" spans="1:9" ht="12.75">
      <c r="A329" s="4" t="s">
        <v>119</v>
      </c>
      <c r="B329" s="94" t="s">
        <v>2882</v>
      </c>
      <c r="C329" s="94" t="s">
        <v>1103</v>
      </c>
      <c r="D329" s="152" t="s">
        <v>2053</v>
      </c>
      <c r="E329" s="153"/>
      <c r="F329" s="94" t="s">
        <v>2851</v>
      </c>
      <c r="G329" s="73">
        <v>447.91</v>
      </c>
      <c r="H329" s="51">
        <v>0</v>
      </c>
      <c r="I329" s="5"/>
    </row>
    <row r="330" spans="1:9" ht="12.2" customHeight="1">
      <c r="A330" s="5"/>
      <c r="D330" s="45" t="s">
        <v>3114</v>
      </c>
      <c r="E330" s="190"/>
      <c r="F330" s="191"/>
      <c r="G330" s="47">
        <v>447.91</v>
      </c>
      <c r="H330" s="52"/>
      <c r="I330" s="5"/>
    </row>
    <row r="331" spans="1:9" ht="12.75">
      <c r="A331" s="4" t="s">
        <v>120</v>
      </c>
      <c r="B331" s="94" t="s">
        <v>2882</v>
      </c>
      <c r="C331" s="94" t="s">
        <v>1104</v>
      </c>
      <c r="D331" s="152" t="s">
        <v>2054</v>
      </c>
      <c r="E331" s="153"/>
      <c r="F331" s="94" t="s">
        <v>2851</v>
      </c>
      <c r="G331" s="73">
        <v>205.705</v>
      </c>
      <c r="H331" s="51">
        <v>0</v>
      </c>
      <c r="I331" s="5"/>
    </row>
    <row r="332" spans="1:9" ht="12.2" customHeight="1">
      <c r="A332" s="5"/>
      <c r="D332" s="45" t="s">
        <v>3115</v>
      </c>
      <c r="E332" s="190"/>
      <c r="F332" s="191"/>
      <c r="G332" s="47">
        <v>205.705</v>
      </c>
      <c r="H332" s="52"/>
      <c r="I332" s="5"/>
    </row>
    <row r="333" spans="1:9" ht="12.75">
      <c r="A333" s="4" t="s">
        <v>121</v>
      </c>
      <c r="B333" s="94" t="s">
        <v>2882</v>
      </c>
      <c r="C333" s="94" t="s">
        <v>1105</v>
      </c>
      <c r="D333" s="152" t="s">
        <v>2055</v>
      </c>
      <c r="E333" s="153"/>
      <c r="F333" s="94" t="s">
        <v>2851</v>
      </c>
      <c r="G333" s="73">
        <v>35.6</v>
      </c>
      <c r="H333" s="51">
        <v>0</v>
      </c>
      <c r="I333" s="5"/>
    </row>
    <row r="334" spans="1:9" ht="12.2" customHeight="1">
      <c r="A334" s="5"/>
      <c r="D334" s="45" t="s">
        <v>3116</v>
      </c>
      <c r="E334" s="190"/>
      <c r="F334" s="191"/>
      <c r="G334" s="47">
        <v>35.6</v>
      </c>
      <c r="H334" s="52"/>
      <c r="I334" s="5"/>
    </row>
    <row r="335" spans="1:9" ht="12.75">
      <c r="A335" s="44"/>
      <c r="B335" s="97"/>
      <c r="C335" s="97" t="s">
        <v>69</v>
      </c>
      <c r="D335" s="161" t="s">
        <v>2056</v>
      </c>
      <c r="E335" s="162"/>
      <c r="F335" s="97"/>
      <c r="G335" s="74"/>
      <c r="H335" s="24"/>
      <c r="I335" s="5"/>
    </row>
    <row r="336" spans="1:9" ht="12.75">
      <c r="A336" s="4" t="s">
        <v>122</v>
      </c>
      <c r="B336" s="94" t="s">
        <v>2882</v>
      </c>
      <c r="C336" s="94" t="s">
        <v>1106</v>
      </c>
      <c r="D336" s="152" t="s">
        <v>2057</v>
      </c>
      <c r="E336" s="153"/>
      <c r="F336" s="94" t="s">
        <v>2849</v>
      </c>
      <c r="G336" s="73">
        <v>8.23</v>
      </c>
      <c r="H336" s="51">
        <v>0</v>
      </c>
      <c r="I336" s="5"/>
    </row>
    <row r="337" spans="1:9" ht="12.2" customHeight="1">
      <c r="A337" s="5"/>
      <c r="D337" s="45" t="s">
        <v>3067</v>
      </c>
      <c r="E337" s="190"/>
      <c r="F337" s="191"/>
      <c r="G337" s="47">
        <v>8.23</v>
      </c>
      <c r="H337" s="52"/>
      <c r="I337" s="5"/>
    </row>
    <row r="338" spans="1:9" ht="12.75">
      <c r="A338" s="4" t="s">
        <v>123</v>
      </c>
      <c r="B338" s="94" t="s">
        <v>2882</v>
      </c>
      <c r="C338" s="94" t="s">
        <v>1107</v>
      </c>
      <c r="D338" s="152" t="s">
        <v>2058</v>
      </c>
      <c r="E338" s="153"/>
      <c r="F338" s="94" t="s">
        <v>2849</v>
      </c>
      <c r="G338" s="73">
        <v>173.44</v>
      </c>
      <c r="H338" s="51">
        <v>0</v>
      </c>
      <c r="I338" s="5"/>
    </row>
    <row r="339" spans="1:9" ht="12.2" customHeight="1">
      <c r="A339" s="5"/>
      <c r="D339" s="45" t="s">
        <v>3117</v>
      </c>
      <c r="E339" s="190"/>
      <c r="F339" s="191"/>
      <c r="G339" s="47">
        <v>173.44</v>
      </c>
      <c r="H339" s="52"/>
      <c r="I339" s="5"/>
    </row>
    <row r="340" spans="1:9" ht="12.75">
      <c r="A340" s="4" t="s">
        <v>124</v>
      </c>
      <c r="B340" s="94" t="s">
        <v>2882</v>
      </c>
      <c r="C340" s="94" t="s">
        <v>1108</v>
      </c>
      <c r="D340" s="152" t="s">
        <v>2059</v>
      </c>
      <c r="E340" s="153"/>
      <c r="F340" s="94" t="s">
        <v>2849</v>
      </c>
      <c r="G340" s="73">
        <v>2.75</v>
      </c>
      <c r="H340" s="51">
        <v>0</v>
      </c>
      <c r="I340" s="5"/>
    </row>
    <row r="341" spans="1:9" ht="12.2" customHeight="1">
      <c r="A341" s="5"/>
      <c r="D341" s="45" t="s">
        <v>3118</v>
      </c>
      <c r="E341" s="190"/>
      <c r="F341" s="191"/>
      <c r="G341" s="47">
        <v>2.75</v>
      </c>
      <c r="H341" s="52"/>
      <c r="I341" s="5"/>
    </row>
    <row r="342" spans="1:9" ht="12.75">
      <c r="A342" s="4" t="s">
        <v>125</v>
      </c>
      <c r="B342" s="94" t="s">
        <v>2882</v>
      </c>
      <c r="C342" s="94" t="s">
        <v>1109</v>
      </c>
      <c r="D342" s="152" t="s">
        <v>2060</v>
      </c>
      <c r="E342" s="153"/>
      <c r="F342" s="94" t="s">
        <v>2849</v>
      </c>
      <c r="G342" s="73">
        <v>53.51</v>
      </c>
      <c r="H342" s="51">
        <v>0</v>
      </c>
      <c r="I342" s="5"/>
    </row>
    <row r="343" spans="1:9" ht="12.2" customHeight="1">
      <c r="A343" s="5"/>
      <c r="D343" s="45" t="s">
        <v>3119</v>
      </c>
      <c r="E343" s="190"/>
      <c r="F343" s="191"/>
      <c r="G343" s="47">
        <v>53.51</v>
      </c>
      <c r="H343" s="52"/>
      <c r="I343" s="5"/>
    </row>
    <row r="344" spans="1:9" ht="12.75">
      <c r="A344" s="4" t="s">
        <v>126</v>
      </c>
      <c r="B344" s="94" t="s">
        <v>2882</v>
      </c>
      <c r="C344" s="94" t="s">
        <v>1110</v>
      </c>
      <c r="D344" s="152" t="s">
        <v>2061</v>
      </c>
      <c r="E344" s="153"/>
      <c r="F344" s="94" t="s">
        <v>2849</v>
      </c>
      <c r="G344" s="73">
        <v>132.41</v>
      </c>
      <c r="H344" s="51">
        <v>0</v>
      </c>
      <c r="I344" s="5"/>
    </row>
    <row r="345" spans="1:9" ht="12.2" customHeight="1">
      <c r="A345" s="5"/>
      <c r="D345" s="45" t="s">
        <v>3120</v>
      </c>
      <c r="E345" s="190"/>
      <c r="F345" s="191"/>
      <c r="G345" s="47">
        <v>132.41</v>
      </c>
      <c r="H345" s="52"/>
      <c r="I345" s="5"/>
    </row>
    <row r="346" spans="1:9" ht="12.75">
      <c r="A346" s="44"/>
      <c r="B346" s="97"/>
      <c r="C346" s="97" t="s">
        <v>70</v>
      </c>
      <c r="D346" s="161" t="s">
        <v>2062</v>
      </c>
      <c r="E346" s="162"/>
      <c r="F346" s="97"/>
      <c r="G346" s="74"/>
      <c r="H346" s="24"/>
      <c r="I346" s="5"/>
    </row>
    <row r="347" spans="1:9" ht="12.75">
      <c r="A347" s="4" t="s">
        <v>127</v>
      </c>
      <c r="B347" s="94" t="s">
        <v>2882</v>
      </c>
      <c r="C347" s="94" t="s">
        <v>1111</v>
      </c>
      <c r="D347" s="152" t="s">
        <v>2063</v>
      </c>
      <c r="E347" s="153"/>
      <c r="F347" s="94" t="s">
        <v>2851</v>
      </c>
      <c r="G347" s="73">
        <v>132.035</v>
      </c>
      <c r="H347" s="51">
        <v>0</v>
      </c>
      <c r="I347" s="5"/>
    </row>
    <row r="348" spans="1:9" ht="12.2" customHeight="1">
      <c r="A348" s="5"/>
      <c r="D348" s="45" t="s">
        <v>3121</v>
      </c>
      <c r="E348" s="190"/>
      <c r="F348" s="191"/>
      <c r="G348" s="47">
        <v>132.035</v>
      </c>
      <c r="H348" s="52"/>
      <c r="I348" s="5"/>
    </row>
    <row r="349" spans="1:9" ht="12.75">
      <c r="A349" s="4" t="s">
        <v>128</v>
      </c>
      <c r="B349" s="94" t="s">
        <v>2882</v>
      </c>
      <c r="C349" s="94" t="s">
        <v>1112</v>
      </c>
      <c r="D349" s="152" t="s">
        <v>2064</v>
      </c>
      <c r="E349" s="153"/>
      <c r="F349" s="94" t="s">
        <v>2850</v>
      </c>
      <c r="G349" s="73">
        <v>13</v>
      </c>
      <c r="H349" s="51">
        <v>0</v>
      </c>
      <c r="I349" s="5"/>
    </row>
    <row r="350" spans="1:9" ht="12.2" customHeight="1">
      <c r="A350" s="5"/>
      <c r="D350" s="45" t="s">
        <v>19</v>
      </c>
      <c r="E350" s="190"/>
      <c r="F350" s="191"/>
      <c r="G350" s="47">
        <v>13</v>
      </c>
      <c r="H350" s="52"/>
      <c r="I350" s="5"/>
    </row>
    <row r="351" spans="1:9" ht="12.75">
      <c r="A351" s="4" t="s">
        <v>129</v>
      </c>
      <c r="B351" s="94" t="s">
        <v>2882</v>
      </c>
      <c r="C351" s="94" t="s">
        <v>1113</v>
      </c>
      <c r="D351" s="152" t="s">
        <v>2065</v>
      </c>
      <c r="E351" s="153"/>
      <c r="F351" s="94" t="s">
        <v>2850</v>
      </c>
      <c r="G351" s="73">
        <v>2</v>
      </c>
      <c r="H351" s="51">
        <v>0</v>
      </c>
      <c r="I351" s="5"/>
    </row>
    <row r="352" spans="1:9" ht="12.2" customHeight="1">
      <c r="A352" s="5"/>
      <c r="D352" s="45" t="s">
        <v>8</v>
      </c>
      <c r="E352" s="190"/>
      <c r="F352" s="191"/>
      <c r="G352" s="47">
        <v>2</v>
      </c>
      <c r="H352" s="52"/>
      <c r="I352" s="5"/>
    </row>
    <row r="353" spans="1:9" ht="12.75">
      <c r="A353" s="4" t="s">
        <v>130</v>
      </c>
      <c r="B353" s="94" t="s">
        <v>2882</v>
      </c>
      <c r="C353" s="94" t="s">
        <v>1114</v>
      </c>
      <c r="D353" s="152" t="s">
        <v>2066</v>
      </c>
      <c r="E353" s="153"/>
      <c r="F353" s="94" t="s">
        <v>2850</v>
      </c>
      <c r="G353" s="73">
        <v>2</v>
      </c>
      <c r="H353" s="51">
        <v>0</v>
      </c>
      <c r="I353" s="5"/>
    </row>
    <row r="354" spans="1:9" ht="12.2" customHeight="1">
      <c r="A354" s="5"/>
      <c r="D354" s="45" t="s">
        <v>8</v>
      </c>
      <c r="E354" s="190"/>
      <c r="F354" s="191"/>
      <c r="G354" s="47">
        <v>2</v>
      </c>
      <c r="H354" s="52"/>
      <c r="I354" s="5"/>
    </row>
    <row r="355" spans="1:9" ht="12.75">
      <c r="A355" s="4" t="s">
        <v>131</v>
      </c>
      <c r="B355" s="94" t="s">
        <v>2882</v>
      </c>
      <c r="C355" s="94" t="s">
        <v>1115</v>
      </c>
      <c r="D355" s="152" t="s">
        <v>2067</v>
      </c>
      <c r="E355" s="153"/>
      <c r="F355" s="94" t="s">
        <v>2850</v>
      </c>
      <c r="G355" s="73">
        <v>4</v>
      </c>
      <c r="H355" s="51">
        <v>0</v>
      </c>
      <c r="I355" s="5"/>
    </row>
    <row r="356" spans="1:9" ht="12.2" customHeight="1">
      <c r="A356" s="5"/>
      <c r="D356" s="45" t="s">
        <v>10</v>
      </c>
      <c r="E356" s="190"/>
      <c r="F356" s="191"/>
      <c r="G356" s="47">
        <v>4</v>
      </c>
      <c r="H356" s="52"/>
      <c r="I356" s="5"/>
    </row>
    <row r="357" spans="1:9" ht="12.75">
      <c r="A357" s="4" t="s">
        <v>132</v>
      </c>
      <c r="B357" s="94" t="s">
        <v>2882</v>
      </c>
      <c r="C357" s="94" t="s">
        <v>1116</v>
      </c>
      <c r="D357" s="152" t="s">
        <v>2068</v>
      </c>
      <c r="E357" s="153"/>
      <c r="F357" s="94" t="s">
        <v>2850</v>
      </c>
      <c r="G357" s="73">
        <v>13</v>
      </c>
      <c r="H357" s="51">
        <v>0</v>
      </c>
      <c r="I357" s="5"/>
    </row>
    <row r="358" spans="1:9" ht="12.2" customHeight="1">
      <c r="A358" s="5"/>
      <c r="D358" s="45" t="s">
        <v>19</v>
      </c>
      <c r="E358" s="190"/>
      <c r="F358" s="191"/>
      <c r="G358" s="47">
        <v>13</v>
      </c>
      <c r="H358" s="52"/>
      <c r="I358" s="5"/>
    </row>
    <row r="359" spans="1:9" ht="12.75">
      <c r="A359" s="4" t="s">
        <v>133</v>
      </c>
      <c r="B359" s="94" t="s">
        <v>2882</v>
      </c>
      <c r="C359" s="94" t="s">
        <v>1117</v>
      </c>
      <c r="D359" s="152" t="s">
        <v>2069</v>
      </c>
      <c r="E359" s="153"/>
      <c r="F359" s="94" t="s">
        <v>2850</v>
      </c>
      <c r="G359" s="73">
        <v>1</v>
      </c>
      <c r="H359" s="51">
        <v>0</v>
      </c>
      <c r="I359" s="5"/>
    </row>
    <row r="360" spans="1:9" ht="12.2" customHeight="1">
      <c r="A360" s="5"/>
      <c r="D360" s="45" t="s">
        <v>7</v>
      </c>
      <c r="E360" s="190"/>
      <c r="F360" s="191"/>
      <c r="G360" s="47">
        <v>1</v>
      </c>
      <c r="H360" s="52"/>
      <c r="I360" s="5"/>
    </row>
    <row r="361" spans="1:9" ht="12.75">
      <c r="A361" s="4" t="s">
        <v>134</v>
      </c>
      <c r="B361" s="94" t="s">
        <v>2882</v>
      </c>
      <c r="C361" s="94" t="s">
        <v>1118</v>
      </c>
      <c r="D361" s="152" t="s">
        <v>2070</v>
      </c>
      <c r="E361" s="153"/>
      <c r="F361" s="94" t="s">
        <v>2850</v>
      </c>
      <c r="G361" s="73">
        <v>13</v>
      </c>
      <c r="H361" s="51">
        <v>0</v>
      </c>
      <c r="I361" s="5"/>
    </row>
    <row r="362" spans="1:9" ht="12.2" customHeight="1">
      <c r="A362" s="5"/>
      <c r="D362" s="45" t="s">
        <v>3122</v>
      </c>
      <c r="E362" s="190"/>
      <c r="F362" s="191"/>
      <c r="G362" s="47">
        <v>13</v>
      </c>
      <c r="H362" s="52"/>
      <c r="I362" s="5"/>
    </row>
    <row r="363" spans="1:9" ht="12.75">
      <c r="A363" s="4" t="s">
        <v>135</v>
      </c>
      <c r="B363" s="94" t="s">
        <v>2882</v>
      </c>
      <c r="C363" s="94" t="s">
        <v>1119</v>
      </c>
      <c r="D363" s="152" t="s">
        <v>2071</v>
      </c>
      <c r="E363" s="153"/>
      <c r="F363" s="94" t="s">
        <v>2851</v>
      </c>
      <c r="G363" s="73">
        <v>32.4</v>
      </c>
      <c r="H363" s="51">
        <v>0</v>
      </c>
      <c r="I363" s="5"/>
    </row>
    <row r="364" spans="1:9" ht="12.2" customHeight="1">
      <c r="A364" s="5"/>
      <c r="D364" s="45" t="s">
        <v>3123</v>
      </c>
      <c r="E364" s="190"/>
      <c r="F364" s="191"/>
      <c r="G364" s="47">
        <v>32.4</v>
      </c>
      <c r="H364" s="52"/>
      <c r="I364" s="5"/>
    </row>
    <row r="365" spans="1:9" ht="12.75">
      <c r="A365" s="44"/>
      <c r="B365" s="97"/>
      <c r="C365" s="97" t="s">
        <v>97</v>
      </c>
      <c r="D365" s="161" t="s">
        <v>2072</v>
      </c>
      <c r="E365" s="162"/>
      <c r="F365" s="97"/>
      <c r="G365" s="74"/>
      <c r="H365" s="24"/>
      <c r="I365" s="5"/>
    </row>
    <row r="366" spans="1:9" ht="12.75">
      <c r="A366" s="4" t="s">
        <v>136</v>
      </c>
      <c r="B366" s="94" t="s">
        <v>2882</v>
      </c>
      <c r="C366" s="94" t="s">
        <v>1120</v>
      </c>
      <c r="D366" s="152" t="s">
        <v>2073</v>
      </c>
      <c r="E366" s="153"/>
      <c r="F366" s="94" t="s">
        <v>2851</v>
      </c>
      <c r="G366" s="73">
        <v>50</v>
      </c>
      <c r="H366" s="51">
        <v>0</v>
      </c>
      <c r="I366" s="5"/>
    </row>
    <row r="367" spans="1:9" ht="12.2" customHeight="1">
      <c r="A367" s="5"/>
      <c r="D367" s="45" t="s">
        <v>56</v>
      </c>
      <c r="E367" s="190"/>
      <c r="F367" s="191"/>
      <c r="G367" s="47">
        <v>50</v>
      </c>
      <c r="H367" s="52"/>
      <c r="I367" s="5"/>
    </row>
    <row r="368" spans="1:9" ht="12.75">
      <c r="A368" s="4" t="s">
        <v>137</v>
      </c>
      <c r="B368" s="94" t="s">
        <v>2882</v>
      </c>
      <c r="C368" s="94" t="s">
        <v>1121</v>
      </c>
      <c r="D368" s="152" t="s">
        <v>2074</v>
      </c>
      <c r="E368" s="153"/>
      <c r="F368" s="94" t="s">
        <v>2847</v>
      </c>
      <c r="G368" s="73">
        <v>3.75</v>
      </c>
      <c r="H368" s="51">
        <v>0</v>
      </c>
      <c r="I368" s="5"/>
    </row>
    <row r="369" spans="1:9" ht="12.2" customHeight="1">
      <c r="A369" s="5"/>
      <c r="D369" s="45" t="s">
        <v>3124</v>
      </c>
      <c r="E369" s="190"/>
      <c r="F369" s="191"/>
      <c r="G369" s="47">
        <v>3.75</v>
      </c>
      <c r="H369" s="52"/>
      <c r="I369" s="5"/>
    </row>
    <row r="370" spans="1:9" ht="12.75">
      <c r="A370" s="4" t="s">
        <v>138</v>
      </c>
      <c r="B370" s="94" t="s">
        <v>2883</v>
      </c>
      <c r="C370" s="94" t="s">
        <v>1762</v>
      </c>
      <c r="D370" s="152" t="s">
        <v>2696</v>
      </c>
      <c r="E370" s="153"/>
      <c r="F370" s="94" t="s">
        <v>2850</v>
      </c>
      <c r="G370" s="73">
        <v>3</v>
      </c>
      <c r="H370" s="51">
        <v>0</v>
      </c>
      <c r="I370" s="5"/>
    </row>
    <row r="371" spans="1:9" ht="12.2" customHeight="1">
      <c r="A371" s="5"/>
      <c r="D371" s="45" t="s">
        <v>9</v>
      </c>
      <c r="E371" s="190"/>
      <c r="F371" s="191"/>
      <c r="G371" s="47">
        <v>3</v>
      </c>
      <c r="H371" s="52"/>
      <c r="I371" s="5"/>
    </row>
    <row r="372" spans="1:9" ht="12.75">
      <c r="A372" s="6" t="s">
        <v>139</v>
      </c>
      <c r="B372" s="98" t="s">
        <v>2883</v>
      </c>
      <c r="C372" s="98" t="s">
        <v>1763</v>
      </c>
      <c r="D372" s="163" t="s">
        <v>2697</v>
      </c>
      <c r="E372" s="164"/>
      <c r="F372" s="98" t="s">
        <v>2850</v>
      </c>
      <c r="G372" s="76">
        <v>3</v>
      </c>
      <c r="H372" s="53">
        <v>0</v>
      </c>
      <c r="I372" s="5"/>
    </row>
    <row r="373" spans="1:9" ht="12.2" customHeight="1">
      <c r="A373" s="5"/>
      <c r="D373" s="45" t="s">
        <v>9</v>
      </c>
      <c r="E373" s="190"/>
      <c r="F373" s="191"/>
      <c r="G373" s="48">
        <v>3</v>
      </c>
      <c r="H373" s="52"/>
      <c r="I373" s="5"/>
    </row>
    <row r="374" spans="1:9" ht="12.75">
      <c r="A374" s="6" t="s">
        <v>140</v>
      </c>
      <c r="B374" s="98" t="s">
        <v>2883</v>
      </c>
      <c r="C374" s="98" t="s">
        <v>1764</v>
      </c>
      <c r="D374" s="163" t="s">
        <v>2698</v>
      </c>
      <c r="E374" s="164"/>
      <c r="F374" s="98" t="s">
        <v>2850</v>
      </c>
      <c r="G374" s="76">
        <v>3</v>
      </c>
      <c r="H374" s="53">
        <v>0</v>
      </c>
      <c r="I374" s="5"/>
    </row>
    <row r="375" spans="1:9" ht="12.2" customHeight="1">
      <c r="A375" s="5"/>
      <c r="D375" s="45" t="s">
        <v>9</v>
      </c>
      <c r="E375" s="190"/>
      <c r="F375" s="191"/>
      <c r="G375" s="48">
        <v>3</v>
      </c>
      <c r="H375" s="52"/>
      <c r="I375" s="5"/>
    </row>
    <row r="376" spans="1:9" ht="12.75">
      <c r="A376" s="4" t="s">
        <v>141</v>
      </c>
      <c r="B376" s="94" t="s">
        <v>2883</v>
      </c>
      <c r="C376" s="94" t="s">
        <v>1765</v>
      </c>
      <c r="D376" s="152" t="s">
        <v>2699</v>
      </c>
      <c r="E376" s="153"/>
      <c r="F376" s="94" t="s">
        <v>2850</v>
      </c>
      <c r="G376" s="73">
        <v>6</v>
      </c>
      <c r="H376" s="51">
        <v>0</v>
      </c>
      <c r="I376" s="5"/>
    </row>
    <row r="377" spans="1:9" ht="12.2" customHeight="1">
      <c r="A377" s="5"/>
      <c r="D377" s="45" t="s">
        <v>3125</v>
      </c>
      <c r="E377" s="190"/>
      <c r="F377" s="191"/>
      <c r="G377" s="47">
        <v>6</v>
      </c>
      <c r="H377" s="52"/>
      <c r="I377" s="5"/>
    </row>
    <row r="378" spans="1:9" ht="12.75">
      <c r="A378" s="6" t="s">
        <v>142</v>
      </c>
      <c r="B378" s="98" t="s">
        <v>2883</v>
      </c>
      <c r="C378" s="98" t="s">
        <v>1766</v>
      </c>
      <c r="D378" s="163" t="s">
        <v>2700</v>
      </c>
      <c r="E378" s="164"/>
      <c r="F378" s="98" t="s">
        <v>2850</v>
      </c>
      <c r="G378" s="76">
        <v>3</v>
      </c>
      <c r="H378" s="53">
        <v>0</v>
      </c>
      <c r="I378" s="5"/>
    </row>
    <row r="379" spans="1:9" ht="12.2" customHeight="1">
      <c r="A379" s="5"/>
      <c r="D379" s="45" t="s">
        <v>9</v>
      </c>
      <c r="E379" s="190"/>
      <c r="F379" s="191"/>
      <c r="G379" s="48">
        <v>3</v>
      </c>
      <c r="H379" s="52"/>
      <c r="I379" s="5"/>
    </row>
    <row r="380" spans="1:9" ht="12.75">
      <c r="A380" s="6" t="s">
        <v>143</v>
      </c>
      <c r="B380" s="98" t="s">
        <v>2883</v>
      </c>
      <c r="C380" s="98" t="s">
        <v>1767</v>
      </c>
      <c r="D380" s="163" t="s">
        <v>2701</v>
      </c>
      <c r="E380" s="164"/>
      <c r="F380" s="98" t="s">
        <v>2850</v>
      </c>
      <c r="G380" s="76">
        <v>3</v>
      </c>
      <c r="H380" s="53">
        <v>0</v>
      </c>
      <c r="I380" s="5"/>
    </row>
    <row r="381" spans="1:9" ht="12.2" customHeight="1">
      <c r="A381" s="5"/>
      <c r="D381" s="45" t="s">
        <v>9</v>
      </c>
      <c r="E381" s="190"/>
      <c r="F381" s="191"/>
      <c r="G381" s="48">
        <v>3</v>
      </c>
      <c r="H381" s="52"/>
      <c r="I381" s="5"/>
    </row>
    <row r="382" spans="1:9" ht="12.75">
      <c r="A382" s="4" t="s">
        <v>144</v>
      </c>
      <c r="B382" s="94" t="s">
        <v>2883</v>
      </c>
      <c r="C382" s="94" t="s">
        <v>1768</v>
      </c>
      <c r="D382" s="152" t="s">
        <v>2702</v>
      </c>
      <c r="E382" s="153"/>
      <c r="F382" s="94" t="s">
        <v>2850</v>
      </c>
      <c r="G382" s="73">
        <v>1</v>
      </c>
      <c r="H382" s="51">
        <v>0</v>
      </c>
      <c r="I382" s="5"/>
    </row>
    <row r="383" spans="1:9" ht="12.2" customHeight="1">
      <c r="A383" s="5"/>
      <c r="D383" s="45" t="s">
        <v>7</v>
      </c>
      <c r="E383" s="190"/>
      <c r="F383" s="191"/>
      <c r="G383" s="47">
        <v>1</v>
      </c>
      <c r="H383" s="52"/>
      <c r="I383" s="5"/>
    </row>
    <row r="384" spans="1:9" ht="12.75">
      <c r="A384" s="4" t="s">
        <v>145</v>
      </c>
      <c r="B384" s="94" t="s">
        <v>2883</v>
      </c>
      <c r="C384" s="94" t="s">
        <v>1769</v>
      </c>
      <c r="D384" s="152" t="s">
        <v>2703</v>
      </c>
      <c r="E384" s="153"/>
      <c r="F384" s="94" t="s">
        <v>2851</v>
      </c>
      <c r="G384" s="73">
        <v>110.5</v>
      </c>
      <c r="H384" s="51">
        <v>0</v>
      </c>
      <c r="I384" s="5"/>
    </row>
    <row r="385" spans="1:9" ht="12.2" customHeight="1">
      <c r="A385" s="5"/>
      <c r="D385" s="45" t="s">
        <v>3126</v>
      </c>
      <c r="E385" s="190"/>
      <c r="F385" s="191"/>
      <c r="G385" s="47">
        <v>110.5</v>
      </c>
      <c r="H385" s="52"/>
      <c r="I385" s="5"/>
    </row>
    <row r="386" spans="1:9" ht="12.75">
      <c r="A386" s="4" t="s">
        <v>146</v>
      </c>
      <c r="B386" s="94" t="s">
        <v>2883</v>
      </c>
      <c r="C386" s="94" t="s">
        <v>1770</v>
      </c>
      <c r="D386" s="152" t="s">
        <v>2704</v>
      </c>
      <c r="E386" s="153"/>
      <c r="F386" s="94" t="s">
        <v>2851</v>
      </c>
      <c r="G386" s="73">
        <v>34</v>
      </c>
      <c r="H386" s="51">
        <v>0</v>
      </c>
      <c r="I386" s="5"/>
    </row>
    <row r="387" spans="1:9" ht="12.2" customHeight="1">
      <c r="A387" s="5"/>
      <c r="D387" s="45" t="s">
        <v>3127</v>
      </c>
      <c r="E387" s="190"/>
      <c r="F387" s="191"/>
      <c r="G387" s="47">
        <v>34</v>
      </c>
      <c r="H387" s="52"/>
      <c r="I387" s="5"/>
    </row>
    <row r="388" spans="1:9" ht="12.75">
      <c r="A388" s="4" t="s">
        <v>147</v>
      </c>
      <c r="B388" s="94" t="s">
        <v>2883</v>
      </c>
      <c r="C388" s="94" t="s">
        <v>1771</v>
      </c>
      <c r="D388" s="152" t="s">
        <v>2705</v>
      </c>
      <c r="E388" s="153"/>
      <c r="F388" s="94" t="s">
        <v>2849</v>
      </c>
      <c r="G388" s="73">
        <v>1</v>
      </c>
      <c r="H388" s="51">
        <v>0</v>
      </c>
      <c r="I388" s="5"/>
    </row>
    <row r="389" spans="1:9" ht="12.2" customHeight="1">
      <c r="A389" s="5"/>
      <c r="D389" s="45" t="s">
        <v>7</v>
      </c>
      <c r="E389" s="190"/>
      <c r="F389" s="191"/>
      <c r="G389" s="47">
        <v>1</v>
      </c>
      <c r="H389" s="52"/>
      <c r="I389" s="5"/>
    </row>
    <row r="390" spans="1:9" ht="12.75">
      <c r="A390" s="4" t="s">
        <v>148</v>
      </c>
      <c r="B390" s="94" t="s">
        <v>2883</v>
      </c>
      <c r="C390" s="94" t="s">
        <v>1772</v>
      </c>
      <c r="D390" s="152" t="s">
        <v>2706</v>
      </c>
      <c r="E390" s="153"/>
      <c r="F390" s="94" t="s">
        <v>2851</v>
      </c>
      <c r="G390" s="73">
        <v>144.5</v>
      </c>
      <c r="H390" s="51">
        <v>0</v>
      </c>
      <c r="I390" s="5"/>
    </row>
    <row r="391" spans="1:9" ht="12.2" customHeight="1">
      <c r="A391" s="5"/>
      <c r="D391" s="45" t="s">
        <v>3128</v>
      </c>
      <c r="E391" s="190"/>
      <c r="F391" s="191"/>
      <c r="G391" s="47">
        <v>144.5</v>
      </c>
      <c r="H391" s="52"/>
      <c r="I391" s="5"/>
    </row>
    <row r="392" spans="1:9" ht="12.75">
      <c r="A392" s="4" t="s">
        <v>149</v>
      </c>
      <c r="B392" s="94" t="s">
        <v>2883</v>
      </c>
      <c r="C392" s="94" t="s">
        <v>1773</v>
      </c>
      <c r="D392" s="152" t="s">
        <v>2707</v>
      </c>
      <c r="E392" s="153"/>
      <c r="F392" s="94" t="s">
        <v>2849</v>
      </c>
      <c r="G392" s="73">
        <v>1</v>
      </c>
      <c r="H392" s="51">
        <v>0</v>
      </c>
      <c r="I392" s="5"/>
    </row>
    <row r="393" spans="1:9" ht="12.2" customHeight="1">
      <c r="A393" s="5"/>
      <c r="D393" s="45" t="s">
        <v>7</v>
      </c>
      <c r="E393" s="190"/>
      <c r="F393" s="191"/>
      <c r="G393" s="47">
        <v>1</v>
      </c>
      <c r="H393" s="52"/>
      <c r="I393" s="5"/>
    </row>
    <row r="394" spans="1:9" ht="12.75">
      <c r="A394" s="4" t="s">
        <v>150</v>
      </c>
      <c r="B394" s="94" t="s">
        <v>2883</v>
      </c>
      <c r="C394" s="94" t="s">
        <v>1774</v>
      </c>
      <c r="D394" s="152" t="s">
        <v>2708</v>
      </c>
      <c r="E394" s="153"/>
      <c r="F394" s="94" t="s">
        <v>2851</v>
      </c>
      <c r="G394" s="73">
        <v>45</v>
      </c>
      <c r="H394" s="51">
        <v>0</v>
      </c>
      <c r="I394" s="5"/>
    </row>
    <row r="395" spans="1:9" ht="12.2" customHeight="1">
      <c r="A395" s="5"/>
      <c r="D395" s="45" t="s">
        <v>51</v>
      </c>
      <c r="E395" s="190"/>
      <c r="F395" s="191"/>
      <c r="G395" s="47">
        <v>45</v>
      </c>
      <c r="H395" s="52"/>
      <c r="I395" s="5"/>
    </row>
    <row r="396" spans="1:9" ht="12.75">
      <c r="A396" s="6" t="s">
        <v>151</v>
      </c>
      <c r="B396" s="98" t="s">
        <v>2883</v>
      </c>
      <c r="C396" s="98" t="s">
        <v>1775</v>
      </c>
      <c r="D396" s="163" t="s">
        <v>2709</v>
      </c>
      <c r="E396" s="164"/>
      <c r="F396" s="98" t="s">
        <v>2850</v>
      </c>
      <c r="G396" s="76">
        <v>47.25</v>
      </c>
      <c r="H396" s="53">
        <v>0</v>
      </c>
      <c r="I396" s="5"/>
    </row>
    <row r="397" spans="1:9" ht="12.2" customHeight="1">
      <c r="A397" s="5"/>
      <c r="D397" s="45" t="s">
        <v>51</v>
      </c>
      <c r="E397" s="190"/>
      <c r="F397" s="191"/>
      <c r="G397" s="48">
        <v>45</v>
      </c>
      <c r="H397" s="52"/>
      <c r="I397" s="5"/>
    </row>
    <row r="398" spans="1:9" ht="12.2" customHeight="1">
      <c r="A398" s="6"/>
      <c r="B398" s="98"/>
      <c r="C398" s="98"/>
      <c r="D398" s="45" t="s">
        <v>3129</v>
      </c>
      <c r="E398" s="190"/>
      <c r="F398" s="190"/>
      <c r="G398" s="77">
        <v>2.25</v>
      </c>
      <c r="H398" s="26"/>
      <c r="I398" s="5"/>
    </row>
    <row r="399" spans="1:9" ht="12.75">
      <c r="A399" s="4" t="s">
        <v>152</v>
      </c>
      <c r="B399" s="94" t="s">
        <v>2883</v>
      </c>
      <c r="C399" s="94" t="s">
        <v>1121</v>
      </c>
      <c r="D399" s="152" t="s">
        <v>2710</v>
      </c>
      <c r="E399" s="153"/>
      <c r="F399" s="94" t="s">
        <v>2847</v>
      </c>
      <c r="G399" s="73">
        <v>3.15</v>
      </c>
      <c r="H399" s="51">
        <v>0</v>
      </c>
      <c r="I399" s="5"/>
    </row>
    <row r="400" spans="1:9" ht="12.2" customHeight="1">
      <c r="A400" s="5"/>
      <c r="D400" s="45" t="s">
        <v>3130</v>
      </c>
      <c r="E400" s="190"/>
      <c r="F400" s="191"/>
      <c r="G400" s="47">
        <v>3.15</v>
      </c>
      <c r="H400" s="52"/>
      <c r="I400" s="5"/>
    </row>
    <row r="401" spans="1:9" ht="12.75">
      <c r="A401" s="44"/>
      <c r="B401" s="97"/>
      <c r="C401" s="97" t="s">
        <v>100</v>
      </c>
      <c r="D401" s="161" t="s">
        <v>2075</v>
      </c>
      <c r="E401" s="162"/>
      <c r="F401" s="97"/>
      <c r="G401" s="74"/>
      <c r="H401" s="24"/>
      <c r="I401" s="5"/>
    </row>
    <row r="402" spans="1:9" ht="12.75">
      <c r="A402" s="4" t="s">
        <v>153</v>
      </c>
      <c r="B402" s="94" t="s">
        <v>2882</v>
      </c>
      <c r="C402" s="94" t="s">
        <v>1122</v>
      </c>
      <c r="D402" s="152" t="s">
        <v>2076</v>
      </c>
      <c r="E402" s="153"/>
      <c r="F402" s="94" t="s">
        <v>2849</v>
      </c>
      <c r="G402" s="73">
        <v>683.995</v>
      </c>
      <c r="H402" s="51">
        <v>0</v>
      </c>
      <c r="I402" s="5"/>
    </row>
    <row r="403" spans="1:9" ht="12.2" customHeight="1">
      <c r="A403" s="5"/>
      <c r="D403" s="45" t="s">
        <v>3131</v>
      </c>
      <c r="E403" s="190"/>
      <c r="F403" s="191"/>
      <c r="G403" s="47">
        <v>683.995</v>
      </c>
      <c r="H403" s="52"/>
      <c r="I403" s="5"/>
    </row>
    <row r="404" spans="1:9" ht="12.75">
      <c r="A404" s="4" t="s">
        <v>154</v>
      </c>
      <c r="B404" s="94" t="s">
        <v>2882</v>
      </c>
      <c r="C404" s="94" t="s">
        <v>1123</v>
      </c>
      <c r="D404" s="152" t="s">
        <v>2077</v>
      </c>
      <c r="E404" s="153"/>
      <c r="F404" s="94" t="s">
        <v>2849</v>
      </c>
      <c r="G404" s="73">
        <v>2051.985</v>
      </c>
      <c r="H404" s="51">
        <v>0</v>
      </c>
      <c r="I404" s="5"/>
    </row>
    <row r="405" spans="1:9" ht="12.2" customHeight="1">
      <c r="A405" s="5"/>
      <c r="D405" s="45" t="s">
        <v>3132</v>
      </c>
      <c r="E405" s="190"/>
      <c r="F405" s="191"/>
      <c r="G405" s="47">
        <v>2051.985</v>
      </c>
      <c r="H405" s="52"/>
      <c r="I405" s="5"/>
    </row>
    <row r="406" spans="1:9" ht="12.75">
      <c r="A406" s="4" t="s">
        <v>155</v>
      </c>
      <c r="B406" s="94" t="s">
        <v>2882</v>
      </c>
      <c r="C406" s="94" t="s">
        <v>1124</v>
      </c>
      <c r="D406" s="152" t="s">
        <v>2078</v>
      </c>
      <c r="E406" s="153"/>
      <c r="F406" s="94" t="s">
        <v>2849</v>
      </c>
      <c r="G406" s="73">
        <v>683.995</v>
      </c>
      <c r="H406" s="51">
        <v>0</v>
      </c>
      <c r="I406" s="5"/>
    </row>
    <row r="407" spans="1:9" ht="12.2" customHeight="1">
      <c r="A407" s="5"/>
      <c r="D407" s="45" t="s">
        <v>3131</v>
      </c>
      <c r="E407" s="190"/>
      <c r="F407" s="191"/>
      <c r="G407" s="47">
        <v>683.995</v>
      </c>
      <c r="H407" s="52"/>
      <c r="I407" s="5"/>
    </row>
    <row r="408" spans="1:9" ht="12.75">
      <c r="A408" s="4" t="s">
        <v>156</v>
      </c>
      <c r="B408" s="94" t="s">
        <v>2882</v>
      </c>
      <c r="C408" s="94" t="s">
        <v>1125</v>
      </c>
      <c r="D408" s="152" t="s">
        <v>2079</v>
      </c>
      <c r="E408" s="153"/>
      <c r="F408" s="94" t="s">
        <v>2849</v>
      </c>
      <c r="G408" s="73">
        <v>716.72</v>
      </c>
      <c r="H408" s="51">
        <v>0</v>
      </c>
      <c r="I408" s="5"/>
    </row>
    <row r="409" spans="1:9" ht="12.2" customHeight="1">
      <c r="A409" s="5"/>
      <c r="D409" s="45" t="s">
        <v>3133</v>
      </c>
      <c r="E409" s="190"/>
      <c r="F409" s="191"/>
      <c r="G409" s="47">
        <v>716.72</v>
      </c>
      <c r="H409" s="52"/>
      <c r="I409" s="5"/>
    </row>
    <row r="410" spans="1:9" ht="12.75">
      <c r="A410" s="4" t="s">
        <v>157</v>
      </c>
      <c r="B410" s="94" t="s">
        <v>2882</v>
      </c>
      <c r="C410" s="94" t="s">
        <v>1126</v>
      </c>
      <c r="D410" s="152" t="s">
        <v>2080</v>
      </c>
      <c r="E410" s="153"/>
      <c r="F410" s="94" t="s">
        <v>2849</v>
      </c>
      <c r="G410" s="73">
        <v>24.576</v>
      </c>
      <c r="H410" s="51">
        <v>0</v>
      </c>
      <c r="I410" s="5"/>
    </row>
    <row r="411" spans="1:9" ht="12.2" customHeight="1">
      <c r="A411" s="5"/>
      <c r="D411" s="45" t="s">
        <v>3134</v>
      </c>
      <c r="E411" s="190"/>
      <c r="F411" s="191"/>
      <c r="G411" s="47">
        <v>24.576</v>
      </c>
      <c r="H411" s="52"/>
      <c r="I411" s="5"/>
    </row>
    <row r="412" spans="1:9" ht="12.75">
      <c r="A412" s="4" t="s">
        <v>158</v>
      </c>
      <c r="B412" s="94" t="s">
        <v>2882</v>
      </c>
      <c r="C412" s="94" t="s">
        <v>1127</v>
      </c>
      <c r="D412" s="152" t="s">
        <v>2081</v>
      </c>
      <c r="E412" s="153"/>
      <c r="F412" s="94" t="s">
        <v>2849</v>
      </c>
      <c r="G412" s="73">
        <v>683.995</v>
      </c>
      <c r="H412" s="51">
        <v>0</v>
      </c>
      <c r="I412" s="5"/>
    </row>
    <row r="413" spans="1:9" ht="12.2" customHeight="1">
      <c r="A413" s="5"/>
      <c r="D413" s="45" t="s">
        <v>3131</v>
      </c>
      <c r="E413" s="190"/>
      <c r="F413" s="191"/>
      <c r="G413" s="47">
        <v>683.995</v>
      </c>
      <c r="H413" s="52"/>
      <c r="I413" s="5"/>
    </row>
    <row r="414" spans="1:9" ht="12.75">
      <c r="A414" s="4" t="s">
        <v>159</v>
      </c>
      <c r="B414" s="94" t="s">
        <v>2882</v>
      </c>
      <c r="C414" s="94" t="s">
        <v>1128</v>
      </c>
      <c r="D414" s="152" t="s">
        <v>2082</v>
      </c>
      <c r="E414" s="153"/>
      <c r="F414" s="94" t="s">
        <v>2849</v>
      </c>
      <c r="G414" s="73">
        <v>2051.985</v>
      </c>
      <c r="H414" s="51">
        <v>0</v>
      </c>
      <c r="I414" s="5"/>
    </row>
    <row r="415" spans="1:9" ht="12.2" customHeight="1">
      <c r="A415" s="5"/>
      <c r="D415" s="45" t="s">
        <v>3132</v>
      </c>
      <c r="E415" s="190"/>
      <c r="F415" s="191"/>
      <c r="G415" s="47">
        <v>2051.985</v>
      </c>
      <c r="H415" s="52"/>
      <c r="I415" s="5"/>
    </row>
    <row r="416" spans="1:9" ht="12.75">
      <c r="A416" s="4" t="s">
        <v>160</v>
      </c>
      <c r="B416" s="94" t="s">
        <v>2882</v>
      </c>
      <c r="C416" s="94" t="s">
        <v>1129</v>
      </c>
      <c r="D416" s="152" t="s">
        <v>2083</v>
      </c>
      <c r="E416" s="153"/>
      <c r="F416" s="94" t="s">
        <v>2849</v>
      </c>
      <c r="G416" s="73">
        <v>683.995</v>
      </c>
      <c r="H416" s="51">
        <v>0</v>
      </c>
      <c r="I416" s="5"/>
    </row>
    <row r="417" spans="1:9" ht="12.2" customHeight="1">
      <c r="A417" s="5"/>
      <c r="D417" s="45" t="s">
        <v>3131</v>
      </c>
      <c r="E417" s="190"/>
      <c r="F417" s="191"/>
      <c r="G417" s="47">
        <v>683.995</v>
      </c>
      <c r="H417" s="52"/>
      <c r="I417" s="5"/>
    </row>
    <row r="418" spans="1:9" ht="12.75">
      <c r="A418" s="44"/>
      <c r="B418" s="97"/>
      <c r="C418" s="97" t="s">
        <v>101</v>
      </c>
      <c r="D418" s="161" t="s">
        <v>2084</v>
      </c>
      <c r="E418" s="162"/>
      <c r="F418" s="97"/>
      <c r="G418" s="74"/>
      <c r="H418" s="24"/>
      <c r="I418" s="5"/>
    </row>
    <row r="419" spans="1:9" ht="12.75">
      <c r="A419" s="4" t="s">
        <v>161</v>
      </c>
      <c r="B419" s="94" t="s">
        <v>2882</v>
      </c>
      <c r="C419" s="94" t="s">
        <v>1130</v>
      </c>
      <c r="D419" s="152" t="s">
        <v>2085</v>
      </c>
      <c r="E419" s="153"/>
      <c r="F419" s="94" t="s">
        <v>2849</v>
      </c>
      <c r="G419" s="73">
        <v>120.314</v>
      </c>
      <c r="H419" s="51">
        <v>0</v>
      </c>
      <c r="I419" s="5"/>
    </row>
    <row r="420" spans="1:9" ht="12.2" customHeight="1">
      <c r="A420" s="5"/>
      <c r="D420" s="45" t="s">
        <v>3104</v>
      </c>
      <c r="E420" s="190"/>
      <c r="F420" s="191"/>
      <c r="G420" s="47">
        <v>120.314</v>
      </c>
      <c r="H420" s="52"/>
      <c r="I420" s="5"/>
    </row>
    <row r="421" spans="1:9" ht="12.75">
      <c r="A421" s="4" t="s">
        <v>162</v>
      </c>
      <c r="B421" s="94" t="s">
        <v>2882</v>
      </c>
      <c r="C421" s="94" t="s">
        <v>1131</v>
      </c>
      <c r="D421" s="152" t="s">
        <v>2086</v>
      </c>
      <c r="E421" s="153"/>
      <c r="F421" s="94" t="s">
        <v>2849</v>
      </c>
      <c r="G421" s="73">
        <v>379.035</v>
      </c>
      <c r="H421" s="51">
        <v>0</v>
      </c>
      <c r="I421" s="5"/>
    </row>
    <row r="422" spans="1:9" ht="12.2" customHeight="1">
      <c r="A422" s="5"/>
      <c r="D422" s="45" t="s">
        <v>3135</v>
      </c>
      <c r="E422" s="190"/>
      <c r="F422" s="191"/>
      <c r="G422" s="47">
        <v>172.415</v>
      </c>
      <c r="H422" s="52"/>
      <c r="I422" s="5"/>
    </row>
    <row r="423" spans="1:9" ht="12.2" customHeight="1">
      <c r="A423" s="4"/>
      <c r="B423" s="94"/>
      <c r="C423" s="94"/>
      <c r="D423" s="45" t="s">
        <v>3136</v>
      </c>
      <c r="E423" s="190"/>
      <c r="F423" s="190"/>
      <c r="G423" s="75">
        <v>15.67</v>
      </c>
      <c r="H423" s="25"/>
      <c r="I423" s="5"/>
    </row>
    <row r="424" spans="1:9" ht="12.2" customHeight="1">
      <c r="A424" s="4"/>
      <c r="B424" s="94"/>
      <c r="C424" s="94"/>
      <c r="D424" s="45" t="s">
        <v>3137</v>
      </c>
      <c r="E424" s="190"/>
      <c r="F424" s="190"/>
      <c r="G424" s="75">
        <v>190.95</v>
      </c>
      <c r="H424" s="25"/>
      <c r="I424" s="5"/>
    </row>
    <row r="425" spans="1:9" ht="12.75">
      <c r="A425" s="4" t="s">
        <v>163</v>
      </c>
      <c r="B425" s="94" t="s">
        <v>2882</v>
      </c>
      <c r="C425" s="94" t="s">
        <v>1132</v>
      </c>
      <c r="D425" s="152" t="s">
        <v>2087</v>
      </c>
      <c r="E425" s="153"/>
      <c r="F425" s="94" t="s">
        <v>2850</v>
      </c>
      <c r="G425" s="73">
        <v>6</v>
      </c>
      <c r="H425" s="51">
        <v>0</v>
      </c>
      <c r="I425" s="5"/>
    </row>
    <row r="426" spans="1:9" ht="12.2" customHeight="1">
      <c r="A426" s="5"/>
      <c r="D426" s="45" t="s">
        <v>12</v>
      </c>
      <c r="E426" s="190"/>
      <c r="F426" s="191"/>
      <c r="G426" s="47">
        <v>6</v>
      </c>
      <c r="H426" s="52"/>
      <c r="I426" s="5"/>
    </row>
    <row r="427" spans="1:9" ht="12.75">
      <c r="A427" s="6" t="s">
        <v>164</v>
      </c>
      <c r="B427" s="98" t="s">
        <v>2882</v>
      </c>
      <c r="C427" s="98" t="s">
        <v>1133</v>
      </c>
      <c r="D427" s="163" t="s">
        <v>2088</v>
      </c>
      <c r="E427" s="164"/>
      <c r="F427" s="98" t="s">
        <v>2850</v>
      </c>
      <c r="G427" s="76">
        <v>6</v>
      </c>
      <c r="H427" s="53">
        <v>0</v>
      </c>
      <c r="I427" s="5"/>
    </row>
    <row r="428" spans="1:9" ht="12.2" customHeight="1">
      <c r="A428" s="5"/>
      <c r="D428" s="45" t="s">
        <v>12</v>
      </c>
      <c r="E428" s="190"/>
      <c r="F428" s="191"/>
      <c r="G428" s="48">
        <v>6</v>
      </c>
      <c r="H428" s="52"/>
      <c r="I428" s="5"/>
    </row>
    <row r="429" spans="1:9" ht="12.75">
      <c r="A429" s="4" t="s">
        <v>165</v>
      </c>
      <c r="B429" s="94" t="s">
        <v>2882</v>
      </c>
      <c r="C429" s="94" t="s">
        <v>1134</v>
      </c>
      <c r="D429" s="152" t="s">
        <v>2089</v>
      </c>
      <c r="E429" s="153"/>
      <c r="F429" s="94" t="s">
        <v>2850</v>
      </c>
      <c r="G429" s="73">
        <v>15</v>
      </c>
      <c r="H429" s="51">
        <v>0</v>
      </c>
      <c r="I429" s="5"/>
    </row>
    <row r="430" spans="1:9" ht="12.2" customHeight="1">
      <c r="A430" s="5"/>
      <c r="D430" s="45" t="s">
        <v>21</v>
      </c>
      <c r="E430" s="190"/>
      <c r="F430" s="191"/>
      <c r="G430" s="47">
        <v>15</v>
      </c>
      <c r="H430" s="52"/>
      <c r="I430" s="5"/>
    </row>
    <row r="431" spans="1:9" ht="12.75">
      <c r="A431" s="4" t="s">
        <v>166</v>
      </c>
      <c r="B431" s="94" t="s">
        <v>2882</v>
      </c>
      <c r="C431" s="94" t="s">
        <v>1135</v>
      </c>
      <c r="D431" s="152" t="s">
        <v>2090</v>
      </c>
      <c r="E431" s="153"/>
      <c r="F431" s="94" t="s">
        <v>2850</v>
      </c>
      <c r="G431" s="73">
        <v>20</v>
      </c>
      <c r="H431" s="51">
        <v>0</v>
      </c>
      <c r="I431" s="5"/>
    </row>
    <row r="432" spans="1:9" ht="12.2" customHeight="1">
      <c r="A432" s="5"/>
      <c r="D432" s="45" t="s">
        <v>26</v>
      </c>
      <c r="E432" s="190"/>
      <c r="F432" s="191"/>
      <c r="G432" s="47">
        <v>20</v>
      </c>
      <c r="H432" s="52"/>
      <c r="I432" s="5"/>
    </row>
    <row r="433" spans="1:9" ht="12.75">
      <c r="A433" s="4" t="s">
        <v>167</v>
      </c>
      <c r="B433" s="94" t="s">
        <v>2882</v>
      </c>
      <c r="C433" s="94" t="s">
        <v>1136</v>
      </c>
      <c r="D433" s="152" t="s">
        <v>2091</v>
      </c>
      <c r="E433" s="153"/>
      <c r="F433" s="94" t="s">
        <v>2850</v>
      </c>
      <c r="G433" s="73">
        <v>1</v>
      </c>
      <c r="H433" s="51">
        <v>0</v>
      </c>
      <c r="I433" s="5"/>
    </row>
    <row r="434" spans="1:9" ht="12.2" customHeight="1">
      <c r="A434" s="5"/>
      <c r="D434" s="45" t="s">
        <v>7</v>
      </c>
      <c r="E434" s="190"/>
      <c r="F434" s="191"/>
      <c r="G434" s="47">
        <v>1</v>
      </c>
      <c r="H434" s="52"/>
      <c r="I434" s="5"/>
    </row>
    <row r="435" spans="1:9" ht="12.75">
      <c r="A435" s="4" t="s">
        <v>168</v>
      </c>
      <c r="B435" s="94" t="s">
        <v>2882</v>
      </c>
      <c r="C435" s="94" t="s">
        <v>1137</v>
      </c>
      <c r="D435" s="152" t="s">
        <v>2092</v>
      </c>
      <c r="E435" s="153"/>
      <c r="F435" s="94" t="s">
        <v>2851</v>
      </c>
      <c r="G435" s="73">
        <v>30.54</v>
      </c>
      <c r="H435" s="51">
        <v>0</v>
      </c>
      <c r="I435" s="5"/>
    </row>
    <row r="436" spans="1:9" ht="12.2" customHeight="1">
      <c r="A436" s="5"/>
      <c r="D436" s="45" t="s">
        <v>3138</v>
      </c>
      <c r="E436" s="190"/>
      <c r="F436" s="191"/>
      <c r="G436" s="47">
        <v>30.54</v>
      </c>
      <c r="H436" s="52"/>
      <c r="I436" s="5"/>
    </row>
    <row r="437" spans="1:9" ht="12.75">
      <c r="A437" s="4" t="s">
        <v>169</v>
      </c>
      <c r="B437" s="94" t="s">
        <v>2882</v>
      </c>
      <c r="C437" s="94" t="s">
        <v>1138</v>
      </c>
      <c r="D437" s="152" t="s">
        <v>2093</v>
      </c>
      <c r="E437" s="153"/>
      <c r="F437" s="94" t="s">
        <v>2851</v>
      </c>
      <c r="G437" s="73">
        <v>16.8</v>
      </c>
      <c r="H437" s="51">
        <v>0</v>
      </c>
      <c r="I437" s="5"/>
    </row>
    <row r="438" spans="1:9" ht="12.2" customHeight="1">
      <c r="A438" s="5"/>
      <c r="D438" s="45" t="s">
        <v>3139</v>
      </c>
      <c r="E438" s="190"/>
      <c r="F438" s="191"/>
      <c r="G438" s="47">
        <v>16.8</v>
      </c>
      <c r="H438" s="52"/>
      <c r="I438" s="5"/>
    </row>
    <row r="439" spans="1:9" ht="12.75">
      <c r="A439" s="4" t="s">
        <v>170</v>
      </c>
      <c r="B439" s="94" t="s">
        <v>2882</v>
      </c>
      <c r="C439" s="94" t="s">
        <v>1139</v>
      </c>
      <c r="D439" s="152" t="s">
        <v>2094</v>
      </c>
      <c r="E439" s="153"/>
      <c r="F439" s="94" t="s">
        <v>2851</v>
      </c>
      <c r="G439" s="73">
        <v>0.86</v>
      </c>
      <c r="H439" s="51">
        <v>0</v>
      </c>
      <c r="I439" s="5"/>
    </row>
    <row r="440" spans="1:9" ht="12.2" customHeight="1">
      <c r="A440" s="5"/>
      <c r="D440" s="45" t="s">
        <v>3140</v>
      </c>
      <c r="E440" s="190"/>
      <c r="F440" s="191"/>
      <c r="G440" s="47">
        <v>0.86</v>
      </c>
      <c r="H440" s="52"/>
      <c r="I440" s="5"/>
    </row>
    <row r="441" spans="1:9" ht="12.75">
      <c r="A441" s="4" t="s">
        <v>171</v>
      </c>
      <c r="B441" s="94" t="s">
        <v>2882</v>
      </c>
      <c r="C441" s="94" t="s">
        <v>1140</v>
      </c>
      <c r="D441" s="152" t="s">
        <v>2095</v>
      </c>
      <c r="E441" s="153"/>
      <c r="F441" s="94" t="s">
        <v>2850</v>
      </c>
      <c r="G441" s="73">
        <v>1</v>
      </c>
      <c r="H441" s="51">
        <v>0</v>
      </c>
      <c r="I441" s="5"/>
    </row>
    <row r="442" spans="1:9" ht="12.2" customHeight="1">
      <c r="A442" s="5"/>
      <c r="D442" s="45" t="s">
        <v>7</v>
      </c>
      <c r="E442" s="190"/>
      <c r="F442" s="191"/>
      <c r="G442" s="47">
        <v>1</v>
      </c>
      <c r="H442" s="52"/>
      <c r="I442" s="5"/>
    </row>
    <row r="443" spans="1:9" ht="12.75">
      <c r="A443" s="4" t="s">
        <v>172</v>
      </c>
      <c r="B443" s="94" t="s">
        <v>2882</v>
      </c>
      <c r="C443" s="94" t="s">
        <v>1141</v>
      </c>
      <c r="D443" s="152" t="s">
        <v>2096</v>
      </c>
      <c r="E443" s="153"/>
      <c r="F443" s="94" t="s">
        <v>2852</v>
      </c>
      <c r="G443" s="73">
        <v>200</v>
      </c>
      <c r="H443" s="51">
        <v>0</v>
      </c>
      <c r="I443" s="5"/>
    </row>
    <row r="444" spans="1:9" ht="12.2" customHeight="1">
      <c r="A444" s="5"/>
      <c r="D444" s="45" t="s">
        <v>206</v>
      </c>
      <c r="E444" s="190"/>
      <c r="F444" s="191"/>
      <c r="G444" s="47">
        <v>200</v>
      </c>
      <c r="H444" s="52"/>
      <c r="I444" s="5"/>
    </row>
    <row r="445" spans="1:9" ht="12.75">
      <c r="A445" s="44"/>
      <c r="B445" s="97"/>
      <c r="C445" s="97" t="s">
        <v>103</v>
      </c>
      <c r="D445" s="161" t="s">
        <v>2711</v>
      </c>
      <c r="E445" s="162"/>
      <c r="F445" s="97"/>
      <c r="G445" s="74"/>
      <c r="H445" s="24"/>
      <c r="I445" s="5"/>
    </row>
    <row r="446" spans="1:9" ht="12.75">
      <c r="A446" s="4" t="s">
        <v>173</v>
      </c>
      <c r="B446" s="94" t="s">
        <v>2883</v>
      </c>
      <c r="C446" s="94" t="s">
        <v>1776</v>
      </c>
      <c r="D446" s="152" t="s">
        <v>2712</v>
      </c>
      <c r="E446" s="153"/>
      <c r="F446" s="94" t="s">
        <v>2849</v>
      </c>
      <c r="G446" s="73">
        <v>158</v>
      </c>
      <c r="H446" s="51">
        <v>0</v>
      </c>
      <c r="I446" s="5"/>
    </row>
    <row r="447" spans="1:9" ht="12.2" customHeight="1">
      <c r="A447" s="5"/>
      <c r="D447" s="45" t="s">
        <v>164</v>
      </c>
      <c r="E447" s="190"/>
      <c r="F447" s="191"/>
      <c r="G447" s="47">
        <v>158</v>
      </c>
      <c r="H447" s="52"/>
      <c r="I447" s="5"/>
    </row>
    <row r="448" spans="1:9" ht="12.75">
      <c r="A448" s="44"/>
      <c r="B448" s="97"/>
      <c r="C448" s="97" t="s">
        <v>1142</v>
      </c>
      <c r="D448" s="161" t="s">
        <v>2097</v>
      </c>
      <c r="E448" s="162"/>
      <c r="F448" s="97"/>
      <c r="G448" s="74"/>
      <c r="H448" s="24"/>
      <c r="I448" s="5"/>
    </row>
    <row r="449" spans="1:9" ht="12.75">
      <c r="A449" s="4" t="s">
        <v>174</v>
      </c>
      <c r="B449" s="94" t="s">
        <v>2882</v>
      </c>
      <c r="C449" s="94" t="s">
        <v>1143</v>
      </c>
      <c r="D449" s="152" t="s">
        <v>2098</v>
      </c>
      <c r="E449" s="153"/>
      <c r="F449" s="94" t="s">
        <v>2848</v>
      </c>
      <c r="G449" s="73">
        <v>1356.713</v>
      </c>
      <c r="H449" s="51">
        <v>0</v>
      </c>
      <c r="I449" s="5"/>
    </row>
    <row r="450" spans="1:9" ht="12.2" customHeight="1">
      <c r="A450" s="5"/>
      <c r="D450" s="45" t="s">
        <v>3141</v>
      </c>
      <c r="E450" s="190"/>
      <c r="F450" s="191"/>
      <c r="G450" s="47">
        <v>1356.713</v>
      </c>
      <c r="H450" s="52"/>
      <c r="I450" s="5"/>
    </row>
    <row r="451" spans="1:9" ht="12.75">
      <c r="A451" s="44"/>
      <c r="B451" s="97"/>
      <c r="C451" s="97" t="s">
        <v>1777</v>
      </c>
      <c r="D451" s="161" t="s">
        <v>2713</v>
      </c>
      <c r="E451" s="162"/>
      <c r="F451" s="97"/>
      <c r="G451" s="74"/>
      <c r="H451" s="24"/>
      <c r="I451" s="5"/>
    </row>
    <row r="452" spans="1:9" ht="12.75">
      <c r="A452" s="4" t="s">
        <v>175</v>
      </c>
      <c r="B452" s="94" t="s">
        <v>2883</v>
      </c>
      <c r="C452" s="94" t="s">
        <v>1778</v>
      </c>
      <c r="D452" s="152" t="s">
        <v>2714</v>
      </c>
      <c r="E452" s="153"/>
      <c r="F452" s="94" t="s">
        <v>2848</v>
      </c>
      <c r="G452" s="73">
        <v>425.619</v>
      </c>
      <c r="H452" s="51">
        <v>0</v>
      </c>
      <c r="I452" s="5"/>
    </row>
    <row r="453" spans="1:9" ht="12.2" customHeight="1">
      <c r="A453" s="5"/>
      <c r="D453" s="45" t="s">
        <v>3142</v>
      </c>
      <c r="E453" s="190"/>
      <c r="F453" s="191"/>
      <c r="G453" s="47">
        <v>425.619</v>
      </c>
      <c r="H453" s="52"/>
      <c r="I453" s="5"/>
    </row>
    <row r="454" spans="1:9" ht="12.75">
      <c r="A454" s="44"/>
      <c r="B454" s="97"/>
      <c r="C454" s="97"/>
      <c r="D454" s="161" t="s">
        <v>2829</v>
      </c>
      <c r="E454" s="162"/>
      <c r="F454" s="97"/>
      <c r="G454" s="74"/>
      <c r="H454" s="24"/>
      <c r="I454" s="5"/>
    </row>
    <row r="455" spans="1:9" ht="12.75">
      <c r="A455" s="4" t="s">
        <v>176</v>
      </c>
      <c r="B455" s="94" t="s">
        <v>2889</v>
      </c>
      <c r="C455" s="94" t="s">
        <v>1917</v>
      </c>
      <c r="D455" s="152" t="s">
        <v>2830</v>
      </c>
      <c r="E455" s="153"/>
      <c r="F455" s="94" t="s">
        <v>2850</v>
      </c>
      <c r="G455" s="73">
        <v>1</v>
      </c>
      <c r="H455" s="51">
        <v>0</v>
      </c>
      <c r="I455" s="5"/>
    </row>
    <row r="456" spans="1:9" ht="12.75">
      <c r="A456" s="4" t="s">
        <v>177</v>
      </c>
      <c r="B456" s="94" t="s">
        <v>2889</v>
      </c>
      <c r="C456" s="94" t="s">
        <v>1918</v>
      </c>
      <c r="D456" s="152" t="s">
        <v>2831</v>
      </c>
      <c r="E456" s="153"/>
      <c r="F456" s="94" t="s">
        <v>2850</v>
      </c>
      <c r="G456" s="73">
        <v>1</v>
      </c>
      <c r="H456" s="51">
        <v>0</v>
      </c>
      <c r="I456" s="5"/>
    </row>
    <row r="457" spans="1:9" ht="12.75">
      <c r="A457" s="4" t="s">
        <v>178</v>
      </c>
      <c r="B457" s="94" t="s">
        <v>2889</v>
      </c>
      <c r="C457" s="94" t="s">
        <v>1919</v>
      </c>
      <c r="D457" s="152" t="s">
        <v>2832</v>
      </c>
      <c r="E457" s="153"/>
      <c r="F457" s="94" t="s">
        <v>2850</v>
      </c>
      <c r="G457" s="73">
        <v>1</v>
      </c>
      <c r="H457" s="51">
        <v>0</v>
      </c>
      <c r="I457" s="5"/>
    </row>
    <row r="458" spans="1:9" ht="12.75">
      <c r="A458" s="4" t="s">
        <v>179</v>
      </c>
      <c r="B458" s="94" t="s">
        <v>2889</v>
      </c>
      <c r="C458" s="94" t="s">
        <v>1920</v>
      </c>
      <c r="D458" s="152" t="s">
        <v>2833</v>
      </c>
      <c r="E458" s="153"/>
      <c r="F458" s="94" t="s">
        <v>2850</v>
      </c>
      <c r="G458" s="73">
        <v>1</v>
      </c>
      <c r="H458" s="51">
        <v>0</v>
      </c>
      <c r="I458" s="5"/>
    </row>
    <row r="459" spans="1:9" ht="12.75">
      <c r="A459" s="4" t="s">
        <v>180</v>
      </c>
      <c r="B459" s="94" t="s">
        <v>2889</v>
      </c>
      <c r="C459" s="94" t="s">
        <v>1921</v>
      </c>
      <c r="D459" s="152" t="s">
        <v>2834</v>
      </c>
      <c r="E459" s="153"/>
      <c r="F459" s="94" t="s">
        <v>2850</v>
      </c>
      <c r="G459" s="73">
        <v>1</v>
      </c>
      <c r="H459" s="51">
        <v>0</v>
      </c>
      <c r="I459" s="5"/>
    </row>
    <row r="460" spans="1:9" ht="12.75">
      <c r="A460" s="4" t="s">
        <v>181</v>
      </c>
      <c r="B460" s="94" t="s">
        <v>2889</v>
      </c>
      <c r="C460" s="94" t="s">
        <v>1922</v>
      </c>
      <c r="D460" s="152" t="s">
        <v>2835</v>
      </c>
      <c r="E460" s="153"/>
      <c r="F460" s="94" t="s">
        <v>2850</v>
      </c>
      <c r="G460" s="73">
        <v>1</v>
      </c>
      <c r="H460" s="51">
        <v>0</v>
      </c>
      <c r="I460" s="5"/>
    </row>
    <row r="461" spans="1:9" ht="12.75">
      <c r="A461" s="4" t="s">
        <v>182</v>
      </c>
      <c r="B461" s="94" t="s">
        <v>2889</v>
      </c>
      <c r="C461" s="94" t="s">
        <v>1923</v>
      </c>
      <c r="D461" s="152" t="s">
        <v>2836</v>
      </c>
      <c r="E461" s="153"/>
      <c r="F461" s="94" t="s">
        <v>2850</v>
      </c>
      <c r="G461" s="73">
        <v>1</v>
      </c>
      <c r="H461" s="51">
        <v>0</v>
      </c>
      <c r="I461" s="5"/>
    </row>
    <row r="462" spans="1:9" ht="12.75">
      <c r="A462" s="4" t="s">
        <v>183</v>
      </c>
      <c r="B462" s="94" t="s">
        <v>2889</v>
      </c>
      <c r="C462" s="94" t="s">
        <v>1924</v>
      </c>
      <c r="D462" s="152" t="s">
        <v>2837</v>
      </c>
      <c r="E462" s="153"/>
      <c r="F462" s="94" t="s">
        <v>2850</v>
      </c>
      <c r="G462" s="73">
        <v>1</v>
      </c>
      <c r="H462" s="51">
        <v>0</v>
      </c>
      <c r="I462" s="5"/>
    </row>
    <row r="463" spans="1:9" ht="12.75">
      <c r="A463" s="4" t="s">
        <v>184</v>
      </c>
      <c r="B463" s="94" t="s">
        <v>2889</v>
      </c>
      <c r="C463" s="94" t="s">
        <v>1925</v>
      </c>
      <c r="D463" s="152" t="s">
        <v>2838</v>
      </c>
      <c r="E463" s="153"/>
      <c r="F463" s="94" t="s">
        <v>2850</v>
      </c>
      <c r="G463" s="73">
        <v>1</v>
      </c>
      <c r="H463" s="51">
        <v>0</v>
      </c>
      <c r="I463" s="5"/>
    </row>
    <row r="464" spans="1:9" ht="12.75">
      <c r="A464" s="4" t="s">
        <v>185</v>
      </c>
      <c r="B464" s="94" t="s">
        <v>2889</v>
      </c>
      <c r="C464" s="94" t="s">
        <v>1926</v>
      </c>
      <c r="D464" s="152" t="s">
        <v>2839</v>
      </c>
      <c r="E464" s="153"/>
      <c r="F464" s="94" t="s">
        <v>2850</v>
      </c>
      <c r="G464" s="73">
        <v>1</v>
      </c>
      <c r="H464" s="51">
        <v>0</v>
      </c>
      <c r="I464" s="5"/>
    </row>
    <row r="465" spans="1:9" ht="12.75">
      <c r="A465" s="4" t="s">
        <v>186</v>
      </c>
      <c r="B465" s="94" t="s">
        <v>2889</v>
      </c>
      <c r="C465" s="94" t="s">
        <v>1927</v>
      </c>
      <c r="D465" s="152" t="s">
        <v>2840</v>
      </c>
      <c r="E465" s="153"/>
      <c r="F465" s="94" t="s">
        <v>2850</v>
      </c>
      <c r="G465" s="73">
        <v>1</v>
      </c>
      <c r="H465" s="51">
        <v>0</v>
      </c>
      <c r="I465" s="5"/>
    </row>
    <row r="466" spans="1:9" ht="12.75">
      <c r="A466" s="4" t="s">
        <v>187</v>
      </c>
      <c r="B466" s="94" t="s">
        <v>2889</v>
      </c>
      <c r="C466" s="94" t="s">
        <v>1928</v>
      </c>
      <c r="D466" s="152" t="s">
        <v>2841</v>
      </c>
      <c r="E466" s="153"/>
      <c r="F466" s="94" t="s">
        <v>2850</v>
      </c>
      <c r="G466" s="73">
        <v>1</v>
      </c>
      <c r="H466" s="51">
        <v>0</v>
      </c>
      <c r="I466" s="5"/>
    </row>
    <row r="467" spans="1:9" ht="12.75">
      <c r="A467" s="44"/>
      <c r="B467" s="97"/>
      <c r="C467" s="97" t="s">
        <v>717</v>
      </c>
      <c r="D467" s="161" t="s">
        <v>2099</v>
      </c>
      <c r="E467" s="162"/>
      <c r="F467" s="97"/>
      <c r="G467" s="74"/>
      <c r="H467" s="24"/>
      <c r="I467" s="5"/>
    </row>
    <row r="468" spans="1:9" ht="12.75">
      <c r="A468" s="4" t="s">
        <v>188</v>
      </c>
      <c r="B468" s="94" t="s">
        <v>2882</v>
      </c>
      <c r="C468" s="94" t="s">
        <v>1144</v>
      </c>
      <c r="D468" s="152" t="s">
        <v>2100</v>
      </c>
      <c r="E468" s="153"/>
      <c r="F468" s="94" t="s">
        <v>2849</v>
      </c>
      <c r="G468" s="73">
        <v>229.397</v>
      </c>
      <c r="H468" s="51">
        <v>0</v>
      </c>
      <c r="I468" s="5"/>
    </row>
    <row r="469" spans="1:9" ht="12.2" customHeight="1">
      <c r="A469" s="5"/>
      <c r="D469" s="45" t="s">
        <v>3143</v>
      </c>
      <c r="E469" s="190"/>
      <c r="F469" s="191"/>
      <c r="G469" s="47">
        <v>229.397</v>
      </c>
      <c r="H469" s="52"/>
      <c r="I469" s="5"/>
    </row>
    <row r="470" spans="1:9" ht="12.75">
      <c r="A470" s="4" t="s">
        <v>189</v>
      </c>
      <c r="B470" s="94" t="s">
        <v>2882</v>
      </c>
      <c r="C470" s="94" t="s">
        <v>1145</v>
      </c>
      <c r="D470" s="152" t="s">
        <v>2101</v>
      </c>
      <c r="E470" s="153"/>
      <c r="F470" s="94" t="s">
        <v>2849</v>
      </c>
      <c r="G470" s="73">
        <v>229.397</v>
      </c>
      <c r="H470" s="51">
        <v>0</v>
      </c>
      <c r="I470" s="5"/>
    </row>
    <row r="471" spans="1:9" ht="12.2" customHeight="1">
      <c r="A471" s="5"/>
      <c r="D471" s="45" t="s">
        <v>3143</v>
      </c>
      <c r="E471" s="190"/>
      <c r="F471" s="191"/>
      <c r="G471" s="47">
        <v>229.397</v>
      </c>
      <c r="H471" s="52"/>
      <c r="I471" s="5"/>
    </row>
    <row r="472" spans="1:9" ht="12.75">
      <c r="A472" s="4" t="s">
        <v>190</v>
      </c>
      <c r="B472" s="94" t="s">
        <v>2882</v>
      </c>
      <c r="C472" s="94" t="s">
        <v>1146</v>
      </c>
      <c r="D472" s="152" t="s">
        <v>2102</v>
      </c>
      <c r="E472" s="153"/>
      <c r="F472" s="94" t="s">
        <v>2849</v>
      </c>
      <c r="G472" s="73">
        <v>65.67</v>
      </c>
      <c r="H472" s="51">
        <v>0</v>
      </c>
      <c r="I472" s="5"/>
    </row>
    <row r="473" spans="1:9" ht="12.2" customHeight="1">
      <c r="A473" s="5"/>
      <c r="D473" s="45" t="s">
        <v>3144</v>
      </c>
      <c r="E473" s="190"/>
      <c r="F473" s="191"/>
      <c r="G473" s="47">
        <v>65.67</v>
      </c>
      <c r="H473" s="52"/>
      <c r="I473" s="5"/>
    </row>
    <row r="474" spans="1:9" ht="12.75">
      <c r="A474" s="4" t="s">
        <v>191</v>
      </c>
      <c r="B474" s="94" t="s">
        <v>2882</v>
      </c>
      <c r="C474" s="94" t="s">
        <v>1147</v>
      </c>
      <c r="D474" s="152" t="s">
        <v>2103</v>
      </c>
      <c r="E474" s="153"/>
      <c r="F474" s="94" t="s">
        <v>2849</v>
      </c>
      <c r="G474" s="73">
        <v>229.397</v>
      </c>
      <c r="H474" s="51">
        <v>0</v>
      </c>
      <c r="I474" s="5"/>
    </row>
    <row r="475" spans="1:9" ht="12.2" customHeight="1">
      <c r="A475" s="5"/>
      <c r="D475" s="45" t="s">
        <v>3143</v>
      </c>
      <c r="E475" s="190"/>
      <c r="F475" s="191"/>
      <c r="G475" s="47">
        <v>229.397</v>
      </c>
      <c r="H475" s="52"/>
      <c r="I475" s="5"/>
    </row>
    <row r="476" spans="1:9" ht="12.75">
      <c r="A476" s="4" t="s">
        <v>192</v>
      </c>
      <c r="B476" s="94" t="s">
        <v>2882</v>
      </c>
      <c r="C476" s="94" t="s">
        <v>1148</v>
      </c>
      <c r="D476" s="152" t="s">
        <v>2104</v>
      </c>
      <c r="E476" s="153"/>
      <c r="F476" s="94" t="s">
        <v>2849</v>
      </c>
      <c r="G476" s="73">
        <v>65.67</v>
      </c>
      <c r="H476" s="51">
        <v>0</v>
      </c>
      <c r="I476" s="5"/>
    </row>
    <row r="477" spans="1:9" ht="12.2" customHeight="1">
      <c r="A477" s="5"/>
      <c r="D477" s="45" t="s">
        <v>3144</v>
      </c>
      <c r="E477" s="190"/>
      <c r="F477" s="191"/>
      <c r="G477" s="47">
        <v>65.67</v>
      </c>
      <c r="H477" s="52"/>
      <c r="I477" s="5"/>
    </row>
    <row r="478" spans="1:9" ht="12.75">
      <c r="A478" s="4" t="s">
        <v>193</v>
      </c>
      <c r="B478" s="94" t="s">
        <v>2882</v>
      </c>
      <c r="C478" s="94" t="s">
        <v>1149</v>
      </c>
      <c r="D478" s="152" t="s">
        <v>2105</v>
      </c>
      <c r="E478" s="153"/>
      <c r="F478" s="94" t="s">
        <v>2850</v>
      </c>
      <c r="G478" s="73">
        <v>27</v>
      </c>
      <c r="H478" s="51">
        <v>0</v>
      </c>
      <c r="I478" s="5"/>
    </row>
    <row r="479" spans="1:9" ht="12.2" customHeight="1">
      <c r="A479" s="5"/>
      <c r="D479" s="45" t="s">
        <v>3145</v>
      </c>
      <c r="E479" s="190"/>
      <c r="F479" s="191"/>
      <c r="G479" s="47">
        <v>27</v>
      </c>
      <c r="H479" s="52"/>
      <c r="I479" s="5"/>
    </row>
    <row r="480" spans="1:9" ht="12.75">
      <c r="A480" s="4" t="s">
        <v>194</v>
      </c>
      <c r="B480" s="94" t="s">
        <v>2882</v>
      </c>
      <c r="C480" s="94" t="s">
        <v>1150</v>
      </c>
      <c r="D480" s="152" t="s">
        <v>2106</v>
      </c>
      <c r="E480" s="153"/>
      <c r="F480" s="94" t="s">
        <v>2851</v>
      </c>
      <c r="G480" s="73">
        <v>114.27</v>
      </c>
      <c r="H480" s="51">
        <v>0</v>
      </c>
      <c r="I480" s="5"/>
    </row>
    <row r="481" spans="1:9" ht="12.2" customHeight="1">
      <c r="A481" s="5"/>
      <c r="D481" s="45" t="s">
        <v>3146</v>
      </c>
      <c r="E481" s="190"/>
      <c r="F481" s="191"/>
      <c r="G481" s="47">
        <v>114.27</v>
      </c>
      <c r="H481" s="52"/>
      <c r="I481" s="5"/>
    </row>
    <row r="482" spans="1:9" ht="12.75">
      <c r="A482" s="4" t="s">
        <v>195</v>
      </c>
      <c r="B482" s="94" t="s">
        <v>2882</v>
      </c>
      <c r="C482" s="94" t="s">
        <v>1151</v>
      </c>
      <c r="D482" s="152" t="s">
        <v>2107</v>
      </c>
      <c r="E482" s="153"/>
      <c r="F482" s="94" t="s">
        <v>2851</v>
      </c>
      <c r="G482" s="73">
        <v>24</v>
      </c>
      <c r="H482" s="51">
        <v>0</v>
      </c>
      <c r="I482" s="5"/>
    </row>
    <row r="483" spans="1:9" ht="12.2" customHeight="1">
      <c r="A483" s="5"/>
      <c r="D483" s="45" t="s">
        <v>3147</v>
      </c>
      <c r="E483" s="190"/>
      <c r="F483" s="191"/>
      <c r="G483" s="47">
        <v>24</v>
      </c>
      <c r="H483" s="52"/>
      <c r="I483" s="5"/>
    </row>
    <row r="484" spans="1:9" ht="12.75">
      <c r="A484" s="4" t="s">
        <v>196</v>
      </c>
      <c r="B484" s="94" t="s">
        <v>2882</v>
      </c>
      <c r="C484" s="94" t="s">
        <v>1152</v>
      </c>
      <c r="D484" s="152" t="s">
        <v>2108</v>
      </c>
      <c r="E484" s="153"/>
      <c r="F484" s="94" t="s">
        <v>2848</v>
      </c>
      <c r="G484" s="73">
        <v>1.686</v>
      </c>
      <c r="H484" s="51">
        <v>0</v>
      </c>
      <c r="I484" s="5"/>
    </row>
    <row r="485" spans="1:9" ht="12.2" customHeight="1">
      <c r="A485" s="5"/>
      <c r="D485" s="45" t="s">
        <v>3148</v>
      </c>
      <c r="E485" s="190"/>
      <c r="F485" s="191"/>
      <c r="G485" s="47">
        <v>1.686</v>
      </c>
      <c r="H485" s="52"/>
      <c r="I485" s="5"/>
    </row>
    <row r="486" spans="1:9" ht="12.75">
      <c r="A486" s="44"/>
      <c r="B486" s="97"/>
      <c r="C486" s="97" t="s">
        <v>718</v>
      </c>
      <c r="D486" s="161" t="s">
        <v>2109</v>
      </c>
      <c r="E486" s="162"/>
      <c r="F486" s="97"/>
      <c r="G486" s="74"/>
      <c r="H486" s="24"/>
      <c r="I486" s="5"/>
    </row>
    <row r="487" spans="1:9" ht="12.75">
      <c r="A487" s="4" t="s">
        <v>197</v>
      </c>
      <c r="B487" s="94" t="s">
        <v>2882</v>
      </c>
      <c r="C487" s="94" t="s">
        <v>1153</v>
      </c>
      <c r="D487" s="152" t="s">
        <v>2110</v>
      </c>
      <c r="E487" s="153"/>
      <c r="F487" s="94" t="s">
        <v>2849</v>
      </c>
      <c r="G487" s="73">
        <v>237.83</v>
      </c>
      <c r="H487" s="51">
        <v>0</v>
      </c>
      <c r="I487" s="5"/>
    </row>
    <row r="488" spans="1:9" ht="12.2" customHeight="1">
      <c r="A488" s="5"/>
      <c r="D488" s="45" t="s">
        <v>3149</v>
      </c>
      <c r="E488" s="190"/>
      <c r="F488" s="191"/>
      <c r="G488" s="47">
        <v>237.83</v>
      </c>
      <c r="H488" s="52"/>
      <c r="I488" s="5"/>
    </row>
    <row r="489" spans="1:9" ht="12.75">
      <c r="A489" s="4" t="s">
        <v>198</v>
      </c>
      <c r="B489" s="94" t="s">
        <v>2882</v>
      </c>
      <c r="C489" s="94" t="s">
        <v>1154</v>
      </c>
      <c r="D489" s="152" t="s">
        <v>2111</v>
      </c>
      <c r="E489" s="153"/>
      <c r="F489" s="94" t="s">
        <v>2850</v>
      </c>
      <c r="G489" s="73">
        <v>20</v>
      </c>
      <c r="H489" s="51">
        <v>0</v>
      </c>
      <c r="I489" s="5"/>
    </row>
    <row r="490" spans="1:9" ht="12.2" customHeight="1">
      <c r="A490" s="5"/>
      <c r="D490" s="45" t="s">
        <v>3150</v>
      </c>
      <c r="E490" s="190"/>
      <c r="F490" s="191"/>
      <c r="G490" s="47">
        <v>20</v>
      </c>
      <c r="H490" s="52"/>
      <c r="I490" s="5"/>
    </row>
    <row r="491" spans="1:9" ht="12.75">
      <c r="A491" s="4" t="s">
        <v>199</v>
      </c>
      <c r="B491" s="94" t="s">
        <v>2882</v>
      </c>
      <c r="C491" s="94" t="s">
        <v>1155</v>
      </c>
      <c r="D491" s="152" t="s">
        <v>2112</v>
      </c>
      <c r="E491" s="153"/>
      <c r="F491" s="94" t="s">
        <v>2849</v>
      </c>
      <c r="G491" s="73">
        <v>252.641</v>
      </c>
      <c r="H491" s="51">
        <v>0</v>
      </c>
      <c r="I491" s="5"/>
    </row>
    <row r="492" spans="1:9" ht="12.2" customHeight="1">
      <c r="A492" s="5"/>
      <c r="D492" s="45" t="s">
        <v>3151</v>
      </c>
      <c r="E492" s="190"/>
      <c r="F492" s="191"/>
      <c r="G492" s="47">
        <v>252.641</v>
      </c>
      <c r="H492" s="52"/>
      <c r="I492" s="5"/>
    </row>
    <row r="493" spans="1:9" ht="12.75">
      <c r="A493" s="4" t="s">
        <v>200</v>
      </c>
      <c r="B493" s="94" t="s">
        <v>2882</v>
      </c>
      <c r="C493" s="94" t="s">
        <v>1156</v>
      </c>
      <c r="D493" s="152" t="s">
        <v>2113</v>
      </c>
      <c r="E493" s="153"/>
      <c r="F493" s="94" t="s">
        <v>2851</v>
      </c>
      <c r="G493" s="73">
        <v>77.195</v>
      </c>
      <c r="H493" s="51">
        <v>0</v>
      </c>
      <c r="I493" s="5"/>
    </row>
    <row r="494" spans="1:9" ht="12.2" customHeight="1">
      <c r="A494" s="5"/>
      <c r="D494" s="45" t="s">
        <v>3152</v>
      </c>
      <c r="E494" s="190"/>
      <c r="F494" s="191"/>
      <c r="G494" s="47">
        <v>77.195</v>
      </c>
      <c r="H494" s="52"/>
      <c r="I494" s="5"/>
    </row>
    <row r="495" spans="1:9" ht="12.75">
      <c r="A495" s="4" t="s">
        <v>201</v>
      </c>
      <c r="B495" s="94" t="s">
        <v>2882</v>
      </c>
      <c r="C495" s="94" t="s">
        <v>1157</v>
      </c>
      <c r="D495" s="152" t="s">
        <v>2114</v>
      </c>
      <c r="E495" s="153"/>
      <c r="F495" s="94" t="s">
        <v>2849</v>
      </c>
      <c r="G495" s="73">
        <v>19.324</v>
      </c>
      <c r="H495" s="51">
        <v>0</v>
      </c>
      <c r="I495" s="5"/>
    </row>
    <row r="496" spans="1:9" ht="12.2" customHeight="1">
      <c r="A496" s="5"/>
      <c r="D496" s="45" t="s">
        <v>3153</v>
      </c>
      <c r="E496" s="190"/>
      <c r="F496" s="191"/>
      <c r="G496" s="47">
        <v>19.324</v>
      </c>
      <c r="H496" s="52"/>
      <c r="I496" s="5"/>
    </row>
    <row r="497" spans="1:9" ht="12.75">
      <c r="A497" s="4" t="s">
        <v>202</v>
      </c>
      <c r="B497" s="94" t="s">
        <v>2882</v>
      </c>
      <c r="C497" s="94" t="s">
        <v>1158</v>
      </c>
      <c r="D497" s="152" t="s">
        <v>2115</v>
      </c>
      <c r="E497" s="153"/>
      <c r="F497" s="94" t="s">
        <v>2849</v>
      </c>
      <c r="G497" s="73">
        <v>19.324</v>
      </c>
      <c r="H497" s="51">
        <v>0</v>
      </c>
      <c r="I497" s="5"/>
    </row>
    <row r="498" spans="1:9" ht="12.2" customHeight="1">
      <c r="A498" s="5"/>
      <c r="D498" s="45" t="s">
        <v>3153</v>
      </c>
      <c r="E498" s="190"/>
      <c r="F498" s="191"/>
      <c r="G498" s="47">
        <v>19.324</v>
      </c>
      <c r="H498" s="52"/>
      <c r="I498" s="5"/>
    </row>
    <row r="499" spans="1:9" ht="12.75">
      <c r="A499" s="4" t="s">
        <v>203</v>
      </c>
      <c r="B499" s="94" t="s">
        <v>2882</v>
      </c>
      <c r="C499" s="94" t="s">
        <v>1159</v>
      </c>
      <c r="D499" s="152" t="s">
        <v>2116</v>
      </c>
      <c r="E499" s="153"/>
      <c r="F499" s="94" t="s">
        <v>2849</v>
      </c>
      <c r="G499" s="73">
        <v>10.889</v>
      </c>
      <c r="H499" s="51">
        <v>0</v>
      </c>
      <c r="I499" s="5"/>
    </row>
    <row r="500" spans="1:9" ht="12.2" customHeight="1">
      <c r="A500" s="5"/>
      <c r="D500" s="45" t="s">
        <v>3154</v>
      </c>
      <c r="E500" s="190"/>
      <c r="F500" s="191"/>
      <c r="G500" s="47">
        <v>10.889</v>
      </c>
      <c r="H500" s="52"/>
      <c r="I500" s="5"/>
    </row>
    <row r="501" spans="1:9" ht="12.75">
      <c r="A501" s="4" t="s">
        <v>204</v>
      </c>
      <c r="B501" s="94" t="s">
        <v>2882</v>
      </c>
      <c r="C501" s="94" t="s">
        <v>1160</v>
      </c>
      <c r="D501" s="152" t="s">
        <v>2117</v>
      </c>
      <c r="E501" s="153"/>
      <c r="F501" s="94" t="s">
        <v>2851</v>
      </c>
      <c r="G501" s="73">
        <v>223.285</v>
      </c>
      <c r="H501" s="51">
        <v>0</v>
      </c>
      <c r="I501" s="5"/>
    </row>
    <row r="502" spans="1:9" ht="12.2" customHeight="1">
      <c r="A502" s="5"/>
      <c r="D502" s="45" t="s">
        <v>3155</v>
      </c>
      <c r="E502" s="190"/>
      <c r="F502" s="191"/>
      <c r="G502" s="47">
        <v>145.19</v>
      </c>
      <c r="H502" s="52"/>
      <c r="I502" s="5"/>
    </row>
    <row r="503" spans="1:9" ht="12.2" customHeight="1">
      <c r="A503" s="4"/>
      <c r="B503" s="94"/>
      <c r="C503" s="94"/>
      <c r="D503" s="45" t="s">
        <v>3156</v>
      </c>
      <c r="E503" s="190"/>
      <c r="F503" s="190"/>
      <c r="G503" s="75">
        <v>78.095</v>
      </c>
      <c r="H503" s="25"/>
      <c r="I503" s="5"/>
    </row>
    <row r="504" spans="1:9" ht="12.75">
      <c r="A504" s="4" t="s">
        <v>205</v>
      </c>
      <c r="B504" s="94" t="s">
        <v>2882</v>
      </c>
      <c r="C504" s="94" t="s">
        <v>1161</v>
      </c>
      <c r="D504" s="152" t="s">
        <v>2118</v>
      </c>
      <c r="E504" s="153"/>
      <c r="F504" s="94" t="s">
        <v>2848</v>
      </c>
      <c r="G504" s="73">
        <v>1.132</v>
      </c>
      <c r="H504" s="51">
        <v>0</v>
      </c>
      <c r="I504" s="5"/>
    </row>
    <row r="505" spans="1:9" ht="12.2" customHeight="1">
      <c r="A505" s="5"/>
      <c r="D505" s="45" t="s">
        <v>3157</v>
      </c>
      <c r="E505" s="190"/>
      <c r="F505" s="191"/>
      <c r="G505" s="47">
        <v>1.132</v>
      </c>
      <c r="H505" s="52"/>
      <c r="I505" s="5"/>
    </row>
    <row r="506" spans="1:9" ht="12.75">
      <c r="A506" s="44"/>
      <c r="B506" s="97"/>
      <c r="C506" s="97" t="s">
        <v>719</v>
      </c>
      <c r="D506" s="161" t="s">
        <v>2119</v>
      </c>
      <c r="E506" s="162"/>
      <c r="F506" s="97"/>
      <c r="G506" s="74"/>
      <c r="H506" s="24"/>
      <c r="I506" s="5"/>
    </row>
    <row r="507" spans="1:9" ht="12.75">
      <c r="A507" s="4" t="s">
        <v>206</v>
      </c>
      <c r="B507" s="94" t="s">
        <v>2882</v>
      </c>
      <c r="C507" s="94" t="s">
        <v>1162</v>
      </c>
      <c r="D507" s="152" t="s">
        <v>2120</v>
      </c>
      <c r="E507" s="153"/>
      <c r="F507" s="94" t="s">
        <v>2849</v>
      </c>
      <c r="G507" s="73">
        <v>141.503</v>
      </c>
      <c r="H507" s="51">
        <v>0</v>
      </c>
      <c r="I507" s="5"/>
    </row>
    <row r="508" spans="1:9" ht="12.2" customHeight="1">
      <c r="A508" s="5"/>
      <c r="D508" s="45" t="s">
        <v>3158</v>
      </c>
      <c r="E508" s="190"/>
      <c r="F508" s="191"/>
      <c r="G508" s="47">
        <v>141.503</v>
      </c>
      <c r="H508" s="52"/>
      <c r="I508" s="5"/>
    </row>
    <row r="509" spans="1:9" ht="12.75">
      <c r="A509" s="6" t="s">
        <v>207</v>
      </c>
      <c r="B509" s="98" t="s">
        <v>2882</v>
      </c>
      <c r="C509" s="98" t="s">
        <v>1163</v>
      </c>
      <c r="D509" s="163" t="s">
        <v>2121</v>
      </c>
      <c r="E509" s="164"/>
      <c r="F509" s="98" t="s">
        <v>2849</v>
      </c>
      <c r="G509" s="76">
        <v>148.578</v>
      </c>
      <c r="H509" s="53">
        <v>0</v>
      </c>
      <c r="I509" s="5"/>
    </row>
    <row r="510" spans="1:9" ht="12.2" customHeight="1">
      <c r="A510" s="5"/>
      <c r="D510" s="45" t="s">
        <v>3159</v>
      </c>
      <c r="E510" s="190"/>
      <c r="F510" s="191"/>
      <c r="G510" s="48">
        <v>141.503</v>
      </c>
      <c r="H510" s="52"/>
      <c r="I510" s="5"/>
    </row>
    <row r="511" spans="1:9" ht="12.2" customHeight="1">
      <c r="A511" s="6"/>
      <c r="B511" s="98"/>
      <c r="C511" s="98"/>
      <c r="D511" s="45" t="s">
        <v>3160</v>
      </c>
      <c r="E511" s="190"/>
      <c r="F511" s="190"/>
      <c r="G511" s="77">
        <v>7.075</v>
      </c>
      <c r="H511" s="26"/>
      <c r="I511" s="5"/>
    </row>
    <row r="512" spans="1:9" ht="12.75">
      <c r="A512" s="4" t="s">
        <v>208</v>
      </c>
      <c r="B512" s="94" t="s">
        <v>2882</v>
      </c>
      <c r="C512" s="94" t="s">
        <v>1162</v>
      </c>
      <c r="D512" s="152" t="s">
        <v>2122</v>
      </c>
      <c r="E512" s="153"/>
      <c r="F512" s="94" t="s">
        <v>2849</v>
      </c>
      <c r="G512" s="73">
        <v>188.67</v>
      </c>
      <c r="H512" s="51">
        <v>0</v>
      </c>
      <c r="I512" s="5"/>
    </row>
    <row r="513" spans="1:9" ht="12.2" customHeight="1">
      <c r="A513" s="5"/>
      <c r="D513" s="45" t="s">
        <v>3161</v>
      </c>
      <c r="E513" s="190"/>
      <c r="F513" s="191"/>
      <c r="G513" s="47">
        <v>188.67</v>
      </c>
      <c r="H513" s="52"/>
      <c r="I513" s="5"/>
    </row>
    <row r="514" spans="1:9" ht="12.75">
      <c r="A514" s="6" t="s">
        <v>209</v>
      </c>
      <c r="B514" s="98" t="s">
        <v>2882</v>
      </c>
      <c r="C514" s="98" t="s">
        <v>1164</v>
      </c>
      <c r="D514" s="163" t="s">
        <v>2123</v>
      </c>
      <c r="E514" s="164"/>
      <c r="F514" s="98" t="s">
        <v>2849</v>
      </c>
      <c r="G514" s="76">
        <v>198.104</v>
      </c>
      <c r="H514" s="53">
        <v>0</v>
      </c>
      <c r="I514" s="5"/>
    </row>
    <row r="515" spans="1:9" ht="12.2" customHeight="1">
      <c r="A515" s="5"/>
      <c r="D515" s="45" t="s">
        <v>3162</v>
      </c>
      <c r="E515" s="190"/>
      <c r="F515" s="191"/>
      <c r="G515" s="48">
        <v>188.67</v>
      </c>
      <c r="H515" s="52"/>
      <c r="I515" s="5"/>
    </row>
    <row r="516" spans="1:9" ht="12.2" customHeight="1">
      <c r="A516" s="6"/>
      <c r="B516" s="98"/>
      <c r="C516" s="98"/>
      <c r="D516" s="45" t="s">
        <v>3163</v>
      </c>
      <c r="E516" s="190"/>
      <c r="F516" s="190"/>
      <c r="G516" s="77">
        <v>9.434</v>
      </c>
      <c r="H516" s="26"/>
      <c r="I516" s="5"/>
    </row>
    <row r="517" spans="1:9" ht="12.75">
      <c r="A517" s="4" t="s">
        <v>210</v>
      </c>
      <c r="B517" s="94" t="s">
        <v>2882</v>
      </c>
      <c r="C517" s="94" t="s">
        <v>1165</v>
      </c>
      <c r="D517" s="152" t="s">
        <v>2124</v>
      </c>
      <c r="E517" s="153"/>
      <c r="F517" s="94" t="s">
        <v>2849</v>
      </c>
      <c r="G517" s="73">
        <v>181.67</v>
      </c>
      <c r="H517" s="51">
        <v>0</v>
      </c>
      <c r="I517" s="5"/>
    </row>
    <row r="518" spans="1:9" ht="12.2" customHeight="1">
      <c r="A518" s="5"/>
      <c r="D518" s="45" t="s">
        <v>3164</v>
      </c>
      <c r="E518" s="190"/>
      <c r="F518" s="191"/>
      <c r="G518" s="47">
        <v>181.67</v>
      </c>
      <c r="H518" s="52"/>
      <c r="I518" s="5"/>
    </row>
    <row r="519" spans="1:9" ht="12.75">
      <c r="A519" s="4" t="s">
        <v>211</v>
      </c>
      <c r="B519" s="94" t="s">
        <v>2882</v>
      </c>
      <c r="C519" s="94" t="s">
        <v>1166</v>
      </c>
      <c r="D519" s="152" t="s">
        <v>2125</v>
      </c>
      <c r="E519" s="153"/>
      <c r="F519" s="94" t="s">
        <v>2851</v>
      </c>
      <c r="G519" s="73">
        <v>484.94</v>
      </c>
      <c r="H519" s="51">
        <v>0</v>
      </c>
      <c r="I519" s="5"/>
    </row>
    <row r="520" spans="1:9" ht="12.2" customHeight="1">
      <c r="A520" s="5"/>
      <c r="D520" s="45" t="s">
        <v>3165</v>
      </c>
      <c r="E520" s="190"/>
      <c r="F520" s="191"/>
      <c r="G520" s="47">
        <v>484.94</v>
      </c>
      <c r="H520" s="52"/>
      <c r="I520" s="5"/>
    </row>
    <row r="521" spans="1:9" ht="12.75">
      <c r="A521" s="4" t="s">
        <v>212</v>
      </c>
      <c r="B521" s="94" t="s">
        <v>2882</v>
      </c>
      <c r="C521" s="94" t="s">
        <v>1167</v>
      </c>
      <c r="D521" s="152" t="s">
        <v>2126</v>
      </c>
      <c r="E521" s="153"/>
      <c r="F521" s="94" t="s">
        <v>2849</v>
      </c>
      <c r="G521" s="73">
        <v>188.67</v>
      </c>
      <c r="H521" s="51">
        <v>0</v>
      </c>
      <c r="I521" s="5"/>
    </row>
    <row r="522" spans="1:9" ht="12.2" customHeight="1">
      <c r="A522" s="5"/>
      <c r="D522" s="45" t="s">
        <v>3161</v>
      </c>
      <c r="E522" s="190"/>
      <c r="F522" s="191"/>
      <c r="G522" s="47">
        <v>188.67</v>
      </c>
      <c r="H522" s="52"/>
      <c r="I522" s="5"/>
    </row>
    <row r="523" spans="1:9" ht="12.75">
      <c r="A523" s="6" t="s">
        <v>213</v>
      </c>
      <c r="B523" s="98" t="s">
        <v>2882</v>
      </c>
      <c r="C523" s="98" t="s">
        <v>1164</v>
      </c>
      <c r="D523" s="163" t="s">
        <v>2123</v>
      </c>
      <c r="E523" s="164"/>
      <c r="F523" s="98" t="s">
        <v>2849</v>
      </c>
      <c r="G523" s="76">
        <v>198.104</v>
      </c>
      <c r="H523" s="53">
        <v>0</v>
      </c>
      <c r="I523" s="5"/>
    </row>
    <row r="524" spans="1:9" ht="12.2" customHeight="1">
      <c r="A524" s="5"/>
      <c r="D524" s="45" t="s">
        <v>3162</v>
      </c>
      <c r="E524" s="190"/>
      <c r="F524" s="191"/>
      <c r="G524" s="48">
        <v>188.67</v>
      </c>
      <c r="H524" s="52"/>
      <c r="I524" s="5"/>
    </row>
    <row r="525" spans="1:9" ht="12.2" customHeight="1">
      <c r="A525" s="6"/>
      <c r="B525" s="98"/>
      <c r="C525" s="98"/>
      <c r="D525" s="45" t="s">
        <v>3163</v>
      </c>
      <c r="E525" s="190"/>
      <c r="F525" s="190"/>
      <c r="G525" s="77">
        <v>9.434</v>
      </c>
      <c r="H525" s="26"/>
      <c r="I525" s="5"/>
    </row>
    <row r="526" spans="1:9" ht="12.75">
      <c r="A526" s="6" t="s">
        <v>214</v>
      </c>
      <c r="B526" s="98" t="s">
        <v>2882</v>
      </c>
      <c r="C526" s="98" t="s">
        <v>1168</v>
      </c>
      <c r="D526" s="163" t="s">
        <v>2127</v>
      </c>
      <c r="E526" s="164"/>
      <c r="F526" s="98" t="s">
        <v>2849</v>
      </c>
      <c r="G526" s="76">
        <v>198.104</v>
      </c>
      <c r="H526" s="53">
        <v>0</v>
      </c>
      <c r="I526" s="5"/>
    </row>
    <row r="527" spans="1:9" ht="12.2" customHeight="1">
      <c r="A527" s="5"/>
      <c r="D527" s="45" t="s">
        <v>3162</v>
      </c>
      <c r="E527" s="190"/>
      <c r="F527" s="191"/>
      <c r="G527" s="48">
        <v>188.67</v>
      </c>
      <c r="H527" s="52"/>
      <c r="I527" s="5"/>
    </row>
    <row r="528" spans="1:9" ht="12.2" customHeight="1">
      <c r="A528" s="6"/>
      <c r="B528" s="98"/>
      <c r="C528" s="98"/>
      <c r="D528" s="45" t="s">
        <v>3163</v>
      </c>
      <c r="E528" s="190"/>
      <c r="F528" s="190"/>
      <c r="G528" s="77">
        <v>9.434</v>
      </c>
      <c r="H528" s="26"/>
      <c r="I528" s="5"/>
    </row>
    <row r="529" spans="1:9" ht="12.75">
      <c r="A529" s="4" t="s">
        <v>215</v>
      </c>
      <c r="B529" s="94" t="s">
        <v>2882</v>
      </c>
      <c r="C529" s="94" t="s">
        <v>1169</v>
      </c>
      <c r="D529" s="152" t="s">
        <v>2128</v>
      </c>
      <c r="E529" s="153"/>
      <c r="F529" s="94" t="s">
        <v>2849</v>
      </c>
      <c r="G529" s="73">
        <v>181.67</v>
      </c>
      <c r="H529" s="51">
        <v>0</v>
      </c>
      <c r="I529" s="5"/>
    </row>
    <row r="530" spans="1:9" ht="12.2" customHeight="1">
      <c r="A530" s="5"/>
      <c r="D530" s="45" t="s">
        <v>3166</v>
      </c>
      <c r="E530" s="190"/>
      <c r="F530" s="191"/>
      <c r="G530" s="47">
        <v>173.44</v>
      </c>
      <c r="H530" s="52"/>
      <c r="I530" s="5"/>
    </row>
    <row r="531" spans="1:9" ht="12.2" customHeight="1">
      <c r="A531" s="4"/>
      <c r="B531" s="94"/>
      <c r="C531" s="94"/>
      <c r="D531" s="45" t="s">
        <v>3167</v>
      </c>
      <c r="E531" s="190"/>
      <c r="F531" s="190"/>
      <c r="G531" s="75">
        <v>8.23</v>
      </c>
      <c r="H531" s="25"/>
      <c r="I531" s="5"/>
    </row>
    <row r="532" spans="1:9" ht="12.75">
      <c r="A532" s="6" t="s">
        <v>216</v>
      </c>
      <c r="B532" s="98" t="s">
        <v>2882</v>
      </c>
      <c r="C532" s="98" t="s">
        <v>1170</v>
      </c>
      <c r="D532" s="163" t="s">
        <v>2129</v>
      </c>
      <c r="E532" s="164"/>
      <c r="F532" s="98" t="s">
        <v>2849</v>
      </c>
      <c r="G532" s="76">
        <v>190.754</v>
      </c>
      <c r="H532" s="53">
        <v>0</v>
      </c>
      <c r="I532" s="5"/>
    </row>
    <row r="533" spans="1:9" ht="12.2" customHeight="1">
      <c r="A533" s="5"/>
      <c r="D533" s="45" t="s">
        <v>3168</v>
      </c>
      <c r="E533" s="190"/>
      <c r="F533" s="191"/>
      <c r="G533" s="48">
        <v>181.67</v>
      </c>
      <c r="H533" s="52"/>
      <c r="I533" s="5"/>
    </row>
    <row r="534" spans="1:9" ht="12.2" customHeight="1">
      <c r="A534" s="6"/>
      <c r="B534" s="98"/>
      <c r="C534" s="98"/>
      <c r="D534" s="45" t="s">
        <v>3169</v>
      </c>
      <c r="E534" s="190"/>
      <c r="F534" s="190"/>
      <c r="G534" s="77">
        <v>9.084</v>
      </c>
      <c r="H534" s="26"/>
      <c r="I534" s="5"/>
    </row>
    <row r="535" spans="1:9" ht="12.75">
      <c r="A535" s="4" t="s">
        <v>217</v>
      </c>
      <c r="B535" s="94" t="s">
        <v>2882</v>
      </c>
      <c r="C535" s="94" t="s">
        <v>1171</v>
      </c>
      <c r="D535" s="152" t="s">
        <v>2130</v>
      </c>
      <c r="E535" s="153"/>
      <c r="F535" s="94" t="s">
        <v>2849</v>
      </c>
      <c r="G535" s="73">
        <v>65.67</v>
      </c>
      <c r="H535" s="51">
        <v>0</v>
      </c>
      <c r="I535" s="5"/>
    </row>
    <row r="536" spans="1:9" ht="12.2" customHeight="1">
      <c r="A536" s="5"/>
      <c r="D536" s="45" t="s">
        <v>3144</v>
      </c>
      <c r="E536" s="190"/>
      <c r="F536" s="191"/>
      <c r="G536" s="47">
        <v>65.67</v>
      </c>
      <c r="H536" s="52"/>
      <c r="I536" s="5"/>
    </row>
    <row r="537" spans="1:9" ht="12.75">
      <c r="A537" s="6" t="s">
        <v>218</v>
      </c>
      <c r="B537" s="98" t="s">
        <v>2882</v>
      </c>
      <c r="C537" s="98" t="s">
        <v>1172</v>
      </c>
      <c r="D537" s="163" t="s">
        <v>2131</v>
      </c>
      <c r="E537" s="164"/>
      <c r="F537" s="98" t="s">
        <v>2849</v>
      </c>
      <c r="G537" s="76">
        <v>68.954</v>
      </c>
      <c r="H537" s="53">
        <v>0</v>
      </c>
      <c r="I537" s="5"/>
    </row>
    <row r="538" spans="1:9" ht="12.2" customHeight="1">
      <c r="A538" s="5"/>
      <c r="D538" s="45" t="s">
        <v>3170</v>
      </c>
      <c r="E538" s="190"/>
      <c r="F538" s="191"/>
      <c r="G538" s="48">
        <v>65.67</v>
      </c>
      <c r="H538" s="52"/>
      <c r="I538" s="5"/>
    </row>
    <row r="539" spans="1:9" ht="12.2" customHeight="1">
      <c r="A539" s="6"/>
      <c r="B539" s="98"/>
      <c r="C539" s="98"/>
      <c r="D539" s="45" t="s">
        <v>3171</v>
      </c>
      <c r="E539" s="190"/>
      <c r="F539" s="190"/>
      <c r="G539" s="77">
        <v>3.284</v>
      </c>
      <c r="H539" s="26"/>
      <c r="I539" s="5"/>
    </row>
    <row r="540" spans="1:9" ht="12.75">
      <c r="A540" s="4" t="s">
        <v>219</v>
      </c>
      <c r="B540" s="94" t="s">
        <v>2882</v>
      </c>
      <c r="C540" s="94" t="s">
        <v>1173</v>
      </c>
      <c r="D540" s="152" t="s">
        <v>2132</v>
      </c>
      <c r="E540" s="153"/>
      <c r="F540" s="94" t="s">
        <v>2849</v>
      </c>
      <c r="G540" s="73">
        <v>54.107</v>
      </c>
      <c r="H540" s="51">
        <v>0</v>
      </c>
      <c r="I540" s="5"/>
    </row>
    <row r="541" spans="1:9" ht="12.2" customHeight="1">
      <c r="A541" s="5"/>
      <c r="D541" s="45" t="s">
        <v>3172</v>
      </c>
      <c r="E541" s="190"/>
      <c r="F541" s="191"/>
      <c r="G541" s="47">
        <v>54.107</v>
      </c>
      <c r="H541" s="52"/>
      <c r="I541" s="5"/>
    </row>
    <row r="542" spans="1:9" ht="12.75">
      <c r="A542" s="6" t="s">
        <v>220</v>
      </c>
      <c r="B542" s="98" t="s">
        <v>2882</v>
      </c>
      <c r="C542" s="98" t="s">
        <v>1174</v>
      </c>
      <c r="D542" s="163" t="s">
        <v>2133</v>
      </c>
      <c r="E542" s="164"/>
      <c r="F542" s="98" t="s">
        <v>2849</v>
      </c>
      <c r="G542" s="76">
        <v>56.812</v>
      </c>
      <c r="H542" s="53">
        <v>0</v>
      </c>
      <c r="I542" s="5"/>
    </row>
    <row r="543" spans="1:9" ht="12.2" customHeight="1">
      <c r="A543" s="5"/>
      <c r="D543" s="45" t="s">
        <v>3173</v>
      </c>
      <c r="E543" s="190"/>
      <c r="F543" s="191"/>
      <c r="G543" s="48">
        <v>54.107</v>
      </c>
      <c r="H543" s="52"/>
      <c r="I543" s="5"/>
    </row>
    <row r="544" spans="1:9" ht="12.2" customHeight="1">
      <c r="A544" s="6"/>
      <c r="B544" s="98"/>
      <c r="C544" s="98"/>
      <c r="D544" s="45" t="s">
        <v>3174</v>
      </c>
      <c r="E544" s="190"/>
      <c r="F544" s="190"/>
      <c r="G544" s="77">
        <v>2.705</v>
      </c>
      <c r="H544" s="26"/>
      <c r="I544" s="5"/>
    </row>
    <row r="545" spans="1:9" ht="12.75">
      <c r="A545" s="4" t="s">
        <v>221</v>
      </c>
      <c r="B545" s="94" t="s">
        <v>2882</v>
      </c>
      <c r="C545" s="94" t="s">
        <v>1175</v>
      </c>
      <c r="D545" s="152" t="s">
        <v>2134</v>
      </c>
      <c r="E545" s="153"/>
      <c r="F545" s="94" t="s">
        <v>2849</v>
      </c>
      <c r="G545" s="73">
        <v>19.324</v>
      </c>
      <c r="H545" s="51">
        <v>0</v>
      </c>
      <c r="I545" s="5"/>
    </row>
    <row r="546" spans="1:9" ht="12.2" customHeight="1">
      <c r="A546" s="5"/>
      <c r="D546" s="45" t="s">
        <v>3153</v>
      </c>
      <c r="E546" s="190"/>
      <c r="F546" s="191"/>
      <c r="G546" s="47">
        <v>19.324</v>
      </c>
      <c r="H546" s="52"/>
      <c r="I546" s="5"/>
    </row>
    <row r="547" spans="1:9" ht="12.75">
      <c r="A547" s="6" t="s">
        <v>222</v>
      </c>
      <c r="B547" s="98" t="s">
        <v>2882</v>
      </c>
      <c r="C547" s="98" t="s">
        <v>1176</v>
      </c>
      <c r="D547" s="163" t="s">
        <v>2135</v>
      </c>
      <c r="E547" s="164"/>
      <c r="F547" s="98" t="s">
        <v>2849</v>
      </c>
      <c r="G547" s="76">
        <v>20.29</v>
      </c>
      <c r="H547" s="53">
        <v>0</v>
      </c>
      <c r="I547" s="5"/>
    </row>
    <row r="548" spans="1:9" ht="12.2" customHeight="1">
      <c r="A548" s="5"/>
      <c r="D548" s="45" t="s">
        <v>3175</v>
      </c>
      <c r="E548" s="190"/>
      <c r="F548" s="191"/>
      <c r="G548" s="48">
        <v>19.324</v>
      </c>
      <c r="H548" s="52"/>
      <c r="I548" s="5"/>
    </row>
    <row r="549" spans="1:9" ht="12.2" customHeight="1">
      <c r="A549" s="6"/>
      <c r="B549" s="98"/>
      <c r="C549" s="98"/>
      <c r="D549" s="45" t="s">
        <v>3176</v>
      </c>
      <c r="E549" s="190"/>
      <c r="F549" s="190"/>
      <c r="G549" s="77">
        <v>0.966</v>
      </c>
      <c r="H549" s="26"/>
      <c r="I549" s="5"/>
    </row>
    <row r="550" spans="1:9" ht="12.75">
      <c r="A550" s="4" t="s">
        <v>223</v>
      </c>
      <c r="B550" s="94" t="s">
        <v>2882</v>
      </c>
      <c r="C550" s="94" t="s">
        <v>1177</v>
      </c>
      <c r="D550" s="152" t="s">
        <v>2136</v>
      </c>
      <c r="E550" s="153"/>
      <c r="F550" s="94" t="s">
        <v>2849</v>
      </c>
      <c r="G550" s="73">
        <v>237.83</v>
      </c>
      <c r="H550" s="51">
        <v>0</v>
      </c>
      <c r="I550" s="5"/>
    </row>
    <row r="551" spans="1:9" ht="12.2" customHeight="1">
      <c r="A551" s="5"/>
      <c r="D551" s="45" t="s">
        <v>3149</v>
      </c>
      <c r="E551" s="190"/>
      <c r="F551" s="191"/>
      <c r="G551" s="47">
        <v>237.83</v>
      </c>
      <c r="H551" s="52"/>
      <c r="I551" s="5"/>
    </row>
    <row r="552" spans="1:9" ht="12.75">
      <c r="A552" s="6" t="s">
        <v>224</v>
      </c>
      <c r="B552" s="98" t="s">
        <v>2882</v>
      </c>
      <c r="C552" s="98" t="s">
        <v>1178</v>
      </c>
      <c r="D552" s="163" t="s">
        <v>2137</v>
      </c>
      <c r="E552" s="164"/>
      <c r="F552" s="98" t="s">
        <v>2849</v>
      </c>
      <c r="G552" s="76">
        <v>249.722</v>
      </c>
      <c r="H552" s="53">
        <v>0</v>
      </c>
      <c r="I552" s="5"/>
    </row>
    <row r="553" spans="1:9" ht="12.2" customHeight="1">
      <c r="A553" s="5"/>
      <c r="D553" s="45" t="s">
        <v>3177</v>
      </c>
      <c r="E553" s="190"/>
      <c r="F553" s="191"/>
      <c r="G553" s="48">
        <v>237.83</v>
      </c>
      <c r="H553" s="52"/>
      <c r="I553" s="5"/>
    </row>
    <row r="554" spans="1:9" ht="12.2" customHeight="1">
      <c r="A554" s="6"/>
      <c r="B554" s="98"/>
      <c r="C554" s="98"/>
      <c r="D554" s="45" t="s">
        <v>3178</v>
      </c>
      <c r="E554" s="190"/>
      <c r="F554" s="190"/>
      <c r="G554" s="77">
        <v>11.892</v>
      </c>
      <c r="H554" s="26"/>
      <c r="I554" s="5"/>
    </row>
    <row r="555" spans="1:9" ht="12.75">
      <c r="A555" s="6" t="s">
        <v>225</v>
      </c>
      <c r="B555" s="98" t="s">
        <v>2882</v>
      </c>
      <c r="C555" s="98" t="s">
        <v>1179</v>
      </c>
      <c r="D555" s="163" t="s">
        <v>2138</v>
      </c>
      <c r="E555" s="164"/>
      <c r="F555" s="98" t="s">
        <v>2849</v>
      </c>
      <c r="G555" s="76">
        <v>249.722</v>
      </c>
      <c r="H555" s="53">
        <v>0</v>
      </c>
      <c r="I555" s="5"/>
    </row>
    <row r="556" spans="1:9" ht="12.2" customHeight="1">
      <c r="A556" s="5"/>
      <c r="D556" s="45" t="s">
        <v>3177</v>
      </c>
      <c r="E556" s="190"/>
      <c r="F556" s="191"/>
      <c r="G556" s="48">
        <v>237.83</v>
      </c>
      <c r="H556" s="52"/>
      <c r="I556" s="5"/>
    </row>
    <row r="557" spans="1:9" ht="12.2" customHeight="1">
      <c r="A557" s="6"/>
      <c r="B557" s="98"/>
      <c r="C557" s="98"/>
      <c r="D557" s="45" t="s">
        <v>3178</v>
      </c>
      <c r="E557" s="190"/>
      <c r="F557" s="190"/>
      <c r="G557" s="77">
        <v>11.892</v>
      </c>
      <c r="H557" s="26"/>
      <c r="I557" s="5"/>
    </row>
    <row r="558" spans="1:9" ht="12.75">
      <c r="A558" s="4" t="s">
        <v>226</v>
      </c>
      <c r="B558" s="94" t="s">
        <v>2882</v>
      </c>
      <c r="C558" s="94" t="s">
        <v>1180</v>
      </c>
      <c r="D558" s="152" t="s">
        <v>2139</v>
      </c>
      <c r="E558" s="153"/>
      <c r="F558" s="94" t="s">
        <v>2849</v>
      </c>
      <c r="G558" s="73">
        <v>237.83</v>
      </c>
      <c r="H558" s="51">
        <v>0</v>
      </c>
      <c r="I558" s="5"/>
    </row>
    <row r="559" spans="1:9" ht="12.2" customHeight="1">
      <c r="A559" s="5"/>
      <c r="D559" s="45" t="s">
        <v>3149</v>
      </c>
      <c r="E559" s="190"/>
      <c r="F559" s="191"/>
      <c r="G559" s="47">
        <v>237.83</v>
      </c>
      <c r="H559" s="52"/>
      <c r="I559" s="5"/>
    </row>
    <row r="560" spans="1:9" ht="12.75">
      <c r="A560" s="4" t="s">
        <v>227</v>
      </c>
      <c r="B560" s="94" t="s">
        <v>2882</v>
      </c>
      <c r="C560" s="94" t="s">
        <v>1181</v>
      </c>
      <c r="D560" s="152" t="s">
        <v>2140</v>
      </c>
      <c r="E560" s="153"/>
      <c r="F560" s="94" t="s">
        <v>2849</v>
      </c>
      <c r="G560" s="73">
        <v>188.67</v>
      </c>
      <c r="H560" s="51">
        <v>0</v>
      </c>
      <c r="I560" s="5"/>
    </row>
    <row r="561" spans="1:9" ht="12.2" customHeight="1">
      <c r="A561" s="5"/>
      <c r="D561" s="45" t="s">
        <v>3179</v>
      </c>
      <c r="E561" s="190"/>
      <c r="F561" s="191"/>
      <c r="G561" s="47">
        <v>53.51</v>
      </c>
      <c r="H561" s="52"/>
      <c r="I561" s="5"/>
    </row>
    <row r="562" spans="1:9" ht="12.2" customHeight="1">
      <c r="A562" s="4"/>
      <c r="B562" s="94"/>
      <c r="C562" s="94"/>
      <c r="D562" s="45" t="s">
        <v>3180</v>
      </c>
      <c r="E562" s="190"/>
      <c r="F562" s="190"/>
      <c r="G562" s="75">
        <v>132.41</v>
      </c>
      <c r="H562" s="25"/>
      <c r="I562" s="5"/>
    </row>
    <row r="563" spans="1:9" ht="12.2" customHeight="1">
      <c r="A563" s="4"/>
      <c r="B563" s="94"/>
      <c r="C563" s="94"/>
      <c r="D563" s="45" t="s">
        <v>3118</v>
      </c>
      <c r="E563" s="190"/>
      <c r="F563" s="190"/>
      <c r="G563" s="75">
        <v>2.75</v>
      </c>
      <c r="H563" s="25"/>
      <c r="I563" s="5"/>
    </row>
    <row r="564" spans="1:9" ht="12.75">
      <c r="A564" s="4" t="s">
        <v>228</v>
      </c>
      <c r="B564" s="94" t="s">
        <v>2882</v>
      </c>
      <c r="C564" s="94" t="s">
        <v>1182</v>
      </c>
      <c r="D564" s="152" t="s">
        <v>2141</v>
      </c>
      <c r="E564" s="153"/>
      <c r="F564" s="94" t="s">
        <v>2849</v>
      </c>
      <c r="G564" s="73">
        <v>514.309</v>
      </c>
      <c r="H564" s="51">
        <v>0</v>
      </c>
      <c r="I564" s="5"/>
    </row>
    <row r="565" spans="1:9" ht="12.2" customHeight="1">
      <c r="A565" s="5"/>
      <c r="D565" s="45" t="s">
        <v>3181</v>
      </c>
      <c r="E565" s="190"/>
      <c r="F565" s="191"/>
      <c r="G565" s="47">
        <v>475.661</v>
      </c>
      <c r="H565" s="52"/>
      <c r="I565" s="5"/>
    </row>
    <row r="566" spans="1:9" ht="12.2" customHeight="1">
      <c r="A566" s="4"/>
      <c r="B566" s="94"/>
      <c r="C566" s="94"/>
      <c r="D566" s="45" t="s">
        <v>3182</v>
      </c>
      <c r="E566" s="190"/>
      <c r="F566" s="190"/>
      <c r="G566" s="75">
        <v>38.648</v>
      </c>
      <c r="H566" s="25"/>
      <c r="I566" s="5"/>
    </row>
    <row r="567" spans="1:9" ht="12.75">
      <c r="A567" s="4" t="s">
        <v>229</v>
      </c>
      <c r="B567" s="94" t="s">
        <v>2882</v>
      </c>
      <c r="C567" s="94" t="s">
        <v>1183</v>
      </c>
      <c r="D567" s="152" t="s">
        <v>2142</v>
      </c>
      <c r="E567" s="153"/>
      <c r="F567" s="94" t="s">
        <v>2848</v>
      </c>
      <c r="G567" s="73">
        <v>4.701</v>
      </c>
      <c r="H567" s="51">
        <v>0</v>
      </c>
      <c r="I567" s="5"/>
    </row>
    <row r="568" spans="1:9" ht="12.2" customHeight="1">
      <c r="A568" s="5"/>
      <c r="D568" s="45" t="s">
        <v>3183</v>
      </c>
      <c r="E568" s="190"/>
      <c r="F568" s="191"/>
      <c r="G568" s="47">
        <v>4.701</v>
      </c>
      <c r="H568" s="52"/>
      <c r="I568" s="5"/>
    </row>
    <row r="569" spans="1:9" ht="12.75">
      <c r="A569" s="44"/>
      <c r="B569" s="97"/>
      <c r="C569" s="97" t="s">
        <v>727</v>
      </c>
      <c r="D569" s="161" t="s">
        <v>2143</v>
      </c>
      <c r="E569" s="162"/>
      <c r="F569" s="97"/>
      <c r="G569" s="74"/>
      <c r="H569" s="24"/>
      <c r="I569" s="5"/>
    </row>
    <row r="570" spans="1:9" ht="12.75">
      <c r="A570" s="4" t="s">
        <v>230</v>
      </c>
      <c r="B570" s="94" t="s">
        <v>2882</v>
      </c>
      <c r="C570" s="94" t="s">
        <v>1184</v>
      </c>
      <c r="D570" s="152" t="s">
        <v>2144</v>
      </c>
      <c r="E570" s="153"/>
      <c r="F570" s="94" t="s">
        <v>2851</v>
      </c>
      <c r="G570" s="73">
        <v>29.5</v>
      </c>
      <c r="H570" s="51">
        <v>0</v>
      </c>
      <c r="I570" s="5"/>
    </row>
    <row r="571" spans="1:9" ht="12.75">
      <c r="A571" s="4" t="s">
        <v>231</v>
      </c>
      <c r="B571" s="94" t="s">
        <v>2882</v>
      </c>
      <c r="C571" s="94" t="s">
        <v>1185</v>
      </c>
      <c r="D571" s="152" t="s">
        <v>2145</v>
      </c>
      <c r="E571" s="153"/>
      <c r="F571" s="94" t="s">
        <v>2851</v>
      </c>
      <c r="G571" s="73">
        <v>10.5</v>
      </c>
      <c r="H571" s="51">
        <v>0</v>
      </c>
      <c r="I571" s="5"/>
    </row>
    <row r="572" spans="1:9" ht="12.75">
      <c r="A572" s="4" t="s">
        <v>232</v>
      </c>
      <c r="B572" s="94" t="s">
        <v>2882</v>
      </c>
      <c r="C572" s="94" t="s">
        <v>1186</v>
      </c>
      <c r="D572" s="152" t="s">
        <v>2146</v>
      </c>
      <c r="E572" s="153"/>
      <c r="F572" s="94" t="s">
        <v>2851</v>
      </c>
      <c r="G572" s="73">
        <v>72</v>
      </c>
      <c r="H572" s="51">
        <v>0</v>
      </c>
      <c r="I572" s="5"/>
    </row>
    <row r="573" spans="1:9" ht="12.75">
      <c r="A573" s="4" t="s">
        <v>233</v>
      </c>
      <c r="B573" s="94" t="s">
        <v>2882</v>
      </c>
      <c r="C573" s="94" t="s">
        <v>1187</v>
      </c>
      <c r="D573" s="152" t="s">
        <v>2147</v>
      </c>
      <c r="E573" s="153"/>
      <c r="F573" s="94" t="s">
        <v>2851</v>
      </c>
      <c r="G573" s="73">
        <v>8.5</v>
      </c>
      <c r="H573" s="51">
        <v>0</v>
      </c>
      <c r="I573" s="5"/>
    </row>
    <row r="574" spans="1:9" ht="12.75">
      <c r="A574" s="4" t="s">
        <v>234</v>
      </c>
      <c r="B574" s="94" t="s">
        <v>2882</v>
      </c>
      <c r="C574" s="94" t="s">
        <v>1188</v>
      </c>
      <c r="D574" s="152" t="s">
        <v>2148</v>
      </c>
      <c r="E574" s="153"/>
      <c r="F574" s="94" t="s">
        <v>2851</v>
      </c>
      <c r="G574" s="73">
        <v>34.5</v>
      </c>
      <c r="H574" s="51">
        <v>0</v>
      </c>
      <c r="I574" s="5"/>
    </row>
    <row r="575" spans="1:9" ht="12.75">
      <c r="A575" s="4" t="s">
        <v>235</v>
      </c>
      <c r="B575" s="94" t="s">
        <v>2882</v>
      </c>
      <c r="C575" s="94" t="s">
        <v>1189</v>
      </c>
      <c r="D575" s="152" t="s">
        <v>2149</v>
      </c>
      <c r="E575" s="153"/>
      <c r="F575" s="94" t="s">
        <v>2851</v>
      </c>
      <c r="G575" s="73">
        <v>13.5</v>
      </c>
      <c r="H575" s="51">
        <v>0</v>
      </c>
      <c r="I575" s="5"/>
    </row>
    <row r="576" spans="1:9" ht="12.75">
      <c r="A576" s="4" t="s">
        <v>236</v>
      </c>
      <c r="B576" s="94" t="s">
        <v>2882</v>
      </c>
      <c r="C576" s="94" t="s">
        <v>1190</v>
      </c>
      <c r="D576" s="152" t="s">
        <v>2150</v>
      </c>
      <c r="E576" s="153"/>
      <c r="F576" s="94" t="s">
        <v>2851</v>
      </c>
      <c r="G576" s="73">
        <v>82.5</v>
      </c>
      <c r="H576" s="51">
        <v>0</v>
      </c>
      <c r="I576" s="5"/>
    </row>
    <row r="577" spans="1:9" ht="12.75">
      <c r="A577" s="4" t="s">
        <v>237</v>
      </c>
      <c r="B577" s="94" t="s">
        <v>2882</v>
      </c>
      <c r="C577" s="94" t="s">
        <v>1191</v>
      </c>
      <c r="D577" s="152" t="s">
        <v>2151</v>
      </c>
      <c r="E577" s="153"/>
      <c r="F577" s="94" t="s">
        <v>2851</v>
      </c>
      <c r="G577" s="73">
        <v>46</v>
      </c>
      <c r="H577" s="51">
        <v>0</v>
      </c>
      <c r="I577" s="5"/>
    </row>
    <row r="578" spans="1:9" ht="12.75">
      <c r="A578" s="4" t="s">
        <v>238</v>
      </c>
      <c r="B578" s="94" t="s">
        <v>2882</v>
      </c>
      <c r="C578" s="94" t="s">
        <v>1192</v>
      </c>
      <c r="D578" s="152" t="s">
        <v>2152</v>
      </c>
      <c r="E578" s="153"/>
      <c r="F578" s="94" t="s">
        <v>2851</v>
      </c>
      <c r="G578" s="73">
        <v>8.5</v>
      </c>
      <c r="H578" s="51">
        <v>0</v>
      </c>
      <c r="I578" s="5"/>
    </row>
    <row r="579" spans="1:9" ht="12.75">
      <c r="A579" s="4" t="s">
        <v>239</v>
      </c>
      <c r="B579" s="94" t="s">
        <v>2882</v>
      </c>
      <c r="C579" s="94" t="s">
        <v>1193</v>
      </c>
      <c r="D579" s="152" t="s">
        <v>2153</v>
      </c>
      <c r="E579" s="153"/>
      <c r="F579" s="94" t="s">
        <v>2850</v>
      </c>
      <c r="G579" s="73">
        <v>44</v>
      </c>
      <c r="H579" s="51">
        <v>0</v>
      </c>
      <c r="I579" s="5"/>
    </row>
    <row r="580" spans="1:9" ht="12.75">
      <c r="A580" s="4" t="s">
        <v>240</v>
      </c>
      <c r="B580" s="94" t="s">
        <v>2882</v>
      </c>
      <c r="C580" s="94" t="s">
        <v>1194</v>
      </c>
      <c r="D580" s="152" t="s">
        <v>2154</v>
      </c>
      <c r="E580" s="153"/>
      <c r="F580" s="94" t="s">
        <v>2850</v>
      </c>
      <c r="G580" s="73">
        <v>3</v>
      </c>
      <c r="H580" s="51">
        <v>0</v>
      </c>
      <c r="I580" s="5"/>
    </row>
    <row r="581" spans="1:9" ht="12.75">
      <c r="A581" s="4" t="s">
        <v>241</v>
      </c>
      <c r="B581" s="94" t="s">
        <v>2882</v>
      </c>
      <c r="C581" s="94" t="s">
        <v>1195</v>
      </c>
      <c r="D581" s="152" t="s">
        <v>2155</v>
      </c>
      <c r="E581" s="153"/>
      <c r="F581" s="94" t="s">
        <v>2850</v>
      </c>
      <c r="G581" s="73">
        <v>10</v>
      </c>
      <c r="H581" s="51">
        <v>0</v>
      </c>
      <c r="I581" s="5"/>
    </row>
    <row r="582" spans="1:9" ht="12.75">
      <c r="A582" s="4" t="s">
        <v>242</v>
      </c>
      <c r="B582" s="94" t="s">
        <v>2882</v>
      </c>
      <c r="C582" s="94" t="s">
        <v>1196</v>
      </c>
      <c r="D582" s="152" t="s">
        <v>2156</v>
      </c>
      <c r="E582" s="153"/>
      <c r="F582" s="94" t="s">
        <v>2850</v>
      </c>
      <c r="G582" s="73">
        <v>5</v>
      </c>
      <c r="H582" s="51">
        <v>0</v>
      </c>
      <c r="I582" s="5"/>
    </row>
    <row r="583" spans="1:9" ht="12.75">
      <c r="A583" s="4" t="s">
        <v>243</v>
      </c>
      <c r="B583" s="94" t="s">
        <v>2882</v>
      </c>
      <c r="C583" s="94" t="s">
        <v>1197</v>
      </c>
      <c r="D583" s="152" t="s">
        <v>2157</v>
      </c>
      <c r="E583" s="153"/>
      <c r="F583" s="94" t="s">
        <v>2850</v>
      </c>
      <c r="G583" s="73">
        <v>1</v>
      </c>
      <c r="H583" s="51">
        <v>0</v>
      </c>
      <c r="I583" s="5"/>
    </row>
    <row r="584" spans="1:9" ht="12.75">
      <c r="A584" s="4" t="s">
        <v>244</v>
      </c>
      <c r="B584" s="94" t="s">
        <v>2882</v>
      </c>
      <c r="C584" s="94" t="s">
        <v>1198</v>
      </c>
      <c r="D584" s="152" t="s">
        <v>2158</v>
      </c>
      <c r="E584" s="153"/>
      <c r="F584" s="94" t="s">
        <v>2850</v>
      </c>
      <c r="G584" s="73">
        <v>4</v>
      </c>
      <c r="H584" s="51">
        <v>0</v>
      </c>
      <c r="I584" s="5"/>
    </row>
    <row r="585" spans="1:9" ht="12.75">
      <c r="A585" s="4" t="s">
        <v>245</v>
      </c>
      <c r="B585" s="94" t="s">
        <v>2882</v>
      </c>
      <c r="C585" s="94" t="s">
        <v>1199</v>
      </c>
      <c r="D585" s="152" t="s">
        <v>2159</v>
      </c>
      <c r="E585" s="153"/>
      <c r="F585" s="94" t="s">
        <v>2850</v>
      </c>
      <c r="G585" s="73">
        <v>6</v>
      </c>
      <c r="H585" s="51">
        <v>0</v>
      </c>
      <c r="I585" s="5"/>
    </row>
    <row r="586" spans="1:9" ht="12.75">
      <c r="A586" s="4" t="s">
        <v>246</v>
      </c>
      <c r="B586" s="94" t="s">
        <v>2882</v>
      </c>
      <c r="C586" s="94" t="s">
        <v>1200</v>
      </c>
      <c r="D586" s="152" t="s">
        <v>2160</v>
      </c>
      <c r="E586" s="153"/>
      <c r="F586" s="94" t="s">
        <v>2850</v>
      </c>
      <c r="G586" s="73">
        <v>1</v>
      </c>
      <c r="H586" s="51">
        <v>0</v>
      </c>
      <c r="I586" s="5"/>
    </row>
    <row r="587" spans="1:9" ht="12.75">
      <c r="A587" s="4" t="s">
        <v>247</v>
      </c>
      <c r="B587" s="94" t="s">
        <v>2882</v>
      </c>
      <c r="C587" s="94" t="s">
        <v>1201</v>
      </c>
      <c r="D587" s="152" t="s">
        <v>2161</v>
      </c>
      <c r="E587" s="153"/>
      <c r="F587" s="94" t="s">
        <v>2850</v>
      </c>
      <c r="G587" s="73">
        <v>8</v>
      </c>
      <c r="H587" s="51">
        <v>0</v>
      </c>
      <c r="I587" s="5"/>
    </row>
    <row r="588" spans="1:9" ht="12.75">
      <c r="A588" s="4" t="s">
        <v>248</v>
      </c>
      <c r="B588" s="94" t="s">
        <v>2882</v>
      </c>
      <c r="C588" s="94" t="s">
        <v>1202</v>
      </c>
      <c r="D588" s="152" t="s">
        <v>2162</v>
      </c>
      <c r="E588" s="153"/>
      <c r="F588" s="94" t="s">
        <v>2850</v>
      </c>
      <c r="G588" s="73">
        <v>1</v>
      </c>
      <c r="H588" s="51">
        <v>0</v>
      </c>
      <c r="I588" s="5"/>
    </row>
    <row r="589" spans="1:9" ht="12.75">
      <c r="A589" s="4" t="s">
        <v>249</v>
      </c>
      <c r="B589" s="94" t="s">
        <v>2882</v>
      </c>
      <c r="C589" s="94" t="s">
        <v>1203</v>
      </c>
      <c r="D589" s="152" t="s">
        <v>2163</v>
      </c>
      <c r="E589" s="153"/>
      <c r="F589" s="94" t="s">
        <v>2850</v>
      </c>
      <c r="G589" s="73">
        <v>4</v>
      </c>
      <c r="H589" s="51">
        <v>0</v>
      </c>
      <c r="I589" s="5"/>
    </row>
    <row r="590" spans="1:9" ht="12.75">
      <c r="A590" s="4" t="s">
        <v>250</v>
      </c>
      <c r="B590" s="94" t="s">
        <v>2882</v>
      </c>
      <c r="C590" s="94" t="s">
        <v>1204</v>
      </c>
      <c r="D590" s="152" t="s">
        <v>2164</v>
      </c>
      <c r="E590" s="153"/>
      <c r="F590" s="94" t="s">
        <v>2850</v>
      </c>
      <c r="G590" s="73">
        <v>2</v>
      </c>
      <c r="H590" s="51">
        <v>0</v>
      </c>
      <c r="I590" s="5"/>
    </row>
    <row r="591" spans="1:9" ht="12.75">
      <c r="A591" s="4" t="s">
        <v>251</v>
      </c>
      <c r="B591" s="94" t="s">
        <v>2882</v>
      </c>
      <c r="C591" s="94" t="s">
        <v>1205</v>
      </c>
      <c r="D591" s="152" t="s">
        <v>2165</v>
      </c>
      <c r="E591" s="153"/>
      <c r="F591" s="94" t="s">
        <v>2850</v>
      </c>
      <c r="G591" s="73">
        <v>3</v>
      </c>
      <c r="H591" s="51">
        <v>0</v>
      </c>
      <c r="I591" s="5"/>
    </row>
    <row r="592" spans="1:9" ht="12.75">
      <c r="A592" s="4" t="s">
        <v>252</v>
      </c>
      <c r="B592" s="94" t="s">
        <v>2882</v>
      </c>
      <c r="C592" s="94" t="s">
        <v>1206</v>
      </c>
      <c r="D592" s="152" t="s">
        <v>2166</v>
      </c>
      <c r="E592" s="153"/>
      <c r="F592" s="94" t="s">
        <v>2850</v>
      </c>
      <c r="G592" s="73">
        <v>2</v>
      </c>
      <c r="H592" s="51">
        <v>0</v>
      </c>
      <c r="I592" s="5"/>
    </row>
    <row r="593" spans="1:9" ht="12.75">
      <c r="A593" s="4" t="s">
        <v>253</v>
      </c>
      <c r="B593" s="94" t="s">
        <v>2882</v>
      </c>
      <c r="C593" s="94" t="s">
        <v>1207</v>
      </c>
      <c r="D593" s="152" t="s">
        <v>2167</v>
      </c>
      <c r="E593" s="153"/>
      <c r="F593" s="94" t="s">
        <v>2850</v>
      </c>
      <c r="G593" s="73">
        <v>1</v>
      </c>
      <c r="H593" s="51">
        <v>0</v>
      </c>
      <c r="I593" s="5"/>
    </row>
    <row r="594" spans="1:9" ht="12.75">
      <c r="A594" s="4" t="s">
        <v>254</v>
      </c>
      <c r="B594" s="94" t="s">
        <v>2882</v>
      </c>
      <c r="C594" s="94" t="s">
        <v>1208</v>
      </c>
      <c r="D594" s="152" t="s">
        <v>2168</v>
      </c>
      <c r="E594" s="153"/>
      <c r="F594" s="94" t="s">
        <v>2850</v>
      </c>
      <c r="G594" s="73">
        <v>2</v>
      </c>
      <c r="H594" s="51">
        <v>0</v>
      </c>
      <c r="I594" s="5"/>
    </row>
    <row r="595" spans="1:9" ht="12.75">
      <c r="A595" s="4" t="s">
        <v>255</v>
      </c>
      <c r="B595" s="94" t="s">
        <v>2882</v>
      </c>
      <c r="C595" s="94" t="s">
        <v>1209</v>
      </c>
      <c r="D595" s="152" t="s">
        <v>2169</v>
      </c>
      <c r="E595" s="153"/>
      <c r="F595" s="94" t="s">
        <v>2850</v>
      </c>
      <c r="G595" s="73">
        <v>2</v>
      </c>
      <c r="H595" s="51">
        <v>0</v>
      </c>
      <c r="I595" s="5"/>
    </row>
    <row r="596" spans="1:9" ht="12.75">
      <c r="A596" s="4" t="s">
        <v>256</v>
      </c>
      <c r="B596" s="94" t="s">
        <v>2882</v>
      </c>
      <c r="C596" s="94" t="s">
        <v>1210</v>
      </c>
      <c r="D596" s="152" t="s">
        <v>2170</v>
      </c>
      <c r="E596" s="153"/>
      <c r="F596" s="94" t="s">
        <v>2850</v>
      </c>
      <c r="G596" s="73">
        <v>3</v>
      </c>
      <c r="H596" s="51">
        <v>0</v>
      </c>
      <c r="I596" s="5"/>
    </row>
    <row r="597" spans="1:9" ht="12.75">
      <c r="A597" s="4" t="s">
        <v>257</v>
      </c>
      <c r="B597" s="94" t="s">
        <v>2882</v>
      </c>
      <c r="C597" s="94" t="s">
        <v>1211</v>
      </c>
      <c r="D597" s="152" t="s">
        <v>2171</v>
      </c>
      <c r="E597" s="153"/>
      <c r="F597" s="94" t="s">
        <v>2850</v>
      </c>
      <c r="G597" s="73">
        <v>2</v>
      </c>
      <c r="H597" s="51">
        <v>0</v>
      </c>
      <c r="I597" s="5"/>
    </row>
    <row r="598" spans="1:9" ht="12.75">
      <c r="A598" s="4" t="s">
        <v>258</v>
      </c>
      <c r="B598" s="94" t="s">
        <v>2882</v>
      </c>
      <c r="C598" s="94" t="s">
        <v>1212</v>
      </c>
      <c r="D598" s="152" t="s">
        <v>2172</v>
      </c>
      <c r="E598" s="153"/>
      <c r="F598" s="94" t="s">
        <v>2850</v>
      </c>
      <c r="G598" s="73">
        <v>5</v>
      </c>
      <c r="H598" s="51">
        <v>0</v>
      </c>
      <c r="I598" s="5"/>
    </row>
    <row r="599" spans="1:9" ht="12.75">
      <c r="A599" s="4" t="s">
        <v>259</v>
      </c>
      <c r="B599" s="94" t="s">
        <v>2882</v>
      </c>
      <c r="C599" s="94" t="s">
        <v>1213</v>
      </c>
      <c r="D599" s="152" t="s">
        <v>2173</v>
      </c>
      <c r="E599" s="153"/>
      <c r="F599" s="94" t="s">
        <v>2850</v>
      </c>
      <c r="G599" s="73">
        <v>2</v>
      </c>
      <c r="H599" s="51">
        <v>0</v>
      </c>
      <c r="I599" s="5"/>
    </row>
    <row r="600" spans="1:9" ht="12.75">
      <c r="A600" s="4" t="s">
        <v>260</v>
      </c>
      <c r="B600" s="94" t="s">
        <v>2882</v>
      </c>
      <c r="C600" s="94" t="s">
        <v>1214</v>
      </c>
      <c r="D600" s="152" t="s">
        <v>2174</v>
      </c>
      <c r="E600" s="153"/>
      <c r="F600" s="94" t="s">
        <v>2850</v>
      </c>
      <c r="G600" s="73">
        <v>2</v>
      </c>
      <c r="H600" s="51">
        <v>0</v>
      </c>
      <c r="I600" s="5"/>
    </row>
    <row r="601" spans="1:9" ht="12.75">
      <c r="A601" s="4" t="s">
        <v>261</v>
      </c>
      <c r="B601" s="94" t="s">
        <v>2882</v>
      </c>
      <c r="C601" s="94" t="s">
        <v>1215</v>
      </c>
      <c r="D601" s="152" t="s">
        <v>2175</v>
      </c>
      <c r="E601" s="153"/>
      <c r="F601" s="94" t="s">
        <v>2850</v>
      </c>
      <c r="G601" s="73">
        <v>1</v>
      </c>
      <c r="H601" s="51">
        <v>0</v>
      </c>
      <c r="I601" s="5"/>
    </row>
    <row r="602" spans="1:9" ht="12.75">
      <c r="A602" s="4" t="s">
        <v>262</v>
      </c>
      <c r="B602" s="94" t="s">
        <v>2882</v>
      </c>
      <c r="C602" s="94" t="s">
        <v>1216</v>
      </c>
      <c r="D602" s="152" t="s">
        <v>2176</v>
      </c>
      <c r="E602" s="153"/>
      <c r="F602" s="94" t="s">
        <v>2850</v>
      </c>
      <c r="G602" s="73">
        <v>1</v>
      </c>
      <c r="H602" s="51">
        <v>0</v>
      </c>
      <c r="I602" s="5"/>
    </row>
    <row r="603" spans="1:9" ht="12.75">
      <c r="A603" s="4" t="s">
        <v>263</v>
      </c>
      <c r="B603" s="94" t="s">
        <v>2882</v>
      </c>
      <c r="C603" s="94" t="s">
        <v>1217</v>
      </c>
      <c r="D603" s="152" t="s">
        <v>2177</v>
      </c>
      <c r="E603" s="153"/>
      <c r="F603" s="94" t="s">
        <v>2850</v>
      </c>
      <c r="G603" s="73">
        <v>1</v>
      </c>
      <c r="H603" s="51">
        <v>0</v>
      </c>
      <c r="I603" s="5"/>
    </row>
    <row r="604" spans="1:9" ht="12.75">
      <c r="A604" s="4" t="s">
        <v>264</v>
      </c>
      <c r="B604" s="94" t="s">
        <v>2882</v>
      </c>
      <c r="C604" s="94" t="s">
        <v>1218</v>
      </c>
      <c r="D604" s="152" t="s">
        <v>2178</v>
      </c>
      <c r="E604" s="153"/>
      <c r="F604" s="94" t="s">
        <v>2850</v>
      </c>
      <c r="G604" s="73">
        <v>1</v>
      </c>
      <c r="H604" s="51">
        <v>0</v>
      </c>
      <c r="I604" s="5"/>
    </row>
    <row r="605" spans="1:9" ht="12.75">
      <c r="A605" s="4" t="s">
        <v>265</v>
      </c>
      <c r="B605" s="94" t="s">
        <v>2882</v>
      </c>
      <c r="C605" s="94" t="s">
        <v>1219</v>
      </c>
      <c r="D605" s="152" t="s">
        <v>2179</v>
      </c>
      <c r="E605" s="153"/>
      <c r="F605" s="94" t="s">
        <v>2850</v>
      </c>
      <c r="G605" s="73">
        <v>1</v>
      </c>
      <c r="H605" s="51">
        <v>0</v>
      </c>
      <c r="I605" s="5"/>
    </row>
    <row r="606" spans="1:9" ht="12.75">
      <c r="A606" s="4" t="s">
        <v>266</v>
      </c>
      <c r="B606" s="94" t="s">
        <v>2882</v>
      </c>
      <c r="C606" s="94" t="s">
        <v>1220</v>
      </c>
      <c r="D606" s="152" t="s">
        <v>2180</v>
      </c>
      <c r="E606" s="153"/>
      <c r="F606" s="94" t="s">
        <v>2850</v>
      </c>
      <c r="G606" s="73">
        <v>1</v>
      </c>
      <c r="H606" s="51">
        <v>0</v>
      </c>
      <c r="I606" s="5"/>
    </row>
    <row r="607" spans="1:9" ht="12.75">
      <c r="A607" s="4" t="s">
        <v>267</v>
      </c>
      <c r="B607" s="94" t="s">
        <v>2882</v>
      </c>
      <c r="C607" s="94" t="s">
        <v>1221</v>
      </c>
      <c r="D607" s="152" t="s">
        <v>2181</v>
      </c>
      <c r="E607" s="153"/>
      <c r="F607" s="94" t="s">
        <v>2850</v>
      </c>
      <c r="G607" s="73">
        <v>18</v>
      </c>
      <c r="H607" s="51">
        <v>0</v>
      </c>
      <c r="I607" s="5"/>
    </row>
    <row r="608" spans="1:9" ht="12.75">
      <c r="A608" s="4" t="s">
        <v>268</v>
      </c>
      <c r="B608" s="94" t="s">
        <v>2882</v>
      </c>
      <c r="C608" s="94" t="s">
        <v>1222</v>
      </c>
      <c r="D608" s="152" t="s">
        <v>2182</v>
      </c>
      <c r="E608" s="153"/>
      <c r="F608" s="94" t="s">
        <v>2850</v>
      </c>
      <c r="G608" s="73">
        <v>11</v>
      </c>
      <c r="H608" s="51">
        <v>0</v>
      </c>
      <c r="I608" s="5"/>
    </row>
    <row r="609" spans="1:9" ht="12.75">
      <c r="A609" s="4" t="s">
        <v>269</v>
      </c>
      <c r="B609" s="94" t="s">
        <v>2882</v>
      </c>
      <c r="C609" s="94" t="s">
        <v>1223</v>
      </c>
      <c r="D609" s="152" t="s">
        <v>2183</v>
      </c>
      <c r="E609" s="153"/>
      <c r="F609" s="94" t="s">
        <v>2850</v>
      </c>
      <c r="G609" s="73">
        <v>11</v>
      </c>
      <c r="H609" s="51">
        <v>0</v>
      </c>
      <c r="I609" s="5"/>
    </row>
    <row r="610" spans="1:9" ht="12.75">
      <c r="A610" s="4" t="s">
        <v>270</v>
      </c>
      <c r="B610" s="94" t="s">
        <v>2882</v>
      </c>
      <c r="C610" s="94" t="s">
        <v>1224</v>
      </c>
      <c r="D610" s="152" t="s">
        <v>2184</v>
      </c>
      <c r="E610" s="153"/>
      <c r="F610" s="94" t="s">
        <v>2851</v>
      </c>
      <c r="G610" s="73">
        <v>43</v>
      </c>
      <c r="H610" s="51">
        <v>0</v>
      </c>
      <c r="I610" s="5"/>
    </row>
    <row r="611" spans="1:9" ht="12.75">
      <c r="A611" s="4" t="s">
        <v>271</v>
      </c>
      <c r="B611" s="94" t="s">
        <v>2882</v>
      </c>
      <c r="C611" s="94" t="s">
        <v>1225</v>
      </c>
      <c r="D611" s="152" t="s">
        <v>2185</v>
      </c>
      <c r="E611" s="153"/>
      <c r="F611" s="94" t="s">
        <v>2851</v>
      </c>
      <c r="G611" s="73">
        <v>96</v>
      </c>
      <c r="H611" s="51">
        <v>0</v>
      </c>
      <c r="I611" s="5"/>
    </row>
    <row r="612" spans="1:9" ht="12.75">
      <c r="A612" s="4" t="s">
        <v>272</v>
      </c>
      <c r="B612" s="94" t="s">
        <v>2882</v>
      </c>
      <c r="C612" s="94" t="s">
        <v>1226</v>
      </c>
      <c r="D612" s="152" t="s">
        <v>2186</v>
      </c>
      <c r="E612" s="153"/>
      <c r="F612" s="94" t="s">
        <v>2850</v>
      </c>
      <c r="G612" s="73">
        <v>11</v>
      </c>
      <c r="H612" s="51">
        <v>0</v>
      </c>
      <c r="I612" s="5"/>
    </row>
    <row r="613" spans="1:9" ht="12.75">
      <c r="A613" s="4" t="s">
        <v>273</v>
      </c>
      <c r="B613" s="94" t="s">
        <v>2882</v>
      </c>
      <c r="C613" s="94" t="s">
        <v>1227</v>
      </c>
      <c r="D613" s="152" t="s">
        <v>2187</v>
      </c>
      <c r="E613" s="153"/>
      <c r="F613" s="94" t="s">
        <v>2850</v>
      </c>
      <c r="G613" s="73">
        <v>8</v>
      </c>
      <c r="H613" s="51">
        <v>0</v>
      </c>
      <c r="I613" s="5"/>
    </row>
    <row r="614" spans="1:9" ht="12.75">
      <c r="A614" s="4" t="s">
        <v>274</v>
      </c>
      <c r="B614" s="94" t="s">
        <v>2882</v>
      </c>
      <c r="C614" s="94" t="s">
        <v>1228</v>
      </c>
      <c r="D614" s="152" t="s">
        <v>2188</v>
      </c>
      <c r="E614" s="153"/>
      <c r="F614" s="94" t="s">
        <v>2850</v>
      </c>
      <c r="G614" s="73">
        <v>2</v>
      </c>
      <c r="H614" s="51">
        <v>0</v>
      </c>
      <c r="I614" s="5"/>
    </row>
    <row r="615" spans="1:9" ht="12.75">
      <c r="A615" s="4" t="s">
        <v>275</v>
      </c>
      <c r="B615" s="94" t="s">
        <v>2882</v>
      </c>
      <c r="C615" s="94" t="s">
        <v>1229</v>
      </c>
      <c r="D615" s="152" t="s">
        <v>2189</v>
      </c>
      <c r="E615" s="153"/>
      <c r="F615" s="94" t="s">
        <v>2852</v>
      </c>
      <c r="G615" s="73">
        <v>100</v>
      </c>
      <c r="H615" s="51">
        <v>0</v>
      </c>
      <c r="I615" s="5"/>
    </row>
    <row r="616" spans="1:9" ht="12.75">
      <c r="A616" s="4" t="s">
        <v>276</v>
      </c>
      <c r="B616" s="94" t="s">
        <v>2882</v>
      </c>
      <c r="C616" s="94" t="s">
        <v>1230</v>
      </c>
      <c r="D616" s="152" t="s">
        <v>2190</v>
      </c>
      <c r="E616" s="153"/>
      <c r="F616" s="94" t="s">
        <v>2851</v>
      </c>
      <c r="G616" s="73">
        <v>305.5</v>
      </c>
      <c r="H616" s="51">
        <v>0</v>
      </c>
      <c r="I616" s="5"/>
    </row>
    <row r="617" spans="1:9" ht="12.75">
      <c r="A617" s="4" t="s">
        <v>277</v>
      </c>
      <c r="B617" s="94" t="s">
        <v>2882</v>
      </c>
      <c r="C617" s="94" t="s">
        <v>1231</v>
      </c>
      <c r="D617" s="152" t="s">
        <v>2191</v>
      </c>
      <c r="E617" s="153"/>
      <c r="F617" s="94" t="s">
        <v>2851</v>
      </c>
      <c r="G617" s="73">
        <v>305.5</v>
      </c>
      <c r="H617" s="51">
        <v>0</v>
      </c>
      <c r="I617" s="5"/>
    </row>
    <row r="618" spans="1:9" ht="12.75">
      <c r="A618" s="4" t="s">
        <v>278</v>
      </c>
      <c r="B618" s="94" t="s">
        <v>2882</v>
      </c>
      <c r="C618" s="94" t="s">
        <v>1232</v>
      </c>
      <c r="D618" s="152" t="s">
        <v>2192</v>
      </c>
      <c r="E618" s="153"/>
      <c r="F618" s="94" t="s">
        <v>2851</v>
      </c>
      <c r="G618" s="73">
        <v>305.5</v>
      </c>
      <c r="H618" s="51">
        <v>0</v>
      </c>
      <c r="I618" s="5"/>
    </row>
    <row r="619" spans="1:9" ht="12.75">
      <c r="A619" s="4" t="s">
        <v>279</v>
      </c>
      <c r="B619" s="94" t="s">
        <v>2882</v>
      </c>
      <c r="C619" s="94" t="s">
        <v>1233</v>
      </c>
      <c r="D619" s="152" t="s">
        <v>2193</v>
      </c>
      <c r="E619" s="153"/>
      <c r="F619" s="94" t="s">
        <v>2852</v>
      </c>
      <c r="G619" s="73">
        <v>60</v>
      </c>
      <c r="H619" s="51">
        <v>0</v>
      </c>
      <c r="I619" s="5"/>
    </row>
    <row r="620" spans="1:9" ht="12.75">
      <c r="A620" s="4" t="s">
        <v>280</v>
      </c>
      <c r="B620" s="94" t="s">
        <v>2882</v>
      </c>
      <c r="C620" s="94" t="s">
        <v>1234</v>
      </c>
      <c r="D620" s="152" t="s">
        <v>2194</v>
      </c>
      <c r="E620" s="153"/>
      <c r="F620" s="94" t="s">
        <v>2850</v>
      </c>
      <c r="G620" s="73">
        <v>1</v>
      </c>
      <c r="H620" s="51">
        <v>0</v>
      </c>
      <c r="I620" s="5"/>
    </row>
    <row r="621" spans="1:9" ht="12.75">
      <c r="A621" s="4" t="s">
        <v>281</v>
      </c>
      <c r="B621" s="94" t="s">
        <v>2882</v>
      </c>
      <c r="C621" s="94" t="s">
        <v>1235</v>
      </c>
      <c r="D621" s="152" t="s">
        <v>2195</v>
      </c>
      <c r="E621" s="153"/>
      <c r="F621" s="94" t="s">
        <v>2850</v>
      </c>
      <c r="G621" s="73">
        <v>1</v>
      </c>
      <c r="H621" s="51">
        <v>0</v>
      </c>
      <c r="I621" s="5"/>
    </row>
    <row r="622" spans="1:9" ht="12.75">
      <c r="A622" s="4" t="s">
        <v>282</v>
      </c>
      <c r="B622" s="94" t="s">
        <v>2882</v>
      </c>
      <c r="C622" s="94" t="s">
        <v>1236</v>
      </c>
      <c r="D622" s="152" t="s">
        <v>2196</v>
      </c>
      <c r="E622" s="153"/>
      <c r="F622" s="94" t="s">
        <v>2850</v>
      </c>
      <c r="G622" s="73">
        <v>1</v>
      </c>
      <c r="H622" s="51">
        <v>0</v>
      </c>
      <c r="I622" s="5"/>
    </row>
    <row r="623" spans="1:9" ht="12.75">
      <c r="A623" s="44"/>
      <c r="B623" s="97"/>
      <c r="C623" s="97" t="s">
        <v>728</v>
      </c>
      <c r="D623" s="161" t="s">
        <v>2197</v>
      </c>
      <c r="E623" s="162"/>
      <c r="F623" s="97"/>
      <c r="G623" s="74"/>
      <c r="H623" s="24"/>
      <c r="I623" s="5"/>
    </row>
    <row r="624" spans="1:9" ht="12.75">
      <c r="A624" s="4" t="s">
        <v>283</v>
      </c>
      <c r="B624" s="94" t="s">
        <v>2882</v>
      </c>
      <c r="C624" s="94" t="s">
        <v>1237</v>
      </c>
      <c r="D624" s="152" t="s">
        <v>2198</v>
      </c>
      <c r="E624" s="153"/>
      <c r="F624" s="94" t="s">
        <v>2851</v>
      </c>
      <c r="G624" s="73">
        <v>177</v>
      </c>
      <c r="H624" s="51">
        <v>0</v>
      </c>
      <c r="I624" s="5"/>
    </row>
    <row r="625" spans="1:9" ht="12.75">
      <c r="A625" s="4" t="s">
        <v>284</v>
      </c>
      <c r="B625" s="94" t="s">
        <v>2882</v>
      </c>
      <c r="C625" s="94" t="s">
        <v>1238</v>
      </c>
      <c r="D625" s="152" t="s">
        <v>2199</v>
      </c>
      <c r="E625" s="153"/>
      <c r="F625" s="94" t="s">
        <v>2851</v>
      </c>
      <c r="G625" s="73">
        <v>67</v>
      </c>
      <c r="H625" s="51">
        <v>0</v>
      </c>
      <c r="I625" s="5"/>
    </row>
    <row r="626" spans="1:9" ht="12.75">
      <c r="A626" s="4" t="s">
        <v>285</v>
      </c>
      <c r="B626" s="94" t="s">
        <v>2882</v>
      </c>
      <c r="C626" s="94" t="s">
        <v>1239</v>
      </c>
      <c r="D626" s="152" t="s">
        <v>2200</v>
      </c>
      <c r="E626" s="153"/>
      <c r="F626" s="94" t="s">
        <v>2851</v>
      </c>
      <c r="G626" s="73">
        <v>30.5</v>
      </c>
      <c r="H626" s="51">
        <v>0</v>
      </c>
      <c r="I626" s="5"/>
    </row>
    <row r="627" spans="1:9" ht="12.75">
      <c r="A627" s="4" t="s">
        <v>286</v>
      </c>
      <c r="B627" s="94" t="s">
        <v>2882</v>
      </c>
      <c r="C627" s="94" t="s">
        <v>1240</v>
      </c>
      <c r="D627" s="152" t="s">
        <v>2201</v>
      </c>
      <c r="E627" s="153"/>
      <c r="F627" s="94" t="s">
        <v>2851</v>
      </c>
      <c r="G627" s="73">
        <v>10.5</v>
      </c>
      <c r="H627" s="51">
        <v>0</v>
      </c>
      <c r="I627" s="5"/>
    </row>
    <row r="628" spans="1:9" ht="12.75">
      <c r="A628" s="4" t="s">
        <v>287</v>
      </c>
      <c r="B628" s="94" t="s">
        <v>2882</v>
      </c>
      <c r="C628" s="94" t="s">
        <v>1241</v>
      </c>
      <c r="D628" s="152" t="s">
        <v>2202</v>
      </c>
      <c r="E628" s="153"/>
      <c r="F628" s="94" t="s">
        <v>2851</v>
      </c>
      <c r="G628" s="73">
        <v>20</v>
      </c>
      <c r="H628" s="51">
        <v>0</v>
      </c>
      <c r="I628" s="5"/>
    </row>
    <row r="629" spans="1:9" ht="12.75">
      <c r="A629" s="4" t="s">
        <v>288</v>
      </c>
      <c r="B629" s="94" t="s">
        <v>2882</v>
      </c>
      <c r="C629" s="94" t="s">
        <v>1242</v>
      </c>
      <c r="D629" s="152" t="s">
        <v>2203</v>
      </c>
      <c r="E629" s="153"/>
      <c r="F629" s="94" t="s">
        <v>2851</v>
      </c>
      <c r="G629" s="73">
        <v>11</v>
      </c>
      <c r="H629" s="51">
        <v>0</v>
      </c>
      <c r="I629" s="5"/>
    </row>
    <row r="630" spans="1:9" ht="12.75">
      <c r="A630" s="4" t="s">
        <v>289</v>
      </c>
      <c r="B630" s="94" t="s">
        <v>2882</v>
      </c>
      <c r="C630" s="94" t="s">
        <v>1243</v>
      </c>
      <c r="D630" s="152" t="s">
        <v>2204</v>
      </c>
      <c r="E630" s="153"/>
      <c r="F630" s="94" t="s">
        <v>2851</v>
      </c>
      <c r="G630" s="73">
        <v>3</v>
      </c>
      <c r="H630" s="51">
        <v>0</v>
      </c>
      <c r="I630" s="5"/>
    </row>
    <row r="631" spans="1:9" ht="12.75">
      <c r="A631" s="4" t="s">
        <v>290</v>
      </c>
      <c r="B631" s="94" t="s">
        <v>2882</v>
      </c>
      <c r="C631" s="94" t="s">
        <v>1244</v>
      </c>
      <c r="D631" s="152" t="s">
        <v>2205</v>
      </c>
      <c r="E631" s="153"/>
      <c r="F631" s="94" t="s">
        <v>2851</v>
      </c>
      <c r="G631" s="73">
        <v>42</v>
      </c>
      <c r="H631" s="51">
        <v>0</v>
      </c>
      <c r="I631" s="5"/>
    </row>
    <row r="632" spans="1:9" ht="12.75">
      <c r="A632" s="4" t="s">
        <v>291</v>
      </c>
      <c r="B632" s="94" t="s">
        <v>2882</v>
      </c>
      <c r="C632" s="94" t="s">
        <v>1245</v>
      </c>
      <c r="D632" s="152" t="s">
        <v>2206</v>
      </c>
      <c r="E632" s="153"/>
      <c r="F632" s="94" t="s">
        <v>2851</v>
      </c>
      <c r="G632" s="73">
        <v>48</v>
      </c>
      <c r="H632" s="51">
        <v>0</v>
      </c>
      <c r="I632" s="5"/>
    </row>
    <row r="633" spans="1:9" ht="12.75">
      <c r="A633" s="4" t="s">
        <v>292</v>
      </c>
      <c r="B633" s="94" t="s">
        <v>2882</v>
      </c>
      <c r="C633" s="94" t="s">
        <v>1246</v>
      </c>
      <c r="D633" s="152" t="s">
        <v>2207</v>
      </c>
      <c r="E633" s="153"/>
      <c r="F633" s="94" t="s">
        <v>2851</v>
      </c>
      <c r="G633" s="73">
        <v>36</v>
      </c>
      <c r="H633" s="51">
        <v>0</v>
      </c>
      <c r="I633" s="5"/>
    </row>
    <row r="634" spans="1:9" ht="12.75">
      <c r="A634" s="4" t="s">
        <v>293</v>
      </c>
      <c r="B634" s="94" t="s">
        <v>2882</v>
      </c>
      <c r="C634" s="94" t="s">
        <v>1247</v>
      </c>
      <c r="D634" s="152" t="s">
        <v>2208</v>
      </c>
      <c r="E634" s="153"/>
      <c r="F634" s="94" t="s">
        <v>2851</v>
      </c>
      <c r="G634" s="73">
        <v>13.5</v>
      </c>
      <c r="H634" s="51">
        <v>0</v>
      </c>
      <c r="I634" s="5"/>
    </row>
    <row r="635" spans="1:9" ht="12.75">
      <c r="A635" s="4" t="s">
        <v>294</v>
      </c>
      <c r="B635" s="94" t="s">
        <v>2882</v>
      </c>
      <c r="C635" s="94" t="s">
        <v>1248</v>
      </c>
      <c r="D635" s="152" t="s">
        <v>2209</v>
      </c>
      <c r="E635" s="153"/>
      <c r="F635" s="94" t="s">
        <v>2851</v>
      </c>
      <c r="G635" s="73">
        <v>135</v>
      </c>
      <c r="H635" s="51">
        <v>0</v>
      </c>
      <c r="I635" s="5"/>
    </row>
    <row r="636" spans="1:9" ht="12.75">
      <c r="A636" s="4" t="s">
        <v>295</v>
      </c>
      <c r="B636" s="94" t="s">
        <v>2882</v>
      </c>
      <c r="C636" s="94" t="s">
        <v>1249</v>
      </c>
      <c r="D636" s="152" t="s">
        <v>2210</v>
      </c>
      <c r="E636" s="153"/>
      <c r="F636" s="94" t="s">
        <v>2851</v>
      </c>
      <c r="G636" s="73">
        <v>39</v>
      </c>
      <c r="H636" s="51">
        <v>0</v>
      </c>
      <c r="I636" s="5"/>
    </row>
    <row r="637" spans="1:9" ht="12.75">
      <c r="A637" s="4" t="s">
        <v>296</v>
      </c>
      <c r="B637" s="94" t="s">
        <v>2882</v>
      </c>
      <c r="C637" s="94" t="s">
        <v>1250</v>
      </c>
      <c r="D637" s="152" t="s">
        <v>2211</v>
      </c>
      <c r="E637" s="153"/>
      <c r="F637" s="94" t="s">
        <v>2851</v>
      </c>
      <c r="G637" s="73">
        <v>5.5</v>
      </c>
      <c r="H637" s="51">
        <v>0</v>
      </c>
      <c r="I637" s="5"/>
    </row>
    <row r="638" spans="1:9" ht="12.75">
      <c r="A638" s="4" t="s">
        <v>297</v>
      </c>
      <c r="B638" s="94" t="s">
        <v>2882</v>
      </c>
      <c r="C638" s="94" t="s">
        <v>1251</v>
      </c>
      <c r="D638" s="152" t="s">
        <v>2212</v>
      </c>
      <c r="E638" s="153"/>
      <c r="F638" s="94" t="s">
        <v>2850</v>
      </c>
      <c r="G638" s="73">
        <v>7</v>
      </c>
      <c r="H638" s="51">
        <v>0</v>
      </c>
      <c r="I638" s="5"/>
    </row>
    <row r="639" spans="1:9" ht="12.75">
      <c r="A639" s="4" t="s">
        <v>298</v>
      </c>
      <c r="B639" s="94" t="s">
        <v>2882</v>
      </c>
      <c r="C639" s="94" t="s">
        <v>1252</v>
      </c>
      <c r="D639" s="152" t="s">
        <v>2213</v>
      </c>
      <c r="E639" s="153"/>
      <c r="F639" s="94" t="s">
        <v>2850</v>
      </c>
      <c r="G639" s="73">
        <v>8</v>
      </c>
      <c r="H639" s="51">
        <v>0</v>
      </c>
      <c r="I639" s="5"/>
    </row>
    <row r="640" spans="1:9" ht="12.75">
      <c r="A640" s="4" t="s">
        <v>299</v>
      </c>
      <c r="B640" s="94" t="s">
        <v>2882</v>
      </c>
      <c r="C640" s="94" t="s">
        <v>1253</v>
      </c>
      <c r="D640" s="152" t="s">
        <v>2214</v>
      </c>
      <c r="E640" s="153"/>
      <c r="F640" s="94" t="s">
        <v>2850</v>
      </c>
      <c r="G640" s="73">
        <v>1</v>
      </c>
      <c r="H640" s="51">
        <v>0</v>
      </c>
      <c r="I640" s="5"/>
    </row>
    <row r="641" spans="1:9" ht="12.75">
      <c r="A641" s="4" t="s">
        <v>300</v>
      </c>
      <c r="B641" s="94" t="s">
        <v>2882</v>
      </c>
      <c r="C641" s="94" t="s">
        <v>1254</v>
      </c>
      <c r="D641" s="152" t="s">
        <v>2215</v>
      </c>
      <c r="E641" s="153"/>
      <c r="F641" s="94" t="s">
        <v>2850</v>
      </c>
      <c r="G641" s="73">
        <v>4</v>
      </c>
      <c r="H641" s="51">
        <v>0</v>
      </c>
      <c r="I641" s="5"/>
    </row>
    <row r="642" spans="1:9" ht="12.75">
      <c r="A642" s="4" t="s">
        <v>301</v>
      </c>
      <c r="B642" s="94" t="s">
        <v>2882</v>
      </c>
      <c r="C642" s="94" t="s">
        <v>1255</v>
      </c>
      <c r="D642" s="152" t="s">
        <v>2216</v>
      </c>
      <c r="E642" s="153"/>
      <c r="F642" s="94" t="s">
        <v>2850</v>
      </c>
      <c r="G642" s="73">
        <v>2</v>
      </c>
      <c r="H642" s="51">
        <v>0</v>
      </c>
      <c r="I642" s="5"/>
    </row>
    <row r="643" spans="1:9" ht="12.75">
      <c r="A643" s="4" t="s">
        <v>302</v>
      </c>
      <c r="B643" s="94" t="s">
        <v>2882</v>
      </c>
      <c r="C643" s="94" t="s">
        <v>1256</v>
      </c>
      <c r="D643" s="152" t="s">
        <v>2217</v>
      </c>
      <c r="E643" s="153"/>
      <c r="F643" s="94" t="s">
        <v>2850</v>
      </c>
      <c r="G643" s="73">
        <v>2</v>
      </c>
      <c r="H643" s="51">
        <v>0</v>
      </c>
      <c r="I643" s="5"/>
    </row>
    <row r="644" spans="1:9" ht="12.75">
      <c r="A644" s="4" t="s">
        <v>303</v>
      </c>
      <c r="B644" s="94" t="s">
        <v>2882</v>
      </c>
      <c r="C644" s="94" t="s">
        <v>1257</v>
      </c>
      <c r="D644" s="152" t="s">
        <v>2218</v>
      </c>
      <c r="E644" s="153"/>
      <c r="F644" s="94" t="s">
        <v>2850</v>
      </c>
      <c r="G644" s="73">
        <v>3</v>
      </c>
      <c r="H644" s="51">
        <v>0</v>
      </c>
      <c r="I644" s="5"/>
    </row>
    <row r="645" spans="1:9" ht="12.75">
      <c r="A645" s="4" t="s">
        <v>304</v>
      </c>
      <c r="B645" s="94" t="s">
        <v>2882</v>
      </c>
      <c r="C645" s="94" t="s">
        <v>1258</v>
      </c>
      <c r="D645" s="152" t="s">
        <v>2219</v>
      </c>
      <c r="E645" s="153"/>
      <c r="F645" s="94" t="s">
        <v>2850</v>
      </c>
      <c r="G645" s="73">
        <v>3</v>
      </c>
      <c r="H645" s="51">
        <v>0</v>
      </c>
      <c r="I645" s="5"/>
    </row>
    <row r="646" spans="1:9" ht="12.75">
      <c r="A646" s="4" t="s">
        <v>305</v>
      </c>
      <c r="B646" s="94" t="s">
        <v>2882</v>
      </c>
      <c r="C646" s="94" t="s">
        <v>1259</v>
      </c>
      <c r="D646" s="152" t="s">
        <v>2220</v>
      </c>
      <c r="E646" s="153"/>
      <c r="F646" s="94" t="s">
        <v>2850</v>
      </c>
      <c r="G646" s="73">
        <v>1</v>
      </c>
      <c r="H646" s="51">
        <v>0</v>
      </c>
      <c r="I646" s="5"/>
    </row>
    <row r="647" spans="1:9" ht="12.75">
      <c r="A647" s="4" t="s">
        <v>306</v>
      </c>
      <c r="B647" s="94" t="s">
        <v>2882</v>
      </c>
      <c r="C647" s="94" t="s">
        <v>1260</v>
      </c>
      <c r="D647" s="152" t="s">
        <v>2221</v>
      </c>
      <c r="E647" s="153"/>
      <c r="F647" s="94" t="s">
        <v>2850</v>
      </c>
      <c r="G647" s="73">
        <v>1</v>
      </c>
      <c r="H647" s="51">
        <v>0</v>
      </c>
      <c r="I647" s="5"/>
    </row>
    <row r="648" spans="1:9" ht="12.75">
      <c r="A648" s="4" t="s">
        <v>307</v>
      </c>
      <c r="B648" s="94" t="s">
        <v>2882</v>
      </c>
      <c r="C648" s="94" t="s">
        <v>1261</v>
      </c>
      <c r="D648" s="152" t="s">
        <v>2222</v>
      </c>
      <c r="E648" s="153"/>
      <c r="F648" s="94" t="s">
        <v>2850</v>
      </c>
      <c r="G648" s="73">
        <v>1</v>
      </c>
      <c r="H648" s="51">
        <v>0</v>
      </c>
      <c r="I648" s="5"/>
    </row>
    <row r="649" spans="1:9" ht="12.75">
      <c r="A649" s="4" t="s">
        <v>308</v>
      </c>
      <c r="B649" s="94" t="s">
        <v>2882</v>
      </c>
      <c r="C649" s="94" t="s">
        <v>1262</v>
      </c>
      <c r="D649" s="152" t="s">
        <v>2223</v>
      </c>
      <c r="E649" s="153"/>
      <c r="F649" s="94" t="s">
        <v>2850</v>
      </c>
      <c r="G649" s="73">
        <v>2</v>
      </c>
      <c r="H649" s="51">
        <v>0</v>
      </c>
      <c r="I649" s="5"/>
    </row>
    <row r="650" spans="1:9" ht="12.75">
      <c r="A650" s="4" t="s">
        <v>309</v>
      </c>
      <c r="B650" s="94" t="s">
        <v>2882</v>
      </c>
      <c r="C650" s="94" t="s">
        <v>1263</v>
      </c>
      <c r="D650" s="152" t="s">
        <v>2224</v>
      </c>
      <c r="E650" s="153"/>
      <c r="F650" s="94" t="s">
        <v>2850</v>
      </c>
      <c r="G650" s="73">
        <v>2</v>
      </c>
      <c r="H650" s="51">
        <v>0</v>
      </c>
      <c r="I650" s="5"/>
    </row>
    <row r="651" spans="1:9" ht="12.75">
      <c r="A651" s="4" t="s">
        <v>310</v>
      </c>
      <c r="B651" s="94" t="s">
        <v>2882</v>
      </c>
      <c r="C651" s="94" t="s">
        <v>1264</v>
      </c>
      <c r="D651" s="152" t="s">
        <v>2225</v>
      </c>
      <c r="E651" s="153"/>
      <c r="F651" s="94" t="s">
        <v>2850</v>
      </c>
      <c r="G651" s="73">
        <v>2</v>
      </c>
      <c r="H651" s="51">
        <v>0</v>
      </c>
      <c r="I651" s="5"/>
    </row>
    <row r="652" spans="1:9" ht="12.75">
      <c r="A652" s="4" t="s">
        <v>311</v>
      </c>
      <c r="B652" s="94" t="s">
        <v>2882</v>
      </c>
      <c r="C652" s="94" t="s">
        <v>1265</v>
      </c>
      <c r="D652" s="152" t="s">
        <v>2226</v>
      </c>
      <c r="E652" s="153"/>
      <c r="F652" s="94" t="s">
        <v>2850</v>
      </c>
      <c r="G652" s="73">
        <v>47</v>
      </c>
      <c r="H652" s="51">
        <v>0</v>
      </c>
      <c r="I652" s="5"/>
    </row>
    <row r="653" spans="1:9" ht="12.75">
      <c r="A653" s="4" t="s">
        <v>312</v>
      </c>
      <c r="B653" s="94" t="s">
        <v>2882</v>
      </c>
      <c r="C653" s="94" t="s">
        <v>1266</v>
      </c>
      <c r="D653" s="152" t="s">
        <v>2227</v>
      </c>
      <c r="E653" s="153"/>
      <c r="F653" s="94" t="s">
        <v>2850</v>
      </c>
      <c r="G653" s="73">
        <v>24</v>
      </c>
      <c r="H653" s="51">
        <v>0</v>
      </c>
      <c r="I653" s="5"/>
    </row>
    <row r="654" spans="1:9" ht="12.75">
      <c r="A654" s="4" t="s">
        <v>313</v>
      </c>
      <c r="B654" s="94" t="s">
        <v>2882</v>
      </c>
      <c r="C654" s="94" t="s">
        <v>1267</v>
      </c>
      <c r="D654" s="152" t="s">
        <v>2228</v>
      </c>
      <c r="E654" s="153"/>
      <c r="F654" s="94" t="s">
        <v>2850</v>
      </c>
      <c r="G654" s="73">
        <v>5</v>
      </c>
      <c r="H654" s="51">
        <v>0</v>
      </c>
      <c r="I654" s="5"/>
    </row>
    <row r="655" spans="1:9" ht="12.75">
      <c r="A655" s="4" t="s">
        <v>314</v>
      </c>
      <c r="B655" s="94" t="s">
        <v>2882</v>
      </c>
      <c r="C655" s="94" t="s">
        <v>1268</v>
      </c>
      <c r="D655" s="152" t="s">
        <v>2229</v>
      </c>
      <c r="E655" s="153"/>
      <c r="F655" s="94" t="s">
        <v>2850</v>
      </c>
      <c r="G655" s="73">
        <v>4</v>
      </c>
      <c r="H655" s="51">
        <v>0</v>
      </c>
      <c r="I655" s="5"/>
    </row>
    <row r="656" spans="1:9" ht="12.75">
      <c r="A656" s="4" t="s">
        <v>315</v>
      </c>
      <c r="B656" s="94" t="s">
        <v>2882</v>
      </c>
      <c r="C656" s="94" t="s">
        <v>1269</v>
      </c>
      <c r="D656" s="152" t="s">
        <v>2230</v>
      </c>
      <c r="E656" s="153"/>
      <c r="F656" s="94" t="s">
        <v>2850</v>
      </c>
      <c r="G656" s="73">
        <v>5</v>
      </c>
      <c r="H656" s="51">
        <v>0</v>
      </c>
      <c r="I656" s="5"/>
    </row>
    <row r="657" spans="1:9" ht="12.75">
      <c r="A657" s="4" t="s">
        <v>316</v>
      </c>
      <c r="B657" s="94" t="s">
        <v>2882</v>
      </c>
      <c r="C657" s="94" t="s">
        <v>1270</v>
      </c>
      <c r="D657" s="152" t="s">
        <v>2231</v>
      </c>
      <c r="E657" s="153"/>
      <c r="F657" s="94" t="s">
        <v>2850</v>
      </c>
      <c r="G657" s="73">
        <v>3</v>
      </c>
      <c r="H657" s="51">
        <v>0</v>
      </c>
      <c r="I657" s="5"/>
    </row>
    <row r="658" spans="1:9" ht="12.75">
      <c r="A658" s="4" t="s">
        <v>317</v>
      </c>
      <c r="B658" s="94" t="s">
        <v>2882</v>
      </c>
      <c r="C658" s="94" t="s">
        <v>1271</v>
      </c>
      <c r="D658" s="152" t="s">
        <v>2232</v>
      </c>
      <c r="E658" s="153"/>
      <c r="F658" s="94" t="s">
        <v>2850</v>
      </c>
      <c r="G658" s="73">
        <v>1</v>
      </c>
      <c r="H658" s="51">
        <v>0</v>
      </c>
      <c r="I658" s="5"/>
    </row>
    <row r="659" spans="1:9" ht="12.75">
      <c r="A659" s="4" t="s">
        <v>318</v>
      </c>
      <c r="B659" s="94" t="s">
        <v>2882</v>
      </c>
      <c r="C659" s="94" t="s">
        <v>1272</v>
      </c>
      <c r="D659" s="152" t="s">
        <v>2233</v>
      </c>
      <c r="E659" s="153"/>
      <c r="F659" s="94" t="s">
        <v>2850</v>
      </c>
      <c r="G659" s="73">
        <v>1</v>
      </c>
      <c r="H659" s="51">
        <v>0</v>
      </c>
      <c r="I659" s="5"/>
    </row>
    <row r="660" spans="1:9" ht="12.75">
      <c r="A660" s="4" t="s">
        <v>319</v>
      </c>
      <c r="B660" s="94" t="s">
        <v>2882</v>
      </c>
      <c r="C660" s="94" t="s">
        <v>1273</v>
      </c>
      <c r="D660" s="152" t="s">
        <v>2234</v>
      </c>
      <c r="E660" s="153"/>
      <c r="F660" s="94" t="s">
        <v>2850</v>
      </c>
      <c r="G660" s="73">
        <v>1</v>
      </c>
      <c r="H660" s="51">
        <v>0</v>
      </c>
      <c r="I660" s="5"/>
    </row>
    <row r="661" spans="1:9" ht="12.75">
      <c r="A661" s="4" t="s">
        <v>320</v>
      </c>
      <c r="B661" s="94" t="s">
        <v>2882</v>
      </c>
      <c r="C661" s="94" t="s">
        <v>1274</v>
      </c>
      <c r="D661" s="152" t="s">
        <v>2235</v>
      </c>
      <c r="E661" s="153"/>
      <c r="F661" s="94" t="s">
        <v>2850</v>
      </c>
      <c r="G661" s="73">
        <v>1</v>
      </c>
      <c r="H661" s="51">
        <v>0</v>
      </c>
      <c r="I661" s="5"/>
    </row>
    <row r="662" spans="1:9" ht="12.75">
      <c r="A662" s="4" t="s">
        <v>321</v>
      </c>
      <c r="B662" s="94" t="s">
        <v>2882</v>
      </c>
      <c r="C662" s="94" t="s">
        <v>1275</v>
      </c>
      <c r="D662" s="152" t="s">
        <v>2236</v>
      </c>
      <c r="E662" s="153"/>
      <c r="F662" s="94" t="s">
        <v>2850</v>
      </c>
      <c r="G662" s="73">
        <v>1</v>
      </c>
      <c r="H662" s="51">
        <v>0</v>
      </c>
      <c r="I662" s="5"/>
    </row>
    <row r="663" spans="1:9" ht="12.75">
      <c r="A663" s="4" t="s">
        <v>322</v>
      </c>
      <c r="B663" s="94" t="s">
        <v>2882</v>
      </c>
      <c r="C663" s="94" t="s">
        <v>1276</v>
      </c>
      <c r="D663" s="152" t="s">
        <v>2237</v>
      </c>
      <c r="E663" s="153"/>
      <c r="F663" s="94" t="s">
        <v>2850</v>
      </c>
      <c r="G663" s="73">
        <v>1</v>
      </c>
      <c r="H663" s="51">
        <v>0</v>
      </c>
      <c r="I663" s="5"/>
    </row>
    <row r="664" spans="1:9" ht="12.75">
      <c r="A664" s="4" t="s">
        <v>323</v>
      </c>
      <c r="B664" s="94" t="s">
        <v>2882</v>
      </c>
      <c r="C664" s="94" t="s">
        <v>1277</v>
      </c>
      <c r="D664" s="152" t="s">
        <v>2238</v>
      </c>
      <c r="E664" s="153"/>
      <c r="F664" s="94" t="s">
        <v>2850</v>
      </c>
      <c r="G664" s="73">
        <v>2</v>
      </c>
      <c r="H664" s="51">
        <v>0</v>
      </c>
      <c r="I664" s="5"/>
    </row>
    <row r="665" spans="1:9" ht="12.75">
      <c r="A665" s="4" t="s">
        <v>324</v>
      </c>
      <c r="B665" s="94" t="s">
        <v>2882</v>
      </c>
      <c r="C665" s="94" t="s">
        <v>1278</v>
      </c>
      <c r="D665" s="152" t="s">
        <v>2239</v>
      </c>
      <c r="E665" s="153"/>
      <c r="F665" s="94" t="s">
        <v>2850</v>
      </c>
      <c r="G665" s="73">
        <v>1</v>
      </c>
      <c r="H665" s="51">
        <v>0</v>
      </c>
      <c r="I665" s="5"/>
    </row>
    <row r="666" spans="1:9" ht="12.75">
      <c r="A666" s="4" t="s">
        <v>325</v>
      </c>
      <c r="B666" s="94" t="s">
        <v>2882</v>
      </c>
      <c r="C666" s="94" t="s">
        <v>1279</v>
      </c>
      <c r="D666" s="152" t="s">
        <v>2240</v>
      </c>
      <c r="E666" s="153"/>
      <c r="F666" s="94" t="s">
        <v>2850</v>
      </c>
      <c r="G666" s="73">
        <v>1</v>
      </c>
      <c r="H666" s="51">
        <v>0</v>
      </c>
      <c r="I666" s="5"/>
    </row>
    <row r="667" spans="1:9" ht="12.75">
      <c r="A667" s="4" t="s">
        <v>326</v>
      </c>
      <c r="B667" s="94" t="s">
        <v>2882</v>
      </c>
      <c r="C667" s="94" t="s">
        <v>1280</v>
      </c>
      <c r="D667" s="152" t="s">
        <v>2241</v>
      </c>
      <c r="E667" s="153"/>
      <c r="F667" s="94" t="s">
        <v>2850</v>
      </c>
      <c r="G667" s="73">
        <v>1</v>
      </c>
      <c r="H667" s="51">
        <v>0</v>
      </c>
      <c r="I667" s="5"/>
    </row>
    <row r="668" spans="1:9" ht="12.75">
      <c r="A668" s="4" t="s">
        <v>327</v>
      </c>
      <c r="B668" s="94" t="s">
        <v>2882</v>
      </c>
      <c r="C668" s="94" t="s">
        <v>1281</v>
      </c>
      <c r="D668" s="152" t="s">
        <v>2242</v>
      </c>
      <c r="E668" s="153"/>
      <c r="F668" s="94" t="s">
        <v>2850</v>
      </c>
      <c r="G668" s="73">
        <v>2</v>
      </c>
      <c r="H668" s="51">
        <v>0</v>
      </c>
      <c r="I668" s="5"/>
    </row>
    <row r="669" spans="1:9" ht="12.75">
      <c r="A669" s="4" t="s">
        <v>328</v>
      </c>
      <c r="B669" s="94" t="s">
        <v>2882</v>
      </c>
      <c r="C669" s="94" t="s">
        <v>1282</v>
      </c>
      <c r="D669" s="152" t="s">
        <v>2243</v>
      </c>
      <c r="E669" s="153"/>
      <c r="F669" s="94" t="s">
        <v>2850</v>
      </c>
      <c r="G669" s="73">
        <v>1</v>
      </c>
      <c r="H669" s="51">
        <v>0</v>
      </c>
      <c r="I669" s="5"/>
    </row>
    <row r="670" spans="1:9" ht="12.75">
      <c r="A670" s="4" t="s">
        <v>329</v>
      </c>
      <c r="B670" s="94" t="s">
        <v>2882</v>
      </c>
      <c r="C670" s="94" t="s">
        <v>1283</v>
      </c>
      <c r="D670" s="152" t="s">
        <v>2244</v>
      </c>
      <c r="E670" s="153"/>
      <c r="F670" s="94" t="s">
        <v>2850</v>
      </c>
      <c r="G670" s="73">
        <v>1</v>
      </c>
      <c r="H670" s="51">
        <v>0</v>
      </c>
      <c r="I670" s="5"/>
    </row>
    <row r="671" spans="1:9" ht="12.75">
      <c r="A671" s="4" t="s">
        <v>330</v>
      </c>
      <c r="B671" s="94" t="s">
        <v>2882</v>
      </c>
      <c r="C671" s="94" t="s">
        <v>1284</v>
      </c>
      <c r="D671" s="152" t="s">
        <v>2245</v>
      </c>
      <c r="E671" s="153"/>
      <c r="F671" s="94" t="s">
        <v>2850</v>
      </c>
      <c r="G671" s="73">
        <v>1</v>
      </c>
      <c r="H671" s="51">
        <v>0</v>
      </c>
      <c r="I671" s="5"/>
    </row>
    <row r="672" spans="1:9" ht="12.75">
      <c r="A672" s="4" t="s">
        <v>331</v>
      </c>
      <c r="B672" s="94" t="s">
        <v>2882</v>
      </c>
      <c r="C672" s="94" t="s">
        <v>1285</v>
      </c>
      <c r="D672" s="152" t="s">
        <v>2246</v>
      </c>
      <c r="E672" s="153"/>
      <c r="F672" s="94" t="s">
        <v>2850</v>
      </c>
      <c r="G672" s="73">
        <v>1</v>
      </c>
      <c r="H672" s="51">
        <v>0</v>
      </c>
      <c r="I672" s="5"/>
    </row>
    <row r="673" spans="1:9" ht="12.75">
      <c r="A673" s="4" t="s">
        <v>332</v>
      </c>
      <c r="B673" s="94" t="s">
        <v>2882</v>
      </c>
      <c r="C673" s="94" t="s">
        <v>1286</v>
      </c>
      <c r="D673" s="152" t="s">
        <v>2247</v>
      </c>
      <c r="E673" s="153"/>
      <c r="F673" s="94" t="s">
        <v>2850</v>
      </c>
      <c r="G673" s="73">
        <v>1</v>
      </c>
      <c r="H673" s="51">
        <v>0</v>
      </c>
      <c r="I673" s="5"/>
    </row>
    <row r="674" spans="1:9" ht="12.75">
      <c r="A674" s="4" t="s">
        <v>333</v>
      </c>
      <c r="B674" s="94" t="s">
        <v>2882</v>
      </c>
      <c r="C674" s="94" t="s">
        <v>1287</v>
      </c>
      <c r="D674" s="152" t="s">
        <v>2248</v>
      </c>
      <c r="E674" s="153"/>
      <c r="F674" s="94" t="s">
        <v>2850</v>
      </c>
      <c r="G674" s="73">
        <v>1</v>
      </c>
      <c r="H674" s="51">
        <v>0</v>
      </c>
      <c r="I674" s="5"/>
    </row>
    <row r="675" spans="1:9" ht="12.75">
      <c r="A675" s="4" t="s">
        <v>334</v>
      </c>
      <c r="B675" s="94" t="s">
        <v>2882</v>
      </c>
      <c r="C675" s="94" t="s">
        <v>1288</v>
      </c>
      <c r="D675" s="152" t="s">
        <v>2249</v>
      </c>
      <c r="E675" s="153"/>
      <c r="F675" s="94" t="s">
        <v>2850</v>
      </c>
      <c r="G675" s="73">
        <v>1</v>
      </c>
      <c r="H675" s="51">
        <v>0</v>
      </c>
      <c r="I675" s="5"/>
    </row>
    <row r="676" spans="1:9" ht="12.75">
      <c r="A676" s="4" t="s">
        <v>335</v>
      </c>
      <c r="B676" s="94" t="s">
        <v>2882</v>
      </c>
      <c r="C676" s="94" t="s">
        <v>1289</v>
      </c>
      <c r="D676" s="152" t="s">
        <v>2250</v>
      </c>
      <c r="E676" s="153"/>
      <c r="F676" s="94" t="s">
        <v>2850</v>
      </c>
      <c r="G676" s="73">
        <v>1</v>
      </c>
      <c r="H676" s="51">
        <v>0</v>
      </c>
      <c r="I676" s="5"/>
    </row>
    <row r="677" spans="1:9" ht="12.75">
      <c r="A677" s="4" t="s">
        <v>336</v>
      </c>
      <c r="B677" s="94" t="s">
        <v>2882</v>
      </c>
      <c r="C677" s="94" t="s">
        <v>1224</v>
      </c>
      <c r="D677" s="152" t="s">
        <v>2183</v>
      </c>
      <c r="E677" s="153"/>
      <c r="F677" s="94" t="s">
        <v>2850</v>
      </c>
      <c r="G677" s="73">
        <v>16</v>
      </c>
      <c r="H677" s="51">
        <v>0</v>
      </c>
      <c r="I677" s="5"/>
    </row>
    <row r="678" spans="1:9" ht="12.75">
      <c r="A678" s="4" t="s">
        <v>337</v>
      </c>
      <c r="B678" s="94" t="s">
        <v>2882</v>
      </c>
      <c r="C678" s="94" t="s">
        <v>1290</v>
      </c>
      <c r="D678" s="152" t="s">
        <v>2251</v>
      </c>
      <c r="E678" s="153"/>
      <c r="F678" s="94" t="s">
        <v>2850</v>
      </c>
      <c r="G678" s="73">
        <v>10</v>
      </c>
      <c r="H678" s="51">
        <v>0</v>
      </c>
      <c r="I678" s="5"/>
    </row>
    <row r="679" spans="1:9" ht="12.75">
      <c r="A679" s="4" t="s">
        <v>338</v>
      </c>
      <c r="B679" s="94" t="s">
        <v>2882</v>
      </c>
      <c r="C679" s="94" t="s">
        <v>1291</v>
      </c>
      <c r="D679" s="152" t="s">
        <v>2189</v>
      </c>
      <c r="E679" s="153"/>
      <c r="F679" s="94" t="s">
        <v>2852</v>
      </c>
      <c r="G679" s="73">
        <v>80</v>
      </c>
      <c r="H679" s="51">
        <v>0</v>
      </c>
      <c r="I679" s="5"/>
    </row>
    <row r="680" spans="1:9" ht="12.75">
      <c r="A680" s="4" t="s">
        <v>339</v>
      </c>
      <c r="B680" s="94" t="s">
        <v>2882</v>
      </c>
      <c r="C680" s="94" t="s">
        <v>1292</v>
      </c>
      <c r="D680" s="152" t="s">
        <v>2252</v>
      </c>
      <c r="E680" s="153"/>
      <c r="F680" s="94" t="s">
        <v>2850</v>
      </c>
      <c r="G680" s="73">
        <v>1</v>
      </c>
      <c r="H680" s="51">
        <v>0</v>
      </c>
      <c r="I680" s="5"/>
    </row>
    <row r="681" spans="1:9" ht="12.75">
      <c r="A681" s="4" t="s">
        <v>340</v>
      </c>
      <c r="B681" s="94" t="s">
        <v>2882</v>
      </c>
      <c r="C681" s="94" t="s">
        <v>1293</v>
      </c>
      <c r="D681" s="152" t="s">
        <v>2253</v>
      </c>
      <c r="E681" s="153"/>
      <c r="F681" s="94" t="s">
        <v>2850</v>
      </c>
      <c r="G681" s="73">
        <v>1</v>
      </c>
      <c r="H681" s="51">
        <v>0</v>
      </c>
      <c r="I681" s="5"/>
    </row>
    <row r="682" spans="1:9" ht="12.75">
      <c r="A682" s="4" t="s">
        <v>341</v>
      </c>
      <c r="B682" s="94" t="s">
        <v>2882</v>
      </c>
      <c r="C682" s="94" t="s">
        <v>1294</v>
      </c>
      <c r="D682" s="152" t="s">
        <v>2254</v>
      </c>
      <c r="E682" s="153"/>
      <c r="F682" s="94" t="s">
        <v>2851</v>
      </c>
      <c r="G682" s="73">
        <v>319</v>
      </c>
      <c r="H682" s="51">
        <v>0</v>
      </c>
      <c r="I682" s="5"/>
    </row>
    <row r="683" spans="1:9" ht="12.75">
      <c r="A683" s="4" t="s">
        <v>342</v>
      </c>
      <c r="B683" s="94" t="s">
        <v>2882</v>
      </c>
      <c r="C683" s="94" t="s">
        <v>1295</v>
      </c>
      <c r="D683" s="152" t="s">
        <v>2255</v>
      </c>
      <c r="E683" s="153"/>
      <c r="F683" s="94" t="s">
        <v>2851</v>
      </c>
      <c r="G683" s="73">
        <v>319</v>
      </c>
      <c r="H683" s="51">
        <v>0</v>
      </c>
      <c r="I683" s="5"/>
    </row>
    <row r="684" spans="1:9" ht="12.75">
      <c r="A684" s="4" t="s">
        <v>343</v>
      </c>
      <c r="B684" s="94" t="s">
        <v>2882</v>
      </c>
      <c r="C684" s="94" t="s">
        <v>1296</v>
      </c>
      <c r="D684" s="152" t="s">
        <v>2256</v>
      </c>
      <c r="E684" s="153"/>
      <c r="F684" s="94" t="s">
        <v>2851</v>
      </c>
      <c r="G684" s="73">
        <v>319</v>
      </c>
      <c r="H684" s="51">
        <v>0</v>
      </c>
      <c r="I684" s="5"/>
    </row>
    <row r="685" spans="1:9" ht="12.75">
      <c r="A685" s="4" t="s">
        <v>344</v>
      </c>
      <c r="B685" s="94" t="s">
        <v>2882</v>
      </c>
      <c r="C685" s="94" t="s">
        <v>1297</v>
      </c>
      <c r="D685" s="152" t="s">
        <v>2193</v>
      </c>
      <c r="E685" s="153"/>
      <c r="F685" s="94" t="s">
        <v>2852</v>
      </c>
      <c r="G685" s="73">
        <v>100</v>
      </c>
      <c r="H685" s="51">
        <v>0</v>
      </c>
      <c r="I685" s="5"/>
    </row>
    <row r="686" spans="1:9" ht="12.75">
      <c r="A686" s="4" t="s">
        <v>345</v>
      </c>
      <c r="B686" s="94" t="s">
        <v>2882</v>
      </c>
      <c r="C686" s="94" t="s">
        <v>1298</v>
      </c>
      <c r="D686" s="152" t="s">
        <v>2194</v>
      </c>
      <c r="E686" s="153"/>
      <c r="F686" s="94" t="s">
        <v>2850</v>
      </c>
      <c r="G686" s="73">
        <v>1</v>
      </c>
      <c r="H686" s="51">
        <v>0</v>
      </c>
      <c r="I686" s="5"/>
    </row>
    <row r="687" spans="1:9" ht="12.75">
      <c r="A687" s="4" t="s">
        <v>346</v>
      </c>
      <c r="B687" s="94" t="s">
        <v>2882</v>
      </c>
      <c r="C687" s="94" t="s">
        <v>1299</v>
      </c>
      <c r="D687" s="152" t="s">
        <v>2195</v>
      </c>
      <c r="E687" s="153"/>
      <c r="F687" s="94" t="s">
        <v>2850</v>
      </c>
      <c r="G687" s="73">
        <v>1</v>
      </c>
      <c r="H687" s="51">
        <v>0</v>
      </c>
      <c r="I687" s="5"/>
    </row>
    <row r="688" spans="1:9" ht="12.75">
      <c r="A688" s="4" t="s">
        <v>347</v>
      </c>
      <c r="B688" s="94" t="s">
        <v>2882</v>
      </c>
      <c r="C688" s="94" t="s">
        <v>1300</v>
      </c>
      <c r="D688" s="152" t="s">
        <v>2196</v>
      </c>
      <c r="E688" s="153"/>
      <c r="F688" s="94" t="s">
        <v>2850</v>
      </c>
      <c r="G688" s="73">
        <v>1</v>
      </c>
      <c r="H688" s="51">
        <v>0</v>
      </c>
      <c r="I688" s="5"/>
    </row>
    <row r="689" spans="1:9" ht="12.75">
      <c r="A689" s="44"/>
      <c r="B689" s="97"/>
      <c r="C689" s="97" t="s">
        <v>729</v>
      </c>
      <c r="D689" s="161" t="s">
        <v>2257</v>
      </c>
      <c r="E689" s="162"/>
      <c r="F689" s="97"/>
      <c r="G689" s="74"/>
      <c r="H689" s="24"/>
      <c r="I689" s="5"/>
    </row>
    <row r="690" spans="1:9" ht="12.75">
      <c r="A690" s="4" t="s">
        <v>348</v>
      </c>
      <c r="B690" s="94" t="s">
        <v>2882</v>
      </c>
      <c r="C690" s="94" t="s">
        <v>1301</v>
      </c>
      <c r="D690" s="152" t="s">
        <v>2258</v>
      </c>
      <c r="E690" s="153"/>
      <c r="F690" s="94" t="s">
        <v>2851</v>
      </c>
      <c r="G690" s="73">
        <v>1.2</v>
      </c>
      <c r="H690" s="51">
        <v>0</v>
      </c>
      <c r="I690" s="5"/>
    </row>
    <row r="691" spans="1:9" ht="12.75">
      <c r="A691" s="4" t="s">
        <v>349</v>
      </c>
      <c r="B691" s="94" t="s">
        <v>2882</v>
      </c>
      <c r="C691" s="94" t="s">
        <v>1302</v>
      </c>
      <c r="D691" s="152" t="s">
        <v>2259</v>
      </c>
      <c r="E691" s="153"/>
      <c r="F691" s="94" t="s">
        <v>2851</v>
      </c>
      <c r="G691" s="73">
        <v>14.5</v>
      </c>
      <c r="H691" s="51">
        <v>0</v>
      </c>
      <c r="I691" s="5"/>
    </row>
    <row r="692" spans="1:9" ht="12.75">
      <c r="A692" s="4" t="s">
        <v>350</v>
      </c>
      <c r="B692" s="94" t="s">
        <v>2882</v>
      </c>
      <c r="C692" s="94" t="s">
        <v>1303</v>
      </c>
      <c r="D692" s="152" t="s">
        <v>2260</v>
      </c>
      <c r="E692" s="153"/>
      <c r="F692" s="94" t="s">
        <v>2851</v>
      </c>
      <c r="G692" s="73">
        <v>0.3</v>
      </c>
      <c r="H692" s="51">
        <v>0</v>
      </c>
      <c r="I692" s="5"/>
    </row>
    <row r="693" spans="1:9" ht="12.75">
      <c r="A693" s="4" t="s">
        <v>351</v>
      </c>
      <c r="B693" s="94" t="s">
        <v>2882</v>
      </c>
      <c r="C693" s="94" t="s">
        <v>1304</v>
      </c>
      <c r="D693" s="152" t="s">
        <v>2261</v>
      </c>
      <c r="E693" s="153"/>
      <c r="F693" s="94" t="s">
        <v>2851</v>
      </c>
      <c r="G693" s="73">
        <v>9.5</v>
      </c>
      <c r="H693" s="51">
        <v>0</v>
      </c>
      <c r="I693" s="5"/>
    </row>
    <row r="694" spans="1:9" ht="12.75">
      <c r="A694" s="4" t="s">
        <v>352</v>
      </c>
      <c r="B694" s="94" t="s">
        <v>2882</v>
      </c>
      <c r="C694" s="94" t="s">
        <v>1305</v>
      </c>
      <c r="D694" s="152" t="s">
        <v>2229</v>
      </c>
      <c r="E694" s="153"/>
      <c r="F694" s="94" t="s">
        <v>2850</v>
      </c>
      <c r="G694" s="73">
        <v>1</v>
      </c>
      <c r="H694" s="51">
        <v>0</v>
      </c>
      <c r="I694" s="5"/>
    </row>
    <row r="695" spans="1:9" ht="12.75">
      <c r="A695" s="4" t="s">
        <v>353</v>
      </c>
      <c r="B695" s="94" t="s">
        <v>2882</v>
      </c>
      <c r="C695" s="94" t="s">
        <v>1306</v>
      </c>
      <c r="D695" s="152" t="s">
        <v>2230</v>
      </c>
      <c r="E695" s="153"/>
      <c r="F695" s="94" t="s">
        <v>2850</v>
      </c>
      <c r="G695" s="73">
        <v>2</v>
      </c>
      <c r="H695" s="51">
        <v>0</v>
      </c>
      <c r="I695" s="5"/>
    </row>
    <row r="696" spans="1:9" ht="12.75">
      <c r="A696" s="4" t="s">
        <v>354</v>
      </c>
      <c r="B696" s="94" t="s">
        <v>2882</v>
      </c>
      <c r="C696" s="94" t="s">
        <v>1307</v>
      </c>
      <c r="D696" s="152" t="s">
        <v>2262</v>
      </c>
      <c r="E696" s="153"/>
      <c r="F696" s="94" t="s">
        <v>2850</v>
      </c>
      <c r="G696" s="73">
        <v>1</v>
      </c>
      <c r="H696" s="51">
        <v>0</v>
      </c>
      <c r="I696" s="5"/>
    </row>
    <row r="697" spans="1:9" ht="12.75">
      <c r="A697" s="4" t="s">
        <v>355</v>
      </c>
      <c r="B697" s="94" t="s">
        <v>2882</v>
      </c>
      <c r="C697" s="94" t="s">
        <v>1308</v>
      </c>
      <c r="D697" s="152" t="s">
        <v>2263</v>
      </c>
      <c r="E697" s="153"/>
      <c r="F697" s="94" t="s">
        <v>2850</v>
      </c>
      <c r="G697" s="73">
        <v>3</v>
      </c>
      <c r="H697" s="51">
        <v>0</v>
      </c>
      <c r="I697" s="5"/>
    </row>
    <row r="698" spans="1:9" ht="12.75">
      <c r="A698" s="4" t="s">
        <v>356</v>
      </c>
      <c r="B698" s="94" t="s">
        <v>2882</v>
      </c>
      <c r="C698" s="94" t="s">
        <v>1309</v>
      </c>
      <c r="D698" s="152" t="s">
        <v>2264</v>
      </c>
      <c r="E698" s="153"/>
      <c r="F698" s="94" t="s">
        <v>2851</v>
      </c>
      <c r="G698" s="73">
        <v>9.5</v>
      </c>
      <c r="H698" s="51">
        <v>0</v>
      </c>
      <c r="I698" s="5"/>
    </row>
    <row r="699" spans="1:9" ht="12.75">
      <c r="A699" s="4" t="s">
        <v>357</v>
      </c>
      <c r="B699" s="94" t="s">
        <v>2882</v>
      </c>
      <c r="C699" s="94" t="s">
        <v>1310</v>
      </c>
      <c r="D699" s="152" t="s">
        <v>2189</v>
      </c>
      <c r="E699" s="153"/>
      <c r="F699" s="94" t="s">
        <v>2852</v>
      </c>
      <c r="G699" s="73">
        <v>15</v>
      </c>
      <c r="H699" s="51">
        <v>0</v>
      </c>
      <c r="I699" s="5"/>
    </row>
    <row r="700" spans="1:9" ht="12.75">
      <c r="A700" s="4" t="s">
        <v>358</v>
      </c>
      <c r="B700" s="94" t="s">
        <v>2882</v>
      </c>
      <c r="C700" s="94" t="s">
        <v>1311</v>
      </c>
      <c r="D700" s="152" t="s">
        <v>2265</v>
      </c>
      <c r="E700" s="153"/>
      <c r="F700" s="94" t="s">
        <v>2850</v>
      </c>
      <c r="G700" s="73">
        <v>1</v>
      </c>
      <c r="H700" s="51">
        <v>0</v>
      </c>
      <c r="I700" s="5"/>
    </row>
    <row r="701" spans="1:9" ht="12.75">
      <c r="A701" s="4" t="s">
        <v>359</v>
      </c>
      <c r="B701" s="94" t="s">
        <v>2882</v>
      </c>
      <c r="C701" s="94" t="s">
        <v>1312</v>
      </c>
      <c r="D701" s="152" t="s">
        <v>2266</v>
      </c>
      <c r="E701" s="153"/>
      <c r="F701" s="94" t="s">
        <v>2850</v>
      </c>
      <c r="G701" s="73">
        <v>1</v>
      </c>
      <c r="H701" s="51">
        <v>0</v>
      </c>
      <c r="I701" s="5"/>
    </row>
    <row r="702" spans="1:9" ht="12.75">
      <c r="A702" s="4" t="s">
        <v>360</v>
      </c>
      <c r="B702" s="94" t="s">
        <v>2882</v>
      </c>
      <c r="C702" s="94" t="s">
        <v>1313</v>
      </c>
      <c r="D702" s="152" t="s">
        <v>2254</v>
      </c>
      <c r="E702" s="153"/>
      <c r="F702" s="94" t="s">
        <v>2851</v>
      </c>
      <c r="G702" s="73">
        <v>15.7</v>
      </c>
      <c r="H702" s="51">
        <v>0</v>
      </c>
      <c r="I702" s="5"/>
    </row>
    <row r="703" spans="1:9" ht="12.75">
      <c r="A703" s="4" t="s">
        <v>361</v>
      </c>
      <c r="B703" s="94" t="s">
        <v>2882</v>
      </c>
      <c r="C703" s="94" t="s">
        <v>1314</v>
      </c>
      <c r="D703" s="152" t="s">
        <v>2267</v>
      </c>
      <c r="E703" s="153"/>
      <c r="F703" s="94" t="s">
        <v>2851</v>
      </c>
      <c r="G703" s="73">
        <v>15.7</v>
      </c>
      <c r="H703" s="51">
        <v>0</v>
      </c>
      <c r="I703" s="5"/>
    </row>
    <row r="704" spans="1:9" ht="12.75">
      <c r="A704" s="4" t="s">
        <v>362</v>
      </c>
      <c r="B704" s="94" t="s">
        <v>2882</v>
      </c>
      <c r="C704" s="94" t="s">
        <v>1315</v>
      </c>
      <c r="D704" s="152" t="s">
        <v>2268</v>
      </c>
      <c r="E704" s="153"/>
      <c r="F704" s="94" t="s">
        <v>2850</v>
      </c>
      <c r="G704" s="73">
        <v>2</v>
      </c>
      <c r="H704" s="51">
        <v>0</v>
      </c>
      <c r="I704" s="5"/>
    </row>
    <row r="705" spans="1:9" ht="12.75">
      <c r="A705" s="4" t="s">
        <v>363</v>
      </c>
      <c r="B705" s="94" t="s">
        <v>2882</v>
      </c>
      <c r="C705" s="94" t="s">
        <v>1316</v>
      </c>
      <c r="D705" s="152" t="s">
        <v>2269</v>
      </c>
      <c r="E705" s="153"/>
      <c r="F705" s="94" t="s">
        <v>2850</v>
      </c>
      <c r="G705" s="73">
        <v>1</v>
      </c>
      <c r="H705" s="51">
        <v>0</v>
      </c>
      <c r="I705" s="5"/>
    </row>
    <row r="706" spans="1:9" ht="12.75">
      <c r="A706" s="4" t="s">
        <v>364</v>
      </c>
      <c r="B706" s="94" t="s">
        <v>2882</v>
      </c>
      <c r="C706" s="94" t="s">
        <v>1317</v>
      </c>
      <c r="D706" s="152" t="s">
        <v>2193</v>
      </c>
      <c r="E706" s="153"/>
      <c r="F706" s="94" t="s">
        <v>2852</v>
      </c>
      <c r="G706" s="73">
        <v>20</v>
      </c>
      <c r="H706" s="51">
        <v>0</v>
      </c>
      <c r="I706" s="5"/>
    </row>
    <row r="707" spans="1:9" ht="12.75">
      <c r="A707" s="4" t="s">
        <v>365</v>
      </c>
      <c r="B707" s="94" t="s">
        <v>2882</v>
      </c>
      <c r="C707" s="94" t="s">
        <v>1318</v>
      </c>
      <c r="D707" s="152" t="s">
        <v>2194</v>
      </c>
      <c r="E707" s="153"/>
      <c r="F707" s="94" t="s">
        <v>2850</v>
      </c>
      <c r="G707" s="73">
        <v>1</v>
      </c>
      <c r="H707" s="51">
        <v>0</v>
      </c>
      <c r="I707" s="5"/>
    </row>
    <row r="708" spans="1:9" ht="12.75">
      <c r="A708" s="4" t="s">
        <v>366</v>
      </c>
      <c r="B708" s="94" t="s">
        <v>2882</v>
      </c>
      <c r="C708" s="94" t="s">
        <v>1319</v>
      </c>
      <c r="D708" s="152" t="s">
        <v>2195</v>
      </c>
      <c r="E708" s="153"/>
      <c r="F708" s="94" t="s">
        <v>2850</v>
      </c>
      <c r="G708" s="73">
        <v>1</v>
      </c>
      <c r="H708" s="51">
        <v>0</v>
      </c>
      <c r="I708" s="5"/>
    </row>
    <row r="709" spans="1:9" ht="12.75">
      <c r="A709" s="4" t="s">
        <v>367</v>
      </c>
      <c r="B709" s="94" t="s">
        <v>2882</v>
      </c>
      <c r="C709" s="94" t="s">
        <v>1320</v>
      </c>
      <c r="D709" s="152" t="s">
        <v>2196</v>
      </c>
      <c r="E709" s="153"/>
      <c r="F709" s="94" t="s">
        <v>2850</v>
      </c>
      <c r="G709" s="73">
        <v>1</v>
      </c>
      <c r="H709" s="51">
        <v>0</v>
      </c>
      <c r="I709" s="5"/>
    </row>
    <row r="710" spans="1:9" ht="12.75">
      <c r="A710" s="44"/>
      <c r="B710" s="97"/>
      <c r="C710" s="97" t="s">
        <v>734</v>
      </c>
      <c r="D710" s="161" t="s">
        <v>2270</v>
      </c>
      <c r="E710" s="162"/>
      <c r="F710" s="97"/>
      <c r="G710" s="74"/>
      <c r="H710" s="24"/>
      <c r="I710" s="5"/>
    </row>
    <row r="711" spans="1:9" ht="12.75">
      <c r="A711" s="4" t="s">
        <v>368</v>
      </c>
      <c r="B711" s="94" t="s">
        <v>2882</v>
      </c>
      <c r="C711" s="94" t="s">
        <v>1321</v>
      </c>
      <c r="D711" s="152" t="s">
        <v>2271</v>
      </c>
      <c r="E711" s="153"/>
      <c r="F711" s="94" t="s">
        <v>2850</v>
      </c>
      <c r="G711" s="73">
        <v>2</v>
      </c>
      <c r="H711" s="51">
        <v>0</v>
      </c>
      <c r="I711" s="5"/>
    </row>
    <row r="712" spans="1:9" ht="12.75">
      <c r="A712" s="4" t="s">
        <v>369</v>
      </c>
      <c r="B712" s="94" t="s">
        <v>2882</v>
      </c>
      <c r="C712" s="94" t="s">
        <v>1322</v>
      </c>
      <c r="D712" s="152" t="s">
        <v>2272</v>
      </c>
      <c r="E712" s="153"/>
      <c r="F712" s="94" t="s">
        <v>2850</v>
      </c>
      <c r="G712" s="73">
        <v>2</v>
      </c>
      <c r="H712" s="51">
        <v>0</v>
      </c>
      <c r="I712" s="5"/>
    </row>
    <row r="713" spans="1:9" ht="12.75">
      <c r="A713" s="4" t="s">
        <v>370</v>
      </c>
      <c r="B713" s="94" t="s">
        <v>2882</v>
      </c>
      <c r="C713" s="94" t="s">
        <v>1323</v>
      </c>
      <c r="D713" s="152" t="s">
        <v>2273</v>
      </c>
      <c r="E713" s="153"/>
      <c r="F713" s="94" t="s">
        <v>2850</v>
      </c>
      <c r="G713" s="73">
        <v>2</v>
      </c>
      <c r="H713" s="51">
        <v>0</v>
      </c>
      <c r="I713" s="5"/>
    </row>
    <row r="714" spans="1:9" ht="12.75">
      <c r="A714" s="4" t="s">
        <v>371</v>
      </c>
      <c r="B714" s="94" t="s">
        <v>2882</v>
      </c>
      <c r="C714" s="94" t="s">
        <v>1324</v>
      </c>
      <c r="D714" s="152" t="s">
        <v>2274</v>
      </c>
      <c r="E714" s="153"/>
      <c r="F714" s="94" t="s">
        <v>2850</v>
      </c>
      <c r="G714" s="73">
        <v>2</v>
      </c>
      <c r="H714" s="51">
        <v>0</v>
      </c>
      <c r="I714" s="5"/>
    </row>
    <row r="715" spans="1:9" ht="12.75">
      <c r="A715" s="4" t="s">
        <v>372</v>
      </c>
      <c r="B715" s="94" t="s">
        <v>2882</v>
      </c>
      <c r="C715" s="94" t="s">
        <v>1325</v>
      </c>
      <c r="D715" s="152" t="s">
        <v>2275</v>
      </c>
      <c r="E715" s="153"/>
      <c r="F715" s="94" t="s">
        <v>2850</v>
      </c>
      <c r="G715" s="73">
        <v>2</v>
      </c>
      <c r="H715" s="51">
        <v>0</v>
      </c>
      <c r="I715" s="5"/>
    </row>
    <row r="716" spans="1:9" ht="12.75">
      <c r="A716" s="4" t="s">
        <v>373</v>
      </c>
      <c r="B716" s="94" t="s">
        <v>2882</v>
      </c>
      <c r="C716" s="94" t="s">
        <v>1326</v>
      </c>
      <c r="D716" s="152" t="s">
        <v>2276</v>
      </c>
      <c r="E716" s="153"/>
      <c r="F716" s="94" t="s">
        <v>2850</v>
      </c>
      <c r="G716" s="73">
        <v>2</v>
      </c>
      <c r="H716" s="51">
        <v>0</v>
      </c>
      <c r="I716" s="5"/>
    </row>
    <row r="717" spans="1:9" ht="12.75">
      <c r="A717" s="4" t="s">
        <v>374</v>
      </c>
      <c r="B717" s="94" t="s">
        <v>2882</v>
      </c>
      <c r="C717" s="94" t="s">
        <v>1327</v>
      </c>
      <c r="D717" s="152" t="s">
        <v>2277</v>
      </c>
      <c r="E717" s="153"/>
      <c r="F717" s="94" t="s">
        <v>2850</v>
      </c>
      <c r="G717" s="73">
        <v>1</v>
      </c>
      <c r="H717" s="51">
        <v>0</v>
      </c>
      <c r="I717" s="5"/>
    </row>
    <row r="718" spans="1:9" ht="12.75">
      <c r="A718" s="4" t="s">
        <v>375</v>
      </c>
      <c r="B718" s="94" t="s">
        <v>2882</v>
      </c>
      <c r="C718" s="94" t="s">
        <v>1328</v>
      </c>
      <c r="D718" s="152" t="s">
        <v>2272</v>
      </c>
      <c r="E718" s="153"/>
      <c r="F718" s="94" t="s">
        <v>2850</v>
      </c>
      <c r="G718" s="73">
        <v>1</v>
      </c>
      <c r="H718" s="51">
        <v>0</v>
      </c>
      <c r="I718" s="5"/>
    </row>
    <row r="719" spans="1:9" ht="12.75">
      <c r="A719" s="4" t="s">
        <v>376</v>
      </c>
      <c r="B719" s="94" t="s">
        <v>2882</v>
      </c>
      <c r="C719" s="94" t="s">
        <v>1329</v>
      </c>
      <c r="D719" s="152" t="s">
        <v>2273</v>
      </c>
      <c r="E719" s="153"/>
      <c r="F719" s="94" t="s">
        <v>2850</v>
      </c>
      <c r="G719" s="73">
        <v>1</v>
      </c>
      <c r="H719" s="51">
        <v>0</v>
      </c>
      <c r="I719" s="5"/>
    </row>
    <row r="720" spans="1:9" ht="12.75">
      <c r="A720" s="4" t="s">
        <v>377</v>
      </c>
      <c r="B720" s="94" t="s">
        <v>2882</v>
      </c>
      <c r="C720" s="94" t="s">
        <v>1330</v>
      </c>
      <c r="D720" s="152" t="s">
        <v>2274</v>
      </c>
      <c r="E720" s="153"/>
      <c r="F720" s="94" t="s">
        <v>2850</v>
      </c>
      <c r="G720" s="73">
        <v>1</v>
      </c>
      <c r="H720" s="51">
        <v>0</v>
      </c>
      <c r="I720" s="5"/>
    </row>
    <row r="721" spans="1:9" ht="12.75">
      <c r="A721" s="4" t="s">
        <v>378</v>
      </c>
      <c r="B721" s="94" t="s">
        <v>2882</v>
      </c>
      <c r="C721" s="94" t="s">
        <v>1331</v>
      </c>
      <c r="D721" s="152" t="s">
        <v>2275</v>
      </c>
      <c r="E721" s="153"/>
      <c r="F721" s="94" t="s">
        <v>2850</v>
      </c>
      <c r="G721" s="73">
        <v>1</v>
      </c>
      <c r="H721" s="51">
        <v>0</v>
      </c>
      <c r="I721" s="5"/>
    </row>
    <row r="722" spans="1:9" ht="12.75">
      <c r="A722" s="4" t="s">
        <v>379</v>
      </c>
      <c r="B722" s="94" t="s">
        <v>2882</v>
      </c>
      <c r="C722" s="94" t="s">
        <v>1326</v>
      </c>
      <c r="D722" s="152" t="s">
        <v>2276</v>
      </c>
      <c r="E722" s="153"/>
      <c r="F722" s="94" t="s">
        <v>2850</v>
      </c>
      <c r="G722" s="73">
        <v>1</v>
      </c>
      <c r="H722" s="51">
        <v>0</v>
      </c>
      <c r="I722" s="5"/>
    </row>
    <row r="723" spans="1:9" ht="12.75">
      <c r="A723" s="4" t="s">
        <v>380</v>
      </c>
      <c r="B723" s="94" t="s">
        <v>2882</v>
      </c>
      <c r="C723" s="94" t="s">
        <v>1332</v>
      </c>
      <c r="D723" s="152" t="s">
        <v>2278</v>
      </c>
      <c r="E723" s="153"/>
      <c r="F723" s="94" t="s">
        <v>2851</v>
      </c>
      <c r="G723" s="73">
        <v>8.5</v>
      </c>
      <c r="H723" s="51">
        <v>0</v>
      </c>
      <c r="I723" s="5"/>
    </row>
    <row r="724" spans="1:9" ht="12.75">
      <c r="A724" s="4" t="s">
        <v>381</v>
      </c>
      <c r="B724" s="94" t="s">
        <v>2882</v>
      </c>
      <c r="C724" s="94" t="s">
        <v>1333</v>
      </c>
      <c r="D724" s="152" t="s">
        <v>2279</v>
      </c>
      <c r="E724" s="153"/>
      <c r="F724" s="94" t="s">
        <v>2851</v>
      </c>
      <c r="G724" s="73">
        <v>18.5</v>
      </c>
      <c r="H724" s="51">
        <v>0</v>
      </c>
      <c r="I724" s="5"/>
    </row>
    <row r="725" spans="1:9" ht="12.75">
      <c r="A725" s="4" t="s">
        <v>382</v>
      </c>
      <c r="B725" s="94" t="s">
        <v>2882</v>
      </c>
      <c r="C725" s="94" t="s">
        <v>1334</v>
      </c>
      <c r="D725" s="152" t="s">
        <v>2280</v>
      </c>
      <c r="E725" s="153"/>
      <c r="F725" s="94" t="s">
        <v>2851</v>
      </c>
      <c r="G725" s="73">
        <v>13</v>
      </c>
      <c r="H725" s="51">
        <v>0</v>
      </c>
      <c r="I725" s="5"/>
    </row>
    <row r="726" spans="1:9" ht="12.75">
      <c r="A726" s="4" t="s">
        <v>383</v>
      </c>
      <c r="B726" s="94" t="s">
        <v>2882</v>
      </c>
      <c r="C726" s="94" t="s">
        <v>1335</v>
      </c>
      <c r="D726" s="152" t="s">
        <v>2281</v>
      </c>
      <c r="E726" s="153"/>
      <c r="F726" s="94" t="s">
        <v>2851</v>
      </c>
      <c r="G726" s="73">
        <v>11</v>
      </c>
      <c r="H726" s="51">
        <v>0</v>
      </c>
      <c r="I726" s="5"/>
    </row>
    <row r="727" spans="1:9" ht="12.75">
      <c r="A727" s="4" t="s">
        <v>384</v>
      </c>
      <c r="B727" s="94" t="s">
        <v>2882</v>
      </c>
      <c r="C727" s="94" t="s">
        <v>1336</v>
      </c>
      <c r="D727" s="152" t="s">
        <v>2282</v>
      </c>
      <c r="E727" s="153"/>
      <c r="F727" s="94" t="s">
        <v>2851</v>
      </c>
      <c r="G727" s="73">
        <v>20.5</v>
      </c>
      <c r="H727" s="51">
        <v>0</v>
      </c>
      <c r="I727" s="5"/>
    </row>
    <row r="728" spans="1:9" ht="12.75">
      <c r="A728" s="4" t="s">
        <v>385</v>
      </c>
      <c r="B728" s="94" t="s">
        <v>2882</v>
      </c>
      <c r="C728" s="94" t="s">
        <v>1337</v>
      </c>
      <c r="D728" s="152" t="s">
        <v>2283</v>
      </c>
      <c r="E728" s="153"/>
      <c r="F728" s="94" t="s">
        <v>2851</v>
      </c>
      <c r="G728" s="73">
        <v>5.5</v>
      </c>
      <c r="H728" s="51">
        <v>0</v>
      </c>
      <c r="I728" s="5"/>
    </row>
    <row r="729" spans="1:9" ht="12.75">
      <c r="A729" s="4" t="s">
        <v>386</v>
      </c>
      <c r="B729" s="94" t="s">
        <v>2882</v>
      </c>
      <c r="C729" s="94" t="s">
        <v>1338</v>
      </c>
      <c r="D729" s="152" t="s">
        <v>2284</v>
      </c>
      <c r="E729" s="153"/>
      <c r="F729" s="94" t="s">
        <v>2851</v>
      </c>
      <c r="G729" s="73">
        <v>4.5</v>
      </c>
      <c r="H729" s="51">
        <v>0</v>
      </c>
      <c r="I729" s="5"/>
    </row>
    <row r="730" spans="1:9" ht="12.75">
      <c r="A730" s="4" t="s">
        <v>387</v>
      </c>
      <c r="B730" s="94" t="s">
        <v>2882</v>
      </c>
      <c r="C730" s="94" t="s">
        <v>1339</v>
      </c>
      <c r="D730" s="152" t="s">
        <v>2285</v>
      </c>
      <c r="E730" s="153"/>
      <c r="F730" s="94" t="s">
        <v>2850</v>
      </c>
      <c r="G730" s="73">
        <v>2</v>
      </c>
      <c r="H730" s="51">
        <v>0</v>
      </c>
      <c r="I730" s="5"/>
    </row>
    <row r="731" spans="1:9" ht="12.75">
      <c r="A731" s="4" t="s">
        <v>388</v>
      </c>
      <c r="B731" s="94" t="s">
        <v>2882</v>
      </c>
      <c r="C731" s="94" t="s">
        <v>1340</v>
      </c>
      <c r="D731" s="152" t="s">
        <v>2286</v>
      </c>
      <c r="E731" s="153"/>
      <c r="F731" s="94" t="s">
        <v>2850</v>
      </c>
      <c r="G731" s="73">
        <v>1</v>
      </c>
      <c r="H731" s="51">
        <v>0</v>
      </c>
      <c r="I731" s="5"/>
    </row>
    <row r="732" spans="1:9" ht="12.75">
      <c r="A732" s="4" t="s">
        <v>389</v>
      </c>
      <c r="B732" s="94" t="s">
        <v>2882</v>
      </c>
      <c r="C732" s="94" t="s">
        <v>1341</v>
      </c>
      <c r="D732" s="152" t="s">
        <v>2287</v>
      </c>
      <c r="E732" s="153"/>
      <c r="F732" s="94" t="s">
        <v>2850</v>
      </c>
      <c r="G732" s="73">
        <v>2</v>
      </c>
      <c r="H732" s="51">
        <v>0</v>
      </c>
      <c r="I732" s="5"/>
    </row>
    <row r="733" spans="1:9" ht="12.75">
      <c r="A733" s="4" t="s">
        <v>390</v>
      </c>
      <c r="B733" s="94" t="s">
        <v>2882</v>
      </c>
      <c r="C733" s="94" t="s">
        <v>1342</v>
      </c>
      <c r="D733" s="152" t="s">
        <v>2288</v>
      </c>
      <c r="E733" s="153"/>
      <c r="F733" s="94" t="s">
        <v>2850</v>
      </c>
      <c r="G733" s="73">
        <v>2</v>
      </c>
      <c r="H733" s="51">
        <v>0</v>
      </c>
      <c r="I733" s="5"/>
    </row>
    <row r="734" spans="1:9" ht="12.75">
      <c r="A734" s="4" t="s">
        <v>391</v>
      </c>
      <c r="B734" s="94" t="s">
        <v>2882</v>
      </c>
      <c r="C734" s="94" t="s">
        <v>1343</v>
      </c>
      <c r="D734" s="152" t="s">
        <v>2289</v>
      </c>
      <c r="E734" s="153"/>
      <c r="F734" s="94" t="s">
        <v>2850</v>
      </c>
      <c r="G734" s="73">
        <v>2</v>
      </c>
      <c r="H734" s="51">
        <v>0</v>
      </c>
      <c r="I734" s="5"/>
    </row>
    <row r="735" spans="1:9" ht="12.75">
      <c r="A735" s="4" t="s">
        <v>392</v>
      </c>
      <c r="B735" s="94" t="s">
        <v>2882</v>
      </c>
      <c r="C735" s="94" t="s">
        <v>1344</v>
      </c>
      <c r="D735" s="152" t="s">
        <v>2290</v>
      </c>
      <c r="E735" s="153"/>
      <c r="F735" s="94" t="s">
        <v>2850</v>
      </c>
      <c r="G735" s="73">
        <v>1</v>
      </c>
      <c r="H735" s="51">
        <v>0</v>
      </c>
      <c r="I735" s="5"/>
    </row>
    <row r="736" spans="1:9" ht="12.75">
      <c r="A736" s="4" t="s">
        <v>393</v>
      </c>
      <c r="B736" s="94" t="s">
        <v>2882</v>
      </c>
      <c r="C736" s="94" t="s">
        <v>1345</v>
      </c>
      <c r="D736" s="152" t="s">
        <v>2291</v>
      </c>
      <c r="E736" s="153"/>
      <c r="F736" s="94" t="s">
        <v>2850</v>
      </c>
      <c r="G736" s="73">
        <v>3</v>
      </c>
      <c r="H736" s="51">
        <v>0</v>
      </c>
      <c r="I736" s="5"/>
    </row>
    <row r="737" spans="1:9" ht="12.75">
      <c r="A737" s="4" t="s">
        <v>394</v>
      </c>
      <c r="B737" s="94" t="s">
        <v>2882</v>
      </c>
      <c r="C737" s="94" t="s">
        <v>1346</v>
      </c>
      <c r="D737" s="152" t="s">
        <v>2292</v>
      </c>
      <c r="E737" s="153"/>
      <c r="F737" s="94" t="s">
        <v>2850</v>
      </c>
      <c r="G737" s="73">
        <v>1</v>
      </c>
      <c r="H737" s="51">
        <v>0</v>
      </c>
      <c r="I737" s="5"/>
    </row>
    <row r="738" spans="1:9" ht="12.75">
      <c r="A738" s="4" t="s">
        <v>395</v>
      </c>
      <c r="B738" s="94" t="s">
        <v>2882</v>
      </c>
      <c r="C738" s="94" t="s">
        <v>1347</v>
      </c>
      <c r="D738" s="152" t="s">
        <v>2293</v>
      </c>
      <c r="E738" s="153"/>
      <c r="F738" s="94" t="s">
        <v>2850</v>
      </c>
      <c r="G738" s="73">
        <v>12</v>
      </c>
      <c r="H738" s="51">
        <v>0</v>
      </c>
      <c r="I738" s="5"/>
    </row>
    <row r="739" spans="1:9" ht="12.75">
      <c r="A739" s="4" t="s">
        <v>396</v>
      </c>
      <c r="B739" s="94" t="s">
        <v>2882</v>
      </c>
      <c r="C739" s="94" t="s">
        <v>1348</v>
      </c>
      <c r="D739" s="152" t="s">
        <v>2294</v>
      </c>
      <c r="E739" s="153"/>
      <c r="F739" s="94" t="s">
        <v>2850</v>
      </c>
      <c r="G739" s="73">
        <v>3</v>
      </c>
      <c r="H739" s="51">
        <v>0</v>
      </c>
      <c r="I739" s="5"/>
    </row>
    <row r="740" spans="1:9" ht="12.75">
      <c r="A740" s="4" t="s">
        <v>397</v>
      </c>
      <c r="B740" s="94" t="s">
        <v>2882</v>
      </c>
      <c r="C740" s="94" t="s">
        <v>1349</v>
      </c>
      <c r="D740" s="152" t="s">
        <v>2295</v>
      </c>
      <c r="E740" s="153"/>
      <c r="F740" s="94" t="s">
        <v>2850</v>
      </c>
      <c r="G740" s="73">
        <v>1</v>
      </c>
      <c r="H740" s="51">
        <v>0</v>
      </c>
      <c r="I740" s="5"/>
    </row>
    <row r="741" spans="1:9" ht="12.75">
      <c r="A741" s="4" t="s">
        <v>398</v>
      </c>
      <c r="B741" s="94" t="s">
        <v>2882</v>
      </c>
      <c r="C741" s="94" t="s">
        <v>1350</v>
      </c>
      <c r="D741" s="152" t="s">
        <v>2296</v>
      </c>
      <c r="E741" s="153"/>
      <c r="F741" s="94" t="s">
        <v>2849</v>
      </c>
      <c r="G741" s="73">
        <v>23.369</v>
      </c>
      <c r="H741" s="51">
        <v>0</v>
      </c>
      <c r="I741" s="5"/>
    </row>
    <row r="742" spans="1:9" ht="12.75">
      <c r="A742" s="4" t="s">
        <v>399</v>
      </c>
      <c r="B742" s="94" t="s">
        <v>2882</v>
      </c>
      <c r="C742" s="94" t="s">
        <v>1351</v>
      </c>
      <c r="D742" s="152" t="s">
        <v>2297</v>
      </c>
      <c r="E742" s="153"/>
      <c r="F742" s="94" t="s">
        <v>2853</v>
      </c>
      <c r="G742" s="73">
        <v>32</v>
      </c>
      <c r="H742" s="51">
        <v>0</v>
      </c>
      <c r="I742" s="5"/>
    </row>
    <row r="743" spans="1:9" ht="12.75">
      <c r="A743" s="4" t="s">
        <v>400</v>
      </c>
      <c r="B743" s="94" t="s">
        <v>2882</v>
      </c>
      <c r="C743" s="94" t="s">
        <v>1352</v>
      </c>
      <c r="D743" s="152" t="s">
        <v>2298</v>
      </c>
      <c r="E743" s="153"/>
      <c r="F743" s="94" t="s">
        <v>2853</v>
      </c>
      <c r="G743" s="73">
        <v>35</v>
      </c>
      <c r="H743" s="51">
        <v>0</v>
      </c>
      <c r="I743" s="5"/>
    </row>
    <row r="744" spans="1:9" ht="12.75">
      <c r="A744" s="4" t="s">
        <v>401</v>
      </c>
      <c r="B744" s="94" t="s">
        <v>2882</v>
      </c>
      <c r="C744" s="94" t="s">
        <v>1353</v>
      </c>
      <c r="D744" s="152" t="s">
        <v>2299</v>
      </c>
      <c r="E744" s="153"/>
      <c r="F744" s="94" t="s">
        <v>2850</v>
      </c>
      <c r="G744" s="73">
        <v>2</v>
      </c>
      <c r="H744" s="51">
        <v>0</v>
      </c>
      <c r="I744" s="5"/>
    </row>
    <row r="745" spans="1:9" ht="12.75">
      <c r="A745" s="4" t="s">
        <v>402</v>
      </c>
      <c r="B745" s="94" t="s">
        <v>2882</v>
      </c>
      <c r="C745" s="94" t="s">
        <v>1354</v>
      </c>
      <c r="D745" s="152" t="s">
        <v>2276</v>
      </c>
      <c r="E745" s="153"/>
      <c r="F745" s="94" t="s">
        <v>2850</v>
      </c>
      <c r="G745" s="73">
        <v>2</v>
      </c>
      <c r="H745" s="51">
        <v>0</v>
      </c>
      <c r="I745" s="5"/>
    </row>
    <row r="746" spans="1:9" ht="12.75">
      <c r="A746" s="4" t="s">
        <v>403</v>
      </c>
      <c r="B746" s="94" t="s">
        <v>2882</v>
      </c>
      <c r="C746" s="94" t="s">
        <v>1355</v>
      </c>
      <c r="D746" s="152" t="s">
        <v>2279</v>
      </c>
      <c r="E746" s="153"/>
      <c r="F746" s="94" t="s">
        <v>2851</v>
      </c>
      <c r="G746" s="73">
        <v>15.5</v>
      </c>
      <c r="H746" s="51">
        <v>0</v>
      </c>
      <c r="I746" s="5"/>
    </row>
    <row r="747" spans="1:9" ht="12.75">
      <c r="A747" s="4" t="s">
        <v>404</v>
      </c>
      <c r="B747" s="94" t="s">
        <v>2882</v>
      </c>
      <c r="C747" s="94" t="s">
        <v>1356</v>
      </c>
      <c r="D747" s="152" t="s">
        <v>2289</v>
      </c>
      <c r="E747" s="153"/>
      <c r="F747" s="94" t="s">
        <v>2850</v>
      </c>
      <c r="G747" s="73">
        <v>2</v>
      </c>
      <c r="H747" s="51">
        <v>0</v>
      </c>
      <c r="I747" s="5"/>
    </row>
    <row r="748" spans="1:9" ht="12.75">
      <c r="A748" s="4" t="s">
        <v>405</v>
      </c>
      <c r="B748" s="94" t="s">
        <v>2882</v>
      </c>
      <c r="C748" s="94" t="s">
        <v>1357</v>
      </c>
      <c r="D748" s="152" t="s">
        <v>2300</v>
      </c>
      <c r="E748" s="153"/>
      <c r="F748" s="94" t="s">
        <v>2850</v>
      </c>
      <c r="G748" s="73">
        <v>2</v>
      </c>
      <c r="H748" s="51">
        <v>0</v>
      </c>
      <c r="I748" s="5"/>
    </row>
    <row r="749" spans="1:9" ht="12.75">
      <c r="A749" s="4" t="s">
        <v>406</v>
      </c>
      <c r="B749" s="94" t="s">
        <v>2882</v>
      </c>
      <c r="C749" s="94" t="s">
        <v>1358</v>
      </c>
      <c r="D749" s="152" t="s">
        <v>2301</v>
      </c>
      <c r="E749" s="153"/>
      <c r="F749" s="94" t="s">
        <v>2849</v>
      </c>
      <c r="G749" s="73">
        <v>6.996</v>
      </c>
      <c r="H749" s="51">
        <v>0</v>
      </c>
      <c r="I749" s="5"/>
    </row>
    <row r="750" spans="1:9" ht="12.75">
      <c r="A750" s="4" t="s">
        <v>407</v>
      </c>
      <c r="B750" s="94" t="s">
        <v>2882</v>
      </c>
      <c r="C750" s="94" t="s">
        <v>1359</v>
      </c>
      <c r="D750" s="152" t="s">
        <v>2297</v>
      </c>
      <c r="E750" s="153"/>
      <c r="F750" s="94" t="s">
        <v>2853</v>
      </c>
      <c r="G750" s="73">
        <v>5</v>
      </c>
      <c r="H750" s="51">
        <v>0</v>
      </c>
      <c r="I750" s="5"/>
    </row>
    <row r="751" spans="1:9" ht="12.75">
      <c r="A751" s="4" t="s">
        <v>408</v>
      </c>
      <c r="B751" s="94" t="s">
        <v>2882</v>
      </c>
      <c r="C751" s="94" t="s">
        <v>1360</v>
      </c>
      <c r="D751" s="152" t="s">
        <v>2298</v>
      </c>
      <c r="E751" s="153"/>
      <c r="F751" s="94" t="s">
        <v>2853</v>
      </c>
      <c r="G751" s="73">
        <v>7</v>
      </c>
      <c r="H751" s="51">
        <v>0</v>
      </c>
      <c r="I751" s="5"/>
    </row>
    <row r="752" spans="1:9" ht="12.75">
      <c r="A752" s="4" t="s">
        <v>409</v>
      </c>
      <c r="B752" s="94" t="s">
        <v>2882</v>
      </c>
      <c r="C752" s="94" t="s">
        <v>1361</v>
      </c>
      <c r="D752" s="152" t="s">
        <v>2302</v>
      </c>
      <c r="E752" s="153"/>
      <c r="F752" s="94" t="s">
        <v>2850</v>
      </c>
      <c r="G752" s="73">
        <v>5</v>
      </c>
      <c r="H752" s="51">
        <v>0</v>
      </c>
      <c r="I752" s="5"/>
    </row>
    <row r="753" spans="1:9" ht="12.75">
      <c r="A753" s="4" t="s">
        <v>410</v>
      </c>
      <c r="B753" s="94" t="s">
        <v>2882</v>
      </c>
      <c r="C753" s="94" t="s">
        <v>1362</v>
      </c>
      <c r="D753" s="152" t="s">
        <v>2303</v>
      </c>
      <c r="E753" s="153"/>
      <c r="F753" s="94" t="s">
        <v>2850</v>
      </c>
      <c r="G753" s="73">
        <v>18</v>
      </c>
      <c r="H753" s="51">
        <v>0</v>
      </c>
      <c r="I753" s="5"/>
    </row>
    <row r="754" spans="1:9" ht="12.75">
      <c r="A754" s="4" t="s">
        <v>411</v>
      </c>
      <c r="B754" s="94" t="s">
        <v>2882</v>
      </c>
      <c r="C754" s="94" t="s">
        <v>1363</v>
      </c>
      <c r="D754" s="152" t="s">
        <v>2304</v>
      </c>
      <c r="E754" s="153"/>
      <c r="F754" s="94" t="s">
        <v>2854</v>
      </c>
      <c r="G754" s="73">
        <v>1</v>
      </c>
      <c r="H754" s="51">
        <v>0</v>
      </c>
      <c r="I754" s="5"/>
    </row>
    <row r="755" spans="1:9" ht="12.75">
      <c r="A755" s="4" t="s">
        <v>412</v>
      </c>
      <c r="B755" s="94" t="s">
        <v>2882</v>
      </c>
      <c r="C755" s="94" t="s">
        <v>1364</v>
      </c>
      <c r="D755" s="152" t="s">
        <v>2189</v>
      </c>
      <c r="E755" s="153"/>
      <c r="F755" s="94" t="s">
        <v>2852</v>
      </c>
      <c r="G755" s="73">
        <v>50</v>
      </c>
      <c r="H755" s="51">
        <v>0</v>
      </c>
      <c r="I755" s="5"/>
    </row>
    <row r="756" spans="1:9" ht="12.75">
      <c r="A756" s="4" t="s">
        <v>413</v>
      </c>
      <c r="B756" s="94" t="s">
        <v>2882</v>
      </c>
      <c r="C756" s="94" t="s">
        <v>1365</v>
      </c>
      <c r="D756" s="152" t="s">
        <v>2305</v>
      </c>
      <c r="E756" s="153"/>
      <c r="F756" s="94" t="s">
        <v>2850</v>
      </c>
      <c r="G756" s="73">
        <v>1</v>
      </c>
      <c r="H756" s="51">
        <v>0</v>
      </c>
      <c r="I756" s="5"/>
    </row>
    <row r="757" spans="1:9" ht="12.75">
      <c r="A757" s="4" t="s">
        <v>414</v>
      </c>
      <c r="B757" s="94" t="s">
        <v>2882</v>
      </c>
      <c r="C757" s="94" t="s">
        <v>1366</v>
      </c>
      <c r="D757" s="152" t="s">
        <v>2306</v>
      </c>
      <c r="E757" s="153"/>
      <c r="F757" s="94" t="s">
        <v>2850</v>
      </c>
      <c r="G757" s="73">
        <v>1</v>
      </c>
      <c r="H757" s="51">
        <v>0</v>
      </c>
      <c r="I757" s="5"/>
    </row>
    <row r="758" spans="1:9" ht="12.75">
      <c r="A758" s="4" t="s">
        <v>415</v>
      </c>
      <c r="B758" s="94" t="s">
        <v>2882</v>
      </c>
      <c r="C758" s="94" t="s">
        <v>1367</v>
      </c>
      <c r="D758" s="152" t="s">
        <v>2307</v>
      </c>
      <c r="E758" s="153"/>
      <c r="F758" s="94" t="s">
        <v>2850</v>
      </c>
      <c r="G758" s="73">
        <v>1</v>
      </c>
      <c r="H758" s="51">
        <v>0</v>
      </c>
      <c r="I758" s="5"/>
    </row>
    <row r="759" spans="1:9" ht="12.75">
      <c r="A759" s="4" t="s">
        <v>416</v>
      </c>
      <c r="B759" s="94" t="s">
        <v>2882</v>
      </c>
      <c r="C759" s="94" t="s">
        <v>1368</v>
      </c>
      <c r="D759" s="152" t="s">
        <v>2308</v>
      </c>
      <c r="E759" s="153"/>
      <c r="F759" s="94" t="s">
        <v>2850</v>
      </c>
      <c r="G759" s="73">
        <v>1</v>
      </c>
      <c r="H759" s="51">
        <v>0</v>
      </c>
      <c r="I759" s="5"/>
    </row>
    <row r="760" spans="1:9" ht="12.75">
      <c r="A760" s="4" t="s">
        <v>417</v>
      </c>
      <c r="B760" s="94" t="s">
        <v>2882</v>
      </c>
      <c r="C760" s="94" t="s">
        <v>1369</v>
      </c>
      <c r="D760" s="152" t="s">
        <v>2309</v>
      </c>
      <c r="E760" s="153"/>
      <c r="F760" s="94" t="s">
        <v>2852</v>
      </c>
      <c r="G760" s="73">
        <v>70</v>
      </c>
      <c r="H760" s="51">
        <v>0</v>
      </c>
      <c r="I760" s="5"/>
    </row>
    <row r="761" spans="1:9" ht="12.75">
      <c r="A761" s="4" t="s">
        <v>418</v>
      </c>
      <c r="B761" s="94" t="s">
        <v>2882</v>
      </c>
      <c r="C761" s="94" t="s">
        <v>1370</v>
      </c>
      <c r="D761" s="152" t="s">
        <v>2310</v>
      </c>
      <c r="E761" s="153"/>
      <c r="F761" s="94" t="s">
        <v>2852</v>
      </c>
      <c r="G761" s="73">
        <v>30</v>
      </c>
      <c r="H761" s="51">
        <v>0</v>
      </c>
      <c r="I761" s="5"/>
    </row>
    <row r="762" spans="1:9" ht="12.75">
      <c r="A762" s="4" t="s">
        <v>419</v>
      </c>
      <c r="B762" s="94" t="s">
        <v>2882</v>
      </c>
      <c r="C762" s="94" t="s">
        <v>1371</v>
      </c>
      <c r="D762" s="152" t="s">
        <v>2311</v>
      </c>
      <c r="E762" s="153"/>
      <c r="F762" s="94" t="s">
        <v>2850</v>
      </c>
      <c r="G762" s="73">
        <v>1</v>
      </c>
      <c r="H762" s="51">
        <v>0</v>
      </c>
      <c r="I762" s="5"/>
    </row>
    <row r="763" spans="1:9" ht="12.75">
      <c r="A763" s="4" t="s">
        <v>420</v>
      </c>
      <c r="B763" s="94" t="s">
        <v>2882</v>
      </c>
      <c r="C763" s="94" t="s">
        <v>1372</v>
      </c>
      <c r="D763" s="152" t="s">
        <v>2193</v>
      </c>
      <c r="E763" s="153"/>
      <c r="F763" s="94" t="s">
        <v>2852</v>
      </c>
      <c r="G763" s="73">
        <v>25</v>
      </c>
      <c r="H763" s="51">
        <v>0</v>
      </c>
      <c r="I763" s="5"/>
    </row>
    <row r="764" spans="1:9" ht="12.75">
      <c r="A764" s="4" t="s">
        <v>421</v>
      </c>
      <c r="B764" s="94" t="s">
        <v>2882</v>
      </c>
      <c r="C764" s="94" t="s">
        <v>1373</v>
      </c>
      <c r="D764" s="152" t="s">
        <v>2194</v>
      </c>
      <c r="E764" s="153"/>
      <c r="F764" s="94" t="s">
        <v>2850</v>
      </c>
      <c r="G764" s="73">
        <v>1</v>
      </c>
      <c r="H764" s="51">
        <v>0</v>
      </c>
      <c r="I764" s="5"/>
    </row>
    <row r="765" spans="1:9" ht="12.75">
      <c r="A765" s="4" t="s">
        <v>422</v>
      </c>
      <c r="B765" s="94" t="s">
        <v>2882</v>
      </c>
      <c r="C765" s="94" t="s">
        <v>1374</v>
      </c>
      <c r="D765" s="152" t="s">
        <v>2195</v>
      </c>
      <c r="E765" s="153"/>
      <c r="F765" s="94" t="s">
        <v>2850</v>
      </c>
      <c r="G765" s="73">
        <v>1</v>
      </c>
      <c r="H765" s="51">
        <v>0</v>
      </c>
      <c r="I765" s="5"/>
    </row>
    <row r="766" spans="1:9" ht="12.75">
      <c r="A766" s="4" t="s">
        <v>423</v>
      </c>
      <c r="B766" s="94" t="s">
        <v>2882</v>
      </c>
      <c r="C766" s="94" t="s">
        <v>1375</v>
      </c>
      <c r="D766" s="152" t="s">
        <v>2196</v>
      </c>
      <c r="E766" s="153"/>
      <c r="F766" s="94" t="s">
        <v>2850</v>
      </c>
      <c r="G766" s="73">
        <v>1</v>
      </c>
      <c r="H766" s="51">
        <v>0</v>
      </c>
      <c r="I766" s="5"/>
    </row>
    <row r="767" spans="1:9" ht="12.75">
      <c r="A767" s="44"/>
      <c r="B767" s="97"/>
      <c r="C767" s="97" t="s">
        <v>736</v>
      </c>
      <c r="D767" s="161" t="s">
        <v>2312</v>
      </c>
      <c r="E767" s="162"/>
      <c r="F767" s="97"/>
      <c r="G767" s="74"/>
      <c r="H767" s="24"/>
      <c r="I767" s="5"/>
    </row>
    <row r="768" spans="1:9" ht="12.75">
      <c r="A768" s="4" t="s">
        <v>424</v>
      </c>
      <c r="B768" s="94" t="s">
        <v>2882</v>
      </c>
      <c r="C768" s="94" t="s">
        <v>1376</v>
      </c>
      <c r="D768" s="152" t="s">
        <v>2313</v>
      </c>
      <c r="E768" s="153"/>
      <c r="F768" s="94" t="s">
        <v>2851</v>
      </c>
      <c r="G768" s="73">
        <v>6.5</v>
      </c>
      <c r="H768" s="51">
        <v>0</v>
      </c>
      <c r="I768" s="5"/>
    </row>
    <row r="769" spans="1:9" ht="12.75">
      <c r="A769" s="4" t="s">
        <v>425</v>
      </c>
      <c r="B769" s="94" t="s">
        <v>2882</v>
      </c>
      <c r="C769" s="94" t="s">
        <v>1377</v>
      </c>
      <c r="D769" s="152" t="s">
        <v>2314</v>
      </c>
      <c r="E769" s="153"/>
      <c r="F769" s="94" t="s">
        <v>2851</v>
      </c>
      <c r="G769" s="73">
        <v>57.5</v>
      </c>
      <c r="H769" s="51">
        <v>0</v>
      </c>
      <c r="I769" s="5"/>
    </row>
    <row r="770" spans="1:9" ht="12.75">
      <c r="A770" s="4" t="s">
        <v>426</v>
      </c>
      <c r="B770" s="94" t="s">
        <v>2882</v>
      </c>
      <c r="C770" s="94" t="s">
        <v>1378</v>
      </c>
      <c r="D770" s="152" t="s">
        <v>2315</v>
      </c>
      <c r="E770" s="153"/>
      <c r="F770" s="94" t="s">
        <v>2851</v>
      </c>
      <c r="G770" s="73">
        <v>58.5</v>
      </c>
      <c r="H770" s="51">
        <v>0</v>
      </c>
      <c r="I770" s="5"/>
    </row>
    <row r="771" spans="1:9" ht="12.75">
      <c r="A771" s="4" t="s">
        <v>427</v>
      </c>
      <c r="B771" s="94" t="s">
        <v>2882</v>
      </c>
      <c r="C771" s="94" t="s">
        <v>1379</v>
      </c>
      <c r="D771" s="152" t="s">
        <v>2316</v>
      </c>
      <c r="E771" s="153"/>
      <c r="F771" s="94" t="s">
        <v>2851</v>
      </c>
      <c r="G771" s="73">
        <v>6.5</v>
      </c>
      <c r="H771" s="51">
        <v>0</v>
      </c>
      <c r="I771" s="5"/>
    </row>
    <row r="772" spans="1:9" ht="12.75">
      <c r="A772" s="4" t="s">
        <v>428</v>
      </c>
      <c r="B772" s="94" t="s">
        <v>2882</v>
      </c>
      <c r="C772" s="94" t="s">
        <v>1380</v>
      </c>
      <c r="D772" s="152" t="s">
        <v>2317</v>
      </c>
      <c r="E772" s="153"/>
      <c r="F772" s="94" t="s">
        <v>2851</v>
      </c>
      <c r="G772" s="73">
        <v>24</v>
      </c>
      <c r="H772" s="51">
        <v>0</v>
      </c>
      <c r="I772" s="5"/>
    </row>
    <row r="773" spans="1:9" ht="12.75">
      <c r="A773" s="4" t="s">
        <v>429</v>
      </c>
      <c r="B773" s="94" t="s">
        <v>2882</v>
      </c>
      <c r="C773" s="94" t="s">
        <v>1381</v>
      </c>
      <c r="D773" s="152" t="s">
        <v>2318</v>
      </c>
      <c r="E773" s="153"/>
      <c r="F773" s="94" t="s">
        <v>2851</v>
      </c>
      <c r="G773" s="73">
        <v>15</v>
      </c>
      <c r="H773" s="51">
        <v>0</v>
      </c>
      <c r="I773" s="5"/>
    </row>
    <row r="774" spans="1:9" ht="12.75">
      <c r="A774" s="4" t="s">
        <v>430</v>
      </c>
      <c r="B774" s="94" t="s">
        <v>2882</v>
      </c>
      <c r="C774" s="94" t="s">
        <v>1382</v>
      </c>
      <c r="D774" s="152" t="s">
        <v>2319</v>
      </c>
      <c r="E774" s="153"/>
      <c r="F774" s="94" t="s">
        <v>2851</v>
      </c>
      <c r="G774" s="73">
        <v>33.5</v>
      </c>
      <c r="H774" s="51">
        <v>0</v>
      </c>
      <c r="I774" s="5"/>
    </row>
    <row r="775" spans="1:9" ht="12.75">
      <c r="A775" s="4" t="s">
        <v>431</v>
      </c>
      <c r="B775" s="94" t="s">
        <v>2882</v>
      </c>
      <c r="C775" s="94" t="s">
        <v>1383</v>
      </c>
      <c r="D775" s="152" t="s">
        <v>2320</v>
      </c>
      <c r="E775" s="153"/>
      <c r="F775" s="94" t="s">
        <v>2851</v>
      </c>
      <c r="G775" s="73">
        <v>43.5</v>
      </c>
      <c r="H775" s="51">
        <v>0</v>
      </c>
      <c r="I775" s="5"/>
    </row>
    <row r="776" spans="1:9" ht="12.75">
      <c r="A776" s="4" t="s">
        <v>432</v>
      </c>
      <c r="B776" s="94" t="s">
        <v>2882</v>
      </c>
      <c r="C776" s="94" t="s">
        <v>1384</v>
      </c>
      <c r="D776" s="152" t="s">
        <v>2321</v>
      </c>
      <c r="E776" s="153"/>
      <c r="F776" s="94" t="s">
        <v>2850</v>
      </c>
      <c r="G776" s="73">
        <v>6</v>
      </c>
      <c r="H776" s="51">
        <v>0</v>
      </c>
      <c r="I776" s="5"/>
    </row>
    <row r="777" spans="1:9" ht="12.75">
      <c r="A777" s="4" t="s">
        <v>433</v>
      </c>
      <c r="B777" s="94" t="s">
        <v>2882</v>
      </c>
      <c r="C777" s="94" t="s">
        <v>1385</v>
      </c>
      <c r="D777" s="152" t="s">
        <v>2322</v>
      </c>
      <c r="E777" s="153"/>
      <c r="F777" s="94" t="s">
        <v>2850</v>
      </c>
      <c r="G777" s="73">
        <v>6</v>
      </c>
      <c r="H777" s="51">
        <v>0</v>
      </c>
      <c r="I777" s="5"/>
    </row>
    <row r="778" spans="1:9" ht="12.75">
      <c r="A778" s="4" t="s">
        <v>434</v>
      </c>
      <c r="B778" s="94" t="s">
        <v>2882</v>
      </c>
      <c r="C778" s="94" t="s">
        <v>1386</v>
      </c>
      <c r="D778" s="152" t="s">
        <v>2323</v>
      </c>
      <c r="E778" s="153"/>
      <c r="F778" s="94" t="s">
        <v>2850</v>
      </c>
      <c r="G778" s="73">
        <v>6</v>
      </c>
      <c r="H778" s="51">
        <v>0</v>
      </c>
      <c r="I778" s="5"/>
    </row>
    <row r="779" spans="1:9" ht="12.75">
      <c r="A779" s="4" t="s">
        <v>435</v>
      </c>
      <c r="B779" s="94" t="s">
        <v>2882</v>
      </c>
      <c r="C779" s="94" t="s">
        <v>1387</v>
      </c>
      <c r="D779" s="152" t="s">
        <v>2324</v>
      </c>
      <c r="E779" s="153"/>
      <c r="F779" s="94" t="s">
        <v>2850</v>
      </c>
      <c r="G779" s="73">
        <v>1</v>
      </c>
      <c r="H779" s="51">
        <v>0</v>
      </c>
      <c r="I779" s="5"/>
    </row>
    <row r="780" spans="1:9" ht="12.75">
      <c r="A780" s="4" t="s">
        <v>436</v>
      </c>
      <c r="B780" s="94" t="s">
        <v>2882</v>
      </c>
      <c r="C780" s="94" t="s">
        <v>1388</v>
      </c>
      <c r="D780" s="152" t="s">
        <v>2325</v>
      </c>
      <c r="E780" s="153"/>
      <c r="F780" s="94" t="s">
        <v>2850</v>
      </c>
      <c r="G780" s="73">
        <v>1</v>
      </c>
      <c r="H780" s="51">
        <v>0</v>
      </c>
      <c r="I780" s="5"/>
    </row>
    <row r="781" spans="1:9" ht="12.75">
      <c r="A781" s="4" t="s">
        <v>437</v>
      </c>
      <c r="B781" s="94" t="s">
        <v>2882</v>
      </c>
      <c r="C781" s="94" t="s">
        <v>1389</v>
      </c>
      <c r="D781" s="152" t="s">
        <v>2326</v>
      </c>
      <c r="E781" s="153"/>
      <c r="F781" s="94" t="s">
        <v>2850</v>
      </c>
      <c r="G781" s="73">
        <v>1</v>
      </c>
      <c r="H781" s="51">
        <v>0</v>
      </c>
      <c r="I781" s="5"/>
    </row>
    <row r="782" spans="1:9" ht="12.75">
      <c r="A782" s="4" t="s">
        <v>438</v>
      </c>
      <c r="B782" s="94" t="s">
        <v>2882</v>
      </c>
      <c r="C782" s="94" t="s">
        <v>1390</v>
      </c>
      <c r="D782" s="152" t="s">
        <v>2327</v>
      </c>
      <c r="E782" s="153"/>
      <c r="F782" s="94" t="s">
        <v>2850</v>
      </c>
      <c r="G782" s="73">
        <v>1</v>
      </c>
      <c r="H782" s="51">
        <v>0</v>
      </c>
      <c r="I782" s="5"/>
    </row>
    <row r="783" spans="1:9" ht="12.75">
      <c r="A783" s="4" t="s">
        <v>439</v>
      </c>
      <c r="B783" s="94" t="s">
        <v>2882</v>
      </c>
      <c r="C783" s="94" t="s">
        <v>1391</v>
      </c>
      <c r="D783" s="152" t="s">
        <v>2328</v>
      </c>
      <c r="E783" s="153"/>
      <c r="F783" s="94" t="s">
        <v>2850</v>
      </c>
      <c r="G783" s="73">
        <v>1</v>
      </c>
      <c r="H783" s="51">
        <v>0</v>
      </c>
      <c r="I783" s="5"/>
    </row>
    <row r="784" spans="1:9" ht="12.75">
      <c r="A784" s="4" t="s">
        <v>440</v>
      </c>
      <c r="B784" s="94" t="s">
        <v>2882</v>
      </c>
      <c r="C784" s="94" t="s">
        <v>1392</v>
      </c>
      <c r="D784" s="152" t="s">
        <v>2329</v>
      </c>
      <c r="E784" s="153"/>
      <c r="F784" s="94" t="s">
        <v>2850</v>
      </c>
      <c r="G784" s="73">
        <v>2</v>
      </c>
      <c r="H784" s="51">
        <v>0</v>
      </c>
      <c r="I784" s="5"/>
    </row>
    <row r="785" spans="1:9" ht="12.75">
      <c r="A785" s="4" t="s">
        <v>441</v>
      </c>
      <c r="B785" s="94" t="s">
        <v>2882</v>
      </c>
      <c r="C785" s="94" t="s">
        <v>1393</v>
      </c>
      <c r="D785" s="152" t="s">
        <v>2330</v>
      </c>
      <c r="E785" s="153"/>
      <c r="F785" s="94" t="s">
        <v>2850</v>
      </c>
      <c r="G785" s="73">
        <v>6</v>
      </c>
      <c r="H785" s="51">
        <v>0</v>
      </c>
      <c r="I785" s="5"/>
    </row>
    <row r="786" spans="1:9" ht="12.75">
      <c r="A786" s="4" t="s">
        <v>442</v>
      </c>
      <c r="B786" s="94" t="s">
        <v>2882</v>
      </c>
      <c r="C786" s="94" t="s">
        <v>1394</v>
      </c>
      <c r="D786" s="152" t="s">
        <v>2331</v>
      </c>
      <c r="E786" s="153"/>
      <c r="F786" s="94" t="s">
        <v>2850</v>
      </c>
      <c r="G786" s="73">
        <v>6</v>
      </c>
      <c r="H786" s="51">
        <v>0</v>
      </c>
      <c r="I786" s="5"/>
    </row>
    <row r="787" spans="1:9" ht="12.75">
      <c r="A787" s="4" t="s">
        <v>443</v>
      </c>
      <c r="B787" s="94" t="s">
        <v>2882</v>
      </c>
      <c r="C787" s="94" t="s">
        <v>1395</v>
      </c>
      <c r="D787" s="152" t="s">
        <v>2332</v>
      </c>
      <c r="E787" s="153"/>
      <c r="F787" s="94" t="s">
        <v>2850</v>
      </c>
      <c r="G787" s="73">
        <v>2</v>
      </c>
      <c r="H787" s="51">
        <v>0</v>
      </c>
      <c r="I787" s="5"/>
    </row>
    <row r="788" spans="1:9" ht="12.75">
      <c r="A788" s="4" t="s">
        <v>444</v>
      </c>
      <c r="B788" s="94" t="s">
        <v>2882</v>
      </c>
      <c r="C788" s="94" t="s">
        <v>1396</v>
      </c>
      <c r="D788" s="152" t="s">
        <v>2333</v>
      </c>
      <c r="E788" s="153"/>
      <c r="F788" s="94" t="s">
        <v>2850</v>
      </c>
      <c r="G788" s="73">
        <v>2</v>
      </c>
      <c r="H788" s="51">
        <v>0</v>
      </c>
      <c r="I788" s="5"/>
    </row>
    <row r="789" spans="1:9" ht="12.75">
      <c r="A789" s="4" t="s">
        <v>445</v>
      </c>
      <c r="B789" s="94" t="s">
        <v>2882</v>
      </c>
      <c r="C789" s="94" t="s">
        <v>1397</v>
      </c>
      <c r="D789" s="152" t="s">
        <v>2334</v>
      </c>
      <c r="E789" s="153"/>
      <c r="F789" s="94" t="s">
        <v>2850</v>
      </c>
      <c r="G789" s="73">
        <v>1</v>
      </c>
      <c r="H789" s="51">
        <v>0</v>
      </c>
      <c r="I789" s="5"/>
    </row>
    <row r="790" spans="1:9" ht="12.75">
      <c r="A790" s="4" t="s">
        <v>446</v>
      </c>
      <c r="B790" s="94" t="s">
        <v>2882</v>
      </c>
      <c r="C790" s="94" t="s">
        <v>1398</v>
      </c>
      <c r="D790" s="152" t="s">
        <v>2335</v>
      </c>
      <c r="E790" s="153"/>
      <c r="F790" s="94" t="s">
        <v>2850</v>
      </c>
      <c r="G790" s="73">
        <v>1</v>
      </c>
      <c r="H790" s="51">
        <v>0</v>
      </c>
      <c r="I790" s="5"/>
    </row>
    <row r="791" spans="1:9" ht="12.75">
      <c r="A791" s="4" t="s">
        <v>447</v>
      </c>
      <c r="B791" s="94" t="s">
        <v>2882</v>
      </c>
      <c r="C791" s="94" t="s">
        <v>1399</v>
      </c>
      <c r="D791" s="152" t="s">
        <v>2336</v>
      </c>
      <c r="E791" s="153"/>
      <c r="F791" s="94" t="s">
        <v>2850</v>
      </c>
      <c r="G791" s="73">
        <v>1</v>
      </c>
      <c r="H791" s="51">
        <v>0</v>
      </c>
      <c r="I791" s="5"/>
    </row>
    <row r="792" spans="1:9" ht="12.75">
      <c r="A792" s="4" t="s">
        <v>448</v>
      </c>
      <c r="B792" s="94" t="s">
        <v>2882</v>
      </c>
      <c r="C792" s="94" t="s">
        <v>1400</v>
      </c>
      <c r="D792" s="152" t="s">
        <v>2337</v>
      </c>
      <c r="E792" s="153"/>
      <c r="F792" s="94" t="s">
        <v>2850</v>
      </c>
      <c r="G792" s="73">
        <v>14</v>
      </c>
      <c r="H792" s="51">
        <v>0</v>
      </c>
      <c r="I792" s="5"/>
    </row>
    <row r="793" spans="1:9" ht="12.75">
      <c r="A793" s="4" t="s">
        <v>449</v>
      </c>
      <c r="B793" s="94" t="s">
        <v>2882</v>
      </c>
      <c r="C793" s="94" t="s">
        <v>1401</v>
      </c>
      <c r="D793" s="152" t="s">
        <v>2338</v>
      </c>
      <c r="E793" s="153"/>
      <c r="F793" s="94" t="s">
        <v>2850</v>
      </c>
      <c r="G793" s="73">
        <v>1</v>
      </c>
      <c r="H793" s="51">
        <v>0</v>
      </c>
      <c r="I793" s="5"/>
    </row>
    <row r="794" spans="1:9" ht="12.75">
      <c r="A794" s="4" t="s">
        <v>450</v>
      </c>
      <c r="B794" s="94" t="s">
        <v>2882</v>
      </c>
      <c r="C794" s="94" t="s">
        <v>1402</v>
      </c>
      <c r="D794" s="152" t="s">
        <v>2339</v>
      </c>
      <c r="E794" s="153"/>
      <c r="F794" s="94" t="s">
        <v>2850</v>
      </c>
      <c r="G794" s="73">
        <v>2</v>
      </c>
      <c r="H794" s="51">
        <v>0</v>
      </c>
      <c r="I794" s="5"/>
    </row>
    <row r="795" spans="1:9" ht="12.75">
      <c r="A795" s="4" t="s">
        <v>451</v>
      </c>
      <c r="B795" s="94" t="s">
        <v>2882</v>
      </c>
      <c r="C795" s="94" t="s">
        <v>1402</v>
      </c>
      <c r="D795" s="152" t="s">
        <v>2340</v>
      </c>
      <c r="E795" s="153"/>
      <c r="F795" s="94" t="s">
        <v>2850</v>
      </c>
      <c r="G795" s="73">
        <v>4</v>
      </c>
      <c r="H795" s="51">
        <v>0</v>
      </c>
      <c r="I795" s="5"/>
    </row>
    <row r="796" spans="1:9" ht="12.75">
      <c r="A796" s="4" t="s">
        <v>452</v>
      </c>
      <c r="B796" s="94" t="s">
        <v>2882</v>
      </c>
      <c r="C796" s="94" t="s">
        <v>1403</v>
      </c>
      <c r="D796" s="152" t="s">
        <v>2341</v>
      </c>
      <c r="E796" s="153"/>
      <c r="F796" s="94" t="s">
        <v>2850</v>
      </c>
      <c r="G796" s="73">
        <v>1</v>
      </c>
      <c r="H796" s="51">
        <v>0</v>
      </c>
      <c r="I796" s="5"/>
    </row>
    <row r="797" spans="1:9" ht="12.75">
      <c r="A797" s="4" t="s">
        <v>453</v>
      </c>
      <c r="B797" s="94" t="s">
        <v>2882</v>
      </c>
      <c r="C797" s="94" t="s">
        <v>1404</v>
      </c>
      <c r="D797" s="152" t="s">
        <v>2342</v>
      </c>
      <c r="E797" s="153"/>
      <c r="F797" s="94" t="s">
        <v>2850</v>
      </c>
      <c r="G797" s="73">
        <v>1</v>
      </c>
      <c r="H797" s="51">
        <v>0</v>
      </c>
      <c r="I797" s="5"/>
    </row>
    <row r="798" spans="1:9" ht="12.75">
      <c r="A798" s="4" t="s">
        <v>454</v>
      </c>
      <c r="B798" s="94" t="s">
        <v>2882</v>
      </c>
      <c r="C798" s="94" t="s">
        <v>1405</v>
      </c>
      <c r="D798" s="152" t="s">
        <v>2343</v>
      </c>
      <c r="E798" s="153"/>
      <c r="F798" s="94" t="s">
        <v>2850</v>
      </c>
      <c r="G798" s="73">
        <v>1</v>
      </c>
      <c r="H798" s="51">
        <v>0</v>
      </c>
      <c r="I798" s="5"/>
    </row>
    <row r="799" spans="1:9" ht="12.75">
      <c r="A799" s="4" t="s">
        <v>455</v>
      </c>
      <c r="B799" s="94" t="s">
        <v>2882</v>
      </c>
      <c r="C799" s="94" t="s">
        <v>1406</v>
      </c>
      <c r="D799" s="152" t="s">
        <v>2344</v>
      </c>
      <c r="E799" s="153"/>
      <c r="F799" s="94" t="s">
        <v>2850</v>
      </c>
      <c r="G799" s="73">
        <v>1</v>
      </c>
      <c r="H799" s="51">
        <v>0</v>
      </c>
      <c r="I799" s="5"/>
    </row>
    <row r="800" spans="1:9" ht="12.75">
      <c r="A800" s="4" t="s">
        <v>456</v>
      </c>
      <c r="B800" s="94" t="s">
        <v>2882</v>
      </c>
      <c r="C800" s="94" t="s">
        <v>1407</v>
      </c>
      <c r="D800" s="152" t="s">
        <v>2345</v>
      </c>
      <c r="E800" s="153"/>
      <c r="F800" s="94" t="s">
        <v>2850</v>
      </c>
      <c r="G800" s="73">
        <v>1</v>
      </c>
      <c r="H800" s="51">
        <v>0</v>
      </c>
      <c r="I800" s="5"/>
    </row>
    <row r="801" spans="1:9" ht="12.75">
      <c r="A801" s="4" t="s">
        <v>457</v>
      </c>
      <c r="B801" s="94" t="s">
        <v>2882</v>
      </c>
      <c r="C801" s="94" t="s">
        <v>1408</v>
      </c>
      <c r="D801" s="152" t="s">
        <v>2346</v>
      </c>
      <c r="E801" s="153"/>
      <c r="F801" s="94" t="s">
        <v>2850</v>
      </c>
      <c r="G801" s="73">
        <v>1</v>
      </c>
      <c r="H801" s="51">
        <v>0</v>
      </c>
      <c r="I801" s="5"/>
    </row>
    <row r="802" spans="1:9" ht="12.75">
      <c r="A802" s="4" t="s">
        <v>458</v>
      </c>
      <c r="B802" s="94" t="s">
        <v>2882</v>
      </c>
      <c r="C802" s="94" t="s">
        <v>1409</v>
      </c>
      <c r="D802" s="152" t="s">
        <v>2347</v>
      </c>
      <c r="E802" s="153"/>
      <c r="F802" s="94" t="s">
        <v>2850</v>
      </c>
      <c r="G802" s="73">
        <v>1</v>
      </c>
      <c r="H802" s="51">
        <v>0</v>
      </c>
      <c r="I802" s="5"/>
    </row>
    <row r="803" spans="1:9" ht="12.75">
      <c r="A803" s="4" t="s">
        <v>459</v>
      </c>
      <c r="B803" s="94" t="s">
        <v>2882</v>
      </c>
      <c r="C803" s="94" t="s">
        <v>1410</v>
      </c>
      <c r="D803" s="152" t="s">
        <v>2348</v>
      </c>
      <c r="E803" s="153"/>
      <c r="F803" s="94" t="s">
        <v>2850</v>
      </c>
      <c r="G803" s="73">
        <v>1</v>
      </c>
      <c r="H803" s="51">
        <v>0</v>
      </c>
      <c r="I803" s="5"/>
    </row>
    <row r="804" spans="1:9" ht="12.75">
      <c r="A804" s="4" t="s">
        <v>460</v>
      </c>
      <c r="B804" s="94" t="s">
        <v>2882</v>
      </c>
      <c r="C804" s="94" t="s">
        <v>1411</v>
      </c>
      <c r="D804" s="152" t="s">
        <v>2349</v>
      </c>
      <c r="E804" s="153"/>
      <c r="F804" s="94" t="s">
        <v>2850</v>
      </c>
      <c r="G804" s="73">
        <v>1</v>
      </c>
      <c r="H804" s="51">
        <v>0</v>
      </c>
      <c r="I804" s="5"/>
    </row>
    <row r="805" spans="1:9" ht="12.75">
      <c r="A805" s="4" t="s">
        <v>461</v>
      </c>
      <c r="B805" s="94" t="s">
        <v>2882</v>
      </c>
      <c r="C805" s="94" t="s">
        <v>1412</v>
      </c>
      <c r="D805" s="152" t="s">
        <v>2350</v>
      </c>
      <c r="E805" s="153"/>
      <c r="F805" s="94" t="s">
        <v>2850</v>
      </c>
      <c r="G805" s="73">
        <v>1</v>
      </c>
      <c r="H805" s="51">
        <v>0</v>
      </c>
      <c r="I805" s="5"/>
    </row>
    <row r="806" spans="1:9" ht="12.75">
      <c r="A806" s="4" t="s">
        <v>462</v>
      </c>
      <c r="B806" s="94" t="s">
        <v>2882</v>
      </c>
      <c r="C806" s="94" t="s">
        <v>1413</v>
      </c>
      <c r="D806" s="152" t="s">
        <v>2351</v>
      </c>
      <c r="E806" s="153"/>
      <c r="F806" s="94" t="s">
        <v>2850</v>
      </c>
      <c r="G806" s="73">
        <v>1</v>
      </c>
      <c r="H806" s="51">
        <v>0</v>
      </c>
      <c r="I806" s="5"/>
    </row>
    <row r="807" spans="1:9" ht="12.75">
      <c r="A807" s="4" t="s">
        <v>463</v>
      </c>
      <c r="B807" s="94" t="s">
        <v>2882</v>
      </c>
      <c r="C807" s="94" t="s">
        <v>1414</v>
      </c>
      <c r="D807" s="152" t="s">
        <v>2352</v>
      </c>
      <c r="E807" s="153"/>
      <c r="F807" s="94" t="s">
        <v>2850</v>
      </c>
      <c r="G807" s="73">
        <v>1</v>
      </c>
      <c r="H807" s="51">
        <v>0</v>
      </c>
      <c r="I807" s="5"/>
    </row>
    <row r="808" spans="1:9" ht="12.75">
      <c r="A808" s="4" t="s">
        <v>464</v>
      </c>
      <c r="B808" s="94" t="s">
        <v>2882</v>
      </c>
      <c r="C808" s="94" t="s">
        <v>1415</v>
      </c>
      <c r="D808" s="152" t="s">
        <v>2353</v>
      </c>
      <c r="E808" s="153"/>
      <c r="F808" s="94" t="s">
        <v>2850</v>
      </c>
      <c r="G808" s="73">
        <v>1</v>
      </c>
      <c r="H808" s="51">
        <v>0</v>
      </c>
      <c r="I808" s="5"/>
    </row>
    <row r="809" spans="1:9" ht="12.75">
      <c r="A809" s="4" t="s">
        <v>465</v>
      </c>
      <c r="B809" s="94" t="s">
        <v>2882</v>
      </c>
      <c r="C809" s="94" t="s">
        <v>1416</v>
      </c>
      <c r="D809" s="152" t="s">
        <v>2354</v>
      </c>
      <c r="E809" s="153"/>
      <c r="F809" s="94" t="s">
        <v>2850</v>
      </c>
      <c r="G809" s="73">
        <v>1</v>
      </c>
      <c r="H809" s="51">
        <v>0</v>
      </c>
      <c r="I809" s="5"/>
    </row>
    <row r="810" spans="1:9" ht="12.75">
      <c r="A810" s="4" t="s">
        <v>466</v>
      </c>
      <c r="B810" s="94" t="s">
        <v>2882</v>
      </c>
      <c r="C810" s="94" t="s">
        <v>1417</v>
      </c>
      <c r="D810" s="152" t="s">
        <v>2355</v>
      </c>
      <c r="E810" s="153"/>
      <c r="F810" s="94" t="s">
        <v>2850</v>
      </c>
      <c r="G810" s="73">
        <v>1</v>
      </c>
      <c r="H810" s="51">
        <v>0</v>
      </c>
      <c r="I810" s="5"/>
    </row>
    <row r="811" spans="1:9" ht="12.75">
      <c r="A811" s="4" t="s">
        <v>467</v>
      </c>
      <c r="B811" s="94" t="s">
        <v>2882</v>
      </c>
      <c r="C811" s="94" t="s">
        <v>1418</v>
      </c>
      <c r="D811" s="152" t="s">
        <v>2356</v>
      </c>
      <c r="E811" s="153"/>
      <c r="F811" s="94" t="s">
        <v>2851</v>
      </c>
      <c r="G811" s="73">
        <v>2400</v>
      </c>
      <c r="H811" s="51">
        <v>0</v>
      </c>
      <c r="I811" s="5"/>
    </row>
    <row r="812" spans="1:9" ht="12.75">
      <c r="A812" s="4" t="s">
        <v>468</v>
      </c>
      <c r="B812" s="94" t="s">
        <v>2882</v>
      </c>
      <c r="C812" s="94" t="s">
        <v>1419</v>
      </c>
      <c r="D812" s="152" t="s">
        <v>2357</v>
      </c>
      <c r="E812" s="153"/>
      <c r="F812" s="94" t="s">
        <v>2851</v>
      </c>
      <c r="G812" s="73">
        <v>400</v>
      </c>
      <c r="H812" s="51">
        <v>0</v>
      </c>
      <c r="I812" s="5"/>
    </row>
    <row r="813" spans="1:9" ht="12.75">
      <c r="A813" s="4" t="s">
        <v>469</v>
      </c>
      <c r="B813" s="94" t="s">
        <v>2882</v>
      </c>
      <c r="C813" s="94" t="s">
        <v>1420</v>
      </c>
      <c r="D813" s="152" t="s">
        <v>2358</v>
      </c>
      <c r="E813" s="153"/>
      <c r="F813" s="94" t="s">
        <v>2850</v>
      </c>
      <c r="G813" s="73">
        <v>1</v>
      </c>
      <c r="H813" s="51">
        <v>0</v>
      </c>
      <c r="I813" s="5"/>
    </row>
    <row r="814" spans="1:9" ht="12.75">
      <c r="A814" s="4" t="s">
        <v>470</v>
      </c>
      <c r="B814" s="94" t="s">
        <v>2882</v>
      </c>
      <c r="C814" s="94" t="s">
        <v>1421</v>
      </c>
      <c r="D814" s="152" t="s">
        <v>2359</v>
      </c>
      <c r="E814" s="153"/>
      <c r="F814" s="94" t="s">
        <v>2850</v>
      </c>
      <c r="G814" s="73">
        <v>2</v>
      </c>
      <c r="H814" s="51">
        <v>0</v>
      </c>
      <c r="I814" s="5"/>
    </row>
    <row r="815" spans="1:9" ht="12.75">
      <c r="A815" s="4" t="s">
        <v>471</v>
      </c>
      <c r="B815" s="94" t="s">
        <v>2882</v>
      </c>
      <c r="C815" s="94" t="s">
        <v>1422</v>
      </c>
      <c r="D815" s="152" t="s">
        <v>2360</v>
      </c>
      <c r="E815" s="153"/>
      <c r="F815" s="94" t="s">
        <v>2850</v>
      </c>
      <c r="G815" s="73">
        <v>1</v>
      </c>
      <c r="H815" s="51">
        <v>0</v>
      </c>
      <c r="I815" s="5"/>
    </row>
    <row r="816" spans="1:9" ht="12.75">
      <c r="A816" s="4" t="s">
        <v>472</v>
      </c>
      <c r="B816" s="94" t="s">
        <v>2882</v>
      </c>
      <c r="C816" s="94" t="s">
        <v>1423</v>
      </c>
      <c r="D816" s="152" t="s">
        <v>2361</v>
      </c>
      <c r="E816" s="153"/>
      <c r="F816" s="94" t="s">
        <v>2850</v>
      </c>
      <c r="G816" s="73">
        <v>3</v>
      </c>
      <c r="H816" s="51">
        <v>0</v>
      </c>
      <c r="I816" s="5"/>
    </row>
    <row r="817" spans="1:9" ht="12.75">
      <c r="A817" s="4" t="s">
        <v>473</v>
      </c>
      <c r="B817" s="94" t="s">
        <v>2882</v>
      </c>
      <c r="C817" s="94" t="s">
        <v>1424</v>
      </c>
      <c r="D817" s="152" t="s">
        <v>2362</v>
      </c>
      <c r="E817" s="153"/>
      <c r="F817" s="94" t="s">
        <v>2850</v>
      </c>
      <c r="G817" s="73">
        <v>1</v>
      </c>
      <c r="H817" s="51">
        <v>0</v>
      </c>
      <c r="I817" s="5"/>
    </row>
    <row r="818" spans="1:9" ht="12.75">
      <c r="A818" s="4" t="s">
        <v>474</v>
      </c>
      <c r="B818" s="94" t="s">
        <v>2882</v>
      </c>
      <c r="C818" s="94" t="s">
        <v>1425</v>
      </c>
      <c r="D818" s="152" t="s">
        <v>2363</v>
      </c>
      <c r="E818" s="153"/>
      <c r="F818" s="94" t="s">
        <v>2850</v>
      </c>
      <c r="G818" s="73">
        <v>6</v>
      </c>
      <c r="H818" s="51">
        <v>0</v>
      </c>
      <c r="I818" s="5"/>
    </row>
    <row r="819" spans="1:9" ht="12.75">
      <c r="A819" s="4" t="s">
        <v>475</v>
      </c>
      <c r="B819" s="94" t="s">
        <v>2882</v>
      </c>
      <c r="C819" s="94" t="s">
        <v>1426</v>
      </c>
      <c r="D819" s="152" t="s">
        <v>2364</v>
      </c>
      <c r="E819" s="153"/>
      <c r="F819" s="94" t="s">
        <v>2850</v>
      </c>
      <c r="G819" s="73">
        <v>58</v>
      </c>
      <c r="H819" s="51">
        <v>0</v>
      </c>
      <c r="I819" s="5"/>
    </row>
    <row r="820" spans="1:9" ht="12.75">
      <c r="A820" s="4" t="s">
        <v>476</v>
      </c>
      <c r="B820" s="94" t="s">
        <v>2882</v>
      </c>
      <c r="C820" s="94" t="s">
        <v>1427</v>
      </c>
      <c r="D820" s="152" t="s">
        <v>2365</v>
      </c>
      <c r="E820" s="153"/>
      <c r="F820" s="94" t="s">
        <v>2851</v>
      </c>
      <c r="G820" s="73">
        <v>30</v>
      </c>
      <c r="H820" s="51">
        <v>0</v>
      </c>
      <c r="I820" s="5"/>
    </row>
    <row r="821" spans="1:9" ht="12.75">
      <c r="A821" s="4" t="s">
        <v>477</v>
      </c>
      <c r="B821" s="94" t="s">
        <v>2882</v>
      </c>
      <c r="C821" s="94" t="s">
        <v>1428</v>
      </c>
      <c r="D821" s="152" t="s">
        <v>2366</v>
      </c>
      <c r="E821" s="153"/>
      <c r="F821" s="94" t="s">
        <v>2851</v>
      </c>
      <c r="G821" s="73">
        <v>30</v>
      </c>
      <c r="H821" s="51">
        <v>0</v>
      </c>
      <c r="I821" s="5"/>
    </row>
    <row r="822" spans="1:9" ht="12.75">
      <c r="A822" s="4" t="s">
        <v>478</v>
      </c>
      <c r="B822" s="94" t="s">
        <v>2882</v>
      </c>
      <c r="C822" s="94" t="s">
        <v>1429</v>
      </c>
      <c r="D822" s="152" t="s">
        <v>2367</v>
      </c>
      <c r="E822" s="153"/>
      <c r="F822" s="94" t="s">
        <v>2850</v>
      </c>
      <c r="G822" s="73">
        <v>58</v>
      </c>
      <c r="H822" s="51">
        <v>0</v>
      </c>
      <c r="I822" s="5"/>
    </row>
    <row r="823" spans="1:9" ht="12.75">
      <c r="A823" s="4" t="s">
        <v>479</v>
      </c>
      <c r="B823" s="94" t="s">
        <v>2882</v>
      </c>
      <c r="C823" s="94" t="s">
        <v>1430</v>
      </c>
      <c r="D823" s="152" t="s">
        <v>2368</v>
      </c>
      <c r="E823" s="153"/>
      <c r="F823" s="94" t="s">
        <v>2849</v>
      </c>
      <c r="G823" s="73">
        <v>380.8</v>
      </c>
      <c r="H823" s="51">
        <v>0</v>
      </c>
      <c r="I823" s="5"/>
    </row>
    <row r="824" spans="1:9" ht="12.75">
      <c r="A824" s="4" t="s">
        <v>480</v>
      </c>
      <c r="B824" s="94" t="s">
        <v>2882</v>
      </c>
      <c r="C824" s="94" t="s">
        <v>1431</v>
      </c>
      <c r="D824" s="152" t="s">
        <v>2369</v>
      </c>
      <c r="E824" s="153"/>
      <c r="F824" s="94" t="s">
        <v>2850</v>
      </c>
      <c r="G824" s="73">
        <v>1</v>
      </c>
      <c r="H824" s="51">
        <v>0</v>
      </c>
      <c r="I824" s="5"/>
    </row>
    <row r="825" spans="1:9" ht="12.75">
      <c r="A825" s="4" t="s">
        <v>481</v>
      </c>
      <c r="B825" s="94" t="s">
        <v>2882</v>
      </c>
      <c r="C825" s="94" t="s">
        <v>1432</v>
      </c>
      <c r="D825" s="152" t="s">
        <v>2370</v>
      </c>
      <c r="E825" s="153"/>
      <c r="F825" s="94" t="s">
        <v>2850</v>
      </c>
      <c r="G825" s="73">
        <v>1</v>
      </c>
      <c r="H825" s="51">
        <v>0</v>
      </c>
      <c r="I825" s="5"/>
    </row>
    <row r="826" spans="1:9" ht="12.75">
      <c r="A826" s="4" t="s">
        <v>482</v>
      </c>
      <c r="B826" s="94" t="s">
        <v>2882</v>
      </c>
      <c r="C826" s="94" t="s">
        <v>1433</v>
      </c>
      <c r="D826" s="152" t="s">
        <v>2371</v>
      </c>
      <c r="E826" s="153"/>
      <c r="F826" s="94" t="s">
        <v>2850</v>
      </c>
      <c r="G826" s="73">
        <v>1</v>
      </c>
      <c r="H826" s="51">
        <v>0</v>
      </c>
      <c r="I826" s="5"/>
    </row>
    <row r="827" spans="1:9" ht="12.75">
      <c r="A827" s="4" t="s">
        <v>483</v>
      </c>
      <c r="B827" s="94" t="s">
        <v>2882</v>
      </c>
      <c r="C827" s="94" t="s">
        <v>1434</v>
      </c>
      <c r="D827" s="152" t="s">
        <v>2372</v>
      </c>
      <c r="E827" s="153"/>
      <c r="F827" s="94" t="s">
        <v>2850</v>
      </c>
      <c r="G827" s="73">
        <v>1</v>
      </c>
      <c r="H827" s="51">
        <v>0</v>
      </c>
      <c r="I827" s="5"/>
    </row>
    <row r="828" spans="1:9" ht="12.75">
      <c r="A828" s="4" t="s">
        <v>484</v>
      </c>
      <c r="B828" s="94" t="s">
        <v>2882</v>
      </c>
      <c r="C828" s="94" t="s">
        <v>1435</v>
      </c>
      <c r="D828" s="152" t="s">
        <v>2373</v>
      </c>
      <c r="E828" s="153"/>
      <c r="F828" s="94" t="s">
        <v>2850</v>
      </c>
      <c r="G828" s="73">
        <v>1</v>
      </c>
      <c r="H828" s="51">
        <v>0</v>
      </c>
      <c r="I828" s="5"/>
    </row>
    <row r="829" spans="1:9" ht="12.75">
      <c r="A829" s="4" t="s">
        <v>485</v>
      </c>
      <c r="B829" s="94" t="s">
        <v>2882</v>
      </c>
      <c r="C829" s="94" t="s">
        <v>1436</v>
      </c>
      <c r="D829" s="152" t="s">
        <v>2374</v>
      </c>
      <c r="E829" s="153"/>
      <c r="F829" s="94" t="s">
        <v>2850</v>
      </c>
      <c r="G829" s="73">
        <v>1</v>
      </c>
      <c r="H829" s="51">
        <v>0</v>
      </c>
      <c r="I829" s="5"/>
    </row>
    <row r="830" spans="1:9" ht="12.75">
      <c r="A830" s="4" t="s">
        <v>486</v>
      </c>
      <c r="B830" s="94" t="s">
        <v>2882</v>
      </c>
      <c r="C830" s="94" t="s">
        <v>1437</v>
      </c>
      <c r="D830" s="152" t="s">
        <v>2375</v>
      </c>
      <c r="E830" s="153"/>
      <c r="F830" s="94" t="s">
        <v>2850</v>
      </c>
      <c r="G830" s="73">
        <v>6</v>
      </c>
      <c r="H830" s="51">
        <v>0</v>
      </c>
      <c r="I830" s="5"/>
    </row>
    <row r="831" spans="1:9" ht="12.75">
      <c r="A831" s="4" t="s">
        <v>487</v>
      </c>
      <c r="B831" s="94" t="s">
        <v>2882</v>
      </c>
      <c r="C831" s="94" t="s">
        <v>1438</v>
      </c>
      <c r="D831" s="152" t="s">
        <v>2376</v>
      </c>
      <c r="E831" s="153"/>
      <c r="F831" s="94" t="s">
        <v>2850</v>
      </c>
      <c r="G831" s="73">
        <v>1</v>
      </c>
      <c r="H831" s="51">
        <v>0</v>
      </c>
      <c r="I831" s="5"/>
    </row>
    <row r="832" spans="1:9" ht="12.75">
      <c r="A832" s="4" t="s">
        <v>488</v>
      </c>
      <c r="B832" s="94" t="s">
        <v>2882</v>
      </c>
      <c r="C832" s="94" t="s">
        <v>1439</v>
      </c>
      <c r="D832" s="152" t="s">
        <v>2377</v>
      </c>
      <c r="E832" s="153"/>
      <c r="F832" s="94" t="s">
        <v>2850</v>
      </c>
      <c r="G832" s="73">
        <v>1</v>
      </c>
      <c r="H832" s="51">
        <v>0</v>
      </c>
      <c r="I832" s="5"/>
    </row>
    <row r="833" spans="1:9" ht="12.75">
      <c r="A833" s="4" t="s">
        <v>489</v>
      </c>
      <c r="B833" s="94" t="s">
        <v>2882</v>
      </c>
      <c r="C833" s="94" t="s">
        <v>1440</v>
      </c>
      <c r="D833" s="152" t="s">
        <v>2378</v>
      </c>
      <c r="E833" s="153"/>
      <c r="F833" s="94" t="s">
        <v>2850</v>
      </c>
      <c r="G833" s="73">
        <v>1</v>
      </c>
      <c r="H833" s="51">
        <v>0</v>
      </c>
      <c r="I833" s="5"/>
    </row>
    <row r="834" spans="1:9" ht="12.75">
      <c r="A834" s="4" t="s">
        <v>490</v>
      </c>
      <c r="B834" s="94" t="s">
        <v>2882</v>
      </c>
      <c r="C834" s="94" t="s">
        <v>1441</v>
      </c>
      <c r="D834" s="152" t="s">
        <v>2379</v>
      </c>
      <c r="E834" s="153"/>
      <c r="F834" s="94" t="s">
        <v>2850</v>
      </c>
      <c r="G834" s="73">
        <v>1</v>
      </c>
      <c r="H834" s="51">
        <v>0</v>
      </c>
      <c r="I834" s="5"/>
    </row>
    <row r="835" spans="1:9" ht="12.75">
      <c r="A835" s="4" t="s">
        <v>491</v>
      </c>
      <c r="B835" s="94" t="s">
        <v>2882</v>
      </c>
      <c r="C835" s="94" t="s">
        <v>1442</v>
      </c>
      <c r="D835" s="152" t="s">
        <v>2380</v>
      </c>
      <c r="E835" s="153"/>
      <c r="F835" s="94" t="s">
        <v>2850</v>
      </c>
      <c r="G835" s="73">
        <v>1</v>
      </c>
      <c r="H835" s="51">
        <v>0</v>
      </c>
      <c r="I835" s="5"/>
    </row>
    <row r="836" spans="1:9" ht="12.75">
      <c r="A836" s="4" t="s">
        <v>492</v>
      </c>
      <c r="B836" s="94" t="s">
        <v>2882</v>
      </c>
      <c r="C836" s="94" t="s">
        <v>1443</v>
      </c>
      <c r="D836" s="152" t="s">
        <v>2381</v>
      </c>
      <c r="E836" s="153"/>
      <c r="F836" s="94" t="s">
        <v>2850</v>
      </c>
      <c r="G836" s="73">
        <v>1</v>
      </c>
      <c r="H836" s="51">
        <v>0</v>
      </c>
      <c r="I836" s="5"/>
    </row>
    <row r="837" spans="1:9" ht="12.75">
      <c r="A837" s="4" t="s">
        <v>493</v>
      </c>
      <c r="B837" s="94" t="s">
        <v>2882</v>
      </c>
      <c r="C837" s="94" t="s">
        <v>1444</v>
      </c>
      <c r="D837" s="152" t="s">
        <v>2382</v>
      </c>
      <c r="E837" s="153"/>
      <c r="F837" s="94" t="s">
        <v>2850</v>
      </c>
      <c r="G837" s="73">
        <v>4</v>
      </c>
      <c r="H837" s="51">
        <v>0</v>
      </c>
      <c r="I837" s="5"/>
    </row>
    <row r="838" spans="1:9" ht="12.75">
      <c r="A838" s="4" t="s">
        <v>494</v>
      </c>
      <c r="B838" s="94" t="s">
        <v>2882</v>
      </c>
      <c r="C838" s="94" t="s">
        <v>1445</v>
      </c>
      <c r="D838" s="152" t="s">
        <v>2383</v>
      </c>
      <c r="E838" s="153"/>
      <c r="F838" s="94" t="s">
        <v>2850</v>
      </c>
      <c r="G838" s="73">
        <v>1</v>
      </c>
      <c r="H838" s="51">
        <v>0</v>
      </c>
      <c r="I838" s="5"/>
    </row>
    <row r="839" spans="1:9" ht="12.75">
      <c r="A839" s="4" t="s">
        <v>495</v>
      </c>
      <c r="B839" s="94" t="s">
        <v>2882</v>
      </c>
      <c r="C839" s="94" t="s">
        <v>1446</v>
      </c>
      <c r="D839" s="152" t="s">
        <v>2384</v>
      </c>
      <c r="E839" s="153"/>
      <c r="F839" s="94" t="s">
        <v>2850</v>
      </c>
      <c r="G839" s="73">
        <v>1</v>
      </c>
      <c r="H839" s="51">
        <v>0</v>
      </c>
      <c r="I839" s="5"/>
    </row>
    <row r="840" spans="1:9" ht="12.75">
      <c r="A840" s="4" t="s">
        <v>496</v>
      </c>
      <c r="B840" s="94" t="s">
        <v>2882</v>
      </c>
      <c r="C840" s="94" t="s">
        <v>1447</v>
      </c>
      <c r="D840" s="152" t="s">
        <v>2385</v>
      </c>
      <c r="E840" s="153"/>
      <c r="F840" s="94" t="s">
        <v>2851</v>
      </c>
      <c r="G840" s="73">
        <v>25</v>
      </c>
      <c r="H840" s="51">
        <v>0</v>
      </c>
      <c r="I840" s="5"/>
    </row>
    <row r="841" spans="1:9" ht="12.75">
      <c r="A841" s="4" t="s">
        <v>497</v>
      </c>
      <c r="B841" s="94" t="s">
        <v>2882</v>
      </c>
      <c r="C841" s="94" t="s">
        <v>1448</v>
      </c>
      <c r="D841" s="152" t="s">
        <v>2386</v>
      </c>
      <c r="E841" s="153"/>
      <c r="F841" s="94" t="s">
        <v>2850</v>
      </c>
      <c r="G841" s="73">
        <v>1</v>
      </c>
      <c r="H841" s="51">
        <v>0</v>
      </c>
      <c r="I841" s="5"/>
    </row>
    <row r="842" spans="1:9" ht="12.75">
      <c r="A842" s="4" t="s">
        <v>498</v>
      </c>
      <c r="B842" s="94" t="s">
        <v>2882</v>
      </c>
      <c r="C842" s="94" t="s">
        <v>1449</v>
      </c>
      <c r="D842" s="152" t="s">
        <v>2387</v>
      </c>
      <c r="E842" s="153"/>
      <c r="F842" s="94" t="s">
        <v>2850</v>
      </c>
      <c r="G842" s="73">
        <v>1</v>
      </c>
      <c r="H842" s="51">
        <v>0</v>
      </c>
      <c r="I842" s="5"/>
    </row>
    <row r="843" spans="1:9" ht="12.75">
      <c r="A843" s="4" t="s">
        <v>499</v>
      </c>
      <c r="B843" s="94" t="s">
        <v>2882</v>
      </c>
      <c r="C843" s="94" t="s">
        <v>1450</v>
      </c>
      <c r="D843" s="152" t="s">
        <v>2388</v>
      </c>
      <c r="E843" s="153"/>
      <c r="F843" s="94" t="s">
        <v>2850</v>
      </c>
      <c r="G843" s="73">
        <v>1</v>
      </c>
      <c r="H843" s="51">
        <v>0</v>
      </c>
      <c r="I843" s="5"/>
    </row>
    <row r="844" spans="1:9" ht="12.75">
      <c r="A844" s="4" t="s">
        <v>500</v>
      </c>
      <c r="B844" s="94" t="s">
        <v>2882</v>
      </c>
      <c r="C844" s="94" t="s">
        <v>1451</v>
      </c>
      <c r="D844" s="152" t="s">
        <v>2389</v>
      </c>
      <c r="E844" s="153"/>
      <c r="F844" s="94" t="s">
        <v>2850</v>
      </c>
      <c r="G844" s="73">
        <v>1</v>
      </c>
      <c r="H844" s="51">
        <v>0</v>
      </c>
      <c r="I844" s="5"/>
    </row>
    <row r="845" spans="1:9" ht="12.75">
      <c r="A845" s="4" t="s">
        <v>501</v>
      </c>
      <c r="B845" s="94" t="s">
        <v>2882</v>
      </c>
      <c r="C845" s="94" t="s">
        <v>1452</v>
      </c>
      <c r="D845" s="152" t="s">
        <v>2390</v>
      </c>
      <c r="E845" s="153"/>
      <c r="F845" s="94" t="s">
        <v>2850</v>
      </c>
      <c r="G845" s="73">
        <v>1</v>
      </c>
      <c r="H845" s="51">
        <v>0</v>
      </c>
      <c r="I845" s="5"/>
    </row>
    <row r="846" spans="1:9" ht="12.75">
      <c r="A846" s="4" t="s">
        <v>502</v>
      </c>
      <c r="B846" s="94" t="s">
        <v>2882</v>
      </c>
      <c r="C846" s="94" t="s">
        <v>1453</v>
      </c>
      <c r="D846" s="152" t="s">
        <v>2391</v>
      </c>
      <c r="E846" s="153"/>
      <c r="F846" s="94" t="s">
        <v>2850</v>
      </c>
      <c r="G846" s="73">
        <v>1</v>
      </c>
      <c r="H846" s="51">
        <v>0</v>
      </c>
      <c r="I846" s="5"/>
    </row>
    <row r="847" spans="1:9" ht="12.75">
      <c r="A847" s="4" t="s">
        <v>503</v>
      </c>
      <c r="B847" s="94" t="s">
        <v>2882</v>
      </c>
      <c r="C847" s="94" t="s">
        <v>1454</v>
      </c>
      <c r="D847" s="152" t="s">
        <v>2392</v>
      </c>
      <c r="E847" s="153"/>
      <c r="F847" s="94" t="s">
        <v>2850</v>
      </c>
      <c r="G847" s="73">
        <v>1</v>
      </c>
      <c r="H847" s="51">
        <v>0</v>
      </c>
      <c r="I847" s="5"/>
    </row>
    <row r="848" spans="1:9" ht="12.75">
      <c r="A848" s="4" t="s">
        <v>504</v>
      </c>
      <c r="B848" s="94" t="s">
        <v>2882</v>
      </c>
      <c r="C848" s="94" t="s">
        <v>1455</v>
      </c>
      <c r="D848" s="152" t="s">
        <v>2393</v>
      </c>
      <c r="E848" s="153"/>
      <c r="F848" s="94" t="s">
        <v>2850</v>
      </c>
      <c r="G848" s="73">
        <v>1</v>
      </c>
      <c r="H848" s="51">
        <v>0</v>
      </c>
      <c r="I848" s="5"/>
    </row>
    <row r="849" spans="1:9" ht="12.75">
      <c r="A849" s="4" t="s">
        <v>505</v>
      </c>
      <c r="B849" s="94" t="s">
        <v>2882</v>
      </c>
      <c r="C849" s="94" t="s">
        <v>1456</v>
      </c>
      <c r="D849" s="152" t="s">
        <v>2394</v>
      </c>
      <c r="E849" s="153"/>
      <c r="F849" s="94" t="s">
        <v>2852</v>
      </c>
      <c r="G849" s="73">
        <v>50</v>
      </c>
      <c r="H849" s="51">
        <v>0</v>
      </c>
      <c r="I849" s="5"/>
    </row>
    <row r="850" spans="1:9" ht="12.75">
      <c r="A850" s="4" t="s">
        <v>506</v>
      </c>
      <c r="B850" s="94" t="s">
        <v>2882</v>
      </c>
      <c r="C850" s="94" t="s">
        <v>1457</v>
      </c>
      <c r="D850" s="152" t="s">
        <v>2395</v>
      </c>
      <c r="E850" s="153"/>
      <c r="F850" s="94" t="s">
        <v>2852</v>
      </c>
      <c r="G850" s="73">
        <v>60</v>
      </c>
      <c r="H850" s="51">
        <v>0</v>
      </c>
      <c r="I850" s="5"/>
    </row>
    <row r="851" spans="1:9" ht="12.75">
      <c r="A851" s="4" t="s">
        <v>507</v>
      </c>
      <c r="B851" s="94" t="s">
        <v>2882</v>
      </c>
      <c r="C851" s="94" t="s">
        <v>1458</v>
      </c>
      <c r="D851" s="152" t="s">
        <v>2396</v>
      </c>
      <c r="E851" s="153"/>
      <c r="F851" s="94" t="s">
        <v>2850</v>
      </c>
      <c r="G851" s="73">
        <v>1</v>
      </c>
      <c r="H851" s="51">
        <v>0</v>
      </c>
      <c r="I851" s="5"/>
    </row>
    <row r="852" spans="1:9" ht="12.75">
      <c r="A852" s="4" t="s">
        <v>508</v>
      </c>
      <c r="B852" s="94" t="s">
        <v>2882</v>
      </c>
      <c r="C852" s="94" t="s">
        <v>1459</v>
      </c>
      <c r="D852" s="152" t="s">
        <v>2397</v>
      </c>
      <c r="E852" s="153"/>
      <c r="F852" s="94" t="s">
        <v>2850</v>
      </c>
      <c r="G852" s="73">
        <v>4</v>
      </c>
      <c r="H852" s="51">
        <v>0</v>
      </c>
      <c r="I852" s="5"/>
    </row>
    <row r="853" spans="1:9" ht="12.75">
      <c r="A853" s="4" t="s">
        <v>509</v>
      </c>
      <c r="B853" s="94" t="s">
        <v>2882</v>
      </c>
      <c r="C853" s="94" t="s">
        <v>1460</v>
      </c>
      <c r="D853" s="152" t="s">
        <v>2398</v>
      </c>
      <c r="E853" s="153"/>
      <c r="F853" s="94" t="s">
        <v>2850</v>
      </c>
      <c r="G853" s="73">
        <v>1</v>
      </c>
      <c r="H853" s="51">
        <v>0</v>
      </c>
      <c r="I853" s="5"/>
    </row>
    <row r="854" spans="1:9" ht="12.75">
      <c r="A854" s="4" t="s">
        <v>510</v>
      </c>
      <c r="B854" s="94" t="s">
        <v>2882</v>
      </c>
      <c r="C854" s="94" t="s">
        <v>1461</v>
      </c>
      <c r="D854" s="152" t="s">
        <v>2189</v>
      </c>
      <c r="E854" s="153"/>
      <c r="F854" s="94" t="s">
        <v>2852</v>
      </c>
      <c r="G854" s="73">
        <v>50</v>
      </c>
      <c r="H854" s="51">
        <v>0</v>
      </c>
      <c r="I854" s="5"/>
    </row>
    <row r="855" spans="1:9" ht="12.75">
      <c r="A855" s="4" t="s">
        <v>511</v>
      </c>
      <c r="B855" s="94" t="s">
        <v>2882</v>
      </c>
      <c r="C855" s="94" t="s">
        <v>1462</v>
      </c>
      <c r="D855" s="152" t="s">
        <v>2399</v>
      </c>
      <c r="E855" s="153"/>
      <c r="F855" s="94" t="s">
        <v>2850</v>
      </c>
      <c r="G855" s="73">
        <v>1</v>
      </c>
      <c r="H855" s="51">
        <v>0</v>
      </c>
      <c r="I855" s="5"/>
    </row>
    <row r="856" spans="1:9" ht="12.75">
      <c r="A856" s="4" t="s">
        <v>512</v>
      </c>
      <c r="B856" s="94" t="s">
        <v>2882</v>
      </c>
      <c r="C856" s="94" t="s">
        <v>1463</v>
      </c>
      <c r="D856" s="152" t="s">
        <v>2400</v>
      </c>
      <c r="E856" s="153"/>
      <c r="F856" s="94" t="s">
        <v>2850</v>
      </c>
      <c r="G856" s="73">
        <v>1</v>
      </c>
      <c r="H856" s="51">
        <v>0</v>
      </c>
      <c r="I856" s="5"/>
    </row>
    <row r="857" spans="1:9" ht="12.75">
      <c r="A857" s="4" t="s">
        <v>513</v>
      </c>
      <c r="B857" s="94" t="s">
        <v>2882</v>
      </c>
      <c r="C857" s="94" t="s">
        <v>1464</v>
      </c>
      <c r="D857" s="152" t="s">
        <v>2401</v>
      </c>
      <c r="E857" s="153"/>
      <c r="F857" s="94" t="s">
        <v>2850</v>
      </c>
      <c r="G857" s="73">
        <v>1</v>
      </c>
      <c r="H857" s="51">
        <v>0</v>
      </c>
      <c r="I857" s="5"/>
    </row>
    <row r="858" spans="1:9" ht="12.75">
      <c r="A858" s="4" t="s">
        <v>514</v>
      </c>
      <c r="B858" s="94" t="s">
        <v>2882</v>
      </c>
      <c r="C858" s="94" t="s">
        <v>1465</v>
      </c>
      <c r="D858" s="152" t="s">
        <v>2402</v>
      </c>
      <c r="E858" s="153"/>
      <c r="F858" s="94" t="s">
        <v>2850</v>
      </c>
      <c r="G858" s="73">
        <v>1</v>
      </c>
      <c r="H858" s="51">
        <v>0</v>
      </c>
      <c r="I858" s="5"/>
    </row>
    <row r="859" spans="1:9" ht="12.75">
      <c r="A859" s="4" t="s">
        <v>515</v>
      </c>
      <c r="B859" s="94" t="s">
        <v>2882</v>
      </c>
      <c r="C859" s="94" t="s">
        <v>1466</v>
      </c>
      <c r="D859" s="152" t="s">
        <v>2269</v>
      </c>
      <c r="E859" s="153"/>
      <c r="F859" s="94" t="s">
        <v>2850</v>
      </c>
      <c r="G859" s="73">
        <v>1</v>
      </c>
      <c r="H859" s="51">
        <v>0</v>
      </c>
      <c r="I859" s="5"/>
    </row>
    <row r="860" spans="1:9" ht="12.75">
      <c r="A860" s="4" t="s">
        <v>516</v>
      </c>
      <c r="B860" s="94" t="s">
        <v>2882</v>
      </c>
      <c r="C860" s="94" t="s">
        <v>1467</v>
      </c>
      <c r="D860" s="152" t="s">
        <v>2403</v>
      </c>
      <c r="E860" s="153"/>
      <c r="F860" s="94" t="s">
        <v>2850</v>
      </c>
      <c r="G860" s="73">
        <v>1</v>
      </c>
      <c r="H860" s="51">
        <v>0</v>
      </c>
      <c r="I860" s="5"/>
    </row>
    <row r="861" spans="1:9" ht="12.75">
      <c r="A861" s="4" t="s">
        <v>517</v>
      </c>
      <c r="B861" s="94" t="s">
        <v>2882</v>
      </c>
      <c r="C861" s="94" t="s">
        <v>1468</v>
      </c>
      <c r="D861" s="152" t="s">
        <v>2193</v>
      </c>
      <c r="E861" s="153"/>
      <c r="F861" s="94" t="s">
        <v>2852</v>
      </c>
      <c r="G861" s="73">
        <v>30</v>
      </c>
      <c r="H861" s="51">
        <v>0</v>
      </c>
      <c r="I861" s="5"/>
    </row>
    <row r="862" spans="1:9" ht="12.75">
      <c r="A862" s="4" t="s">
        <v>518</v>
      </c>
      <c r="B862" s="94" t="s">
        <v>2882</v>
      </c>
      <c r="C862" s="94" t="s">
        <v>1469</v>
      </c>
      <c r="D862" s="152" t="s">
        <v>2194</v>
      </c>
      <c r="E862" s="153"/>
      <c r="F862" s="94" t="s">
        <v>2850</v>
      </c>
      <c r="G862" s="73">
        <v>1</v>
      </c>
      <c r="H862" s="51">
        <v>0</v>
      </c>
      <c r="I862" s="5"/>
    </row>
    <row r="863" spans="1:9" ht="12.75">
      <c r="A863" s="4" t="s">
        <v>519</v>
      </c>
      <c r="B863" s="94" t="s">
        <v>2882</v>
      </c>
      <c r="C863" s="94" t="s">
        <v>1470</v>
      </c>
      <c r="D863" s="152" t="s">
        <v>2195</v>
      </c>
      <c r="E863" s="153"/>
      <c r="F863" s="94" t="s">
        <v>2850</v>
      </c>
      <c r="G863" s="73">
        <v>1</v>
      </c>
      <c r="H863" s="51">
        <v>0</v>
      </c>
      <c r="I863" s="5"/>
    </row>
    <row r="864" spans="1:9" ht="12.75">
      <c r="A864" s="4" t="s">
        <v>520</v>
      </c>
      <c r="B864" s="94" t="s">
        <v>2882</v>
      </c>
      <c r="C864" s="94" t="s">
        <v>1471</v>
      </c>
      <c r="D864" s="152" t="s">
        <v>2196</v>
      </c>
      <c r="E864" s="153"/>
      <c r="F864" s="94" t="s">
        <v>2850</v>
      </c>
      <c r="G864" s="73">
        <v>1</v>
      </c>
      <c r="H864" s="51">
        <v>0</v>
      </c>
      <c r="I864" s="5"/>
    </row>
    <row r="865" spans="1:9" ht="12.75">
      <c r="A865" s="44"/>
      <c r="B865" s="97"/>
      <c r="C865" s="97" t="s">
        <v>768</v>
      </c>
      <c r="D865" s="161" t="s">
        <v>2404</v>
      </c>
      <c r="E865" s="162"/>
      <c r="F865" s="97"/>
      <c r="G865" s="74"/>
      <c r="H865" s="24"/>
      <c r="I865" s="5"/>
    </row>
    <row r="866" spans="1:9" ht="12.75">
      <c r="A866" s="4" t="s">
        <v>521</v>
      </c>
      <c r="B866" s="94" t="s">
        <v>2882</v>
      </c>
      <c r="C866" s="94" t="s">
        <v>1472</v>
      </c>
      <c r="D866" s="152" t="s">
        <v>2405</v>
      </c>
      <c r="E866" s="153"/>
      <c r="F866" s="94" t="s">
        <v>2851</v>
      </c>
      <c r="G866" s="73">
        <v>1134</v>
      </c>
      <c r="H866" s="51">
        <v>0</v>
      </c>
      <c r="I866" s="5"/>
    </row>
    <row r="867" spans="1:9" ht="12.2" customHeight="1">
      <c r="A867" s="5"/>
      <c r="D867" s="45" t="s">
        <v>3184</v>
      </c>
      <c r="E867" s="190"/>
      <c r="F867" s="191"/>
      <c r="G867" s="47">
        <v>1134</v>
      </c>
      <c r="H867" s="52"/>
      <c r="I867" s="5"/>
    </row>
    <row r="868" spans="1:9" ht="12.75">
      <c r="A868" s="4" t="s">
        <v>522</v>
      </c>
      <c r="B868" s="94" t="s">
        <v>2882</v>
      </c>
      <c r="C868" s="94" t="s">
        <v>1473</v>
      </c>
      <c r="D868" s="152" t="s">
        <v>2406</v>
      </c>
      <c r="E868" s="153"/>
      <c r="F868" s="94" t="s">
        <v>2849</v>
      </c>
      <c r="G868" s="73">
        <v>102.06</v>
      </c>
      <c r="H868" s="51">
        <v>0</v>
      </c>
      <c r="I868" s="5"/>
    </row>
    <row r="869" spans="1:9" ht="12.2" customHeight="1">
      <c r="A869" s="5"/>
      <c r="D869" s="45" t="s">
        <v>3185</v>
      </c>
      <c r="E869" s="190"/>
      <c r="F869" s="191"/>
      <c r="G869" s="47">
        <v>102.06</v>
      </c>
      <c r="H869" s="52"/>
      <c r="I869" s="5"/>
    </row>
    <row r="870" spans="1:9" ht="12.75">
      <c r="A870" s="4" t="s">
        <v>523</v>
      </c>
      <c r="B870" s="94" t="s">
        <v>2882</v>
      </c>
      <c r="C870" s="94" t="s">
        <v>1474</v>
      </c>
      <c r="D870" s="152" t="s">
        <v>2407</v>
      </c>
      <c r="E870" s="153"/>
      <c r="F870" s="94" t="s">
        <v>2851</v>
      </c>
      <c r="G870" s="73">
        <v>315</v>
      </c>
      <c r="H870" s="51">
        <v>0</v>
      </c>
      <c r="I870" s="5"/>
    </row>
    <row r="871" spans="1:9" ht="12.2" customHeight="1">
      <c r="A871" s="5"/>
      <c r="D871" s="45" t="s">
        <v>321</v>
      </c>
      <c r="E871" s="190"/>
      <c r="F871" s="191"/>
      <c r="G871" s="47">
        <v>315</v>
      </c>
      <c r="H871" s="52"/>
      <c r="I871" s="5"/>
    </row>
    <row r="872" spans="1:9" ht="12.75">
      <c r="A872" s="4" t="s">
        <v>524</v>
      </c>
      <c r="B872" s="94" t="s">
        <v>2882</v>
      </c>
      <c r="C872" s="94" t="s">
        <v>1474</v>
      </c>
      <c r="D872" s="152" t="s">
        <v>2408</v>
      </c>
      <c r="E872" s="153"/>
      <c r="F872" s="94" t="s">
        <v>2851</v>
      </c>
      <c r="G872" s="73">
        <v>252</v>
      </c>
      <c r="H872" s="51">
        <v>0</v>
      </c>
      <c r="I872" s="5"/>
    </row>
    <row r="873" spans="1:9" ht="12.2" customHeight="1">
      <c r="A873" s="5"/>
      <c r="D873" s="45" t="s">
        <v>258</v>
      </c>
      <c r="E873" s="190"/>
      <c r="F873" s="191"/>
      <c r="G873" s="47">
        <v>252</v>
      </c>
      <c r="H873" s="52"/>
      <c r="I873" s="5"/>
    </row>
    <row r="874" spans="1:9" ht="12.75">
      <c r="A874" s="4" t="s">
        <v>525</v>
      </c>
      <c r="B874" s="94" t="s">
        <v>2882</v>
      </c>
      <c r="C874" s="94" t="s">
        <v>1475</v>
      </c>
      <c r="D874" s="152" t="s">
        <v>2409</v>
      </c>
      <c r="E874" s="153"/>
      <c r="F874" s="94" t="s">
        <v>2849</v>
      </c>
      <c r="G874" s="73">
        <v>48</v>
      </c>
      <c r="H874" s="51">
        <v>0</v>
      </c>
      <c r="I874" s="5"/>
    </row>
    <row r="875" spans="1:9" ht="12.2" customHeight="1">
      <c r="A875" s="5"/>
      <c r="D875" s="45" t="s">
        <v>54</v>
      </c>
      <c r="E875" s="190"/>
      <c r="F875" s="191"/>
      <c r="G875" s="47">
        <v>48</v>
      </c>
      <c r="H875" s="52"/>
      <c r="I875" s="5"/>
    </row>
    <row r="876" spans="1:9" ht="12.75">
      <c r="A876" s="4" t="s">
        <v>526</v>
      </c>
      <c r="B876" s="94" t="s">
        <v>2882</v>
      </c>
      <c r="C876" s="94" t="s">
        <v>1476</v>
      </c>
      <c r="D876" s="152" t="s">
        <v>2410</v>
      </c>
      <c r="E876" s="153"/>
      <c r="F876" s="94" t="s">
        <v>2849</v>
      </c>
      <c r="G876" s="73">
        <v>48</v>
      </c>
      <c r="H876" s="51">
        <v>0</v>
      </c>
      <c r="I876" s="5"/>
    </row>
    <row r="877" spans="1:9" ht="12.2" customHeight="1">
      <c r="A877" s="5"/>
      <c r="D877" s="45" t="s">
        <v>54</v>
      </c>
      <c r="E877" s="190"/>
      <c r="F877" s="191"/>
      <c r="G877" s="47">
        <v>48</v>
      </c>
      <c r="H877" s="52"/>
      <c r="I877" s="5"/>
    </row>
    <row r="878" spans="1:9" ht="12.75">
      <c r="A878" s="4" t="s">
        <v>527</v>
      </c>
      <c r="B878" s="94" t="s">
        <v>2882</v>
      </c>
      <c r="C878" s="94" t="s">
        <v>1477</v>
      </c>
      <c r="D878" s="152" t="s">
        <v>2411</v>
      </c>
      <c r="E878" s="153"/>
      <c r="F878" s="94" t="s">
        <v>2848</v>
      </c>
      <c r="G878" s="73">
        <v>1.389</v>
      </c>
      <c r="H878" s="51">
        <v>0</v>
      </c>
      <c r="I878" s="5"/>
    </row>
    <row r="879" spans="1:9" ht="12.2" customHeight="1">
      <c r="A879" s="5"/>
      <c r="D879" s="45" t="s">
        <v>3186</v>
      </c>
      <c r="E879" s="190"/>
      <c r="F879" s="191"/>
      <c r="G879" s="47">
        <v>1.389</v>
      </c>
      <c r="H879" s="52"/>
      <c r="I879" s="5"/>
    </row>
    <row r="880" spans="1:9" ht="12.75">
      <c r="A880" s="44"/>
      <c r="B880" s="97"/>
      <c r="C880" s="97" t="s">
        <v>770</v>
      </c>
      <c r="D880" s="161" t="s">
        <v>2412</v>
      </c>
      <c r="E880" s="162"/>
      <c r="F880" s="97"/>
      <c r="G880" s="74"/>
      <c r="H880" s="24"/>
      <c r="I880" s="5"/>
    </row>
    <row r="881" spans="1:9" ht="12.75">
      <c r="A881" s="4" t="s">
        <v>528</v>
      </c>
      <c r="B881" s="94" t="s">
        <v>2882</v>
      </c>
      <c r="C881" s="94" t="s">
        <v>1478</v>
      </c>
      <c r="D881" s="152" t="s">
        <v>2413</v>
      </c>
      <c r="E881" s="153"/>
      <c r="F881" s="94" t="s">
        <v>2851</v>
      </c>
      <c r="G881" s="73">
        <v>40</v>
      </c>
      <c r="H881" s="51">
        <v>0</v>
      </c>
      <c r="I881" s="5"/>
    </row>
    <row r="882" spans="1:9" ht="12.2" customHeight="1">
      <c r="A882" s="5"/>
      <c r="D882" s="45" t="s">
        <v>3187</v>
      </c>
      <c r="E882" s="190"/>
      <c r="F882" s="191"/>
      <c r="G882" s="47">
        <v>40</v>
      </c>
      <c r="H882" s="52"/>
      <c r="I882" s="5"/>
    </row>
    <row r="883" spans="1:9" ht="12.75">
      <c r="A883" s="4" t="s">
        <v>529</v>
      </c>
      <c r="B883" s="94" t="s">
        <v>2882</v>
      </c>
      <c r="C883" s="94" t="s">
        <v>1479</v>
      </c>
      <c r="D883" s="152" t="s">
        <v>2414</v>
      </c>
      <c r="E883" s="153"/>
      <c r="F883" s="94" t="s">
        <v>2851</v>
      </c>
      <c r="G883" s="73">
        <v>7.8</v>
      </c>
      <c r="H883" s="51">
        <v>0</v>
      </c>
      <c r="I883" s="5"/>
    </row>
    <row r="884" spans="1:9" ht="12.2" customHeight="1">
      <c r="A884" s="5"/>
      <c r="D884" s="45" t="s">
        <v>3188</v>
      </c>
      <c r="E884" s="190"/>
      <c r="F884" s="191"/>
      <c r="G884" s="47">
        <v>7.8</v>
      </c>
      <c r="H884" s="52"/>
      <c r="I884" s="5"/>
    </row>
    <row r="885" spans="1:9" ht="12.75">
      <c r="A885" s="4" t="s">
        <v>530</v>
      </c>
      <c r="B885" s="94" t="s">
        <v>2882</v>
      </c>
      <c r="C885" s="94" t="s">
        <v>1480</v>
      </c>
      <c r="D885" s="152" t="s">
        <v>2415</v>
      </c>
      <c r="E885" s="153"/>
      <c r="F885" s="94" t="s">
        <v>2851</v>
      </c>
      <c r="G885" s="73">
        <v>6.4</v>
      </c>
      <c r="H885" s="51">
        <v>0</v>
      </c>
      <c r="I885" s="5"/>
    </row>
    <row r="886" spans="1:9" ht="12.2" customHeight="1">
      <c r="A886" s="5"/>
      <c r="D886" s="45" t="s">
        <v>3189</v>
      </c>
      <c r="E886" s="190"/>
      <c r="F886" s="191"/>
      <c r="G886" s="47">
        <v>6.4</v>
      </c>
      <c r="H886" s="52"/>
      <c r="I886" s="5"/>
    </row>
    <row r="887" spans="1:9" ht="12.75">
      <c r="A887" s="4" t="s">
        <v>531</v>
      </c>
      <c r="B887" s="94" t="s">
        <v>2882</v>
      </c>
      <c r="C887" s="94" t="s">
        <v>1481</v>
      </c>
      <c r="D887" s="152" t="s">
        <v>2416</v>
      </c>
      <c r="E887" s="153"/>
      <c r="F887" s="94" t="s">
        <v>2851</v>
      </c>
      <c r="G887" s="73">
        <v>29.2</v>
      </c>
      <c r="H887" s="51">
        <v>0</v>
      </c>
      <c r="I887" s="5"/>
    </row>
    <row r="888" spans="1:9" ht="12.2" customHeight="1">
      <c r="A888" s="5"/>
      <c r="D888" s="45" t="s">
        <v>3190</v>
      </c>
      <c r="E888" s="190"/>
      <c r="F888" s="191"/>
      <c r="G888" s="47">
        <v>29.2</v>
      </c>
      <c r="H888" s="52"/>
      <c r="I888" s="5"/>
    </row>
    <row r="889" spans="1:9" ht="12.75">
      <c r="A889" s="4" t="s">
        <v>532</v>
      </c>
      <c r="B889" s="94" t="s">
        <v>2882</v>
      </c>
      <c r="C889" s="94" t="s">
        <v>1482</v>
      </c>
      <c r="D889" s="152" t="s">
        <v>2417</v>
      </c>
      <c r="E889" s="153"/>
      <c r="F889" s="94" t="s">
        <v>2851</v>
      </c>
      <c r="G889" s="73">
        <v>78</v>
      </c>
      <c r="H889" s="51">
        <v>0</v>
      </c>
      <c r="I889" s="5"/>
    </row>
    <row r="890" spans="1:9" ht="12.2" customHeight="1">
      <c r="A890" s="5"/>
      <c r="D890" s="45" t="s">
        <v>3191</v>
      </c>
      <c r="E890" s="190"/>
      <c r="F890" s="191"/>
      <c r="G890" s="47">
        <v>78</v>
      </c>
      <c r="H890" s="52"/>
      <c r="I890" s="5"/>
    </row>
    <row r="891" spans="1:9" ht="12.75">
      <c r="A891" s="4" t="s">
        <v>533</v>
      </c>
      <c r="B891" s="94" t="s">
        <v>2882</v>
      </c>
      <c r="C891" s="94" t="s">
        <v>1483</v>
      </c>
      <c r="D891" s="152" t="s">
        <v>2418</v>
      </c>
      <c r="E891" s="153"/>
      <c r="F891" s="94" t="s">
        <v>2848</v>
      </c>
      <c r="G891" s="73">
        <v>0.375</v>
      </c>
      <c r="H891" s="51">
        <v>0</v>
      </c>
      <c r="I891" s="5"/>
    </row>
    <row r="892" spans="1:9" ht="12.2" customHeight="1">
      <c r="A892" s="5"/>
      <c r="D892" s="45" t="s">
        <v>3192</v>
      </c>
      <c r="E892" s="190"/>
      <c r="F892" s="191"/>
      <c r="G892" s="47">
        <v>0.375</v>
      </c>
      <c r="H892" s="52"/>
      <c r="I892" s="5"/>
    </row>
    <row r="893" spans="1:9" ht="12.75">
      <c r="A893" s="44"/>
      <c r="B893" s="97"/>
      <c r="C893" s="97" t="s">
        <v>772</v>
      </c>
      <c r="D893" s="161" t="s">
        <v>2419</v>
      </c>
      <c r="E893" s="162"/>
      <c r="F893" s="97"/>
      <c r="G893" s="74"/>
      <c r="H893" s="24"/>
      <c r="I893" s="5"/>
    </row>
    <row r="894" spans="1:9" ht="12.75">
      <c r="A894" s="4" t="s">
        <v>534</v>
      </c>
      <c r="B894" s="94" t="s">
        <v>2882</v>
      </c>
      <c r="C894" s="94" t="s">
        <v>1484</v>
      </c>
      <c r="D894" s="152" t="s">
        <v>2420</v>
      </c>
      <c r="E894" s="153"/>
      <c r="F894" s="94" t="s">
        <v>2850</v>
      </c>
      <c r="G894" s="73">
        <v>1</v>
      </c>
      <c r="H894" s="51">
        <v>0</v>
      </c>
      <c r="I894" s="5"/>
    </row>
    <row r="895" spans="1:9" ht="12.2" customHeight="1">
      <c r="A895" s="5"/>
      <c r="D895" s="45" t="s">
        <v>7</v>
      </c>
      <c r="E895" s="190"/>
      <c r="F895" s="191"/>
      <c r="G895" s="47">
        <v>1</v>
      </c>
      <c r="H895" s="52"/>
      <c r="I895" s="5"/>
    </row>
    <row r="896" spans="1:9" ht="12.75">
      <c r="A896" s="4" t="s">
        <v>535</v>
      </c>
      <c r="B896" s="94" t="s">
        <v>2882</v>
      </c>
      <c r="C896" s="94" t="s">
        <v>1485</v>
      </c>
      <c r="D896" s="152" t="s">
        <v>2421</v>
      </c>
      <c r="E896" s="153"/>
      <c r="F896" s="94" t="s">
        <v>2850</v>
      </c>
      <c r="G896" s="73">
        <v>1</v>
      </c>
      <c r="H896" s="51">
        <v>0</v>
      </c>
      <c r="I896" s="5"/>
    </row>
    <row r="897" spans="1:9" ht="12.2" customHeight="1">
      <c r="A897" s="5"/>
      <c r="D897" s="45" t="s">
        <v>7</v>
      </c>
      <c r="E897" s="190"/>
      <c r="F897" s="191"/>
      <c r="G897" s="47">
        <v>1</v>
      </c>
      <c r="H897" s="52"/>
      <c r="I897" s="5"/>
    </row>
    <row r="898" spans="1:9" ht="12.75">
      <c r="A898" s="4" t="s">
        <v>536</v>
      </c>
      <c r="B898" s="94" t="s">
        <v>2882</v>
      </c>
      <c r="C898" s="94" t="s">
        <v>1486</v>
      </c>
      <c r="D898" s="152" t="s">
        <v>2422</v>
      </c>
      <c r="E898" s="153"/>
      <c r="F898" s="94" t="s">
        <v>2851</v>
      </c>
      <c r="G898" s="73">
        <v>90.7</v>
      </c>
      <c r="H898" s="51">
        <v>0</v>
      </c>
      <c r="I898" s="5"/>
    </row>
    <row r="899" spans="1:9" ht="12.2" customHeight="1">
      <c r="A899" s="5"/>
      <c r="D899" s="45" t="s">
        <v>3193</v>
      </c>
      <c r="E899" s="190"/>
      <c r="F899" s="191"/>
      <c r="G899" s="47">
        <v>90.7</v>
      </c>
      <c r="H899" s="52"/>
      <c r="I899" s="5"/>
    </row>
    <row r="900" spans="1:9" ht="12.75">
      <c r="A900" s="4" t="s">
        <v>537</v>
      </c>
      <c r="B900" s="94" t="s">
        <v>2882</v>
      </c>
      <c r="C900" s="94" t="s">
        <v>1487</v>
      </c>
      <c r="D900" s="152" t="s">
        <v>2423</v>
      </c>
      <c r="E900" s="153"/>
      <c r="F900" s="94" t="s">
        <v>2851</v>
      </c>
      <c r="G900" s="73">
        <v>195.305</v>
      </c>
      <c r="H900" s="51">
        <v>0</v>
      </c>
      <c r="I900" s="5"/>
    </row>
    <row r="901" spans="1:9" ht="12.2" customHeight="1">
      <c r="A901" s="5"/>
      <c r="D901" s="45" t="s">
        <v>3194</v>
      </c>
      <c r="E901" s="190"/>
      <c r="F901" s="191"/>
      <c r="G901" s="47">
        <v>195.305</v>
      </c>
      <c r="H901" s="52"/>
      <c r="I901" s="5"/>
    </row>
    <row r="902" spans="1:9" ht="12.75">
      <c r="A902" s="4" t="s">
        <v>538</v>
      </c>
      <c r="B902" s="94" t="s">
        <v>2882</v>
      </c>
      <c r="C902" s="94" t="s">
        <v>1488</v>
      </c>
      <c r="D902" s="152" t="s">
        <v>2424</v>
      </c>
      <c r="E902" s="153"/>
      <c r="F902" s="94" t="s">
        <v>2851</v>
      </c>
      <c r="G902" s="73">
        <v>33.2</v>
      </c>
      <c r="H902" s="51">
        <v>0</v>
      </c>
      <c r="I902" s="5"/>
    </row>
    <row r="903" spans="1:9" ht="12.2" customHeight="1">
      <c r="A903" s="5"/>
      <c r="D903" s="45" t="s">
        <v>3195</v>
      </c>
      <c r="E903" s="190"/>
      <c r="F903" s="191"/>
      <c r="G903" s="47">
        <v>33.2</v>
      </c>
      <c r="H903" s="52"/>
      <c r="I903" s="5"/>
    </row>
    <row r="904" spans="1:9" ht="12.75">
      <c r="A904" s="4" t="s">
        <v>539</v>
      </c>
      <c r="B904" s="94" t="s">
        <v>2882</v>
      </c>
      <c r="C904" s="94" t="s">
        <v>1489</v>
      </c>
      <c r="D904" s="152" t="s">
        <v>2425</v>
      </c>
      <c r="E904" s="153"/>
      <c r="F904" s="94" t="s">
        <v>2850</v>
      </c>
      <c r="G904" s="73">
        <v>8</v>
      </c>
      <c r="H904" s="51">
        <v>0</v>
      </c>
      <c r="I904" s="5"/>
    </row>
    <row r="905" spans="1:9" ht="12.2" customHeight="1">
      <c r="A905" s="5"/>
      <c r="D905" s="45" t="s">
        <v>14</v>
      </c>
      <c r="E905" s="190"/>
      <c r="F905" s="191"/>
      <c r="G905" s="47">
        <v>8</v>
      </c>
      <c r="H905" s="52"/>
      <c r="I905" s="5"/>
    </row>
    <row r="906" spans="1:9" ht="12.75">
      <c r="A906" s="6" t="s">
        <v>540</v>
      </c>
      <c r="B906" s="98" t="s">
        <v>2882</v>
      </c>
      <c r="C906" s="98" t="s">
        <v>1490</v>
      </c>
      <c r="D906" s="163" t="s">
        <v>2426</v>
      </c>
      <c r="E906" s="164"/>
      <c r="F906" s="98" t="s">
        <v>2850</v>
      </c>
      <c r="G906" s="76">
        <v>8</v>
      </c>
      <c r="H906" s="53">
        <v>0</v>
      </c>
      <c r="I906" s="5"/>
    </row>
    <row r="907" spans="1:9" ht="12.2" customHeight="1">
      <c r="A907" s="5"/>
      <c r="D907" s="45" t="s">
        <v>14</v>
      </c>
      <c r="E907" s="190"/>
      <c r="F907" s="191"/>
      <c r="G907" s="48">
        <v>8</v>
      </c>
      <c r="H907" s="52"/>
      <c r="I907" s="5"/>
    </row>
    <row r="908" spans="1:9" ht="12.75">
      <c r="A908" s="4" t="s">
        <v>541</v>
      </c>
      <c r="B908" s="94" t="s">
        <v>2882</v>
      </c>
      <c r="C908" s="94" t="s">
        <v>1491</v>
      </c>
      <c r="D908" s="152" t="s">
        <v>2427</v>
      </c>
      <c r="E908" s="153"/>
      <c r="F908" s="94" t="s">
        <v>2850</v>
      </c>
      <c r="G908" s="73">
        <v>32</v>
      </c>
      <c r="H908" s="51">
        <v>0</v>
      </c>
      <c r="I908" s="5"/>
    </row>
    <row r="909" spans="1:9" ht="12.2" customHeight="1">
      <c r="A909" s="5"/>
      <c r="D909" s="45" t="s">
        <v>3196</v>
      </c>
      <c r="E909" s="190"/>
      <c r="F909" s="191"/>
      <c r="G909" s="47">
        <v>32</v>
      </c>
      <c r="H909" s="52"/>
      <c r="I909" s="5"/>
    </row>
    <row r="910" spans="1:9" ht="12.75">
      <c r="A910" s="6" t="s">
        <v>542</v>
      </c>
      <c r="B910" s="98" t="s">
        <v>2882</v>
      </c>
      <c r="C910" s="98" t="s">
        <v>1492</v>
      </c>
      <c r="D910" s="163" t="s">
        <v>2428</v>
      </c>
      <c r="E910" s="164"/>
      <c r="F910" s="98" t="s">
        <v>2850</v>
      </c>
      <c r="G910" s="76">
        <v>16</v>
      </c>
      <c r="H910" s="53">
        <v>0</v>
      </c>
      <c r="I910" s="5"/>
    </row>
    <row r="911" spans="1:9" ht="12.2" customHeight="1">
      <c r="A911" s="5"/>
      <c r="D911" s="45" t="s">
        <v>22</v>
      </c>
      <c r="E911" s="190"/>
      <c r="F911" s="191"/>
      <c r="G911" s="48">
        <v>16</v>
      </c>
      <c r="H911" s="52"/>
      <c r="I911" s="5"/>
    </row>
    <row r="912" spans="1:9" ht="12.75">
      <c r="A912" s="6" t="s">
        <v>543</v>
      </c>
      <c r="B912" s="98" t="s">
        <v>2882</v>
      </c>
      <c r="C912" s="98" t="s">
        <v>1493</v>
      </c>
      <c r="D912" s="163" t="s">
        <v>2429</v>
      </c>
      <c r="E912" s="164"/>
      <c r="F912" s="98" t="s">
        <v>2850</v>
      </c>
      <c r="G912" s="76">
        <v>14</v>
      </c>
      <c r="H912" s="53">
        <v>0</v>
      </c>
      <c r="I912" s="5"/>
    </row>
    <row r="913" spans="1:9" ht="12.2" customHeight="1">
      <c r="A913" s="5"/>
      <c r="D913" s="45" t="s">
        <v>20</v>
      </c>
      <c r="E913" s="190"/>
      <c r="F913" s="191"/>
      <c r="G913" s="48">
        <v>14</v>
      </c>
      <c r="H913" s="52"/>
      <c r="I913" s="5"/>
    </row>
    <row r="914" spans="1:9" ht="12.75">
      <c r="A914" s="6" t="s">
        <v>544</v>
      </c>
      <c r="B914" s="98" t="s">
        <v>2882</v>
      </c>
      <c r="C914" s="98" t="s">
        <v>1494</v>
      </c>
      <c r="D914" s="163" t="s">
        <v>2430</v>
      </c>
      <c r="E914" s="164"/>
      <c r="F914" s="98" t="s">
        <v>2850</v>
      </c>
      <c r="G914" s="76">
        <v>2</v>
      </c>
      <c r="H914" s="53">
        <v>0</v>
      </c>
      <c r="I914" s="5"/>
    </row>
    <row r="915" spans="1:9" ht="12.2" customHeight="1">
      <c r="A915" s="5"/>
      <c r="D915" s="45" t="s">
        <v>8</v>
      </c>
      <c r="E915" s="190"/>
      <c r="F915" s="191"/>
      <c r="G915" s="48">
        <v>2</v>
      </c>
      <c r="H915" s="52"/>
      <c r="I915" s="5"/>
    </row>
    <row r="916" spans="1:9" ht="12.75">
      <c r="A916" s="4" t="s">
        <v>545</v>
      </c>
      <c r="B916" s="94" t="s">
        <v>2882</v>
      </c>
      <c r="C916" s="94" t="s">
        <v>1495</v>
      </c>
      <c r="D916" s="152" t="s">
        <v>2431</v>
      </c>
      <c r="E916" s="153"/>
      <c r="F916" s="94" t="s">
        <v>2850</v>
      </c>
      <c r="G916" s="73">
        <v>1</v>
      </c>
      <c r="H916" s="51">
        <v>0</v>
      </c>
      <c r="I916" s="5"/>
    </row>
    <row r="917" spans="1:9" ht="12.2" customHeight="1">
      <c r="A917" s="5"/>
      <c r="D917" s="45" t="s">
        <v>7</v>
      </c>
      <c r="E917" s="190"/>
      <c r="F917" s="191"/>
      <c r="G917" s="47">
        <v>1</v>
      </c>
      <c r="H917" s="52"/>
      <c r="I917" s="5"/>
    </row>
    <row r="918" spans="1:9" ht="12.75">
      <c r="A918" s="6" t="s">
        <v>546</v>
      </c>
      <c r="B918" s="98" t="s">
        <v>2882</v>
      </c>
      <c r="C918" s="98" t="s">
        <v>1496</v>
      </c>
      <c r="D918" s="163" t="s">
        <v>2432</v>
      </c>
      <c r="E918" s="164"/>
      <c r="F918" s="98" t="s">
        <v>2850</v>
      </c>
      <c r="G918" s="76">
        <v>1</v>
      </c>
      <c r="H918" s="53">
        <v>0</v>
      </c>
      <c r="I918" s="5"/>
    </row>
    <row r="919" spans="1:9" ht="12.2" customHeight="1">
      <c r="A919" s="5"/>
      <c r="D919" s="45" t="s">
        <v>7</v>
      </c>
      <c r="E919" s="190"/>
      <c r="F919" s="191"/>
      <c r="G919" s="48">
        <v>1</v>
      </c>
      <c r="H919" s="52"/>
      <c r="I919" s="5"/>
    </row>
    <row r="920" spans="1:9" ht="12.75">
      <c r="A920" s="4" t="s">
        <v>547</v>
      </c>
      <c r="B920" s="94" t="s">
        <v>2882</v>
      </c>
      <c r="C920" s="94" t="s">
        <v>1497</v>
      </c>
      <c r="D920" s="152" t="s">
        <v>2433</v>
      </c>
      <c r="E920" s="153"/>
      <c r="F920" s="94" t="s">
        <v>2849</v>
      </c>
      <c r="G920" s="73">
        <v>2</v>
      </c>
      <c r="H920" s="51">
        <v>0</v>
      </c>
      <c r="I920" s="5"/>
    </row>
    <row r="921" spans="1:9" ht="12.2" customHeight="1">
      <c r="A921" s="5"/>
      <c r="D921" s="45" t="s">
        <v>8</v>
      </c>
      <c r="E921" s="190"/>
      <c r="F921" s="191"/>
      <c r="G921" s="47">
        <v>2</v>
      </c>
      <c r="H921" s="52"/>
      <c r="I921" s="5"/>
    </row>
    <row r="922" spans="1:9" ht="12.75">
      <c r="A922" s="4" t="s">
        <v>548</v>
      </c>
      <c r="B922" s="94" t="s">
        <v>2882</v>
      </c>
      <c r="C922" s="94" t="s">
        <v>1498</v>
      </c>
      <c r="D922" s="152" t="s">
        <v>2434</v>
      </c>
      <c r="E922" s="153"/>
      <c r="F922" s="94" t="s">
        <v>2850</v>
      </c>
      <c r="G922" s="73">
        <v>17</v>
      </c>
      <c r="H922" s="51">
        <v>0</v>
      </c>
      <c r="I922" s="5"/>
    </row>
    <row r="923" spans="1:9" ht="12.2" customHeight="1">
      <c r="A923" s="5"/>
      <c r="D923" s="45" t="s">
        <v>23</v>
      </c>
      <c r="E923" s="190"/>
      <c r="F923" s="191"/>
      <c r="G923" s="47">
        <v>17</v>
      </c>
      <c r="H923" s="52"/>
      <c r="I923" s="5"/>
    </row>
    <row r="924" spans="1:9" ht="12.75">
      <c r="A924" s="4" t="s">
        <v>549</v>
      </c>
      <c r="B924" s="94" t="s">
        <v>2882</v>
      </c>
      <c r="C924" s="94" t="s">
        <v>1499</v>
      </c>
      <c r="D924" s="152" t="s">
        <v>2435</v>
      </c>
      <c r="E924" s="153"/>
      <c r="F924" s="94" t="s">
        <v>2850</v>
      </c>
      <c r="G924" s="73">
        <v>5</v>
      </c>
      <c r="H924" s="51">
        <v>0</v>
      </c>
      <c r="I924" s="5"/>
    </row>
    <row r="925" spans="1:9" ht="12.2" customHeight="1">
      <c r="A925" s="5"/>
      <c r="D925" s="45" t="s">
        <v>11</v>
      </c>
      <c r="E925" s="190"/>
      <c r="F925" s="191"/>
      <c r="G925" s="47">
        <v>5</v>
      </c>
      <c r="H925" s="52"/>
      <c r="I925" s="5"/>
    </row>
    <row r="926" spans="1:9" ht="12.75">
      <c r="A926" s="4" t="s">
        <v>550</v>
      </c>
      <c r="B926" s="94" t="s">
        <v>2882</v>
      </c>
      <c r="C926" s="94" t="s">
        <v>1500</v>
      </c>
      <c r="D926" s="152" t="s">
        <v>2436</v>
      </c>
      <c r="E926" s="153"/>
      <c r="F926" s="94" t="s">
        <v>2850</v>
      </c>
      <c r="G926" s="73">
        <v>1</v>
      </c>
      <c r="H926" s="51">
        <v>0</v>
      </c>
      <c r="I926" s="5"/>
    </row>
    <row r="927" spans="1:9" ht="12.2" customHeight="1">
      <c r="A927" s="5"/>
      <c r="D927" s="45" t="s">
        <v>7</v>
      </c>
      <c r="E927" s="190"/>
      <c r="F927" s="191"/>
      <c r="G927" s="47">
        <v>1</v>
      </c>
      <c r="H927" s="52"/>
      <c r="I927" s="5"/>
    </row>
    <row r="928" spans="1:9" ht="12.75">
      <c r="A928" s="4" t="s">
        <v>551</v>
      </c>
      <c r="B928" s="94" t="s">
        <v>2882</v>
      </c>
      <c r="C928" s="94" t="s">
        <v>1501</v>
      </c>
      <c r="D928" s="152" t="s">
        <v>2437</v>
      </c>
      <c r="E928" s="153"/>
      <c r="F928" s="94" t="s">
        <v>2850</v>
      </c>
      <c r="G928" s="73">
        <v>1</v>
      </c>
      <c r="H928" s="51">
        <v>0</v>
      </c>
      <c r="I928" s="5"/>
    </row>
    <row r="929" spans="1:9" ht="12.2" customHeight="1">
      <c r="A929" s="5"/>
      <c r="D929" s="45" t="s">
        <v>7</v>
      </c>
      <c r="E929" s="190"/>
      <c r="F929" s="191"/>
      <c r="G929" s="47">
        <v>1</v>
      </c>
      <c r="H929" s="52"/>
      <c r="I929" s="5"/>
    </row>
    <row r="930" spans="1:9" ht="12.75">
      <c r="A930" s="4" t="s">
        <v>552</v>
      </c>
      <c r="B930" s="94" t="s">
        <v>2882</v>
      </c>
      <c r="C930" s="94" t="s">
        <v>1502</v>
      </c>
      <c r="D930" s="152" t="s">
        <v>2438</v>
      </c>
      <c r="E930" s="153"/>
      <c r="F930" s="94" t="s">
        <v>2850</v>
      </c>
      <c r="G930" s="73">
        <v>10</v>
      </c>
      <c r="H930" s="51">
        <v>0</v>
      </c>
      <c r="I930" s="5"/>
    </row>
    <row r="931" spans="1:9" ht="12.2" customHeight="1">
      <c r="A931" s="5"/>
      <c r="D931" s="45" t="s">
        <v>16</v>
      </c>
      <c r="E931" s="190"/>
      <c r="F931" s="191"/>
      <c r="G931" s="47">
        <v>10</v>
      </c>
      <c r="H931" s="52"/>
      <c r="I931" s="5"/>
    </row>
    <row r="932" spans="1:9" ht="12.75">
      <c r="A932" s="4" t="s">
        <v>553</v>
      </c>
      <c r="B932" s="94" t="s">
        <v>2882</v>
      </c>
      <c r="C932" s="94" t="s">
        <v>1503</v>
      </c>
      <c r="D932" s="152" t="s">
        <v>2439</v>
      </c>
      <c r="E932" s="153"/>
      <c r="F932" s="94" t="s">
        <v>2850</v>
      </c>
      <c r="G932" s="73">
        <v>2</v>
      </c>
      <c r="H932" s="51">
        <v>0</v>
      </c>
      <c r="I932" s="5"/>
    </row>
    <row r="933" spans="1:9" ht="12.2" customHeight="1">
      <c r="A933" s="5"/>
      <c r="D933" s="45" t="s">
        <v>8</v>
      </c>
      <c r="E933" s="190"/>
      <c r="F933" s="191"/>
      <c r="G933" s="47">
        <v>2</v>
      </c>
      <c r="H933" s="52"/>
      <c r="I933" s="5"/>
    </row>
    <row r="934" spans="1:9" ht="12.75">
      <c r="A934" s="4" t="s">
        <v>554</v>
      </c>
      <c r="B934" s="94" t="s">
        <v>2882</v>
      </c>
      <c r="C934" s="94" t="s">
        <v>1504</v>
      </c>
      <c r="D934" s="152" t="s">
        <v>2440</v>
      </c>
      <c r="E934" s="153"/>
      <c r="F934" s="94" t="s">
        <v>2850</v>
      </c>
      <c r="G934" s="73">
        <v>18</v>
      </c>
      <c r="H934" s="51">
        <v>0</v>
      </c>
      <c r="I934" s="5"/>
    </row>
    <row r="935" spans="1:9" ht="12.2" customHeight="1">
      <c r="A935" s="5"/>
      <c r="D935" s="45" t="s">
        <v>3197</v>
      </c>
      <c r="E935" s="190"/>
      <c r="F935" s="191"/>
      <c r="G935" s="47">
        <v>18</v>
      </c>
      <c r="H935" s="52"/>
      <c r="I935" s="5"/>
    </row>
    <row r="936" spans="1:9" ht="12.75">
      <c r="A936" s="4" t="s">
        <v>555</v>
      </c>
      <c r="B936" s="94" t="s">
        <v>2882</v>
      </c>
      <c r="C936" s="94" t="s">
        <v>1505</v>
      </c>
      <c r="D936" s="152" t="s">
        <v>2441</v>
      </c>
      <c r="E936" s="153"/>
      <c r="F936" s="94" t="s">
        <v>2850</v>
      </c>
      <c r="G936" s="73">
        <v>1</v>
      </c>
      <c r="H936" s="51">
        <v>0</v>
      </c>
      <c r="I936" s="5"/>
    </row>
    <row r="937" spans="1:9" ht="12.2" customHeight="1">
      <c r="A937" s="5"/>
      <c r="D937" s="45" t="s">
        <v>7</v>
      </c>
      <c r="E937" s="190"/>
      <c r="F937" s="191"/>
      <c r="G937" s="47">
        <v>1</v>
      </c>
      <c r="H937" s="52"/>
      <c r="I937" s="5"/>
    </row>
    <row r="938" spans="1:9" ht="12.75">
      <c r="A938" s="4" t="s">
        <v>556</v>
      </c>
      <c r="B938" s="94" t="s">
        <v>2882</v>
      </c>
      <c r="C938" s="94" t="s">
        <v>1506</v>
      </c>
      <c r="D938" s="152" t="s">
        <v>2442</v>
      </c>
      <c r="E938" s="153"/>
      <c r="F938" s="94" t="s">
        <v>2850</v>
      </c>
      <c r="G938" s="73">
        <v>35</v>
      </c>
      <c r="H938" s="51">
        <v>0</v>
      </c>
      <c r="I938" s="5"/>
    </row>
    <row r="939" spans="1:9" ht="12.2" customHeight="1">
      <c r="A939" s="5"/>
      <c r="D939" s="45" t="s">
        <v>3198</v>
      </c>
      <c r="E939" s="190"/>
      <c r="F939" s="191"/>
      <c r="G939" s="47">
        <v>35</v>
      </c>
      <c r="H939" s="52"/>
      <c r="I939" s="5"/>
    </row>
    <row r="940" spans="1:9" ht="12.75">
      <c r="A940" s="4" t="s">
        <v>557</v>
      </c>
      <c r="B940" s="94" t="s">
        <v>2882</v>
      </c>
      <c r="C940" s="94" t="s">
        <v>1507</v>
      </c>
      <c r="D940" s="152" t="s">
        <v>2443</v>
      </c>
      <c r="E940" s="153"/>
      <c r="F940" s="94" t="s">
        <v>2850</v>
      </c>
      <c r="G940" s="73">
        <v>3</v>
      </c>
      <c r="H940" s="51">
        <v>0</v>
      </c>
      <c r="I940" s="5"/>
    </row>
    <row r="941" spans="1:9" ht="12.2" customHeight="1">
      <c r="A941" s="5"/>
      <c r="D941" s="45" t="s">
        <v>9</v>
      </c>
      <c r="E941" s="190"/>
      <c r="F941" s="191"/>
      <c r="G941" s="47">
        <v>3</v>
      </c>
      <c r="H941" s="52"/>
      <c r="I941" s="5"/>
    </row>
    <row r="942" spans="1:9" ht="12.75">
      <c r="A942" s="4" t="s">
        <v>558</v>
      </c>
      <c r="B942" s="94" t="s">
        <v>2882</v>
      </c>
      <c r="C942" s="94" t="s">
        <v>1508</v>
      </c>
      <c r="D942" s="152" t="s">
        <v>2444</v>
      </c>
      <c r="E942" s="153"/>
      <c r="F942" s="94" t="s">
        <v>2850</v>
      </c>
      <c r="G942" s="73">
        <v>3</v>
      </c>
      <c r="H942" s="51">
        <v>0</v>
      </c>
      <c r="I942" s="5"/>
    </row>
    <row r="943" spans="1:9" ht="12.2" customHeight="1">
      <c r="A943" s="5"/>
      <c r="D943" s="45" t="s">
        <v>9</v>
      </c>
      <c r="E943" s="190"/>
      <c r="F943" s="191"/>
      <c r="G943" s="47">
        <v>3</v>
      </c>
      <c r="H943" s="52"/>
      <c r="I943" s="5"/>
    </row>
    <row r="944" spans="1:9" ht="12.75">
      <c r="A944" s="4" t="s">
        <v>559</v>
      </c>
      <c r="B944" s="94" t="s">
        <v>2882</v>
      </c>
      <c r="C944" s="94" t="s">
        <v>1509</v>
      </c>
      <c r="D944" s="152" t="s">
        <v>2445</v>
      </c>
      <c r="E944" s="153"/>
      <c r="F944" s="94" t="s">
        <v>2850</v>
      </c>
      <c r="G944" s="73">
        <v>1</v>
      </c>
      <c r="H944" s="51">
        <v>0</v>
      </c>
      <c r="I944" s="5"/>
    </row>
    <row r="945" spans="1:9" ht="12.2" customHeight="1">
      <c r="A945" s="5"/>
      <c r="D945" s="45" t="s">
        <v>7</v>
      </c>
      <c r="E945" s="190"/>
      <c r="F945" s="191"/>
      <c r="G945" s="47">
        <v>1</v>
      </c>
      <c r="H945" s="52"/>
      <c r="I945" s="5"/>
    </row>
    <row r="946" spans="1:9" ht="12.75">
      <c r="A946" s="4" t="s">
        <v>560</v>
      </c>
      <c r="B946" s="94" t="s">
        <v>2882</v>
      </c>
      <c r="C946" s="94" t="s">
        <v>1510</v>
      </c>
      <c r="D946" s="152" t="s">
        <v>2446</v>
      </c>
      <c r="E946" s="153"/>
      <c r="F946" s="94" t="s">
        <v>2850</v>
      </c>
      <c r="G946" s="73">
        <v>1</v>
      </c>
      <c r="H946" s="51">
        <v>0</v>
      </c>
      <c r="I946" s="5"/>
    </row>
    <row r="947" spans="1:9" ht="12.2" customHeight="1">
      <c r="A947" s="5"/>
      <c r="D947" s="45" t="s">
        <v>7</v>
      </c>
      <c r="E947" s="190"/>
      <c r="F947" s="191"/>
      <c r="G947" s="47">
        <v>1</v>
      </c>
      <c r="H947" s="52"/>
      <c r="I947" s="5"/>
    </row>
    <row r="948" spans="1:9" ht="12.75">
      <c r="A948" s="4" t="s">
        <v>561</v>
      </c>
      <c r="B948" s="94" t="s">
        <v>2882</v>
      </c>
      <c r="C948" s="94" t="s">
        <v>1511</v>
      </c>
      <c r="D948" s="152" t="s">
        <v>2447</v>
      </c>
      <c r="E948" s="153"/>
      <c r="F948" s="94" t="s">
        <v>2848</v>
      </c>
      <c r="G948" s="73">
        <v>6.346</v>
      </c>
      <c r="H948" s="51">
        <v>0</v>
      </c>
      <c r="I948" s="5"/>
    </row>
    <row r="949" spans="1:9" ht="12.2" customHeight="1">
      <c r="A949" s="5"/>
      <c r="D949" s="45" t="s">
        <v>3199</v>
      </c>
      <c r="E949" s="190"/>
      <c r="F949" s="191"/>
      <c r="G949" s="47">
        <v>6.346</v>
      </c>
      <c r="H949" s="52"/>
      <c r="I949" s="5"/>
    </row>
    <row r="950" spans="1:9" ht="12.75">
      <c r="A950" s="44"/>
      <c r="B950" s="97"/>
      <c r="C950" s="97" t="s">
        <v>773</v>
      </c>
      <c r="D950" s="161" t="s">
        <v>2448</v>
      </c>
      <c r="E950" s="162"/>
      <c r="F950" s="97"/>
      <c r="G950" s="74"/>
      <c r="H950" s="24"/>
      <c r="I950" s="5"/>
    </row>
    <row r="951" spans="1:9" ht="12.75">
      <c r="A951" s="4" t="s">
        <v>562</v>
      </c>
      <c r="B951" s="94" t="s">
        <v>2882</v>
      </c>
      <c r="C951" s="94" t="s">
        <v>1512</v>
      </c>
      <c r="D951" s="152" t="s">
        <v>2449</v>
      </c>
      <c r="E951" s="153"/>
      <c r="F951" s="94" t="s">
        <v>2853</v>
      </c>
      <c r="G951" s="73">
        <v>270</v>
      </c>
      <c r="H951" s="51">
        <v>0</v>
      </c>
      <c r="I951" s="5"/>
    </row>
    <row r="952" spans="1:9" ht="12.2" customHeight="1">
      <c r="A952" s="5"/>
      <c r="D952" s="45" t="s">
        <v>276</v>
      </c>
      <c r="E952" s="190"/>
      <c r="F952" s="191"/>
      <c r="G952" s="47">
        <v>270</v>
      </c>
      <c r="H952" s="52"/>
      <c r="I952" s="5"/>
    </row>
    <row r="953" spans="1:9" ht="12.75">
      <c r="A953" s="4" t="s">
        <v>563</v>
      </c>
      <c r="B953" s="94" t="s">
        <v>2882</v>
      </c>
      <c r="C953" s="94" t="s">
        <v>1513</v>
      </c>
      <c r="D953" s="152" t="s">
        <v>2450</v>
      </c>
      <c r="E953" s="153"/>
      <c r="F953" s="94" t="s">
        <v>2851</v>
      </c>
      <c r="G953" s="73">
        <v>40.4</v>
      </c>
      <c r="H953" s="51">
        <v>0</v>
      </c>
      <c r="I953" s="5"/>
    </row>
    <row r="954" spans="1:9" ht="12.2" customHeight="1">
      <c r="A954" s="5"/>
      <c r="D954" s="45" t="s">
        <v>3200</v>
      </c>
      <c r="E954" s="190"/>
      <c r="F954" s="191"/>
      <c r="G954" s="47">
        <v>22.05</v>
      </c>
      <c r="H954" s="52"/>
      <c r="I954" s="5"/>
    </row>
    <row r="955" spans="1:9" ht="12.2" customHeight="1">
      <c r="A955" s="4"/>
      <c r="B955" s="94"/>
      <c r="C955" s="94"/>
      <c r="D955" s="45" t="s">
        <v>3201</v>
      </c>
      <c r="E955" s="190"/>
      <c r="F955" s="190"/>
      <c r="G955" s="75">
        <v>18.35</v>
      </c>
      <c r="H955" s="25"/>
      <c r="I955" s="5"/>
    </row>
    <row r="956" spans="1:9" ht="12.75">
      <c r="A956" s="4" t="s">
        <v>564</v>
      </c>
      <c r="B956" s="94" t="s">
        <v>2882</v>
      </c>
      <c r="C956" s="94" t="s">
        <v>1514</v>
      </c>
      <c r="D956" s="152" t="s">
        <v>2451</v>
      </c>
      <c r="E956" s="153"/>
      <c r="F956" s="94" t="s">
        <v>2850</v>
      </c>
      <c r="G956" s="73">
        <v>70</v>
      </c>
      <c r="H956" s="51">
        <v>0</v>
      </c>
      <c r="I956" s="5"/>
    </row>
    <row r="957" spans="1:9" ht="12.2" customHeight="1">
      <c r="A957" s="5"/>
      <c r="D957" s="45" t="s">
        <v>76</v>
      </c>
      <c r="E957" s="190"/>
      <c r="F957" s="191"/>
      <c r="G957" s="47">
        <v>70</v>
      </c>
      <c r="H957" s="52"/>
      <c r="I957" s="5"/>
    </row>
    <row r="958" spans="1:9" ht="12.75">
      <c r="A958" s="4" t="s">
        <v>565</v>
      </c>
      <c r="B958" s="94" t="s">
        <v>2882</v>
      </c>
      <c r="C958" s="94" t="s">
        <v>1515</v>
      </c>
      <c r="D958" s="152" t="s">
        <v>2452</v>
      </c>
      <c r="E958" s="153"/>
      <c r="F958" s="94" t="s">
        <v>2850</v>
      </c>
      <c r="G958" s="73">
        <v>1</v>
      </c>
      <c r="H958" s="51">
        <v>0</v>
      </c>
      <c r="I958" s="5"/>
    </row>
    <row r="959" spans="1:9" ht="12.2" customHeight="1">
      <c r="A959" s="5"/>
      <c r="D959" s="45" t="s">
        <v>7</v>
      </c>
      <c r="E959" s="190"/>
      <c r="F959" s="191"/>
      <c r="G959" s="47">
        <v>1</v>
      </c>
      <c r="H959" s="52"/>
      <c r="I959" s="5"/>
    </row>
    <row r="960" spans="1:9" ht="12.75">
      <c r="A960" s="4" t="s">
        <v>566</v>
      </c>
      <c r="B960" s="94" t="s">
        <v>2882</v>
      </c>
      <c r="C960" s="94" t="s">
        <v>1516</v>
      </c>
      <c r="D960" s="152" t="s">
        <v>2453</v>
      </c>
      <c r="E960" s="153"/>
      <c r="F960" s="94" t="s">
        <v>2850</v>
      </c>
      <c r="G960" s="73">
        <v>1</v>
      </c>
      <c r="H960" s="51">
        <v>0</v>
      </c>
      <c r="I960" s="5"/>
    </row>
    <row r="961" spans="1:9" ht="12.2" customHeight="1">
      <c r="A961" s="5"/>
      <c r="D961" s="45" t="s">
        <v>7</v>
      </c>
      <c r="E961" s="190"/>
      <c r="F961" s="191"/>
      <c r="G961" s="47">
        <v>1</v>
      </c>
      <c r="H961" s="52"/>
      <c r="I961" s="5"/>
    </row>
    <row r="962" spans="1:9" ht="12.75">
      <c r="A962" s="4" t="s">
        <v>567</v>
      </c>
      <c r="B962" s="94" t="s">
        <v>2882</v>
      </c>
      <c r="C962" s="94" t="s">
        <v>1517</v>
      </c>
      <c r="D962" s="152" t="s">
        <v>2454</v>
      </c>
      <c r="E962" s="153"/>
      <c r="F962" s="94" t="s">
        <v>2850</v>
      </c>
      <c r="G962" s="73">
        <v>1</v>
      </c>
      <c r="H962" s="51">
        <v>0</v>
      </c>
      <c r="I962" s="5"/>
    </row>
    <row r="963" spans="1:9" ht="12.2" customHeight="1">
      <c r="A963" s="5"/>
      <c r="D963" s="45" t="s">
        <v>7</v>
      </c>
      <c r="E963" s="190"/>
      <c r="F963" s="191"/>
      <c r="G963" s="47">
        <v>1</v>
      </c>
      <c r="H963" s="52"/>
      <c r="I963" s="5"/>
    </row>
    <row r="964" spans="1:9" ht="12.75">
      <c r="A964" s="4" t="s">
        <v>568</v>
      </c>
      <c r="B964" s="94" t="s">
        <v>2882</v>
      </c>
      <c r="C964" s="94" t="s">
        <v>1518</v>
      </c>
      <c r="D964" s="152" t="s">
        <v>2455</v>
      </c>
      <c r="E964" s="153"/>
      <c r="F964" s="94" t="s">
        <v>2850</v>
      </c>
      <c r="G964" s="73">
        <v>1</v>
      </c>
      <c r="H964" s="51">
        <v>0</v>
      </c>
      <c r="I964" s="5"/>
    </row>
    <row r="965" spans="1:9" ht="12.2" customHeight="1">
      <c r="A965" s="5"/>
      <c r="D965" s="45" t="s">
        <v>7</v>
      </c>
      <c r="E965" s="190"/>
      <c r="F965" s="191"/>
      <c r="G965" s="47">
        <v>1</v>
      </c>
      <c r="H965" s="52"/>
      <c r="I965" s="5"/>
    </row>
    <row r="966" spans="1:9" ht="12.75">
      <c r="A966" s="4" t="s">
        <v>569</v>
      </c>
      <c r="B966" s="94" t="s">
        <v>2882</v>
      </c>
      <c r="C966" s="94" t="s">
        <v>1519</v>
      </c>
      <c r="D966" s="152" t="s">
        <v>2456</v>
      </c>
      <c r="E966" s="153"/>
      <c r="F966" s="94" t="s">
        <v>2850</v>
      </c>
      <c r="G966" s="73">
        <v>1</v>
      </c>
      <c r="H966" s="51">
        <v>0</v>
      </c>
      <c r="I966" s="5"/>
    </row>
    <row r="967" spans="1:9" ht="12.2" customHeight="1">
      <c r="A967" s="5"/>
      <c r="D967" s="45" t="s">
        <v>7</v>
      </c>
      <c r="E967" s="190"/>
      <c r="F967" s="191"/>
      <c r="G967" s="47">
        <v>1</v>
      </c>
      <c r="H967" s="52"/>
      <c r="I967" s="5"/>
    </row>
    <row r="968" spans="1:9" ht="12.75">
      <c r="A968" s="4" t="s">
        <v>570</v>
      </c>
      <c r="B968" s="94" t="s">
        <v>2882</v>
      </c>
      <c r="C968" s="94" t="s">
        <v>1520</v>
      </c>
      <c r="D968" s="152" t="s">
        <v>2457</v>
      </c>
      <c r="E968" s="153"/>
      <c r="F968" s="94" t="s">
        <v>2850</v>
      </c>
      <c r="G968" s="73">
        <v>1</v>
      </c>
      <c r="H968" s="51">
        <v>0</v>
      </c>
      <c r="I968" s="5"/>
    </row>
    <row r="969" spans="1:9" ht="12.2" customHeight="1">
      <c r="A969" s="5"/>
      <c r="D969" s="45" t="s">
        <v>7</v>
      </c>
      <c r="E969" s="190"/>
      <c r="F969" s="191"/>
      <c r="G969" s="47">
        <v>1</v>
      </c>
      <c r="H969" s="52"/>
      <c r="I969" s="5"/>
    </row>
    <row r="970" spans="1:9" ht="12.75">
      <c r="A970" s="4" t="s">
        <v>571</v>
      </c>
      <c r="B970" s="94" t="s">
        <v>2882</v>
      </c>
      <c r="C970" s="94" t="s">
        <v>1521</v>
      </c>
      <c r="D970" s="152" t="s">
        <v>2458</v>
      </c>
      <c r="E970" s="153"/>
      <c r="F970" s="94" t="s">
        <v>2850</v>
      </c>
      <c r="G970" s="73">
        <v>1</v>
      </c>
      <c r="H970" s="51">
        <v>0</v>
      </c>
      <c r="I970" s="5"/>
    </row>
    <row r="971" spans="1:9" ht="12.2" customHeight="1">
      <c r="A971" s="5"/>
      <c r="D971" s="45" t="s">
        <v>7</v>
      </c>
      <c r="E971" s="190"/>
      <c r="F971" s="191"/>
      <c r="G971" s="47">
        <v>1</v>
      </c>
      <c r="H971" s="52"/>
      <c r="I971" s="5"/>
    </row>
    <row r="972" spans="1:9" ht="12.75">
      <c r="A972" s="4" t="s">
        <v>572</v>
      </c>
      <c r="B972" s="94" t="s">
        <v>2882</v>
      </c>
      <c r="C972" s="94" t="s">
        <v>1522</v>
      </c>
      <c r="D972" s="152" t="s">
        <v>2459</v>
      </c>
      <c r="E972" s="153"/>
      <c r="F972" s="94" t="s">
        <v>2850</v>
      </c>
      <c r="G972" s="73">
        <v>1</v>
      </c>
      <c r="H972" s="51">
        <v>0</v>
      </c>
      <c r="I972" s="5"/>
    </row>
    <row r="973" spans="1:9" ht="12.2" customHeight="1">
      <c r="A973" s="5"/>
      <c r="D973" s="45" t="s">
        <v>7</v>
      </c>
      <c r="E973" s="190"/>
      <c r="F973" s="191"/>
      <c r="G973" s="47">
        <v>1</v>
      </c>
      <c r="H973" s="52"/>
      <c r="I973" s="5"/>
    </row>
    <row r="974" spans="1:9" ht="12.75">
      <c r="A974" s="4" t="s">
        <v>573</v>
      </c>
      <c r="B974" s="94" t="s">
        <v>2882</v>
      </c>
      <c r="C974" s="94" t="s">
        <v>1523</v>
      </c>
      <c r="D974" s="152" t="s">
        <v>2460</v>
      </c>
      <c r="E974" s="153"/>
      <c r="F974" s="94" t="s">
        <v>2850</v>
      </c>
      <c r="G974" s="73">
        <v>8</v>
      </c>
      <c r="H974" s="51">
        <v>0</v>
      </c>
      <c r="I974" s="5"/>
    </row>
    <row r="975" spans="1:9" ht="12.2" customHeight="1">
      <c r="A975" s="5"/>
      <c r="D975" s="45" t="s">
        <v>14</v>
      </c>
      <c r="E975" s="190"/>
      <c r="F975" s="191"/>
      <c r="G975" s="47">
        <v>8</v>
      </c>
      <c r="H975" s="52"/>
      <c r="I975" s="5"/>
    </row>
    <row r="976" spans="1:9" ht="12.75">
      <c r="A976" s="4" t="s">
        <v>574</v>
      </c>
      <c r="B976" s="94" t="s">
        <v>2882</v>
      </c>
      <c r="C976" s="94" t="s">
        <v>1524</v>
      </c>
      <c r="D976" s="152" t="s">
        <v>2461</v>
      </c>
      <c r="E976" s="153"/>
      <c r="F976" s="94" t="s">
        <v>2850</v>
      </c>
      <c r="G976" s="73">
        <v>1</v>
      </c>
      <c r="H976" s="51">
        <v>0</v>
      </c>
      <c r="I976" s="5"/>
    </row>
    <row r="977" spans="1:9" ht="12.2" customHeight="1">
      <c r="A977" s="5"/>
      <c r="D977" s="45" t="s">
        <v>7</v>
      </c>
      <c r="E977" s="190"/>
      <c r="F977" s="191"/>
      <c r="G977" s="47">
        <v>1</v>
      </c>
      <c r="H977" s="52"/>
      <c r="I977" s="5"/>
    </row>
    <row r="978" spans="1:9" ht="12.75">
      <c r="A978" s="4" t="s">
        <v>575</v>
      </c>
      <c r="B978" s="94" t="s">
        <v>2882</v>
      </c>
      <c r="C978" s="94" t="s">
        <v>1525</v>
      </c>
      <c r="D978" s="152" t="s">
        <v>2462</v>
      </c>
      <c r="E978" s="153"/>
      <c r="F978" s="94" t="s">
        <v>2850</v>
      </c>
      <c r="G978" s="73">
        <v>1</v>
      </c>
      <c r="H978" s="51">
        <v>0</v>
      </c>
      <c r="I978" s="5"/>
    </row>
    <row r="979" spans="1:9" ht="12.2" customHeight="1">
      <c r="A979" s="5"/>
      <c r="D979" s="45" t="s">
        <v>7</v>
      </c>
      <c r="E979" s="190"/>
      <c r="F979" s="191"/>
      <c r="G979" s="47">
        <v>1</v>
      </c>
      <c r="H979" s="52"/>
      <c r="I979" s="5"/>
    </row>
    <row r="980" spans="1:9" ht="12.75">
      <c r="A980" s="4" t="s">
        <v>576</v>
      </c>
      <c r="B980" s="94" t="s">
        <v>2882</v>
      </c>
      <c r="C980" s="94" t="s">
        <v>1526</v>
      </c>
      <c r="D980" s="152" t="s">
        <v>2463</v>
      </c>
      <c r="E980" s="153"/>
      <c r="F980" s="94" t="s">
        <v>2853</v>
      </c>
      <c r="G980" s="73">
        <v>160</v>
      </c>
      <c r="H980" s="51">
        <v>0</v>
      </c>
      <c r="I980" s="5"/>
    </row>
    <row r="981" spans="1:9" ht="12.2" customHeight="1">
      <c r="A981" s="5"/>
      <c r="D981" s="45" t="s">
        <v>166</v>
      </c>
      <c r="E981" s="190"/>
      <c r="F981" s="191"/>
      <c r="G981" s="47">
        <v>160</v>
      </c>
      <c r="H981" s="52"/>
      <c r="I981" s="5"/>
    </row>
    <row r="982" spans="1:9" ht="12.75">
      <c r="A982" s="4" t="s">
        <v>577</v>
      </c>
      <c r="B982" s="94" t="s">
        <v>2882</v>
      </c>
      <c r="C982" s="94" t="s">
        <v>1527</v>
      </c>
      <c r="D982" s="152" t="s">
        <v>2464</v>
      </c>
      <c r="E982" s="153"/>
      <c r="F982" s="94" t="s">
        <v>2853</v>
      </c>
      <c r="G982" s="73">
        <v>945</v>
      </c>
      <c r="H982" s="51">
        <v>0</v>
      </c>
      <c r="I982" s="5"/>
    </row>
    <row r="983" spans="1:9" ht="12.2" customHeight="1">
      <c r="A983" s="5"/>
      <c r="D983" s="45" t="s">
        <v>951</v>
      </c>
      <c r="E983" s="190"/>
      <c r="F983" s="191"/>
      <c r="G983" s="47">
        <v>945</v>
      </c>
      <c r="H983" s="52"/>
      <c r="I983" s="5"/>
    </row>
    <row r="984" spans="1:9" ht="12.75">
      <c r="A984" s="4" t="s">
        <v>578</v>
      </c>
      <c r="B984" s="94" t="s">
        <v>2882</v>
      </c>
      <c r="C984" s="94" t="s">
        <v>1528</v>
      </c>
      <c r="D984" s="152" t="s">
        <v>2465</v>
      </c>
      <c r="E984" s="153"/>
      <c r="F984" s="94" t="s">
        <v>2850</v>
      </c>
      <c r="G984" s="73">
        <v>1</v>
      </c>
      <c r="H984" s="51">
        <v>0</v>
      </c>
      <c r="I984" s="5"/>
    </row>
    <row r="985" spans="1:9" ht="12.2" customHeight="1">
      <c r="A985" s="5"/>
      <c r="D985" s="45" t="s">
        <v>7</v>
      </c>
      <c r="E985" s="190"/>
      <c r="F985" s="191"/>
      <c r="G985" s="47">
        <v>1</v>
      </c>
      <c r="H985" s="52"/>
      <c r="I985" s="5"/>
    </row>
    <row r="986" spans="1:9" ht="12.75">
      <c r="A986" s="4" t="s">
        <v>579</v>
      </c>
      <c r="B986" s="94" t="s">
        <v>2882</v>
      </c>
      <c r="C986" s="94" t="s">
        <v>1529</v>
      </c>
      <c r="D986" s="152" t="s">
        <v>2466</v>
      </c>
      <c r="E986" s="153"/>
      <c r="F986" s="94" t="s">
        <v>2850</v>
      </c>
      <c r="G986" s="73">
        <v>2</v>
      </c>
      <c r="H986" s="51">
        <v>0</v>
      </c>
      <c r="I986" s="5"/>
    </row>
    <row r="987" spans="1:9" ht="12.2" customHeight="1">
      <c r="A987" s="5"/>
      <c r="D987" s="45" t="s">
        <v>8</v>
      </c>
      <c r="E987" s="190"/>
      <c r="F987" s="191"/>
      <c r="G987" s="47">
        <v>2</v>
      </c>
      <c r="H987" s="52"/>
      <c r="I987" s="5"/>
    </row>
    <row r="988" spans="1:9" ht="12.75">
      <c r="A988" s="4" t="s">
        <v>580</v>
      </c>
      <c r="B988" s="94" t="s">
        <v>2882</v>
      </c>
      <c r="C988" s="94" t="s">
        <v>1530</v>
      </c>
      <c r="D988" s="152" t="s">
        <v>2467</v>
      </c>
      <c r="E988" s="153"/>
      <c r="F988" s="94" t="s">
        <v>2850</v>
      </c>
      <c r="G988" s="73">
        <v>1</v>
      </c>
      <c r="H988" s="51">
        <v>0</v>
      </c>
      <c r="I988" s="5"/>
    </row>
    <row r="989" spans="1:9" ht="12.2" customHeight="1">
      <c r="A989" s="5"/>
      <c r="D989" s="45" t="s">
        <v>7</v>
      </c>
      <c r="E989" s="190"/>
      <c r="F989" s="191"/>
      <c r="G989" s="47">
        <v>1</v>
      </c>
      <c r="H989" s="52"/>
      <c r="I989" s="5"/>
    </row>
    <row r="990" spans="1:9" ht="12.75">
      <c r="A990" s="4" t="s">
        <v>581</v>
      </c>
      <c r="B990" s="94" t="s">
        <v>2882</v>
      </c>
      <c r="C990" s="94" t="s">
        <v>1531</v>
      </c>
      <c r="D990" s="152" t="s">
        <v>2468</v>
      </c>
      <c r="E990" s="153"/>
      <c r="F990" s="94" t="s">
        <v>2850</v>
      </c>
      <c r="G990" s="73">
        <v>6</v>
      </c>
      <c r="H990" s="51">
        <v>0</v>
      </c>
      <c r="I990" s="5"/>
    </row>
    <row r="991" spans="1:9" ht="12.2" customHeight="1">
      <c r="A991" s="5"/>
      <c r="D991" s="45" t="s">
        <v>12</v>
      </c>
      <c r="E991" s="190"/>
      <c r="F991" s="191"/>
      <c r="G991" s="47">
        <v>6</v>
      </c>
      <c r="H991" s="52"/>
      <c r="I991" s="5"/>
    </row>
    <row r="992" spans="1:9" ht="12.75">
      <c r="A992" s="4" t="s">
        <v>582</v>
      </c>
      <c r="B992" s="94" t="s">
        <v>2882</v>
      </c>
      <c r="C992" s="94" t="s">
        <v>1532</v>
      </c>
      <c r="D992" s="152" t="s">
        <v>2469</v>
      </c>
      <c r="E992" s="153"/>
      <c r="F992" s="94" t="s">
        <v>2850</v>
      </c>
      <c r="G992" s="73">
        <v>6</v>
      </c>
      <c r="H992" s="51">
        <v>0</v>
      </c>
      <c r="I992" s="5"/>
    </row>
    <row r="993" spans="1:9" ht="12.2" customHeight="1">
      <c r="A993" s="5"/>
      <c r="D993" s="45" t="s">
        <v>12</v>
      </c>
      <c r="E993" s="190"/>
      <c r="F993" s="191"/>
      <c r="G993" s="47">
        <v>6</v>
      </c>
      <c r="H993" s="52"/>
      <c r="I993" s="5"/>
    </row>
    <row r="994" spans="1:9" ht="12.75">
      <c r="A994" s="4" t="s">
        <v>583</v>
      </c>
      <c r="B994" s="94" t="s">
        <v>2882</v>
      </c>
      <c r="C994" s="94" t="s">
        <v>1533</v>
      </c>
      <c r="D994" s="152" t="s">
        <v>2470</v>
      </c>
      <c r="E994" s="153"/>
      <c r="F994" s="94" t="s">
        <v>2850</v>
      </c>
      <c r="G994" s="73">
        <v>6</v>
      </c>
      <c r="H994" s="51">
        <v>0</v>
      </c>
      <c r="I994" s="5"/>
    </row>
    <row r="995" spans="1:9" ht="12.2" customHeight="1">
      <c r="A995" s="5"/>
      <c r="D995" s="45" t="s">
        <v>12</v>
      </c>
      <c r="E995" s="190"/>
      <c r="F995" s="191"/>
      <c r="G995" s="47">
        <v>6</v>
      </c>
      <c r="H995" s="52"/>
      <c r="I995" s="5"/>
    </row>
    <row r="996" spans="1:9" ht="12.75">
      <c r="A996" s="4" t="s">
        <v>584</v>
      </c>
      <c r="B996" s="94" t="s">
        <v>2882</v>
      </c>
      <c r="C996" s="94" t="s">
        <v>1534</v>
      </c>
      <c r="D996" s="152" t="s">
        <v>2471</v>
      </c>
      <c r="E996" s="153"/>
      <c r="F996" s="94" t="s">
        <v>2850</v>
      </c>
      <c r="G996" s="73">
        <v>6</v>
      </c>
      <c r="H996" s="51">
        <v>0</v>
      </c>
      <c r="I996" s="5"/>
    </row>
    <row r="997" spans="1:9" ht="12.2" customHeight="1">
      <c r="A997" s="5"/>
      <c r="D997" s="45" t="s">
        <v>12</v>
      </c>
      <c r="E997" s="190"/>
      <c r="F997" s="191"/>
      <c r="G997" s="47">
        <v>6</v>
      </c>
      <c r="H997" s="52"/>
      <c r="I997" s="5"/>
    </row>
    <row r="998" spans="1:9" ht="12.75">
      <c r="A998" s="4" t="s">
        <v>585</v>
      </c>
      <c r="B998" s="94" t="s">
        <v>2882</v>
      </c>
      <c r="C998" s="94" t="s">
        <v>1535</v>
      </c>
      <c r="D998" s="152" t="s">
        <v>2472</v>
      </c>
      <c r="E998" s="153"/>
      <c r="F998" s="94" t="s">
        <v>2850</v>
      </c>
      <c r="G998" s="73">
        <v>6</v>
      </c>
      <c r="H998" s="51">
        <v>0</v>
      </c>
      <c r="I998" s="5"/>
    </row>
    <row r="999" spans="1:9" ht="12.2" customHeight="1">
      <c r="A999" s="5"/>
      <c r="D999" s="45" t="s">
        <v>12</v>
      </c>
      <c r="E999" s="190"/>
      <c r="F999" s="191"/>
      <c r="G999" s="47">
        <v>6</v>
      </c>
      <c r="H999" s="52"/>
      <c r="I999" s="5"/>
    </row>
    <row r="1000" spans="1:9" ht="12.75">
      <c r="A1000" s="4" t="s">
        <v>586</v>
      </c>
      <c r="B1000" s="94" t="s">
        <v>2882</v>
      </c>
      <c r="C1000" s="94" t="s">
        <v>1536</v>
      </c>
      <c r="D1000" s="152" t="s">
        <v>2473</v>
      </c>
      <c r="E1000" s="153"/>
      <c r="F1000" s="94" t="s">
        <v>2850</v>
      </c>
      <c r="G1000" s="73">
        <v>2</v>
      </c>
      <c r="H1000" s="51">
        <v>0</v>
      </c>
      <c r="I1000" s="5"/>
    </row>
    <row r="1001" spans="1:9" ht="12.2" customHeight="1">
      <c r="A1001" s="5"/>
      <c r="D1001" s="45" t="s">
        <v>8</v>
      </c>
      <c r="E1001" s="190"/>
      <c r="F1001" s="191"/>
      <c r="G1001" s="47">
        <v>2</v>
      </c>
      <c r="H1001" s="52"/>
      <c r="I1001" s="5"/>
    </row>
    <row r="1002" spans="1:9" ht="12.75">
      <c r="A1002" s="4" t="s">
        <v>587</v>
      </c>
      <c r="B1002" s="94" t="s">
        <v>2882</v>
      </c>
      <c r="C1002" s="94" t="s">
        <v>1537</v>
      </c>
      <c r="D1002" s="152" t="s">
        <v>2474</v>
      </c>
      <c r="E1002" s="153"/>
      <c r="F1002" s="94" t="s">
        <v>2850</v>
      </c>
      <c r="G1002" s="73">
        <v>1</v>
      </c>
      <c r="H1002" s="51">
        <v>0</v>
      </c>
      <c r="I1002" s="5"/>
    </row>
    <row r="1003" spans="1:9" ht="12.2" customHeight="1">
      <c r="A1003" s="5"/>
      <c r="D1003" s="45" t="s">
        <v>7</v>
      </c>
      <c r="E1003" s="190"/>
      <c r="F1003" s="191"/>
      <c r="G1003" s="47">
        <v>1</v>
      </c>
      <c r="H1003" s="52"/>
      <c r="I1003" s="5"/>
    </row>
    <row r="1004" spans="1:9" ht="12.75">
      <c r="A1004" s="4" t="s">
        <v>588</v>
      </c>
      <c r="B1004" s="94" t="s">
        <v>2882</v>
      </c>
      <c r="C1004" s="94" t="s">
        <v>1538</v>
      </c>
      <c r="D1004" s="152" t="s">
        <v>2475</v>
      </c>
      <c r="E1004" s="153"/>
      <c r="F1004" s="94" t="s">
        <v>2850</v>
      </c>
      <c r="G1004" s="73">
        <v>29</v>
      </c>
      <c r="H1004" s="51">
        <v>0</v>
      </c>
      <c r="I1004" s="5"/>
    </row>
    <row r="1005" spans="1:9" ht="12.2" customHeight="1">
      <c r="A1005" s="5"/>
      <c r="D1005" s="45" t="s">
        <v>35</v>
      </c>
      <c r="E1005" s="190"/>
      <c r="F1005" s="191"/>
      <c r="G1005" s="47">
        <v>29</v>
      </c>
      <c r="H1005" s="52"/>
      <c r="I1005" s="5"/>
    </row>
    <row r="1006" spans="1:9" ht="12.75">
      <c r="A1006" s="4" t="s">
        <v>589</v>
      </c>
      <c r="B1006" s="94" t="s">
        <v>2882</v>
      </c>
      <c r="C1006" s="94" t="s">
        <v>1539</v>
      </c>
      <c r="D1006" s="152" t="s">
        <v>2476</v>
      </c>
      <c r="E1006" s="153"/>
      <c r="F1006" s="94" t="s">
        <v>2848</v>
      </c>
      <c r="G1006" s="73">
        <v>9.588</v>
      </c>
      <c r="H1006" s="51">
        <v>0</v>
      </c>
      <c r="I1006" s="5"/>
    </row>
    <row r="1007" spans="1:9" ht="12.2" customHeight="1">
      <c r="A1007" s="5"/>
      <c r="D1007" s="45" t="s">
        <v>3202</v>
      </c>
      <c r="E1007" s="190"/>
      <c r="F1007" s="191"/>
      <c r="G1007" s="47">
        <v>9.588</v>
      </c>
      <c r="H1007" s="52"/>
      <c r="I1007" s="5"/>
    </row>
    <row r="1008" spans="1:9" ht="12.75">
      <c r="A1008" s="44"/>
      <c r="B1008" s="97"/>
      <c r="C1008" s="97" t="s">
        <v>777</v>
      </c>
      <c r="D1008" s="161" t="s">
        <v>2477</v>
      </c>
      <c r="E1008" s="162"/>
      <c r="F1008" s="97"/>
      <c r="G1008" s="74"/>
      <c r="H1008" s="24"/>
      <c r="I1008" s="5"/>
    </row>
    <row r="1009" spans="1:9" ht="12.75">
      <c r="A1009" s="4" t="s">
        <v>590</v>
      </c>
      <c r="B1009" s="94" t="s">
        <v>2882</v>
      </c>
      <c r="C1009" s="94" t="s">
        <v>1540</v>
      </c>
      <c r="D1009" s="152" t="s">
        <v>2478</v>
      </c>
      <c r="E1009" s="153"/>
      <c r="F1009" s="94" t="s">
        <v>2849</v>
      </c>
      <c r="G1009" s="73">
        <v>64.49</v>
      </c>
      <c r="H1009" s="51">
        <v>0</v>
      </c>
      <c r="I1009" s="5"/>
    </row>
    <row r="1010" spans="1:9" ht="12.2" customHeight="1">
      <c r="A1010" s="5"/>
      <c r="D1010" s="45" t="s">
        <v>3119</v>
      </c>
      <c r="E1010" s="190"/>
      <c r="F1010" s="191"/>
      <c r="G1010" s="47">
        <v>53.51</v>
      </c>
      <c r="H1010" s="52"/>
      <c r="I1010" s="5"/>
    </row>
    <row r="1011" spans="1:9" ht="12.2" customHeight="1">
      <c r="A1011" s="4"/>
      <c r="B1011" s="94"/>
      <c r="C1011" s="94"/>
      <c r="D1011" s="45" t="s">
        <v>3067</v>
      </c>
      <c r="E1011" s="190"/>
      <c r="F1011" s="190"/>
      <c r="G1011" s="75">
        <v>8.23</v>
      </c>
      <c r="H1011" s="25"/>
      <c r="I1011" s="5"/>
    </row>
    <row r="1012" spans="1:9" ht="12.2" customHeight="1">
      <c r="A1012" s="4"/>
      <c r="B1012" s="94"/>
      <c r="C1012" s="94"/>
      <c r="D1012" s="45" t="s">
        <v>3118</v>
      </c>
      <c r="E1012" s="190"/>
      <c r="F1012" s="190"/>
      <c r="G1012" s="75">
        <v>2.75</v>
      </c>
      <c r="H1012" s="25"/>
      <c r="I1012" s="5"/>
    </row>
    <row r="1013" spans="1:9" ht="12.75">
      <c r="A1013" s="4" t="s">
        <v>591</v>
      </c>
      <c r="B1013" s="94" t="s">
        <v>2882</v>
      </c>
      <c r="C1013" s="94" t="s">
        <v>1541</v>
      </c>
      <c r="D1013" s="152" t="s">
        <v>2479</v>
      </c>
      <c r="E1013" s="153"/>
      <c r="F1013" s="94" t="s">
        <v>2849</v>
      </c>
      <c r="G1013" s="73">
        <v>9.28</v>
      </c>
      <c r="H1013" s="51">
        <v>0</v>
      </c>
      <c r="I1013" s="5"/>
    </row>
    <row r="1014" spans="1:9" ht="12.2" customHeight="1">
      <c r="A1014" s="5"/>
      <c r="D1014" s="45" t="s">
        <v>3069</v>
      </c>
      <c r="E1014" s="190"/>
      <c r="F1014" s="191"/>
      <c r="G1014" s="47">
        <v>9.28</v>
      </c>
      <c r="H1014" s="52"/>
      <c r="I1014" s="5"/>
    </row>
    <row r="1015" spans="1:9" ht="12.75">
      <c r="A1015" s="4" t="s">
        <v>592</v>
      </c>
      <c r="B1015" s="94" t="s">
        <v>2882</v>
      </c>
      <c r="C1015" s="94" t="s">
        <v>1542</v>
      </c>
      <c r="D1015" s="152" t="s">
        <v>2480</v>
      </c>
      <c r="E1015" s="153"/>
      <c r="F1015" s="94" t="s">
        <v>2849</v>
      </c>
      <c r="G1015" s="73">
        <v>75.254</v>
      </c>
      <c r="H1015" s="51">
        <v>0</v>
      </c>
      <c r="I1015" s="5"/>
    </row>
    <row r="1016" spans="1:9" ht="12.2" customHeight="1">
      <c r="A1016" s="5"/>
      <c r="D1016" s="45" t="s">
        <v>3179</v>
      </c>
      <c r="E1016" s="190"/>
      <c r="F1016" s="191"/>
      <c r="G1016" s="47">
        <v>53.51</v>
      </c>
      <c r="H1016" s="52"/>
      <c r="I1016" s="5"/>
    </row>
    <row r="1017" spans="1:9" ht="12.2" customHeight="1">
      <c r="A1017" s="4"/>
      <c r="B1017" s="94"/>
      <c r="C1017" s="94"/>
      <c r="D1017" s="45" t="s">
        <v>3167</v>
      </c>
      <c r="E1017" s="190"/>
      <c r="F1017" s="190"/>
      <c r="G1017" s="75">
        <v>8.23</v>
      </c>
      <c r="H1017" s="25"/>
      <c r="I1017" s="5"/>
    </row>
    <row r="1018" spans="1:9" ht="12.2" customHeight="1">
      <c r="A1018" s="4"/>
      <c r="B1018" s="94"/>
      <c r="C1018" s="94"/>
      <c r="D1018" s="45" t="s">
        <v>3203</v>
      </c>
      <c r="E1018" s="190"/>
      <c r="F1018" s="190"/>
      <c r="G1018" s="75">
        <v>13.514</v>
      </c>
      <c r="H1018" s="25"/>
      <c r="I1018" s="5"/>
    </row>
    <row r="1019" spans="1:9" ht="12.75">
      <c r="A1019" s="4" t="s">
        <v>593</v>
      </c>
      <c r="B1019" s="94" t="s">
        <v>2882</v>
      </c>
      <c r="C1019" s="94" t="s">
        <v>1543</v>
      </c>
      <c r="D1019" s="152" t="s">
        <v>2481</v>
      </c>
      <c r="E1019" s="153"/>
      <c r="F1019" s="94" t="s">
        <v>2849</v>
      </c>
      <c r="G1019" s="73">
        <v>61.74</v>
      </c>
      <c r="H1019" s="51">
        <v>0</v>
      </c>
      <c r="I1019" s="5"/>
    </row>
    <row r="1020" spans="1:9" ht="12.2" customHeight="1">
      <c r="A1020" s="5"/>
      <c r="D1020" s="45" t="s">
        <v>3119</v>
      </c>
      <c r="E1020" s="190"/>
      <c r="F1020" s="191"/>
      <c r="G1020" s="47">
        <v>53.51</v>
      </c>
      <c r="H1020" s="52"/>
      <c r="I1020" s="5"/>
    </row>
    <row r="1021" spans="1:9" ht="12.2" customHeight="1">
      <c r="A1021" s="4"/>
      <c r="B1021" s="94"/>
      <c r="C1021" s="94"/>
      <c r="D1021" s="45" t="s">
        <v>3067</v>
      </c>
      <c r="E1021" s="190"/>
      <c r="F1021" s="190"/>
      <c r="G1021" s="75">
        <v>8.23</v>
      </c>
      <c r="H1021" s="25"/>
      <c r="I1021" s="5"/>
    </row>
    <row r="1022" spans="1:9" ht="12.75">
      <c r="A1022" s="4" t="s">
        <v>594</v>
      </c>
      <c r="B1022" s="94" t="s">
        <v>2882</v>
      </c>
      <c r="C1022" s="94" t="s">
        <v>1544</v>
      </c>
      <c r="D1022" s="152" t="s">
        <v>2482</v>
      </c>
      <c r="E1022" s="153"/>
      <c r="F1022" s="94" t="s">
        <v>2849</v>
      </c>
      <c r="G1022" s="73">
        <v>13.514</v>
      </c>
      <c r="H1022" s="51">
        <v>0</v>
      </c>
      <c r="I1022" s="5"/>
    </row>
    <row r="1023" spans="1:9" ht="12.2" customHeight="1">
      <c r="A1023" s="5"/>
      <c r="D1023" s="45" t="s">
        <v>3204</v>
      </c>
      <c r="E1023" s="190"/>
      <c r="F1023" s="191"/>
      <c r="G1023" s="47">
        <v>13.514</v>
      </c>
      <c r="H1023" s="52"/>
      <c r="I1023" s="5"/>
    </row>
    <row r="1024" spans="1:9" ht="12.75">
      <c r="A1024" s="6" t="s">
        <v>595</v>
      </c>
      <c r="B1024" s="98" t="s">
        <v>2882</v>
      </c>
      <c r="C1024" s="98" t="s">
        <v>1545</v>
      </c>
      <c r="D1024" s="163" t="s">
        <v>2483</v>
      </c>
      <c r="E1024" s="164"/>
      <c r="F1024" s="98" t="s">
        <v>2849</v>
      </c>
      <c r="G1024" s="76">
        <v>42.966</v>
      </c>
      <c r="H1024" s="53">
        <v>0</v>
      </c>
      <c r="I1024" s="5"/>
    </row>
    <row r="1025" spans="1:9" ht="12.2" customHeight="1">
      <c r="A1025" s="5"/>
      <c r="D1025" s="45" t="s">
        <v>3205</v>
      </c>
      <c r="E1025" s="190"/>
      <c r="F1025" s="191"/>
      <c r="G1025" s="48">
        <v>40.92</v>
      </c>
      <c r="H1025" s="52"/>
      <c r="I1025" s="5"/>
    </row>
    <row r="1026" spans="1:9" ht="12.2" customHeight="1">
      <c r="A1026" s="6"/>
      <c r="B1026" s="98"/>
      <c r="C1026" s="98"/>
      <c r="D1026" s="45" t="s">
        <v>3206</v>
      </c>
      <c r="E1026" s="190"/>
      <c r="F1026" s="190"/>
      <c r="G1026" s="77">
        <v>2.046</v>
      </c>
      <c r="H1026" s="26"/>
      <c r="I1026" s="5"/>
    </row>
    <row r="1027" spans="1:9" ht="12.75">
      <c r="A1027" s="6" t="s">
        <v>596</v>
      </c>
      <c r="B1027" s="98" t="s">
        <v>2882</v>
      </c>
      <c r="C1027" s="98" t="s">
        <v>1546</v>
      </c>
      <c r="D1027" s="163" t="s">
        <v>2484</v>
      </c>
      <c r="E1027" s="164"/>
      <c r="F1027" s="98" t="s">
        <v>2849</v>
      </c>
      <c r="G1027" s="76">
        <v>21.861</v>
      </c>
      <c r="H1027" s="53">
        <v>0</v>
      </c>
      <c r="I1027" s="5"/>
    </row>
    <row r="1028" spans="1:9" ht="12.2" customHeight="1">
      <c r="A1028" s="5"/>
      <c r="D1028" s="45" t="s">
        <v>3207</v>
      </c>
      <c r="E1028" s="190"/>
      <c r="F1028" s="191"/>
      <c r="G1028" s="48">
        <v>20.82</v>
      </c>
      <c r="H1028" s="52"/>
      <c r="I1028" s="5"/>
    </row>
    <row r="1029" spans="1:9" ht="12.2" customHeight="1">
      <c r="A1029" s="6"/>
      <c r="B1029" s="98"/>
      <c r="C1029" s="98"/>
      <c r="D1029" s="45" t="s">
        <v>3208</v>
      </c>
      <c r="E1029" s="190"/>
      <c r="F1029" s="190"/>
      <c r="G1029" s="77">
        <v>1.041</v>
      </c>
      <c r="H1029" s="26"/>
      <c r="I1029" s="5"/>
    </row>
    <row r="1030" spans="1:9" ht="12.75">
      <c r="A1030" s="4" t="s">
        <v>597</v>
      </c>
      <c r="B1030" s="94" t="s">
        <v>2882</v>
      </c>
      <c r="C1030" s="94" t="s">
        <v>1547</v>
      </c>
      <c r="D1030" s="152" t="s">
        <v>2485</v>
      </c>
      <c r="E1030" s="153"/>
      <c r="F1030" s="94" t="s">
        <v>2851</v>
      </c>
      <c r="G1030" s="73">
        <v>28.9</v>
      </c>
      <c r="H1030" s="51">
        <v>0</v>
      </c>
      <c r="I1030" s="5"/>
    </row>
    <row r="1031" spans="1:9" ht="12.2" customHeight="1">
      <c r="A1031" s="5"/>
      <c r="D1031" s="45" t="s">
        <v>3209</v>
      </c>
      <c r="E1031" s="190"/>
      <c r="F1031" s="191"/>
      <c r="G1031" s="47">
        <v>28.9</v>
      </c>
      <c r="H1031" s="52"/>
      <c r="I1031" s="5"/>
    </row>
    <row r="1032" spans="1:9" ht="12.75">
      <c r="A1032" s="6" t="s">
        <v>598</v>
      </c>
      <c r="B1032" s="98" t="s">
        <v>2882</v>
      </c>
      <c r="C1032" s="98" t="s">
        <v>1548</v>
      </c>
      <c r="D1032" s="163" t="s">
        <v>2486</v>
      </c>
      <c r="E1032" s="164"/>
      <c r="F1032" s="98" t="s">
        <v>2849</v>
      </c>
      <c r="G1032" s="76">
        <v>3.613</v>
      </c>
      <c r="H1032" s="53">
        <v>0</v>
      </c>
      <c r="I1032" s="5"/>
    </row>
    <row r="1033" spans="1:9" ht="12.2" customHeight="1">
      <c r="A1033" s="5"/>
      <c r="D1033" s="45" t="s">
        <v>3210</v>
      </c>
      <c r="E1033" s="190"/>
      <c r="F1033" s="191"/>
      <c r="G1033" s="48">
        <v>2.89</v>
      </c>
      <c r="H1033" s="52"/>
      <c r="I1033" s="5"/>
    </row>
    <row r="1034" spans="1:9" ht="12.2" customHeight="1">
      <c r="A1034" s="6"/>
      <c r="B1034" s="98"/>
      <c r="C1034" s="98"/>
      <c r="D1034" s="45" t="s">
        <v>3211</v>
      </c>
      <c r="E1034" s="190"/>
      <c r="F1034" s="190"/>
      <c r="G1034" s="77">
        <v>0.723</v>
      </c>
      <c r="H1034" s="26"/>
      <c r="I1034" s="5"/>
    </row>
    <row r="1035" spans="1:9" ht="12.75">
      <c r="A1035" s="4" t="s">
        <v>599</v>
      </c>
      <c r="B1035" s="94" t="s">
        <v>2882</v>
      </c>
      <c r="C1035" s="94" t="s">
        <v>1549</v>
      </c>
      <c r="D1035" s="152" t="s">
        <v>2487</v>
      </c>
      <c r="E1035" s="153"/>
      <c r="F1035" s="94" t="s">
        <v>2851</v>
      </c>
      <c r="G1035" s="73">
        <v>8.6</v>
      </c>
      <c r="H1035" s="51">
        <v>0</v>
      </c>
      <c r="I1035" s="5"/>
    </row>
    <row r="1036" spans="1:9" ht="12.2" customHeight="1">
      <c r="A1036" s="5"/>
      <c r="D1036" s="45" t="s">
        <v>3212</v>
      </c>
      <c r="E1036" s="190"/>
      <c r="F1036" s="191"/>
      <c r="G1036" s="47">
        <v>5.3</v>
      </c>
      <c r="H1036" s="52"/>
      <c r="I1036" s="5"/>
    </row>
    <row r="1037" spans="1:9" ht="12.2" customHeight="1">
      <c r="A1037" s="4"/>
      <c r="B1037" s="94"/>
      <c r="C1037" s="94"/>
      <c r="D1037" s="45" t="s">
        <v>3213</v>
      </c>
      <c r="E1037" s="190"/>
      <c r="F1037" s="190"/>
      <c r="G1037" s="75">
        <v>3.3</v>
      </c>
      <c r="H1037" s="25"/>
      <c r="I1037" s="5"/>
    </row>
    <row r="1038" spans="1:9" ht="12.75">
      <c r="A1038" s="4" t="s">
        <v>600</v>
      </c>
      <c r="B1038" s="94" t="s">
        <v>2882</v>
      </c>
      <c r="C1038" s="94" t="s">
        <v>1550</v>
      </c>
      <c r="D1038" s="152" t="s">
        <v>2488</v>
      </c>
      <c r="E1038" s="153"/>
      <c r="F1038" s="94" t="s">
        <v>2851</v>
      </c>
      <c r="G1038" s="73">
        <v>89.215</v>
      </c>
      <c r="H1038" s="51">
        <v>0</v>
      </c>
      <c r="I1038" s="5"/>
    </row>
    <row r="1039" spans="1:9" ht="12.2" customHeight="1">
      <c r="A1039" s="5"/>
      <c r="D1039" s="45" t="s">
        <v>3214</v>
      </c>
      <c r="E1039" s="190"/>
      <c r="F1039" s="191"/>
      <c r="G1039" s="47">
        <v>67.93</v>
      </c>
      <c r="H1039" s="52"/>
      <c r="I1039" s="5"/>
    </row>
    <row r="1040" spans="1:9" ht="12.2" customHeight="1">
      <c r="A1040" s="4"/>
      <c r="B1040" s="94"/>
      <c r="C1040" s="94"/>
      <c r="D1040" s="45" t="s">
        <v>3215</v>
      </c>
      <c r="E1040" s="190"/>
      <c r="F1040" s="190"/>
      <c r="G1040" s="75">
        <v>21.285</v>
      </c>
      <c r="H1040" s="25"/>
      <c r="I1040" s="5"/>
    </row>
    <row r="1041" spans="1:9" ht="12.75">
      <c r="A1041" s="4" t="s">
        <v>601</v>
      </c>
      <c r="B1041" s="94" t="s">
        <v>2882</v>
      </c>
      <c r="C1041" s="94" t="s">
        <v>1551</v>
      </c>
      <c r="D1041" s="152" t="s">
        <v>2489</v>
      </c>
      <c r="E1041" s="153"/>
      <c r="F1041" s="94" t="s">
        <v>2849</v>
      </c>
      <c r="G1041" s="73">
        <v>61.74</v>
      </c>
      <c r="H1041" s="51">
        <v>0</v>
      </c>
      <c r="I1041" s="5"/>
    </row>
    <row r="1042" spans="1:9" ht="12.2" customHeight="1">
      <c r="A1042" s="5"/>
      <c r="D1042" s="45" t="s">
        <v>3216</v>
      </c>
      <c r="E1042" s="190"/>
      <c r="F1042" s="191"/>
      <c r="G1042" s="47">
        <v>61.74</v>
      </c>
      <c r="H1042" s="52"/>
      <c r="I1042" s="5"/>
    </row>
    <row r="1043" spans="1:9" ht="12.75">
      <c r="A1043" s="4" t="s">
        <v>602</v>
      </c>
      <c r="B1043" s="94" t="s">
        <v>2882</v>
      </c>
      <c r="C1043" s="94" t="s">
        <v>1552</v>
      </c>
      <c r="D1043" s="152" t="s">
        <v>2490</v>
      </c>
      <c r="E1043" s="153"/>
      <c r="F1043" s="94" t="s">
        <v>2849</v>
      </c>
      <c r="G1043" s="73">
        <v>45.42</v>
      </c>
      <c r="H1043" s="51">
        <v>0</v>
      </c>
      <c r="I1043" s="5"/>
    </row>
    <row r="1044" spans="1:9" ht="12.2" customHeight="1">
      <c r="A1044" s="5"/>
      <c r="D1044" s="45" t="s">
        <v>3217</v>
      </c>
      <c r="E1044" s="190"/>
      <c r="F1044" s="191"/>
      <c r="G1044" s="47">
        <v>37.19</v>
      </c>
      <c r="H1044" s="52"/>
      <c r="I1044" s="5"/>
    </row>
    <row r="1045" spans="1:9" ht="12.2" customHeight="1">
      <c r="A1045" s="4"/>
      <c r="B1045" s="94"/>
      <c r="C1045" s="94"/>
      <c r="D1045" s="45" t="s">
        <v>3067</v>
      </c>
      <c r="E1045" s="190"/>
      <c r="F1045" s="190"/>
      <c r="G1045" s="75">
        <v>8.23</v>
      </c>
      <c r="H1045" s="25"/>
      <c r="I1045" s="5"/>
    </row>
    <row r="1046" spans="1:9" ht="12.75">
      <c r="A1046" s="4" t="s">
        <v>603</v>
      </c>
      <c r="B1046" s="94" t="s">
        <v>2882</v>
      </c>
      <c r="C1046" s="94" t="s">
        <v>1553</v>
      </c>
      <c r="D1046" s="152" t="s">
        <v>2491</v>
      </c>
      <c r="E1046" s="153"/>
      <c r="F1046" s="94" t="s">
        <v>2848</v>
      </c>
      <c r="G1046" s="73">
        <v>1.73</v>
      </c>
      <c r="H1046" s="51">
        <v>0</v>
      </c>
      <c r="I1046" s="5"/>
    </row>
    <row r="1047" spans="1:9" ht="12.2" customHeight="1">
      <c r="A1047" s="5"/>
      <c r="D1047" s="45" t="s">
        <v>3218</v>
      </c>
      <c r="E1047" s="190"/>
      <c r="F1047" s="191"/>
      <c r="G1047" s="47">
        <v>1.73</v>
      </c>
      <c r="H1047" s="52"/>
      <c r="I1047" s="5"/>
    </row>
    <row r="1048" spans="1:9" ht="12.75">
      <c r="A1048" s="44"/>
      <c r="B1048" s="97"/>
      <c r="C1048" s="97" t="s">
        <v>782</v>
      </c>
      <c r="D1048" s="161" t="s">
        <v>2492</v>
      </c>
      <c r="E1048" s="162"/>
      <c r="F1048" s="97"/>
      <c r="G1048" s="74"/>
      <c r="H1048" s="24"/>
      <c r="I1048" s="5"/>
    </row>
    <row r="1049" spans="1:9" ht="12.75">
      <c r="A1049" s="4" t="s">
        <v>604</v>
      </c>
      <c r="B1049" s="94" t="s">
        <v>2882</v>
      </c>
      <c r="C1049" s="94" t="s">
        <v>1554</v>
      </c>
      <c r="D1049" s="152" t="s">
        <v>2493</v>
      </c>
      <c r="E1049" s="153"/>
      <c r="F1049" s="94" t="s">
        <v>2849</v>
      </c>
      <c r="G1049" s="73">
        <v>305.85</v>
      </c>
      <c r="H1049" s="51">
        <v>0</v>
      </c>
      <c r="I1049" s="5"/>
    </row>
    <row r="1050" spans="1:9" ht="12.2" customHeight="1">
      <c r="A1050" s="5"/>
      <c r="D1050" s="45" t="s">
        <v>3120</v>
      </c>
      <c r="E1050" s="190"/>
      <c r="F1050" s="191"/>
      <c r="G1050" s="47">
        <v>132.41</v>
      </c>
      <c r="H1050" s="52"/>
      <c r="I1050" s="5"/>
    </row>
    <row r="1051" spans="1:9" ht="12.2" customHeight="1">
      <c r="A1051" s="4"/>
      <c r="B1051" s="94"/>
      <c r="C1051" s="94"/>
      <c r="D1051" s="45" t="s">
        <v>3117</v>
      </c>
      <c r="E1051" s="190"/>
      <c r="F1051" s="190"/>
      <c r="G1051" s="75">
        <v>173.44</v>
      </c>
      <c r="H1051" s="25"/>
      <c r="I1051" s="5"/>
    </row>
    <row r="1052" spans="1:9" ht="12.75">
      <c r="A1052" s="4" t="s">
        <v>605</v>
      </c>
      <c r="B1052" s="94" t="s">
        <v>2882</v>
      </c>
      <c r="C1052" s="94" t="s">
        <v>1555</v>
      </c>
      <c r="D1052" s="152" t="s">
        <v>2494</v>
      </c>
      <c r="E1052" s="153"/>
      <c r="F1052" s="94" t="s">
        <v>2849</v>
      </c>
      <c r="G1052" s="73">
        <v>305.85</v>
      </c>
      <c r="H1052" s="51">
        <v>0</v>
      </c>
      <c r="I1052" s="5"/>
    </row>
    <row r="1053" spans="1:9" ht="12.2" customHeight="1">
      <c r="A1053" s="5"/>
      <c r="D1053" s="45" t="s">
        <v>3120</v>
      </c>
      <c r="E1053" s="190"/>
      <c r="F1053" s="191"/>
      <c r="G1053" s="47">
        <v>132.41</v>
      </c>
      <c r="H1053" s="52"/>
      <c r="I1053" s="5"/>
    </row>
    <row r="1054" spans="1:9" ht="12.2" customHeight="1">
      <c r="A1054" s="4"/>
      <c r="B1054" s="94"/>
      <c r="C1054" s="94"/>
      <c r="D1054" s="45" t="s">
        <v>3117</v>
      </c>
      <c r="E1054" s="190"/>
      <c r="F1054" s="190"/>
      <c r="G1054" s="75">
        <v>173.44</v>
      </c>
      <c r="H1054" s="25"/>
      <c r="I1054" s="5"/>
    </row>
    <row r="1055" spans="1:9" ht="12.75">
      <c r="A1055" s="4" t="s">
        <v>606</v>
      </c>
      <c r="B1055" s="94" t="s">
        <v>2882</v>
      </c>
      <c r="C1055" s="94" t="s">
        <v>1556</v>
      </c>
      <c r="D1055" s="152" t="s">
        <v>2495</v>
      </c>
      <c r="E1055" s="153"/>
      <c r="F1055" s="94" t="s">
        <v>2849</v>
      </c>
      <c r="G1055" s="73">
        <v>305.85</v>
      </c>
      <c r="H1055" s="51">
        <v>0</v>
      </c>
      <c r="I1055" s="5"/>
    </row>
    <row r="1056" spans="1:9" ht="12.2" customHeight="1">
      <c r="A1056" s="5"/>
      <c r="D1056" s="45" t="s">
        <v>3120</v>
      </c>
      <c r="E1056" s="190"/>
      <c r="F1056" s="191"/>
      <c r="G1056" s="47">
        <v>132.41</v>
      </c>
      <c r="H1056" s="52"/>
      <c r="I1056" s="5"/>
    </row>
    <row r="1057" spans="1:9" ht="12.2" customHeight="1">
      <c r="A1057" s="4"/>
      <c r="B1057" s="94"/>
      <c r="C1057" s="94"/>
      <c r="D1057" s="45" t="s">
        <v>3117</v>
      </c>
      <c r="E1057" s="190"/>
      <c r="F1057" s="190"/>
      <c r="G1057" s="75">
        <v>173.44</v>
      </c>
      <c r="H1057" s="25"/>
      <c r="I1057" s="5"/>
    </row>
    <row r="1058" spans="1:9" ht="12.75">
      <c r="A1058" s="4" t="s">
        <v>607</v>
      </c>
      <c r="B1058" s="94" t="s">
        <v>2882</v>
      </c>
      <c r="C1058" s="94" t="s">
        <v>1557</v>
      </c>
      <c r="D1058" s="152" t="s">
        <v>2496</v>
      </c>
      <c r="E1058" s="153"/>
      <c r="F1058" s="94" t="s">
        <v>2851</v>
      </c>
      <c r="G1058" s="73">
        <v>308.46</v>
      </c>
      <c r="H1058" s="51">
        <v>0</v>
      </c>
      <c r="I1058" s="5"/>
    </row>
    <row r="1059" spans="1:9" ht="12.2" customHeight="1">
      <c r="A1059" s="5"/>
      <c r="D1059" s="45" t="s">
        <v>3219</v>
      </c>
      <c r="E1059" s="190"/>
      <c r="F1059" s="191"/>
      <c r="G1059" s="47">
        <v>107.18</v>
      </c>
      <c r="H1059" s="52"/>
      <c r="I1059" s="5"/>
    </row>
    <row r="1060" spans="1:9" ht="12.2" customHeight="1">
      <c r="A1060" s="4"/>
      <c r="B1060" s="94"/>
      <c r="C1060" s="94"/>
      <c r="D1060" s="45" t="s">
        <v>3220</v>
      </c>
      <c r="E1060" s="190"/>
      <c r="F1060" s="190"/>
      <c r="G1060" s="75">
        <v>201.28</v>
      </c>
      <c r="H1060" s="25"/>
      <c r="I1060" s="5"/>
    </row>
    <row r="1061" spans="1:9" ht="12.75">
      <c r="A1061" s="4" t="s">
        <v>608</v>
      </c>
      <c r="B1061" s="94" t="s">
        <v>2882</v>
      </c>
      <c r="C1061" s="94" t="s">
        <v>1558</v>
      </c>
      <c r="D1061" s="152" t="s">
        <v>2497</v>
      </c>
      <c r="E1061" s="153"/>
      <c r="F1061" s="94" t="s">
        <v>2849</v>
      </c>
      <c r="G1061" s="73">
        <v>305.85</v>
      </c>
      <c r="H1061" s="51">
        <v>0</v>
      </c>
      <c r="I1061" s="5"/>
    </row>
    <row r="1062" spans="1:9" ht="12.2" customHeight="1">
      <c r="A1062" s="5"/>
      <c r="D1062" s="45" t="s">
        <v>3120</v>
      </c>
      <c r="E1062" s="190"/>
      <c r="F1062" s="191"/>
      <c r="G1062" s="47">
        <v>132.41</v>
      </c>
      <c r="H1062" s="52"/>
      <c r="I1062" s="5"/>
    </row>
    <row r="1063" spans="1:9" ht="12.2" customHeight="1">
      <c r="A1063" s="4"/>
      <c r="B1063" s="94"/>
      <c r="C1063" s="94"/>
      <c r="D1063" s="45" t="s">
        <v>3117</v>
      </c>
      <c r="E1063" s="190"/>
      <c r="F1063" s="190"/>
      <c r="G1063" s="75">
        <v>173.44</v>
      </c>
      <c r="H1063" s="25"/>
      <c r="I1063" s="5"/>
    </row>
    <row r="1064" spans="1:9" ht="12.75">
      <c r="A1064" s="6" t="s">
        <v>609</v>
      </c>
      <c r="B1064" s="98" t="s">
        <v>2882</v>
      </c>
      <c r="C1064" s="98" t="s">
        <v>1559</v>
      </c>
      <c r="D1064" s="163" t="s">
        <v>2498</v>
      </c>
      <c r="E1064" s="164"/>
      <c r="F1064" s="98" t="s">
        <v>2849</v>
      </c>
      <c r="G1064" s="76">
        <v>351.728</v>
      </c>
      <c r="H1064" s="53">
        <v>0</v>
      </c>
      <c r="I1064" s="5"/>
    </row>
    <row r="1065" spans="1:9" ht="12.2" customHeight="1">
      <c r="A1065" s="5"/>
      <c r="D1065" s="45" t="s">
        <v>3221</v>
      </c>
      <c r="E1065" s="190"/>
      <c r="F1065" s="191"/>
      <c r="G1065" s="48">
        <v>305.85</v>
      </c>
      <c r="H1065" s="52"/>
      <c r="I1065" s="5"/>
    </row>
    <row r="1066" spans="1:9" ht="12.2" customHeight="1">
      <c r="A1066" s="6"/>
      <c r="B1066" s="98"/>
      <c r="C1066" s="98"/>
      <c r="D1066" s="45" t="s">
        <v>3222</v>
      </c>
      <c r="E1066" s="190"/>
      <c r="F1066" s="190"/>
      <c r="G1066" s="77">
        <v>45.878</v>
      </c>
      <c r="H1066" s="26"/>
      <c r="I1066" s="5"/>
    </row>
    <row r="1067" spans="1:9" ht="12.75">
      <c r="A1067" s="4" t="s">
        <v>610</v>
      </c>
      <c r="B1067" s="94" t="s">
        <v>2882</v>
      </c>
      <c r="C1067" s="94" t="s">
        <v>1560</v>
      </c>
      <c r="D1067" s="152" t="s">
        <v>2499</v>
      </c>
      <c r="E1067" s="153"/>
      <c r="F1067" s="94" t="s">
        <v>2849</v>
      </c>
      <c r="G1067" s="73">
        <v>1.8</v>
      </c>
      <c r="H1067" s="51">
        <v>0</v>
      </c>
      <c r="I1067" s="5"/>
    </row>
    <row r="1068" spans="1:9" ht="12.2" customHeight="1">
      <c r="A1068" s="5"/>
      <c r="D1068" s="45" t="s">
        <v>3223</v>
      </c>
      <c r="E1068" s="190"/>
      <c r="F1068" s="191"/>
      <c r="G1068" s="47">
        <v>1.8</v>
      </c>
      <c r="H1068" s="52"/>
      <c r="I1068" s="5"/>
    </row>
    <row r="1069" spans="1:9" ht="12.75">
      <c r="A1069" s="4" t="s">
        <v>611</v>
      </c>
      <c r="B1069" s="94" t="s">
        <v>2882</v>
      </c>
      <c r="C1069" s="94" t="s">
        <v>1561</v>
      </c>
      <c r="D1069" s="152" t="s">
        <v>2500</v>
      </c>
      <c r="E1069" s="153"/>
      <c r="F1069" s="94" t="s">
        <v>2851</v>
      </c>
      <c r="G1069" s="73">
        <v>5.4</v>
      </c>
      <c r="H1069" s="51">
        <v>0</v>
      </c>
      <c r="I1069" s="5"/>
    </row>
    <row r="1070" spans="1:9" ht="12.2" customHeight="1">
      <c r="A1070" s="5"/>
      <c r="D1070" s="45" t="s">
        <v>3224</v>
      </c>
      <c r="E1070" s="190"/>
      <c r="F1070" s="191"/>
      <c r="G1070" s="47">
        <v>5.4</v>
      </c>
      <c r="H1070" s="52"/>
      <c r="I1070" s="5"/>
    </row>
    <row r="1071" spans="1:9" ht="12.75">
      <c r="A1071" s="4" t="s">
        <v>612</v>
      </c>
      <c r="B1071" s="94" t="s">
        <v>2882</v>
      </c>
      <c r="C1071" s="94" t="s">
        <v>1562</v>
      </c>
      <c r="D1071" s="152" t="s">
        <v>2501</v>
      </c>
      <c r="E1071" s="153"/>
      <c r="F1071" s="94" t="s">
        <v>2848</v>
      </c>
      <c r="G1071" s="73">
        <v>3.457</v>
      </c>
      <c r="H1071" s="51">
        <v>0</v>
      </c>
      <c r="I1071" s="5"/>
    </row>
    <row r="1072" spans="1:9" ht="12.2" customHeight="1">
      <c r="A1072" s="5"/>
      <c r="D1072" s="45" t="s">
        <v>3225</v>
      </c>
      <c r="E1072" s="190"/>
      <c r="F1072" s="191"/>
      <c r="G1072" s="47">
        <v>3.457</v>
      </c>
      <c r="H1072" s="52"/>
      <c r="I1072" s="5"/>
    </row>
    <row r="1073" spans="1:9" ht="12.75">
      <c r="A1073" s="44"/>
      <c r="B1073" s="97"/>
      <c r="C1073" s="97" t="s">
        <v>787</v>
      </c>
      <c r="D1073" s="161" t="s">
        <v>2502</v>
      </c>
      <c r="E1073" s="162"/>
      <c r="F1073" s="97"/>
      <c r="G1073" s="74"/>
      <c r="H1073" s="24"/>
      <c r="I1073" s="5"/>
    </row>
    <row r="1074" spans="1:9" ht="12.75">
      <c r="A1074" s="4" t="s">
        <v>613</v>
      </c>
      <c r="B1074" s="94" t="s">
        <v>2882</v>
      </c>
      <c r="C1074" s="94" t="s">
        <v>1563</v>
      </c>
      <c r="D1074" s="152" t="s">
        <v>2503</v>
      </c>
      <c r="E1074" s="153"/>
      <c r="F1074" s="94" t="s">
        <v>2849</v>
      </c>
      <c r="G1074" s="73">
        <v>61.499</v>
      </c>
      <c r="H1074" s="51">
        <v>0</v>
      </c>
      <c r="I1074" s="5"/>
    </row>
    <row r="1075" spans="1:9" ht="12.2" customHeight="1">
      <c r="A1075" s="5"/>
      <c r="D1075" s="45" t="s">
        <v>3226</v>
      </c>
      <c r="E1075" s="190"/>
      <c r="F1075" s="191"/>
      <c r="G1075" s="47">
        <v>13.737</v>
      </c>
      <c r="H1075" s="52"/>
      <c r="I1075" s="5"/>
    </row>
    <row r="1076" spans="1:9" ht="12.2" customHeight="1">
      <c r="A1076" s="4"/>
      <c r="B1076" s="94"/>
      <c r="C1076" s="94"/>
      <c r="D1076" s="45" t="s">
        <v>3227</v>
      </c>
      <c r="E1076" s="190"/>
      <c r="F1076" s="190"/>
      <c r="G1076" s="75">
        <v>13.128</v>
      </c>
      <c r="H1076" s="25"/>
      <c r="I1076" s="5"/>
    </row>
    <row r="1077" spans="1:9" ht="12.2" customHeight="1">
      <c r="A1077" s="4"/>
      <c r="B1077" s="94"/>
      <c r="C1077" s="94"/>
      <c r="D1077" s="45" t="s">
        <v>3228</v>
      </c>
      <c r="E1077" s="190"/>
      <c r="F1077" s="190"/>
      <c r="G1077" s="75">
        <v>10.734</v>
      </c>
      <c r="H1077" s="25"/>
      <c r="I1077" s="5"/>
    </row>
    <row r="1078" spans="1:9" ht="12.2" customHeight="1">
      <c r="A1078" s="4"/>
      <c r="B1078" s="94"/>
      <c r="C1078" s="94"/>
      <c r="D1078" s="45" t="s">
        <v>3229</v>
      </c>
      <c r="E1078" s="190"/>
      <c r="F1078" s="190"/>
      <c r="G1078" s="75">
        <v>23.9</v>
      </c>
      <c r="H1078" s="25"/>
      <c r="I1078" s="5"/>
    </row>
    <row r="1079" spans="1:9" ht="12.75">
      <c r="A1079" s="4" t="s">
        <v>614</v>
      </c>
      <c r="B1079" s="94" t="s">
        <v>2882</v>
      </c>
      <c r="C1079" s="94" t="s">
        <v>1564</v>
      </c>
      <c r="D1079" s="152" t="s">
        <v>2504</v>
      </c>
      <c r="E1079" s="153"/>
      <c r="F1079" s="94" t="s">
        <v>2849</v>
      </c>
      <c r="G1079" s="73">
        <v>199.687</v>
      </c>
      <c r="H1079" s="51">
        <v>0</v>
      </c>
      <c r="I1079" s="5"/>
    </row>
    <row r="1080" spans="1:9" ht="12.2" customHeight="1">
      <c r="A1080" s="5"/>
      <c r="D1080" s="45" t="s">
        <v>3230</v>
      </c>
      <c r="E1080" s="190"/>
      <c r="F1080" s="191"/>
      <c r="G1080" s="47">
        <v>199.687</v>
      </c>
      <c r="H1080" s="52"/>
      <c r="I1080" s="5"/>
    </row>
    <row r="1081" spans="1:9" ht="12.75">
      <c r="A1081" s="4" t="s">
        <v>615</v>
      </c>
      <c r="B1081" s="94" t="s">
        <v>2882</v>
      </c>
      <c r="C1081" s="94" t="s">
        <v>1565</v>
      </c>
      <c r="D1081" s="152" t="s">
        <v>2505</v>
      </c>
      <c r="E1081" s="153"/>
      <c r="F1081" s="94" t="s">
        <v>2849</v>
      </c>
      <c r="G1081" s="73">
        <v>1.356</v>
      </c>
      <c r="H1081" s="51">
        <v>0</v>
      </c>
      <c r="I1081" s="5"/>
    </row>
    <row r="1082" spans="1:9" ht="12.2" customHeight="1">
      <c r="A1082" s="5"/>
      <c r="D1082" s="45" t="s">
        <v>3101</v>
      </c>
      <c r="E1082" s="190"/>
      <c r="F1082" s="191"/>
      <c r="G1082" s="47">
        <v>1.356</v>
      </c>
      <c r="H1082" s="52"/>
      <c r="I1082" s="5"/>
    </row>
    <row r="1083" spans="1:9" ht="12.75">
      <c r="A1083" s="4" t="s">
        <v>616</v>
      </c>
      <c r="B1083" s="94" t="s">
        <v>2882</v>
      </c>
      <c r="C1083" s="94" t="s">
        <v>1566</v>
      </c>
      <c r="D1083" s="152" t="s">
        <v>2506</v>
      </c>
      <c r="E1083" s="153"/>
      <c r="F1083" s="94" t="s">
        <v>2849</v>
      </c>
      <c r="G1083" s="73">
        <v>2.665</v>
      </c>
      <c r="H1083" s="51">
        <v>0</v>
      </c>
      <c r="I1083" s="5"/>
    </row>
    <row r="1084" spans="1:9" ht="12.2" customHeight="1">
      <c r="A1084" s="5"/>
      <c r="D1084" s="45" t="s">
        <v>3231</v>
      </c>
      <c r="E1084" s="190"/>
      <c r="F1084" s="191"/>
      <c r="G1084" s="47">
        <v>1.705</v>
      </c>
      <c r="H1084" s="52"/>
      <c r="I1084" s="5"/>
    </row>
    <row r="1085" spans="1:9" ht="12.2" customHeight="1">
      <c r="A1085" s="4"/>
      <c r="B1085" s="94"/>
      <c r="C1085" s="94"/>
      <c r="D1085" s="45" t="s">
        <v>3232</v>
      </c>
      <c r="E1085" s="190"/>
      <c r="F1085" s="190"/>
      <c r="G1085" s="75">
        <v>0.96</v>
      </c>
      <c r="H1085" s="25"/>
      <c r="I1085" s="5"/>
    </row>
    <row r="1086" spans="1:9" ht="12.75">
      <c r="A1086" s="4" t="s">
        <v>617</v>
      </c>
      <c r="B1086" s="94" t="s">
        <v>2882</v>
      </c>
      <c r="C1086" s="94" t="s">
        <v>1567</v>
      </c>
      <c r="D1086" s="152" t="s">
        <v>2507</v>
      </c>
      <c r="E1086" s="153"/>
      <c r="F1086" s="94" t="s">
        <v>2849</v>
      </c>
      <c r="G1086" s="73">
        <v>185.49</v>
      </c>
      <c r="H1086" s="51">
        <v>0</v>
      </c>
      <c r="I1086" s="5"/>
    </row>
    <row r="1087" spans="1:9" ht="12.2" customHeight="1">
      <c r="A1087" s="5"/>
      <c r="D1087" s="45" t="s">
        <v>3099</v>
      </c>
      <c r="E1087" s="190"/>
      <c r="F1087" s="191"/>
      <c r="G1087" s="47">
        <v>223.052</v>
      </c>
      <c r="H1087" s="52"/>
      <c r="I1087" s="5"/>
    </row>
    <row r="1088" spans="1:9" ht="12.2" customHeight="1">
      <c r="A1088" s="4"/>
      <c r="B1088" s="94"/>
      <c r="C1088" s="94"/>
      <c r="D1088" s="45" t="s">
        <v>3100</v>
      </c>
      <c r="E1088" s="190"/>
      <c r="F1088" s="190"/>
      <c r="G1088" s="75">
        <v>-37.562</v>
      </c>
      <c r="H1088" s="25"/>
      <c r="I1088" s="5"/>
    </row>
    <row r="1089" spans="1:9" ht="12.75">
      <c r="A1089" s="6" t="s">
        <v>618</v>
      </c>
      <c r="B1089" s="98" t="s">
        <v>2882</v>
      </c>
      <c r="C1089" s="98" t="s">
        <v>1568</v>
      </c>
      <c r="D1089" s="163" t="s">
        <v>2508</v>
      </c>
      <c r="E1089" s="164"/>
      <c r="F1089" s="98" t="s">
        <v>2849</v>
      </c>
      <c r="G1089" s="76">
        <v>194.765</v>
      </c>
      <c r="H1089" s="53">
        <v>0</v>
      </c>
      <c r="I1089" s="5"/>
    </row>
    <row r="1090" spans="1:9" ht="12.2" customHeight="1">
      <c r="A1090" s="5"/>
      <c r="D1090" s="45" t="s">
        <v>3233</v>
      </c>
      <c r="E1090" s="190"/>
      <c r="F1090" s="191"/>
      <c r="G1090" s="48">
        <v>185.49</v>
      </c>
      <c r="H1090" s="52"/>
      <c r="I1090" s="5"/>
    </row>
    <row r="1091" spans="1:9" ht="12.2" customHeight="1">
      <c r="A1091" s="6"/>
      <c r="B1091" s="98"/>
      <c r="C1091" s="98"/>
      <c r="D1091" s="45" t="s">
        <v>3234</v>
      </c>
      <c r="E1091" s="190"/>
      <c r="F1091" s="190"/>
      <c r="G1091" s="77">
        <v>9.275</v>
      </c>
      <c r="H1091" s="26"/>
      <c r="I1091" s="5"/>
    </row>
    <row r="1092" spans="1:9" ht="12.75">
      <c r="A1092" s="6" t="s">
        <v>619</v>
      </c>
      <c r="B1092" s="98" t="s">
        <v>2882</v>
      </c>
      <c r="C1092" s="98" t="s">
        <v>1569</v>
      </c>
      <c r="D1092" s="163" t="s">
        <v>2509</v>
      </c>
      <c r="E1092" s="164"/>
      <c r="F1092" s="98" t="s">
        <v>2851</v>
      </c>
      <c r="G1092" s="76">
        <v>98.137</v>
      </c>
      <c r="H1092" s="53">
        <v>0</v>
      </c>
      <c r="I1092" s="5"/>
    </row>
    <row r="1093" spans="1:9" ht="12.2" customHeight="1">
      <c r="A1093" s="5"/>
      <c r="D1093" s="45" t="s">
        <v>3214</v>
      </c>
      <c r="E1093" s="190"/>
      <c r="F1093" s="191"/>
      <c r="G1093" s="48">
        <v>67.93</v>
      </c>
      <c r="H1093" s="52"/>
      <c r="I1093" s="5"/>
    </row>
    <row r="1094" spans="1:9" ht="12.2" customHeight="1">
      <c r="A1094" s="6"/>
      <c r="B1094" s="98"/>
      <c r="C1094" s="98"/>
      <c r="D1094" s="45" t="s">
        <v>3215</v>
      </c>
      <c r="E1094" s="190"/>
      <c r="F1094" s="190"/>
      <c r="G1094" s="77">
        <v>21.285</v>
      </c>
      <c r="H1094" s="26"/>
      <c r="I1094" s="5"/>
    </row>
    <row r="1095" spans="1:9" ht="12.2" customHeight="1">
      <c r="A1095" s="6"/>
      <c r="B1095" s="98"/>
      <c r="C1095" s="98"/>
      <c r="D1095" s="45" t="s">
        <v>3235</v>
      </c>
      <c r="E1095" s="190"/>
      <c r="F1095" s="190"/>
      <c r="G1095" s="77">
        <v>8.922</v>
      </c>
      <c r="H1095" s="26"/>
      <c r="I1095" s="5"/>
    </row>
    <row r="1096" spans="1:9" ht="12.75">
      <c r="A1096" s="4" t="s">
        <v>620</v>
      </c>
      <c r="B1096" s="94" t="s">
        <v>2882</v>
      </c>
      <c r="C1096" s="94" t="s">
        <v>1567</v>
      </c>
      <c r="D1096" s="152" t="s">
        <v>2510</v>
      </c>
      <c r="E1096" s="153"/>
      <c r="F1096" s="94" t="s">
        <v>2849</v>
      </c>
      <c r="G1096" s="73">
        <v>10.176</v>
      </c>
      <c r="H1096" s="51">
        <v>0</v>
      </c>
      <c r="I1096" s="5"/>
    </row>
    <row r="1097" spans="1:9" ht="12.2" customHeight="1">
      <c r="A1097" s="5"/>
      <c r="D1097" s="45" t="s">
        <v>3236</v>
      </c>
      <c r="E1097" s="190"/>
      <c r="F1097" s="191"/>
      <c r="G1097" s="47">
        <v>10.176</v>
      </c>
      <c r="H1097" s="52"/>
      <c r="I1097" s="5"/>
    </row>
    <row r="1098" spans="1:9" ht="12.75">
      <c r="A1098" s="6" t="s">
        <v>621</v>
      </c>
      <c r="B1098" s="98" t="s">
        <v>2882</v>
      </c>
      <c r="C1098" s="98" t="s">
        <v>1568</v>
      </c>
      <c r="D1098" s="163" t="s">
        <v>2508</v>
      </c>
      <c r="E1098" s="164"/>
      <c r="F1098" s="98" t="s">
        <v>2849</v>
      </c>
      <c r="G1098" s="76">
        <v>10.685</v>
      </c>
      <c r="H1098" s="53">
        <v>0</v>
      </c>
      <c r="I1098" s="5"/>
    </row>
    <row r="1099" spans="1:9" ht="12.2" customHeight="1">
      <c r="A1099" s="5"/>
      <c r="D1099" s="45" t="s">
        <v>3237</v>
      </c>
      <c r="E1099" s="190"/>
      <c r="F1099" s="191"/>
      <c r="G1099" s="48">
        <v>10.176</v>
      </c>
      <c r="H1099" s="52"/>
      <c r="I1099" s="5"/>
    </row>
    <row r="1100" spans="1:9" ht="12.2" customHeight="1">
      <c r="A1100" s="6"/>
      <c r="B1100" s="98"/>
      <c r="C1100" s="98"/>
      <c r="D1100" s="45" t="s">
        <v>3238</v>
      </c>
      <c r="E1100" s="190"/>
      <c r="F1100" s="190"/>
      <c r="G1100" s="77">
        <v>0.509</v>
      </c>
      <c r="H1100" s="26"/>
      <c r="I1100" s="5"/>
    </row>
    <row r="1101" spans="1:9" ht="12.75">
      <c r="A1101" s="4" t="s">
        <v>622</v>
      </c>
      <c r="B1101" s="94" t="s">
        <v>2882</v>
      </c>
      <c r="C1101" s="94" t="s">
        <v>1570</v>
      </c>
      <c r="D1101" s="152" t="s">
        <v>2511</v>
      </c>
      <c r="E1101" s="153"/>
      <c r="F1101" s="94" t="s">
        <v>2849</v>
      </c>
      <c r="G1101" s="73">
        <v>199.687</v>
      </c>
      <c r="H1101" s="51">
        <v>0</v>
      </c>
      <c r="I1101" s="5"/>
    </row>
    <row r="1102" spans="1:9" ht="12.2" customHeight="1">
      <c r="A1102" s="5"/>
      <c r="D1102" s="45" t="s">
        <v>3230</v>
      </c>
      <c r="E1102" s="190"/>
      <c r="F1102" s="191"/>
      <c r="G1102" s="47">
        <v>199.687</v>
      </c>
      <c r="H1102" s="52"/>
      <c r="I1102" s="5"/>
    </row>
    <row r="1103" spans="1:9" ht="12.75">
      <c r="A1103" s="4" t="s">
        <v>623</v>
      </c>
      <c r="B1103" s="94" t="s">
        <v>2882</v>
      </c>
      <c r="C1103" s="94" t="s">
        <v>1571</v>
      </c>
      <c r="D1103" s="152" t="s">
        <v>2512</v>
      </c>
      <c r="E1103" s="153"/>
      <c r="F1103" s="94" t="s">
        <v>2851</v>
      </c>
      <c r="G1103" s="73">
        <v>119.135</v>
      </c>
      <c r="H1103" s="51">
        <v>0</v>
      </c>
      <c r="I1103" s="5"/>
    </row>
    <row r="1104" spans="1:9" ht="12.2" customHeight="1">
      <c r="A1104" s="5"/>
      <c r="D1104" s="45" t="s">
        <v>3239</v>
      </c>
      <c r="E1104" s="190"/>
      <c r="F1104" s="191"/>
      <c r="G1104" s="47">
        <v>106.215</v>
      </c>
      <c r="H1104" s="52"/>
      <c r="I1104" s="5"/>
    </row>
    <row r="1105" spans="1:9" ht="12.2" customHeight="1">
      <c r="A1105" s="4"/>
      <c r="B1105" s="94"/>
      <c r="C1105" s="94"/>
      <c r="D1105" s="45" t="s">
        <v>3240</v>
      </c>
      <c r="E1105" s="190"/>
      <c r="F1105" s="190"/>
      <c r="G1105" s="75">
        <v>12.92</v>
      </c>
      <c r="H1105" s="25"/>
      <c r="I1105" s="5"/>
    </row>
    <row r="1106" spans="1:9" ht="12.75">
      <c r="A1106" s="6" t="s">
        <v>624</v>
      </c>
      <c r="B1106" s="98" t="s">
        <v>2882</v>
      </c>
      <c r="C1106" s="98" t="s">
        <v>1572</v>
      </c>
      <c r="D1106" s="163" t="s">
        <v>2513</v>
      </c>
      <c r="E1106" s="164"/>
      <c r="F1106" s="98" t="s">
        <v>2851</v>
      </c>
      <c r="G1106" s="76">
        <v>116.837</v>
      </c>
      <c r="H1106" s="53">
        <v>0</v>
      </c>
      <c r="I1106" s="5"/>
    </row>
    <row r="1107" spans="1:9" ht="12.2" customHeight="1">
      <c r="A1107" s="5"/>
      <c r="D1107" s="45" t="s">
        <v>3241</v>
      </c>
      <c r="E1107" s="190"/>
      <c r="F1107" s="191"/>
      <c r="G1107" s="48">
        <v>106.215</v>
      </c>
      <c r="H1107" s="52"/>
      <c r="I1107" s="5"/>
    </row>
    <row r="1108" spans="1:9" ht="12.2" customHeight="1">
      <c r="A1108" s="6"/>
      <c r="B1108" s="98"/>
      <c r="C1108" s="98"/>
      <c r="D1108" s="45" t="s">
        <v>3242</v>
      </c>
      <c r="E1108" s="190"/>
      <c r="F1108" s="190"/>
      <c r="G1108" s="77">
        <v>10.622</v>
      </c>
      <c r="H1108" s="26"/>
      <c r="I1108" s="5"/>
    </row>
    <row r="1109" spans="1:9" ht="12.75">
      <c r="A1109" s="6" t="s">
        <v>625</v>
      </c>
      <c r="B1109" s="98" t="s">
        <v>2882</v>
      </c>
      <c r="C1109" s="98" t="s">
        <v>1573</v>
      </c>
      <c r="D1109" s="163" t="s">
        <v>2514</v>
      </c>
      <c r="E1109" s="164"/>
      <c r="F1109" s="98" t="s">
        <v>2851</v>
      </c>
      <c r="G1109" s="76">
        <v>14.212</v>
      </c>
      <c r="H1109" s="53">
        <v>0</v>
      </c>
      <c r="I1109" s="5"/>
    </row>
    <row r="1110" spans="1:9" ht="12.2" customHeight="1">
      <c r="A1110" s="5"/>
      <c r="D1110" s="45" t="s">
        <v>3243</v>
      </c>
      <c r="E1110" s="190"/>
      <c r="F1110" s="191"/>
      <c r="G1110" s="48">
        <v>12.92</v>
      </c>
      <c r="H1110" s="52"/>
      <c r="I1110" s="5"/>
    </row>
    <row r="1111" spans="1:9" ht="12.2" customHeight="1">
      <c r="A1111" s="6"/>
      <c r="B1111" s="98"/>
      <c r="C1111" s="98"/>
      <c r="D1111" s="45" t="s">
        <v>3244</v>
      </c>
      <c r="E1111" s="190"/>
      <c r="F1111" s="190"/>
      <c r="G1111" s="77">
        <v>1.292</v>
      </c>
      <c r="H1111" s="26"/>
      <c r="I1111" s="5"/>
    </row>
    <row r="1112" spans="1:9" ht="12.75">
      <c r="A1112" s="4" t="s">
        <v>626</v>
      </c>
      <c r="B1112" s="94" t="s">
        <v>2882</v>
      </c>
      <c r="C1112" s="94" t="s">
        <v>1574</v>
      </c>
      <c r="D1112" s="152" t="s">
        <v>2515</v>
      </c>
      <c r="E1112" s="153"/>
      <c r="F1112" s="94" t="s">
        <v>2848</v>
      </c>
      <c r="G1112" s="73">
        <v>4.221</v>
      </c>
      <c r="H1112" s="51">
        <v>0</v>
      </c>
      <c r="I1112" s="5"/>
    </row>
    <row r="1113" spans="1:9" ht="12.2" customHeight="1">
      <c r="A1113" s="5"/>
      <c r="D1113" s="45" t="s">
        <v>3245</v>
      </c>
      <c r="E1113" s="190"/>
      <c r="F1113" s="191"/>
      <c r="G1113" s="47">
        <v>4.221</v>
      </c>
      <c r="H1113" s="52"/>
      <c r="I1113" s="5"/>
    </row>
    <row r="1114" spans="1:9" ht="12.75">
      <c r="A1114" s="44"/>
      <c r="B1114" s="97"/>
      <c r="C1114" s="97" t="s">
        <v>789</v>
      </c>
      <c r="D1114" s="161" t="s">
        <v>2516</v>
      </c>
      <c r="E1114" s="162"/>
      <c r="F1114" s="97"/>
      <c r="G1114" s="74"/>
      <c r="H1114" s="24"/>
      <c r="I1114" s="5"/>
    </row>
    <row r="1115" spans="1:9" ht="12.75">
      <c r="A1115" s="4" t="s">
        <v>627</v>
      </c>
      <c r="B1115" s="94" t="s">
        <v>2882</v>
      </c>
      <c r="C1115" s="94" t="s">
        <v>1575</v>
      </c>
      <c r="D1115" s="152" t="s">
        <v>2517</v>
      </c>
      <c r="E1115" s="153"/>
      <c r="F1115" s="94" t="s">
        <v>2849</v>
      </c>
      <c r="G1115" s="73">
        <v>39.621</v>
      </c>
      <c r="H1115" s="51">
        <v>0</v>
      </c>
      <c r="I1115" s="5"/>
    </row>
    <row r="1116" spans="1:9" ht="12.2" customHeight="1">
      <c r="A1116" s="5"/>
      <c r="D1116" s="45" t="s">
        <v>3246</v>
      </c>
      <c r="E1116" s="190"/>
      <c r="F1116" s="191"/>
      <c r="G1116" s="47">
        <v>39.621</v>
      </c>
      <c r="H1116" s="52"/>
      <c r="I1116" s="5"/>
    </row>
    <row r="1117" spans="1:9" ht="12.75">
      <c r="A1117" s="4" t="s">
        <v>628</v>
      </c>
      <c r="B1117" s="94" t="s">
        <v>2882</v>
      </c>
      <c r="C1117" s="94" t="s">
        <v>1576</v>
      </c>
      <c r="D1117" s="152" t="s">
        <v>2518</v>
      </c>
      <c r="E1117" s="153"/>
      <c r="F1117" s="94" t="s">
        <v>2849</v>
      </c>
      <c r="G1117" s="73">
        <v>39.621</v>
      </c>
      <c r="H1117" s="51">
        <v>0</v>
      </c>
      <c r="I1117" s="5"/>
    </row>
    <row r="1118" spans="1:9" ht="12.2" customHeight="1">
      <c r="A1118" s="5"/>
      <c r="D1118" s="45" t="s">
        <v>3246</v>
      </c>
      <c r="E1118" s="190"/>
      <c r="F1118" s="191"/>
      <c r="G1118" s="47">
        <v>39.621</v>
      </c>
      <c r="H1118" s="52"/>
      <c r="I1118" s="5"/>
    </row>
    <row r="1119" spans="1:9" ht="12.75">
      <c r="A1119" s="4" t="s">
        <v>629</v>
      </c>
      <c r="B1119" s="94" t="s">
        <v>2882</v>
      </c>
      <c r="C1119" s="94" t="s">
        <v>1577</v>
      </c>
      <c r="D1119" s="152" t="s">
        <v>2519</v>
      </c>
      <c r="E1119" s="153"/>
      <c r="F1119" s="94" t="s">
        <v>2849</v>
      </c>
      <c r="G1119" s="73">
        <v>102.737</v>
      </c>
      <c r="H1119" s="51">
        <v>0</v>
      </c>
      <c r="I1119" s="5"/>
    </row>
    <row r="1120" spans="1:9" ht="12.2" customHeight="1">
      <c r="A1120" s="5"/>
      <c r="D1120" s="45" t="s">
        <v>3247</v>
      </c>
      <c r="E1120" s="190"/>
      <c r="F1120" s="191"/>
      <c r="G1120" s="47">
        <v>102.737</v>
      </c>
      <c r="H1120" s="52"/>
      <c r="I1120" s="5"/>
    </row>
    <row r="1121" spans="1:9" ht="12.75">
      <c r="A1121" s="4" t="s">
        <v>630</v>
      </c>
      <c r="B1121" s="94" t="s">
        <v>2882</v>
      </c>
      <c r="C1121" s="94" t="s">
        <v>1578</v>
      </c>
      <c r="D1121" s="152" t="s">
        <v>2520</v>
      </c>
      <c r="E1121" s="153"/>
      <c r="F1121" s="94" t="s">
        <v>2849</v>
      </c>
      <c r="G1121" s="73">
        <v>39.621</v>
      </c>
      <c r="H1121" s="51">
        <v>0</v>
      </c>
      <c r="I1121" s="5"/>
    </row>
    <row r="1122" spans="1:9" ht="12.2" customHeight="1">
      <c r="A1122" s="5"/>
      <c r="D1122" s="45" t="s">
        <v>3246</v>
      </c>
      <c r="E1122" s="190"/>
      <c r="F1122" s="191"/>
      <c r="G1122" s="47">
        <v>39.621</v>
      </c>
      <c r="H1122" s="52"/>
      <c r="I1122" s="5"/>
    </row>
    <row r="1123" spans="1:9" ht="12.75">
      <c r="A1123" s="44"/>
      <c r="B1123" s="97"/>
      <c r="C1123" s="97" t="s">
        <v>790</v>
      </c>
      <c r="D1123" s="161" t="s">
        <v>2521</v>
      </c>
      <c r="E1123" s="162"/>
      <c r="F1123" s="97"/>
      <c r="G1123" s="74"/>
      <c r="H1123" s="24"/>
      <c r="I1123" s="5"/>
    </row>
    <row r="1124" spans="1:9" ht="12.75">
      <c r="A1124" s="4" t="s">
        <v>631</v>
      </c>
      <c r="B1124" s="94" t="s">
        <v>2882</v>
      </c>
      <c r="C1124" s="94" t="s">
        <v>1579</v>
      </c>
      <c r="D1124" s="152" t="s">
        <v>2522</v>
      </c>
      <c r="E1124" s="153"/>
      <c r="F1124" s="94" t="s">
        <v>2849</v>
      </c>
      <c r="G1124" s="73">
        <v>214.47</v>
      </c>
      <c r="H1124" s="51">
        <v>0</v>
      </c>
      <c r="I1124" s="5"/>
    </row>
    <row r="1125" spans="1:9" ht="12.2" customHeight="1">
      <c r="A1125" s="5"/>
      <c r="D1125" s="45" t="s">
        <v>3070</v>
      </c>
      <c r="E1125" s="190"/>
      <c r="F1125" s="191"/>
      <c r="G1125" s="47">
        <v>214.47</v>
      </c>
      <c r="H1125" s="52"/>
      <c r="I1125" s="5"/>
    </row>
    <row r="1126" spans="1:9" ht="12.75">
      <c r="A1126" s="4" t="s">
        <v>632</v>
      </c>
      <c r="B1126" s="94" t="s">
        <v>2882</v>
      </c>
      <c r="C1126" s="94" t="s">
        <v>1579</v>
      </c>
      <c r="D1126" s="152" t="s">
        <v>2523</v>
      </c>
      <c r="E1126" s="153"/>
      <c r="F1126" s="94" t="s">
        <v>2849</v>
      </c>
      <c r="G1126" s="73">
        <v>977.583</v>
      </c>
      <c r="H1126" s="51">
        <v>0</v>
      </c>
      <c r="I1126" s="5"/>
    </row>
    <row r="1127" spans="1:9" ht="12.2" customHeight="1">
      <c r="A1127" s="5"/>
      <c r="D1127" s="45" t="s">
        <v>3248</v>
      </c>
      <c r="E1127" s="190"/>
      <c r="F1127" s="191"/>
      <c r="G1127" s="47">
        <v>977.583</v>
      </c>
      <c r="H1127" s="52"/>
      <c r="I1127" s="5"/>
    </row>
    <row r="1128" spans="1:9" ht="12.75">
      <c r="A1128" s="4" t="s">
        <v>633</v>
      </c>
      <c r="B1128" s="94" t="s">
        <v>2882</v>
      </c>
      <c r="C1128" s="94" t="s">
        <v>1580</v>
      </c>
      <c r="D1128" s="152" t="s">
        <v>2524</v>
      </c>
      <c r="E1128" s="153"/>
      <c r="F1128" s="94" t="s">
        <v>2849</v>
      </c>
      <c r="G1128" s="73">
        <v>953.883</v>
      </c>
      <c r="H1128" s="51">
        <v>0</v>
      </c>
      <c r="I1128" s="5"/>
    </row>
    <row r="1129" spans="1:9" ht="12.2" customHeight="1">
      <c r="A1129" s="5"/>
      <c r="D1129" s="45" t="s">
        <v>3249</v>
      </c>
      <c r="E1129" s="190"/>
      <c r="F1129" s="191"/>
      <c r="G1129" s="47">
        <v>953.883</v>
      </c>
      <c r="H1129" s="52"/>
      <c r="I1129" s="5"/>
    </row>
    <row r="1130" spans="1:9" ht="12.75">
      <c r="A1130" s="4" t="s">
        <v>634</v>
      </c>
      <c r="B1130" s="94" t="s">
        <v>2882</v>
      </c>
      <c r="C1130" s="94" t="s">
        <v>1581</v>
      </c>
      <c r="D1130" s="152" t="s">
        <v>2525</v>
      </c>
      <c r="E1130" s="153"/>
      <c r="F1130" s="94" t="s">
        <v>2849</v>
      </c>
      <c r="G1130" s="73">
        <v>379.035</v>
      </c>
      <c r="H1130" s="51">
        <v>0</v>
      </c>
      <c r="I1130" s="5"/>
    </row>
    <row r="1131" spans="1:9" ht="12.2" customHeight="1">
      <c r="A1131" s="5"/>
      <c r="D1131" s="45" t="s">
        <v>3250</v>
      </c>
      <c r="E1131" s="190"/>
      <c r="F1131" s="191"/>
      <c r="G1131" s="47">
        <v>379.035</v>
      </c>
      <c r="H1131" s="52"/>
      <c r="I1131" s="5"/>
    </row>
    <row r="1132" spans="1:9" ht="12.75">
      <c r="A1132" s="4" t="s">
        <v>635</v>
      </c>
      <c r="B1132" s="94" t="s">
        <v>2882</v>
      </c>
      <c r="C1132" s="94" t="s">
        <v>1582</v>
      </c>
      <c r="D1132" s="152" t="s">
        <v>2526</v>
      </c>
      <c r="E1132" s="153"/>
      <c r="F1132" s="94" t="s">
        <v>2849</v>
      </c>
      <c r="G1132" s="73">
        <v>214.47</v>
      </c>
      <c r="H1132" s="51">
        <v>0</v>
      </c>
      <c r="I1132" s="5"/>
    </row>
    <row r="1133" spans="1:9" ht="12.2" customHeight="1">
      <c r="A1133" s="5"/>
      <c r="D1133" s="45" t="s">
        <v>3070</v>
      </c>
      <c r="E1133" s="190"/>
      <c r="F1133" s="191"/>
      <c r="G1133" s="47">
        <v>214.47</v>
      </c>
      <c r="H1133" s="52"/>
      <c r="I1133" s="5"/>
    </row>
    <row r="1134" spans="1:9" ht="12.75">
      <c r="A1134" s="4" t="s">
        <v>636</v>
      </c>
      <c r="B1134" s="94" t="s">
        <v>2882</v>
      </c>
      <c r="C1134" s="94" t="s">
        <v>1582</v>
      </c>
      <c r="D1134" s="152" t="s">
        <v>2527</v>
      </c>
      <c r="E1134" s="153"/>
      <c r="F1134" s="94" t="s">
        <v>2849</v>
      </c>
      <c r="G1134" s="73">
        <v>977.583</v>
      </c>
      <c r="H1134" s="51">
        <v>0</v>
      </c>
      <c r="I1134" s="5"/>
    </row>
    <row r="1135" spans="1:9" ht="12.2" customHeight="1">
      <c r="A1135" s="5"/>
      <c r="D1135" s="45" t="s">
        <v>3248</v>
      </c>
      <c r="E1135" s="190"/>
      <c r="F1135" s="191"/>
      <c r="G1135" s="47">
        <v>977.583</v>
      </c>
      <c r="H1135" s="52"/>
      <c r="I1135" s="5"/>
    </row>
    <row r="1136" spans="1:9" ht="12.75">
      <c r="A1136" s="4" t="s">
        <v>637</v>
      </c>
      <c r="B1136" s="94" t="s">
        <v>2882</v>
      </c>
      <c r="C1136" s="94" t="s">
        <v>1583</v>
      </c>
      <c r="D1136" s="152" t="s">
        <v>2528</v>
      </c>
      <c r="E1136" s="153"/>
      <c r="F1136" s="94" t="s">
        <v>2849</v>
      </c>
      <c r="G1136" s="73">
        <v>214.47</v>
      </c>
      <c r="H1136" s="51">
        <v>0</v>
      </c>
      <c r="I1136" s="5"/>
    </row>
    <row r="1137" spans="1:9" ht="12.2" customHeight="1">
      <c r="A1137" s="5"/>
      <c r="D1137" s="45" t="s">
        <v>3070</v>
      </c>
      <c r="E1137" s="190"/>
      <c r="F1137" s="191"/>
      <c r="G1137" s="47">
        <v>214.47</v>
      </c>
      <c r="H1137" s="52"/>
      <c r="I1137" s="5"/>
    </row>
    <row r="1138" spans="1:9" ht="12.75">
      <c r="A1138" s="4" t="s">
        <v>638</v>
      </c>
      <c r="B1138" s="94" t="s">
        <v>2882</v>
      </c>
      <c r="C1138" s="94" t="s">
        <v>1583</v>
      </c>
      <c r="D1138" s="152" t="s">
        <v>2529</v>
      </c>
      <c r="E1138" s="153"/>
      <c r="F1138" s="94" t="s">
        <v>2849</v>
      </c>
      <c r="G1138" s="73">
        <v>977.583</v>
      </c>
      <c r="H1138" s="51">
        <v>0</v>
      </c>
      <c r="I1138" s="5"/>
    </row>
    <row r="1139" spans="1:9" ht="12.2" customHeight="1">
      <c r="A1139" s="5"/>
      <c r="D1139" s="45" t="s">
        <v>3249</v>
      </c>
      <c r="E1139" s="190"/>
      <c r="F1139" s="191"/>
      <c r="G1139" s="47">
        <v>953.883</v>
      </c>
      <c r="H1139" s="52"/>
      <c r="I1139" s="5"/>
    </row>
    <row r="1140" spans="1:9" ht="12.2" customHeight="1">
      <c r="A1140" s="4"/>
      <c r="B1140" s="94"/>
      <c r="C1140" s="94"/>
      <c r="D1140" s="45" t="s">
        <v>3251</v>
      </c>
      <c r="E1140" s="190"/>
      <c r="F1140" s="190"/>
      <c r="G1140" s="75">
        <v>23.7</v>
      </c>
      <c r="H1140" s="25"/>
      <c r="I1140" s="5"/>
    </row>
    <row r="1141" spans="1:9" ht="12.75">
      <c r="A1141" s="4" t="s">
        <v>639</v>
      </c>
      <c r="B1141" s="94" t="s">
        <v>2882</v>
      </c>
      <c r="C1141" s="94" t="s">
        <v>1584</v>
      </c>
      <c r="D1141" s="152" t="s">
        <v>2530</v>
      </c>
      <c r="E1141" s="153"/>
      <c r="F1141" s="94" t="s">
        <v>2849</v>
      </c>
      <c r="G1141" s="73">
        <v>953.883</v>
      </c>
      <c r="H1141" s="51">
        <v>0</v>
      </c>
      <c r="I1141" s="5"/>
    </row>
    <row r="1142" spans="1:9" ht="12.2" customHeight="1">
      <c r="A1142" s="5"/>
      <c r="D1142" s="45" t="s">
        <v>3249</v>
      </c>
      <c r="E1142" s="190"/>
      <c r="F1142" s="191"/>
      <c r="G1142" s="47">
        <v>953.883</v>
      </c>
      <c r="H1142" s="52"/>
      <c r="I1142" s="5"/>
    </row>
    <row r="1143" spans="1:9" ht="12.75">
      <c r="A1143" s="44"/>
      <c r="B1143" s="97"/>
      <c r="C1143" s="97" t="s">
        <v>14</v>
      </c>
      <c r="D1143" s="161" t="s">
        <v>2716</v>
      </c>
      <c r="E1143" s="162"/>
      <c r="F1143" s="97"/>
      <c r="G1143" s="74"/>
      <c r="H1143" s="24"/>
      <c r="I1143" s="5"/>
    </row>
    <row r="1144" spans="1:9" ht="12.75">
      <c r="A1144" s="4" t="s">
        <v>640</v>
      </c>
      <c r="B1144" s="94" t="s">
        <v>2884</v>
      </c>
      <c r="C1144" s="94" t="s">
        <v>1779</v>
      </c>
      <c r="D1144" s="152" t="s">
        <v>2717</v>
      </c>
      <c r="E1144" s="153"/>
      <c r="F1144" s="94" t="s">
        <v>2851</v>
      </c>
      <c r="G1144" s="73">
        <v>7.5</v>
      </c>
      <c r="H1144" s="51">
        <v>0</v>
      </c>
      <c r="I1144" s="5"/>
    </row>
    <row r="1145" spans="1:9" ht="12.75">
      <c r="A1145" s="4" t="s">
        <v>641</v>
      </c>
      <c r="B1145" s="94" t="s">
        <v>2884</v>
      </c>
      <c r="C1145" s="94" t="s">
        <v>1780</v>
      </c>
      <c r="D1145" s="152" t="s">
        <v>2718</v>
      </c>
      <c r="E1145" s="153"/>
      <c r="F1145" s="94" t="s">
        <v>2850</v>
      </c>
      <c r="G1145" s="73">
        <v>1</v>
      </c>
      <c r="H1145" s="51">
        <v>0</v>
      </c>
      <c r="I1145" s="5"/>
    </row>
    <row r="1146" spans="1:9" ht="12.75">
      <c r="A1146" s="4" t="s">
        <v>642</v>
      </c>
      <c r="B1146" s="94" t="s">
        <v>2884</v>
      </c>
      <c r="C1146" s="94" t="s">
        <v>1781</v>
      </c>
      <c r="D1146" s="152" t="s">
        <v>2719</v>
      </c>
      <c r="E1146" s="153"/>
      <c r="F1146" s="94" t="s">
        <v>2851</v>
      </c>
      <c r="G1146" s="73">
        <v>7.5</v>
      </c>
      <c r="H1146" s="51">
        <v>0</v>
      </c>
      <c r="I1146" s="5"/>
    </row>
    <row r="1147" spans="1:9" ht="12.75">
      <c r="A1147" s="4" t="s">
        <v>643</v>
      </c>
      <c r="B1147" s="94" t="s">
        <v>2884</v>
      </c>
      <c r="C1147" s="94" t="s">
        <v>1782</v>
      </c>
      <c r="D1147" s="152" t="s">
        <v>2720</v>
      </c>
      <c r="E1147" s="153"/>
      <c r="F1147" s="94" t="s">
        <v>2851</v>
      </c>
      <c r="G1147" s="73">
        <v>22.5</v>
      </c>
      <c r="H1147" s="51">
        <v>0</v>
      </c>
      <c r="I1147" s="5"/>
    </row>
    <row r="1148" spans="1:9" ht="12.75">
      <c r="A1148" s="4" t="s">
        <v>644</v>
      </c>
      <c r="B1148" s="94" t="s">
        <v>2884</v>
      </c>
      <c r="C1148" s="94" t="s">
        <v>1783</v>
      </c>
      <c r="D1148" s="152" t="s">
        <v>2721</v>
      </c>
      <c r="E1148" s="153"/>
      <c r="F1148" s="94" t="s">
        <v>2850</v>
      </c>
      <c r="G1148" s="73">
        <v>2</v>
      </c>
      <c r="H1148" s="51">
        <v>0</v>
      </c>
      <c r="I1148" s="5"/>
    </row>
    <row r="1149" spans="1:9" ht="12.75">
      <c r="A1149" s="4" t="s">
        <v>645</v>
      </c>
      <c r="B1149" s="94" t="s">
        <v>2884</v>
      </c>
      <c r="C1149" s="94" t="s">
        <v>1784</v>
      </c>
      <c r="D1149" s="152" t="s">
        <v>2722</v>
      </c>
      <c r="E1149" s="153"/>
      <c r="F1149" s="94" t="s">
        <v>2851</v>
      </c>
      <c r="G1149" s="73">
        <v>22.5</v>
      </c>
      <c r="H1149" s="51">
        <v>0</v>
      </c>
      <c r="I1149" s="5"/>
    </row>
    <row r="1150" spans="1:9" ht="12.75">
      <c r="A1150" s="4" t="s">
        <v>646</v>
      </c>
      <c r="B1150" s="94" t="s">
        <v>2884</v>
      </c>
      <c r="C1150" s="94" t="s">
        <v>1785</v>
      </c>
      <c r="D1150" s="152" t="s">
        <v>2723</v>
      </c>
      <c r="E1150" s="153"/>
      <c r="F1150" s="94" t="s">
        <v>2851</v>
      </c>
      <c r="G1150" s="73">
        <v>22.5</v>
      </c>
      <c r="H1150" s="51">
        <v>0</v>
      </c>
      <c r="I1150" s="5"/>
    </row>
    <row r="1151" spans="1:9" ht="12.75">
      <c r="A1151" s="4" t="s">
        <v>647</v>
      </c>
      <c r="B1151" s="94" t="s">
        <v>2884</v>
      </c>
      <c r="C1151" s="94" t="s">
        <v>1786</v>
      </c>
      <c r="D1151" s="152" t="s">
        <v>2724</v>
      </c>
      <c r="E1151" s="153"/>
      <c r="F1151" s="94" t="s">
        <v>2851</v>
      </c>
      <c r="G1151" s="73">
        <v>22.5</v>
      </c>
      <c r="H1151" s="51">
        <v>0</v>
      </c>
      <c r="I1151" s="5"/>
    </row>
    <row r="1152" spans="1:9" ht="12.75">
      <c r="A1152" s="4" t="s">
        <v>648</v>
      </c>
      <c r="B1152" s="94" t="s">
        <v>2884</v>
      </c>
      <c r="C1152" s="94" t="s">
        <v>1787</v>
      </c>
      <c r="D1152" s="152" t="s">
        <v>2725</v>
      </c>
      <c r="E1152" s="153"/>
      <c r="F1152" s="94" t="s">
        <v>2847</v>
      </c>
      <c r="G1152" s="73">
        <v>1.5</v>
      </c>
      <c r="H1152" s="51">
        <v>0</v>
      </c>
      <c r="I1152" s="5"/>
    </row>
    <row r="1153" spans="1:9" ht="12.75">
      <c r="A1153" s="4" t="s">
        <v>649</v>
      </c>
      <c r="B1153" s="94" t="s">
        <v>2884</v>
      </c>
      <c r="C1153" s="94" t="s">
        <v>1788</v>
      </c>
      <c r="D1153" s="152" t="s">
        <v>2726</v>
      </c>
      <c r="E1153" s="153"/>
      <c r="F1153" s="94" t="s">
        <v>2847</v>
      </c>
      <c r="G1153" s="73">
        <v>4.5</v>
      </c>
      <c r="H1153" s="51">
        <v>0</v>
      </c>
      <c r="I1153" s="5"/>
    </row>
    <row r="1154" spans="1:9" ht="12.75">
      <c r="A1154" s="4" t="s">
        <v>650</v>
      </c>
      <c r="B1154" s="94" t="s">
        <v>2884</v>
      </c>
      <c r="C1154" s="94" t="s">
        <v>1789</v>
      </c>
      <c r="D1154" s="152" t="s">
        <v>2727</v>
      </c>
      <c r="E1154" s="153"/>
      <c r="F1154" s="94" t="s">
        <v>2847</v>
      </c>
      <c r="G1154" s="73">
        <v>37</v>
      </c>
      <c r="H1154" s="51">
        <v>0</v>
      </c>
      <c r="I1154" s="5"/>
    </row>
    <row r="1155" spans="1:9" ht="12.75">
      <c r="A1155" s="4" t="s">
        <v>651</v>
      </c>
      <c r="B1155" s="94" t="s">
        <v>2884</v>
      </c>
      <c r="C1155" s="94" t="s">
        <v>1790</v>
      </c>
      <c r="D1155" s="152" t="s">
        <v>2728</v>
      </c>
      <c r="E1155" s="153"/>
      <c r="F1155" s="94" t="s">
        <v>2851</v>
      </c>
      <c r="G1155" s="73">
        <v>22.5</v>
      </c>
      <c r="H1155" s="51">
        <v>0</v>
      </c>
      <c r="I1155" s="5"/>
    </row>
    <row r="1156" spans="1:9" ht="12.75">
      <c r="A1156" s="4" t="s">
        <v>652</v>
      </c>
      <c r="B1156" s="94" t="s">
        <v>2884</v>
      </c>
      <c r="C1156" s="94" t="s">
        <v>1791</v>
      </c>
      <c r="D1156" s="152" t="s">
        <v>2729</v>
      </c>
      <c r="E1156" s="153"/>
      <c r="F1156" s="94" t="s">
        <v>2851</v>
      </c>
      <c r="G1156" s="73">
        <v>4.5</v>
      </c>
      <c r="H1156" s="51">
        <v>0</v>
      </c>
      <c r="I1156" s="5"/>
    </row>
    <row r="1157" spans="1:9" ht="12.75">
      <c r="A1157" s="4" t="s">
        <v>653</v>
      </c>
      <c r="B1157" s="94" t="s">
        <v>2884</v>
      </c>
      <c r="C1157" s="94" t="s">
        <v>1792</v>
      </c>
      <c r="D1157" s="152" t="s">
        <v>2730</v>
      </c>
      <c r="E1157" s="153"/>
      <c r="F1157" s="94" t="s">
        <v>2850</v>
      </c>
      <c r="G1157" s="73">
        <v>2</v>
      </c>
      <c r="H1157" s="51">
        <v>0</v>
      </c>
      <c r="I1157" s="5"/>
    </row>
    <row r="1158" spans="1:9" ht="12.75">
      <c r="A1158" s="4" t="s">
        <v>654</v>
      </c>
      <c r="B1158" s="94" t="s">
        <v>2884</v>
      </c>
      <c r="C1158" s="94" t="s">
        <v>1793</v>
      </c>
      <c r="D1158" s="152" t="s">
        <v>2731</v>
      </c>
      <c r="E1158" s="153"/>
      <c r="F1158" s="94" t="s">
        <v>2850</v>
      </c>
      <c r="G1158" s="73">
        <v>2</v>
      </c>
      <c r="H1158" s="51">
        <v>0</v>
      </c>
      <c r="I1158" s="5"/>
    </row>
    <row r="1159" spans="1:9" ht="12.75">
      <c r="A1159" s="4" t="s">
        <v>655</v>
      </c>
      <c r="B1159" s="94" t="s">
        <v>2884</v>
      </c>
      <c r="C1159" s="94" t="s">
        <v>1794</v>
      </c>
      <c r="D1159" s="152" t="s">
        <v>2732</v>
      </c>
      <c r="E1159" s="153"/>
      <c r="F1159" s="94" t="s">
        <v>2850</v>
      </c>
      <c r="G1159" s="73">
        <v>4</v>
      </c>
      <c r="H1159" s="51">
        <v>0</v>
      </c>
      <c r="I1159" s="5"/>
    </row>
    <row r="1160" spans="1:9" ht="12.75">
      <c r="A1160" s="4" t="s">
        <v>656</v>
      </c>
      <c r="B1160" s="94" t="s">
        <v>2884</v>
      </c>
      <c r="C1160" s="94" t="s">
        <v>1795</v>
      </c>
      <c r="D1160" s="152" t="s">
        <v>2733</v>
      </c>
      <c r="E1160" s="153"/>
      <c r="F1160" s="94" t="s">
        <v>2850</v>
      </c>
      <c r="G1160" s="73">
        <v>2</v>
      </c>
      <c r="H1160" s="51">
        <v>0</v>
      </c>
      <c r="I1160" s="5"/>
    </row>
    <row r="1161" spans="1:9" ht="12.75">
      <c r="A1161" s="4" t="s">
        <v>657</v>
      </c>
      <c r="B1161" s="94" t="s">
        <v>2884</v>
      </c>
      <c r="C1161" s="94" t="s">
        <v>1796</v>
      </c>
      <c r="D1161" s="152" t="s">
        <v>2734</v>
      </c>
      <c r="E1161" s="153"/>
      <c r="F1161" s="94" t="s">
        <v>2850</v>
      </c>
      <c r="G1161" s="73">
        <v>2</v>
      </c>
      <c r="H1161" s="51">
        <v>0</v>
      </c>
      <c r="I1161" s="5"/>
    </row>
    <row r="1162" spans="1:9" ht="12.75">
      <c r="A1162" s="4" t="s">
        <v>658</v>
      </c>
      <c r="B1162" s="94" t="s">
        <v>2884</v>
      </c>
      <c r="C1162" s="94" t="s">
        <v>1797</v>
      </c>
      <c r="D1162" s="152" t="s">
        <v>2735</v>
      </c>
      <c r="E1162" s="153"/>
      <c r="F1162" s="94" t="s">
        <v>2850</v>
      </c>
      <c r="G1162" s="73">
        <v>2</v>
      </c>
      <c r="H1162" s="51">
        <v>0</v>
      </c>
      <c r="I1162" s="5"/>
    </row>
    <row r="1163" spans="1:9" ht="12.75">
      <c r="A1163" s="4" t="s">
        <v>659</v>
      </c>
      <c r="B1163" s="94" t="s">
        <v>2884</v>
      </c>
      <c r="C1163" s="94" t="s">
        <v>1798</v>
      </c>
      <c r="D1163" s="152" t="s">
        <v>2736</v>
      </c>
      <c r="E1163" s="153"/>
      <c r="F1163" s="94" t="s">
        <v>2850</v>
      </c>
      <c r="G1163" s="73">
        <v>2</v>
      </c>
      <c r="H1163" s="51">
        <v>0</v>
      </c>
      <c r="I1163" s="5"/>
    </row>
    <row r="1164" spans="1:9" ht="12.75">
      <c r="A1164" s="4" t="s">
        <v>660</v>
      </c>
      <c r="B1164" s="94" t="s">
        <v>2884</v>
      </c>
      <c r="C1164" s="94" t="s">
        <v>1799</v>
      </c>
      <c r="D1164" s="152" t="s">
        <v>2737</v>
      </c>
      <c r="E1164" s="153"/>
      <c r="F1164" s="94" t="s">
        <v>2850</v>
      </c>
      <c r="G1164" s="73">
        <v>2</v>
      </c>
      <c r="H1164" s="51">
        <v>0</v>
      </c>
      <c r="I1164" s="5"/>
    </row>
    <row r="1165" spans="1:9" ht="12.75">
      <c r="A1165" s="4" t="s">
        <v>661</v>
      </c>
      <c r="B1165" s="94" t="s">
        <v>2884</v>
      </c>
      <c r="C1165" s="94" t="s">
        <v>1800</v>
      </c>
      <c r="D1165" s="152" t="s">
        <v>2738</v>
      </c>
      <c r="E1165" s="153"/>
      <c r="F1165" s="94" t="s">
        <v>2850</v>
      </c>
      <c r="G1165" s="73">
        <v>2</v>
      </c>
      <c r="H1165" s="51">
        <v>0</v>
      </c>
      <c r="I1165" s="5"/>
    </row>
    <row r="1166" spans="1:9" ht="12.75">
      <c r="A1166" s="4" t="s">
        <v>662</v>
      </c>
      <c r="B1166" s="94" t="s">
        <v>2884</v>
      </c>
      <c r="C1166" s="94" t="s">
        <v>1801</v>
      </c>
      <c r="D1166" s="152" t="s">
        <v>2739</v>
      </c>
      <c r="E1166" s="153"/>
      <c r="F1166" s="94" t="s">
        <v>2850</v>
      </c>
      <c r="G1166" s="73">
        <v>2</v>
      </c>
      <c r="H1166" s="51">
        <v>0</v>
      </c>
      <c r="I1166" s="5"/>
    </row>
    <row r="1167" spans="1:9" ht="12.75">
      <c r="A1167" s="4" t="s">
        <v>663</v>
      </c>
      <c r="B1167" s="94" t="s">
        <v>2884</v>
      </c>
      <c r="C1167" s="94" t="s">
        <v>1802</v>
      </c>
      <c r="D1167" s="152" t="s">
        <v>2740</v>
      </c>
      <c r="E1167" s="153"/>
      <c r="F1167" s="94" t="s">
        <v>2850</v>
      </c>
      <c r="G1167" s="73">
        <v>2</v>
      </c>
      <c r="H1167" s="51">
        <v>0</v>
      </c>
      <c r="I1167" s="5"/>
    </row>
    <row r="1168" spans="1:9" ht="12.75">
      <c r="A1168" s="4" t="s">
        <v>664</v>
      </c>
      <c r="B1168" s="94" t="s">
        <v>2884</v>
      </c>
      <c r="C1168" s="94" t="s">
        <v>1803</v>
      </c>
      <c r="D1168" s="152" t="s">
        <v>2189</v>
      </c>
      <c r="E1168" s="153"/>
      <c r="F1168" s="94" t="s">
        <v>2852</v>
      </c>
      <c r="G1168" s="73">
        <v>50</v>
      </c>
      <c r="H1168" s="51">
        <v>0</v>
      </c>
      <c r="I1168" s="5"/>
    </row>
    <row r="1169" spans="1:9" ht="12.75">
      <c r="A1169" s="4" t="s">
        <v>665</v>
      </c>
      <c r="B1169" s="94" t="s">
        <v>2884</v>
      </c>
      <c r="C1169" s="94" t="s">
        <v>1804</v>
      </c>
      <c r="D1169" s="152" t="s">
        <v>2741</v>
      </c>
      <c r="E1169" s="153"/>
      <c r="F1169" s="94" t="s">
        <v>2851</v>
      </c>
      <c r="G1169" s="73">
        <v>22.5</v>
      </c>
      <c r="H1169" s="51">
        <v>0</v>
      </c>
      <c r="I1169" s="5"/>
    </row>
    <row r="1170" spans="1:9" ht="12.75">
      <c r="A1170" s="4" t="s">
        <v>666</v>
      </c>
      <c r="B1170" s="94" t="s">
        <v>2884</v>
      </c>
      <c r="C1170" s="94" t="s">
        <v>1805</v>
      </c>
      <c r="D1170" s="152" t="s">
        <v>2742</v>
      </c>
      <c r="E1170" s="153"/>
      <c r="F1170" s="94" t="s">
        <v>2851</v>
      </c>
      <c r="G1170" s="73">
        <v>22.5</v>
      </c>
      <c r="H1170" s="51">
        <v>0</v>
      </c>
      <c r="I1170" s="5"/>
    </row>
    <row r="1171" spans="1:9" ht="12.75">
      <c r="A1171" s="4" t="s">
        <v>667</v>
      </c>
      <c r="B1171" s="94" t="s">
        <v>2884</v>
      </c>
      <c r="C1171" s="94" t="s">
        <v>1806</v>
      </c>
      <c r="D1171" s="152" t="s">
        <v>2743</v>
      </c>
      <c r="E1171" s="153"/>
      <c r="F1171" s="94" t="s">
        <v>2851</v>
      </c>
      <c r="G1171" s="73">
        <v>22.5</v>
      </c>
      <c r="H1171" s="51">
        <v>0</v>
      </c>
      <c r="I1171" s="5"/>
    </row>
    <row r="1172" spans="1:9" ht="12.75">
      <c r="A1172" s="4" t="s">
        <v>668</v>
      </c>
      <c r="B1172" s="94" t="s">
        <v>2884</v>
      </c>
      <c r="C1172" s="94" t="s">
        <v>1807</v>
      </c>
      <c r="D1172" s="152" t="s">
        <v>2744</v>
      </c>
      <c r="E1172" s="153"/>
      <c r="F1172" s="94" t="s">
        <v>2850</v>
      </c>
      <c r="G1172" s="73">
        <v>2</v>
      </c>
      <c r="H1172" s="51">
        <v>0</v>
      </c>
      <c r="I1172" s="5"/>
    </row>
    <row r="1173" spans="1:9" ht="12.75">
      <c r="A1173" s="4" t="s">
        <v>669</v>
      </c>
      <c r="B1173" s="94" t="s">
        <v>2884</v>
      </c>
      <c r="C1173" s="94" t="s">
        <v>1808</v>
      </c>
      <c r="D1173" s="152" t="s">
        <v>2745</v>
      </c>
      <c r="E1173" s="153"/>
      <c r="F1173" s="94" t="s">
        <v>2850</v>
      </c>
      <c r="G1173" s="73">
        <v>2</v>
      </c>
      <c r="H1173" s="51">
        <v>0</v>
      </c>
      <c r="I1173" s="5"/>
    </row>
    <row r="1174" spans="1:9" ht="12.75">
      <c r="A1174" s="4" t="s">
        <v>670</v>
      </c>
      <c r="B1174" s="94" t="s">
        <v>2884</v>
      </c>
      <c r="C1174" s="94" t="s">
        <v>1809</v>
      </c>
      <c r="D1174" s="152" t="s">
        <v>2194</v>
      </c>
      <c r="E1174" s="153"/>
      <c r="F1174" s="94" t="s">
        <v>2850</v>
      </c>
      <c r="G1174" s="73">
        <v>1</v>
      </c>
      <c r="H1174" s="51">
        <v>0</v>
      </c>
      <c r="I1174" s="5"/>
    </row>
    <row r="1175" spans="1:9" ht="12.75">
      <c r="A1175" s="4" t="s">
        <v>671</v>
      </c>
      <c r="B1175" s="94" t="s">
        <v>2884</v>
      </c>
      <c r="C1175" s="94" t="s">
        <v>1810</v>
      </c>
      <c r="D1175" s="152" t="s">
        <v>2195</v>
      </c>
      <c r="E1175" s="153"/>
      <c r="F1175" s="94" t="s">
        <v>2850</v>
      </c>
      <c r="G1175" s="73">
        <v>1</v>
      </c>
      <c r="H1175" s="51">
        <v>0</v>
      </c>
      <c r="I1175" s="5"/>
    </row>
    <row r="1176" spans="1:9" ht="12.75">
      <c r="A1176" s="4" t="s">
        <v>672</v>
      </c>
      <c r="B1176" s="94" t="s">
        <v>2884</v>
      </c>
      <c r="C1176" s="94" t="s">
        <v>1811</v>
      </c>
      <c r="D1176" s="152" t="s">
        <v>2196</v>
      </c>
      <c r="E1176" s="153"/>
      <c r="F1176" s="94" t="s">
        <v>2850</v>
      </c>
      <c r="G1176" s="73">
        <v>1</v>
      </c>
      <c r="H1176" s="51">
        <v>0</v>
      </c>
      <c r="I1176" s="5"/>
    </row>
    <row r="1177" spans="1:9" ht="12.75">
      <c r="A1177" s="4" t="s">
        <v>673</v>
      </c>
      <c r="B1177" s="94" t="s">
        <v>2885</v>
      </c>
      <c r="C1177" s="94" t="s">
        <v>1812</v>
      </c>
      <c r="D1177" s="152" t="s">
        <v>2747</v>
      </c>
      <c r="E1177" s="153"/>
      <c r="F1177" s="94" t="s">
        <v>2851</v>
      </c>
      <c r="G1177" s="73">
        <v>2.5</v>
      </c>
      <c r="H1177" s="51">
        <v>0</v>
      </c>
      <c r="I1177" s="5"/>
    </row>
    <row r="1178" spans="1:9" ht="12.75">
      <c r="A1178" s="4" t="s">
        <v>674</v>
      </c>
      <c r="B1178" s="94" t="s">
        <v>2885</v>
      </c>
      <c r="C1178" s="94" t="s">
        <v>1813</v>
      </c>
      <c r="D1178" s="152" t="s">
        <v>2748</v>
      </c>
      <c r="E1178" s="153"/>
      <c r="F1178" s="94" t="s">
        <v>2851</v>
      </c>
      <c r="G1178" s="73">
        <v>2.5</v>
      </c>
      <c r="H1178" s="51">
        <v>0</v>
      </c>
      <c r="I1178" s="5"/>
    </row>
    <row r="1179" spans="1:9" ht="12.75">
      <c r="A1179" s="4" t="s">
        <v>675</v>
      </c>
      <c r="B1179" s="94" t="s">
        <v>2885</v>
      </c>
      <c r="C1179" s="94" t="s">
        <v>1814</v>
      </c>
      <c r="D1179" s="152" t="s">
        <v>2749</v>
      </c>
      <c r="E1179" s="153"/>
      <c r="F1179" s="94" t="s">
        <v>2851</v>
      </c>
      <c r="G1179" s="73">
        <v>17.5</v>
      </c>
      <c r="H1179" s="51">
        <v>0</v>
      </c>
      <c r="I1179" s="5"/>
    </row>
    <row r="1180" spans="1:9" ht="12.75">
      <c r="A1180" s="4" t="s">
        <v>676</v>
      </c>
      <c r="B1180" s="94" t="s">
        <v>2885</v>
      </c>
      <c r="C1180" s="94" t="s">
        <v>1815</v>
      </c>
      <c r="D1180" s="152" t="s">
        <v>2750</v>
      </c>
      <c r="E1180" s="153"/>
      <c r="F1180" s="94" t="s">
        <v>2850</v>
      </c>
      <c r="G1180" s="73">
        <v>3</v>
      </c>
      <c r="H1180" s="51">
        <v>0</v>
      </c>
      <c r="I1180" s="5"/>
    </row>
    <row r="1181" spans="1:9" ht="12.75">
      <c r="A1181" s="4" t="s">
        <v>677</v>
      </c>
      <c r="B1181" s="94" t="s">
        <v>2885</v>
      </c>
      <c r="C1181" s="94" t="s">
        <v>1816</v>
      </c>
      <c r="D1181" s="152" t="s">
        <v>2722</v>
      </c>
      <c r="E1181" s="153"/>
      <c r="F1181" s="94" t="s">
        <v>2851</v>
      </c>
      <c r="G1181" s="73">
        <v>17.5</v>
      </c>
      <c r="H1181" s="51">
        <v>0</v>
      </c>
      <c r="I1181" s="5"/>
    </row>
    <row r="1182" spans="1:9" ht="12.75">
      <c r="A1182" s="4" t="s">
        <v>678</v>
      </c>
      <c r="B1182" s="94" t="s">
        <v>2885</v>
      </c>
      <c r="C1182" s="94" t="s">
        <v>1817</v>
      </c>
      <c r="D1182" s="152" t="s">
        <v>2724</v>
      </c>
      <c r="E1182" s="153"/>
      <c r="F1182" s="94" t="s">
        <v>2851</v>
      </c>
      <c r="G1182" s="73">
        <v>17.5</v>
      </c>
      <c r="H1182" s="51">
        <v>0</v>
      </c>
      <c r="I1182" s="5"/>
    </row>
    <row r="1183" spans="1:9" ht="12.75">
      <c r="A1183" s="4" t="s">
        <v>679</v>
      </c>
      <c r="B1183" s="94" t="s">
        <v>2885</v>
      </c>
      <c r="C1183" s="94" t="s">
        <v>1818</v>
      </c>
      <c r="D1183" s="152" t="s">
        <v>2725</v>
      </c>
      <c r="E1183" s="153"/>
      <c r="F1183" s="94" t="s">
        <v>2847</v>
      </c>
      <c r="G1183" s="73">
        <v>2</v>
      </c>
      <c r="H1183" s="51">
        <v>0</v>
      </c>
      <c r="I1183" s="5"/>
    </row>
    <row r="1184" spans="1:9" ht="12.75">
      <c r="A1184" s="4" t="s">
        <v>680</v>
      </c>
      <c r="B1184" s="94" t="s">
        <v>2885</v>
      </c>
      <c r="C1184" s="94" t="s">
        <v>1819</v>
      </c>
      <c r="D1184" s="152" t="s">
        <v>2751</v>
      </c>
      <c r="E1184" s="153"/>
      <c r="F1184" s="94" t="s">
        <v>2847</v>
      </c>
      <c r="G1184" s="73">
        <v>6</v>
      </c>
      <c r="H1184" s="51">
        <v>0</v>
      </c>
      <c r="I1184" s="5"/>
    </row>
    <row r="1185" spans="1:9" ht="12.75">
      <c r="A1185" s="4" t="s">
        <v>681</v>
      </c>
      <c r="B1185" s="94" t="s">
        <v>2885</v>
      </c>
      <c r="C1185" s="94" t="s">
        <v>1820</v>
      </c>
      <c r="D1185" s="152" t="s">
        <v>2727</v>
      </c>
      <c r="E1185" s="153"/>
      <c r="F1185" s="94" t="s">
        <v>2847</v>
      </c>
      <c r="G1185" s="73">
        <v>38.5</v>
      </c>
      <c r="H1185" s="51">
        <v>0</v>
      </c>
      <c r="I1185" s="5"/>
    </row>
    <row r="1186" spans="1:9" ht="12.75">
      <c r="A1186" s="4" t="s">
        <v>682</v>
      </c>
      <c r="B1186" s="94" t="s">
        <v>2885</v>
      </c>
      <c r="C1186" s="94" t="s">
        <v>1821</v>
      </c>
      <c r="D1186" s="152" t="s">
        <v>2752</v>
      </c>
      <c r="E1186" s="153"/>
      <c r="F1186" s="94" t="s">
        <v>2851</v>
      </c>
      <c r="G1186" s="73">
        <v>17.5</v>
      </c>
      <c r="H1186" s="51">
        <v>0</v>
      </c>
      <c r="I1186" s="5"/>
    </row>
    <row r="1187" spans="1:9" ht="12.75">
      <c r="A1187" s="4" t="s">
        <v>683</v>
      </c>
      <c r="B1187" s="94" t="s">
        <v>2885</v>
      </c>
      <c r="C1187" s="94" t="s">
        <v>1822</v>
      </c>
      <c r="D1187" s="152" t="s">
        <v>2753</v>
      </c>
      <c r="E1187" s="153"/>
      <c r="F1187" s="94" t="s">
        <v>2850</v>
      </c>
      <c r="G1187" s="73">
        <v>3</v>
      </c>
      <c r="H1187" s="51">
        <v>0</v>
      </c>
      <c r="I1187" s="5"/>
    </row>
    <row r="1188" spans="1:9" ht="12.75">
      <c r="A1188" s="4" t="s">
        <v>684</v>
      </c>
      <c r="B1188" s="94" t="s">
        <v>2885</v>
      </c>
      <c r="C1188" s="94" t="s">
        <v>1823</v>
      </c>
      <c r="D1188" s="152" t="s">
        <v>2189</v>
      </c>
      <c r="E1188" s="153"/>
      <c r="F1188" s="94" t="s">
        <v>2852</v>
      </c>
      <c r="G1188" s="73">
        <v>30</v>
      </c>
      <c r="H1188" s="51">
        <v>0</v>
      </c>
      <c r="I1188" s="5"/>
    </row>
    <row r="1189" spans="1:9" ht="12.75">
      <c r="A1189" s="4" t="s">
        <v>685</v>
      </c>
      <c r="B1189" s="94" t="s">
        <v>2885</v>
      </c>
      <c r="C1189" s="94" t="s">
        <v>1824</v>
      </c>
      <c r="D1189" s="152" t="s">
        <v>2754</v>
      </c>
      <c r="E1189" s="153"/>
      <c r="F1189" s="94" t="s">
        <v>2851</v>
      </c>
      <c r="G1189" s="73">
        <v>17.5</v>
      </c>
      <c r="H1189" s="51">
        <v>0</v>
      </c>
      <c r="I1189" s="5"/>
    </row>
    <row r="1190" spans="1:9" ht="12.75">
      <c r="A1190" s="4" t="s">
        <v>686</v>
      </c>
      <c r="B1190" s="94" t="s">
        <v>2885</v>
      </c>
      <c r="C1190" s="94" t="s">
        <v>1825</v>
      </c>
      <c r="D1190" s="152" t="s">
        <v>2755</v>
      </c>
      <c r="E1190" s="153"/>
      <c r="F1190" s="94" t="s">
        <v>2851</v>
      </c>
      <c r="G1190" s="73">
        <v>17.5</v>
      </c>
      <c r="H1190" s="51">
        <v>0</v>
      </c>
      <c r="I1190" s="5"/>
    </row>
    <row r="1191" spans="1:9" ht="12.75">
      <c r="A1191" s="4" t="s">
        <v>687</v>
      </c>
      <c r="B1191" s="94" t="s">
        <v>2885</v>
      </c>
      <c r="C1191" s="94" t="s">
        <v>1826</v>
      </c>
      <c r="D1191" s="152" t="s">
        <v>2756</v>
      </c>
      <c r="E1191" s="153"/>
      <c r="F1191" s="94" t="s">
        <v>2851</v>
      </c>
      <c r="G1191" s="73">
        <v>17.5</v>
      </c>
      <c r="H1191" s="51">
        <v>0</v>
      </c>
      <c r="I1191" s="5"/>
    </row>
    <row r="1192" spans="1:9" ht="12.75">
      <c r="A1192" s="4" t="s">
        <v>688</v>
      </c>
      <c r="B1192" s="94" t="s">
        <v>2885</v>
      </c>
      <c r="C1192" s="94" t="s">
        <v>1827</v>
      </c>
      <c r="D1192" s="152" t="s">
        <v>2757</v>
      </c>
      <c r="E1192" s="153"/>
      <c r="F1192" s="94" t="s">
        <v>2850</v>
      </c>
      <c r="G1192" s="73">
        <v>1</v>
      </c>
      <c r="H1192" s="51">
        <v>0</v>
      </c>
      <c r="I1192" s="5"/>
    </row>
    <row r="1193" spans="1:9" ht="12.75">
      <c r="A1193" s="4" t="s">
        <v>689</v>
      </c>
      <c r="B1193" s="94" t="s">
        <v>2885</v>
      </c>
      <c r="C1193" s="94" t="s">
        <v>1828</v>
      </c>
      <c r="D1193" s="152" t="s">
        <v>2758</v>
      </c>
      <c r="E1193" s="153"/>
      <c r="F1193" s="94" t="s">
        <v>2850</v>
      </c>
      <c r="G1193" s="73">
        <v>3</v>
      </c>
      <c r="H1193" s="51">
        <v>0</v>
      </c>
      <c r="I1193" s="5"/>
    </row>
    <row r="1194" spans="1:9" ht="12.75">
      <c r="A1194" s="4" t="s">
        <v>690</v>
      </c>
      <c r="B1194" s="94" t="s">
        <v>2885</v>
      </c>
      <c r="C1194" s="94" t="s">
        <v>1829</v>
      </c>
      <c r="D1194" s="152" t="s">
        <v>2745</v>
      </c>
      <c r="E1194" s="153"/>
      <c r="F1194" s="94" t="s">
        <v>2850</v>
      </c>
      <c r="G1194" s="73">
        <v>1</v>
      </c>
      <c r="H1194" s="51">
        <v>0</v>
      </c>
      <c r="I1194" s="5"/>
    </row>
    <row r="1195" spans="1:9" ht="12.75">
      <c r="A1195" s="4" t="s">
        <v>691</v>
      </c>
      <c r="B1195" s="94" t="s">
        <v>2885</v>
      </c>
      <c r="C1195" s="94" t="s">
        <v>1830</v>
      </c>
      <c r="D1195" s="152" t="s">
        <v>2194</v>
      </c>
      <c r="E1195" s="153"/>
      <c r="F1195" s="94" t="s">
        <v>2850</v>
      </c>
      <c r="G1195" s="73">
        <v>1</v>
      </c>
      <c r="H1195" s="51">
        <v>0</v>
      </c>
      <c r="I1195" s="5"/>
    </row>
    <row r="1196" spans="1:9" ht="12.75">
      <c r="A1196" s="4" t="s">
        <v>692</v>
      </c>
      <c r="B1196" s="94" t="s">
        <v>2885</v>
      </c>
      <c r="C1196" s="94" t="s">
        <v>1831</v>
      </c>
      <c r="D1196" s="152" t="s">
        <v>2195</v>
      </c>
      <c r="E1196" s="153"/>
      <c r="F1196" s="94" t="s">
        <v>2850</v>
      </c>
      <c r="G1196" s="73">
        <v>1</v>
      </c>
      <c r="H1196" s="51">
        <v>0</v>
      </c>
      <c r="I1196" s="5"/>
    </row>
    <row r="1197" spans="1:9" ht="12.75">
      <c r="A1197" s="4" t="s">
        <v>693</v>
      </c>
      <c r="B1197" s="94" t="s">
        <v>2885</v>
      </c>
      <c r="C1197" s="94" t="s">
        <v>1832</v>
      </c>
      <c r="D1197" s="152" t="s">
        <v>2196</v>
      </c>
      <c r="E1197" s="153"/>
      <c r="F1197" s="94" t="s">
        <v>2850</v>
      </c>
      <c r="G1197" s="73">
        <v>1</v>
      </c>
      <c r="H1197" s="51">
        <v>0</v>
      </c>
      <c r="I1197" s="5"/>
    </row>
    <row r="1198" spans="1:9" ht="12.75">
      <c r="A1198" s="4" t="s">
        <v>694</v>
      </c>
      <c r="B1198" s="94" t="s">
        <v>2886</v>
      </c>
      <c r="C1198" s="94" t="s">
        <v>1833</v>
      </c>
      <c r="D1198" s="152" t="s">
        <v>2720</v>
      </c>
      <c r="E1198" s="153"/>
      <c r="F1198" s="94" t="s">
        <v>2851</v>
      </c>
      <c r="G1198" s="73">
        <v>10.5</v>
      </c>
      <c r="H1198" s="51">
        <v>0</v>
      </c>
      <c r="I1198" s="5"/>
    </row>
    <row r="1199" spans="1:9" ht="12.75">
      <c r="A1199" s="4" t="s">
        <v>695</v>
      </c>
      <c r="B1199" s="94" t="s">
        <v>2886</v>
      </c>
      <c r="C1199" s="94" t="s">
        <v>1834</v>
      </c>
      <c r="D1199" s="152" t="s">
        <v>2722</v>
      </c>
      <c r="E1199" s="153"/>
      <c r="F1199" s="94" t="s">
        <v>2851</v>
      </c>
      <c r="G1199" s="73">
        <v>10.5</v>
      </c>
      <c r="H1199" s="51">
        <v>0</v>
      </c>
      <c r="I1199" s="5"/>
    </row>
    <row r="1200" spans="1:9" ht="12.75">
      <c r="A1200" s="4" t="s">
        <v>696</v>
      </c>
      <c r="B1200" s="94" t="s">
        <v>2886</v>
      </c>
      <c r="C1200" s="94" t="s">
        <v>1835</v>
      </c>
      <c r="D1200" s="152" t="s">
        <v>2760</v>
      </c>
      <c r="E1200" s="153"/>
      <c r="F1200" s="94" t="s">
        <v>2851</v>
      </c>
      <c r="G1200" s="73">
        <v>10.5</v>
      </c>
      <c r="H1200" s="51">
        <v>0</v>
      </c>
      <c r="I1200" s="5"/>
    </row>
    <row r="1201" spans="1:9" ht="12.75">
      <c r="A1201" s="4" t="s">
        <v>697</v>
      </c>
      <c r="B1201" s="94" t="s">
        <v>2886</v>
      </c>
      <c r="C1201" s="94" t="s">
        <v>1836</v>
      </c>
      <c r="D1201" s="152" t="s">
        <v>2724</v>
      </c>
      <c r="E1201" s="153"/>
      <c r="F1201" s="94" t="s">
        <v>2851</v>
      </c>
      <c r="G1201" s="73">
        <v>10.5</v>
      </c>
      <c r="H1201" s="51">
        <v>0</v>
      </c>
      <c r="I1201" s="5"/>
    </row>
    <row r="1202" spans="1:9" ht="12.75">
      <c r="A1202" s="4" t="s">
        <v>698</v>
      </c>
      <c r="B1202" s="94" t="s">
        <v>2886</v>
      </c>
      <c r="C1202" s="94" t="s">
        <v>1837</v>
      </c>
      <c r="D1202" s="152" t="s">
        <v>2761</v>
      </c>
      <c r="E1202" s="153"/>
      <c r="F1202" s="94" t="s">
        <v>2847</v>
      </c>
      <c r="G1202" s="73">
        <v>1</v>
      </c>
      <c r="H1202" s="51">
        <v>0</v>
      </c>
      <c r="I1202" s="5"/>
    </row>
    <row r="1203" spans="1:9" ht="12.75">
      <c r="A1203" s="4" t="s">
        <v>699</v>
      </c>
      <c r="B1203" s="94" t="s">
        <v>2886</v>
      </c>
      <c r="C1203" s="94" t="s">
        <v>1838</v>
      </c>
      <c r="D1203" s="152" t="s">
        <v>2726</v>
      </c>
      <c r="E1203" s="153"/>
      <c r="F1203" s="94" t="s">
        <v>2847</v>
      </c>
      <c r="G1203" s="73">
        <v>1</v>
      </c>
      <c r="H1203" s="51">
        <v>0</v>
      </c>
      <c r="I1203" s="5"/>
    </row>
    <row r="1204" spans="1:9" ht="12.75">
      <c r="A1204" s="4" t="s">
        <v>700</v>
      </c>
      <c r="B1204" s="94" t="s">
        <v>2886</v>
      </c>
      <c r="C1204" s="94" t="s">
        <v>1839</v>
      </c>
      <c r="D1204" s="152" t="s">
        <v>2727</v>
      </c>
      <c r="E1204" s="153"/>
      <c r="F1204" s="94" t="s">
        <v>2847</v>
      </c>
      <c r="G1204" s="73">
        <v>10.5</v>
      </c>
      <c r="H1204" s="51">
        <v>0</v>
      </c>
      <c r="I1204" s="5"/>
    </row>
    <row r="1205" spans="1:9" ht="12.75">
      <c r="A1205" s="4" t="s">
        <v>701</v>
      </c>
      <c r="B1205" s="94" t="s">
        <v>2886</v>
      </c>
      <c r="C1205" s="94" t="s">
        <v>1840</v>
      </c>
      <c r="D1205" s="152" t="s">
        <v>2762</v>
      </c>
      <c r="E1205" s="153"/>
      <c r="F1205" s="94" t="s">
        <v>2851</v>
      </c>
      <c r="G1205" s="73">
        <v>10.5</v>
      </c>
      <c r="H1205" s="51">
        <v>0</v>
      </c>
      <c r="I1205" s="5"/>
    </row>
    <row r="1206" spans="1:9" ht="12.75">
      <c r="A1206" s="4" t="s">
        <v>702</v>
      </c>
      <c r="B1206" s="94" t="s">
        <v>2886</v>
      </c>
      <c r="C1206" s="94" t="s">
        <v>1841</v>
      </c>
      <c r="D1206" s="152" t="s">
        <v>2729</v>
      </c>
      <c r="E1206" s="153"/>
      <c r="F1206" s="94" t="s">
        <v>2851</v>
      </c>
      <c r="G1206" s="73">
        <v>2.5</v>
      </c>
      <c r="H1206" s="51">
        <v>0</v>
      </c>
      <c r="I1206" s="5"/>
    </row>
    <row r="1207" spans="1:9" ht="12.75">
      <c r="A1207" s="4" t="s">
        <v>703</v>
      </c>
      <c r="B1207" s="94" t="s">
        <v>2886</v>
      </c>
      <c r="C1207" s="94" t="s">
        <v>1842</v>
      </c>
      <c r="D1207" s="152" t="s">
        <v>2763</v>
      </c>
      <c r="E1207" s="153"/>
      <c r="F1207" s="94" t="s">
        <v>2850</v>
      </c>
      <c r="G1207" s="73">
        <v>2</v>
      </c>
      <c r="H1207" s="51">
        <v>0</v>
      </c>
      <c r="I1207" s="5"/>
    </row>
    <row r="1208" spans="1:9" ht="12.75">
      <c r="A1208" s="4" t="s">
        <v>704</v>
      </c>
      <c r="B1208" s="94" t="s">
        <v>2886</v>
      </c>
      <c r="C1208" s="94" t="s">
        <v>1843</v>
      </c>
      <c r="D1208" s="152" t="s">
        <v>2764</v>
      </c>
      <c r="E1208" s="153"/>
      <c r="F1208" s="94" t="s">
        <v>2850</v>
      </c>
      <c r="G1208" s="73">
        <v>1</v>
      </c>
      <c r="H1208" s="51">
        <v>0</v>
      </c>
      <c r="I1208" s="5"/>
    </row>
    <row r="1209" spans="1:9" ht="12.75">
      <c r="A1209" s="4" t="s">
        <v>705</v>
      </c>
      <c r="B1209" s="94" t="s">
        <v>2886</v>
      </c>
      <c r="C1209" s="94" t="s">
        <v>1844</v>
      </c>
      <c r="D1209" s="152" t="s">
        <v>2735</v>
      </c>
      <c r="E1209" s="153"/>
      <c r="F1209" s="94" t="s">
        <v>2850</v>
      </c>
      <c r="G1209" s="73">
        <v>2</v>
      </c>
      <c r="H1209" s="51">
        <v>0</v>
      </c>
      <c r="I1209" s="5"/>
    </row>
    <row r="1210" spans="1:9" ht="12.75">
      <c r="A1210" s="4" t="s">
        <v>706</v>
      </c>
      <c r="B1210" s="94" t="s">
        <v>2886</v>
      </c>
      <c r="C1210" s="94" t="s">
        <v>1845</v>
      </c>
      <c r="D1210" s="152" t="s">
        <v>2736</v>
      </c>
      <c r="E1210" s="153"/>
      <c r="F1210" s="94" t="s">
        <v>2850</v>
      </c>
      <c r="G1210" s="73">
        <v>2</v>
      </c>
      <c r="H1210" s="51">
        <v>0</v>
      </c>
      <c r="I1210" s="5"/>
    </row>
    <row r="1211" spans="1:9" ht="12.75">
      <c r="A1211" s="4" t="s">
        <v>707</v>
      </c>
      <c r="B1211" s="94" t="s">
        <v>2886</v>
      </c>
      <c r="C1211" s="94" t="s">
        <v>1846</v>
      </c>
      <c r="D1211" s="152" t="s">
        <v>2737</v>
      </c>
      <c r="E1211" s="153"/>
      <c r="F1211" s="94" t="s">
        <v>2850</v>
      </c>
      <c r="G1211" s="73">
        <v>2</v>
      </c>
      <c r="H1211" s="51">
        <v>0</v>
      </c>
      <c r="I1211" s="5"/>
    </row>
    <row r="1212" spans="1:9" ht="12.75">
      <c r="A1212" s="4" t="s">
        <v>708</v>
      </c>
      <c r="B1212" s="94" t="s">
        <v>2886</v>
      </c>
      <c r="C1212" s="94" t="s">
        <v>1847</v>
      </c>
      <c r="D1212" s="152" t="s">
        <v>2765</v>
      </c>
      <c r="E1212" s="153"/>
      <c r="F1212" s="94" t="s">
        <v>2850</v>
      </c>
      <c r="G1212" s="73">
        <v>2</v>
      </c>
      <c r="H1212" s="51">
        <v>0</v>
      </c>
      <c r="I1212" s="5"/>
    </row>
    <row r="1213" spans="1:9" ht="12.75">
      <c r="A1213" s="4" t="s">
        <v>709</v>
      </c>
      <c r="B1213" s="94" t="s">
        <v>2886</v>
      </c>
      <c r="C1213" s="94" t="s">
        <v>1848</v>
      </c>
      <c r="D1213" s="152" t="s">
        <v>2766</v>
      </c>
      <c r="E1213" s="153"/>
      <c r="F1213" s="94" t="s">
        <v>2850</v>
      </c>
      <c r="G1213" s="73">
        <v>1</v>
      </c>
      <c r="H1213" s="51">
        <v>0</v>
      </c>
      <c r="I1213" s="5"/>
    </row>
    <row r="1214" spans="1:9" ht="12.75">
      <c r="A1214" s="4" t="s">
        <v>710</v>
      </c>
      <c r="B1214" s="94" t="s">
        <v>2886</v>
      </c>
      <c r="C1214" s="94" t="s">
        <v>1849</v>
      </c>
      <c r="D1214" s="152" t="s">
        <v>2767</v>
      </c>
      <c r="E1214" s="153"/>
      <c r="F1214" s="94" t="s">
        <v>2850</v>
      </c>
      <c r="G1214" s="73">
        <v>2</v>
      </c>
      <c r="H1214" s="51">
        <v>0</v>
      </c>
      <c r="I1214" s="5"/>
    </row>
    <row r="1215" spans="1:9" ht="12.75">
      <c r="A1215" s="4" t="s">
        <v>711</v>
      </c>
      <c r="B1215" s="94" t="s">
        <v>2886</v>
      </c>
      <c r="C1215" s="94" t="s">
        <v>1850</v>
      </c>
      <c r="D1215" s="152" t="s">
        <v>2768</v>
      </c>
      <c r="E1215" s="153"/>
      <c r="F1215" s="94" t="s">
        <v>2850</v>
      </c>
      <c r="G1215" s="73">
        <v>2</v>
      </c>
      <c r="H1215" s="51">
        <v>0</v>
      </c>
      <c r="I1215" s="5"/>
    </row>
    <row r="1216" spans="1:9" ht="12.75">
      <c r="A1216" s="4" t="s">
        <v>712</v>
      </c>
      <c r="B1216" s="94" t="s">
        <v>2886</v>
      </c>
      <c r="C1216" s="94" t="s">
        <v>1851</v>
      </c>
      <c r="D1216" s="152" t="s">
        <v>2769</v>
      </c>
      <c r="E1216" s="153"/>
      <c r="F1216" s="94" t="s">
        <v>2850</v>
      </c>
      <c r="G1216" s="73">
        <v>2</v>
      </c>
      <c r="H1216" s="51">
        <v>0</v>
      </c>
      <c r="I1216" s="5"/>
    </row>
    <row r="1217" spans="1:9" ht="12.75">
      <c r="A1217" s="4" t="s">
        <v>713</v>
      </c>
      <c r="B1217" s="94" t="s">
        <v>2886</v>
      </c>
      <c r="C1217" s="94" t="s">
        <v>1852</v>
      </c>
      <c r="D1217" s="152" t="s">
        <v>2770</v>
      </c>
      <c r="E1217" s="153"/>
      <c r="F1217" s="94" t="s">
        <v>2850</v>
      </c>
      <c r="G1217" s="73">
        <v>1</v>
      </c>
      <c r="H1217" s="51">
        <v>0</v>
      </c>
      <c r="I1217" s="5"/>
    </row>
    <row r="1218" spans="1:9" ht="12.75">
      <c r="A1218" s="4" t="s">
        <v>714</v>
      </c>
      <c r="B1218" s="94" t="s">
        <v>2886</v>
      </c>
      <c r="C1218" s="94" t="s">
        <v>1853</v>
      </c>
      <c r="D1218" s="152" t="s">
        <v>2771</v>
      </c>
      <c r="E1218" s="153"/>
      <c r="F1218" s="94" t="s">
        <v>2850</v>
      </c>
      <c r="G1218" s="73">
        <v>1</v>
      </c>
      <c r="H1218" s="51">
        <v>0</v>
      </c>
      <c r="I1218" s="5"/>
    </row>
    <row r="1219" spans="1:9" ht="12.75">
      <c r="A1219" s="4" t="s">
        <v>715</v>
      </c>
      <c r="B1219" s="94" t="s">
        <v>2886</v>
      </c>
      <c r="C1219" s="94" t="s">
        <v>1854</v>
      </c>
      <c r="D1219" s="152" t="s">
        <v>2772</v>
      </c>
      <c r="E1219" s="153"/>
      <c r="F1219" s="94" t="s">
        <v>2850</v>
      </c>
      <c r="G1219" s="73">
        <v>1</v>
      </c>
      <c r="H1219" s="51">
        <v>0</v>
      </c>
      <c r="I1219" s="5"/>
    </row>
    <row r="1220" spans="1:9" ht="12.75">
      <c r="A1220" s="4" t="s">
        <v>716</v>
      </c>
      <c r="B1220" s="94" t="s">
        <v>2886</v>
      </c>
      <c r="C1220" s="94" t="s">
        <v>1855</v>
      </c>
      <c r="D1220" s="152" t="s">
        <v>2773</v>
      </c>
      <c r="E1220" s="153"/>
      <c r="F1220" s="94" t="s">
        <v>2850</v>
      </c>
      <c r="G1220" s="73">
        <v>1</v>
      </c>
      <c r="H1220" s="51">
        <v>0</v>
      </c>
      <c r="I1220" s="5"/>
    </row>
    <row r="1221" spans="1:9" ht="12.75">
      <c r="A1221" s="4" t="s">
        <v>717</v>
      </c>
      <c r="B1221" s="94" t="s">
        <v>2886</v>
      </c>
      <c r="C1221" s="94" t="s">
        <v>1856</v>
      </c>
      <c r="D1221" s="152" t="s">
        <v>2774</v>
      </c>
      <c r="E1221" s="153"/>
      <c r="F1221" s="94" t="s">
        <v>2850</v>
      </c>
      <c r="G1221" s="73">
        <v>1</v>
      </c>
      <c r="H1221" s="51">
        <v>0</v>
      </c>
      <c r="I1221" s="5"/>
    </row>
    <row r="1222" spans="1:9" ht="12.75">
      <c r="A1222" s="4" t="s">
        <v>718</v>
      </c>
      <c r="B1222" s="94" t="s">
        <v>2886</v>
      </c>
      <c r="C1222" s="94" t="s">
        <v>1857</v>
      </c>
      <c r="D1222" s="152" t="s">
        <v>2775</v>
      </c>
      <c r="E1222" s="153"/>
      <c r="F1222" s="94" t="s">
        <v>2850</v>
      </c>
      <c r="G1222" s="73">
        <v>1</v>
      </c>
      <c r="H1222" s="51">
        <v>0</v>
      </c>
      <c r="I1222" s="5"/>
    </row>
    <row r="1223" spans="1:9" ht="12.75">
      <c r="A1223" s="4" t="s">
        <v>719</v>
      </c>
      <c r="B1223" s="94" t="s">
        <v>2886</v>
      </c>
      <c r="C1223" s="94" t="s">
        <v>1858</v>
      </c>
      <c r="D1223" s="152" t="s">
        <v>2776</v>
      </c>
      <c r="E1223" s="153"/>
      <c r="F1223" s="94" t="s">
        <v>2850</v>
      </c>
      <c r="G1223" s="73">
        <v>1</v>
      </c>
      <c r="H1223" s="51">
        <v>0</v>
      </c>
      <c r="I1223" s="5"/>
    </row>
    <row r="1224" spans="1:9" ht="12.75">
      <c r="A1224" s="4" t="s">
        <v>720</v>
      </c>
      <c r="B1224" s="94" t="s">
        <v>2886</v>
      </c>
      <c r="C1224" s="94" t="s">
        <v>1859</v>
      </c>
      <c r="D1224" s="152" t="s">
        <v>2732</v>
      </c>
      <c r="E1224" s="153"/>
      <c r="F1224" s="94" t="s">
        <v>2850</v>
      </c>
      <c r="G1224" s="73">
        <v>1</v>
      </c>
      <c r="H1224" s="51">
        <v>0</v>
      </c>
      <c r="I1224" s="5"/>
    </row>
    <row r="1225" spans="1:9" ht="12.75">
      <c r="A1225" s="4" t="s">
        <v>721</v>
      </c>
      <c r="B1225" s="94" t="s">
        <v>2886</v>
      </c>
      <c r="C1225" s="94" t="s">
        <v>1860</v>
      </c>
      <c r="D1225" s="152" t="s">
        <v>2777</v>
      </c>
      <c r="E1225" s="153"/>
      <c r="F1225" s="94" t="s">
        <v>2851</v>
      </c>
      <c r="G1225" s="73">
        <v>2.5</v>
      </c>
      <c r="H1225" s="51">
        <v>0</v>
      </c>
      <c r="I1225" s="5"/>
    </row>
    <row r="1226" spans="1:9" ht="12.75">
      <c r="A1226" s="4" t="s">
        <v>722</v>
      </c>
      <c r="B1226" s="94" t="s">
        <v>2886</v>
      </c>
      <c r="C1226" s="94" t="s">
        <v>1861</v>
      </c>
      <c r="D1226" s="152" t="s">
        <v>2778</v>
      </c>
      <c r="E1226" s="153"/>
      <c r="F1226" s="94" t="s">
        <v>2850</v>
      </c>
      <c r="G1226" s="73">
        <v>1</v>
      </c>
      <c r="H1226" s="51">
        <v>0</v>
      </c>
      <c r="I1226" s="5"/>
    </row>
    <row r="1227" spans="1:9" ht="12.75">
      <c r="A1227" s="4" t="s">
        <v>723</v>
      </c>
      <c r="B1227" s="94" t="s">
        <v>2886</v>
      </c>
      <c r="C1227" s="94" t="s">
        <v>1862</v>
      </c>
      <c r="D1227" s="152" t="s">
        <v>2779</v>
      </c>
      <c r="E1227" s="153"/>
      <c r="F1227" s="94" t="s">
        <v>2850</v>
      </c>
      <c r="G1227" s="73">
        <v>1</v>
      </c>
      <c r="H1227" s="51">
        <v>0</v>
      </c>
      <c r="I1227" s="5"/>
    </row>
    <row r="1228" spans="1:9" ht="12.75">
      <c r="A1228" s="4" t="s">
        <v>724</v>
      </c>
      <c r="B1228" s="94" t="s">
        <v>2886</v>
      </c>
      <c r="C1228" s="94" t="s">
        <v>1863</v>
      </c>
      <c r="D1228" s="152" t="s">
        <v>2189</v>
      </c>
      <c r="E1228" s="153"/>
      <c r="F1228" s="94" t="s">
        <v>2852</v>
      </c>
      <c r="G1228" s="73">
        <v>30</v>
      </c>
      <c r="H1228" s="51">
        <v>0</v>
      </c>
      <c r="I1228" s="5"/>
    </row>
    <row r="1229" spans="1:9" ht="12.75">
      <c r="A1229" s="4" t="s">
        <v>725</v>
      </c>
      <c r="B1229" s="94" t="s">
        <v>2886</v>
      </c>
      <c r="C1229" s="94" t="s">
        <v>1864</v>
      </c>
      <c r="D1229" s="152" t="s">
        <v>2780</v>
      </c>
      <c r="E1229" s="153"/>
      <c r="F1229" s="94" t="s">
        <v>2850</v>
      </c>
      <c r="G1229" s="73">
        <v>1</v>
      </c>
      <c r="H1229" s="51">
        <v>0</v>
      </c>
      <c r="I1229" s="5"/>
    </row>
    <row r="1230" spans="1:9" ht="12.75">
      <c r="A1230" s="4" t="s">
        <v>726</v>
      </c>
      <c r="B1230" s="94" t="s">
        <v>2886</v>
      </c>
      <c r="C1230" s="94" t="s">
        <v>1865</v>
      </c>
      <c r="D1230" s="152" t="s">
        <v>2781</v>
      </c>
      <c r="E1230" s="153"/>
      <c r="F1230" s="94" t="s">
        <v>2851</v>
      </c>
      <c r="G1230" s="73">
        <v>10.5</v>
      </c>
      <c r="H1230" s="51">
        <v>0</v>
      </c>
      <c r="I1230" s="5"/>
    </row>
    <row r="1231" spans="1:9" ht="12.75">
      <c r="A1231" s="4" t="s">
        <v>727</v>
      </c>
      <c r="B1231" s="94" t="s">
        <v>2886</v>
      </c>
      <c r="C1231" s="94" t="s">
        <v>1866</v>
      </c>
      <c r="D1231" s="152" t="s">
        <v>2782</v>
      </c>
      <c r="E1231" s="153"/>
      <c r="F1231" s="94" t="s">
        <v>2851</v>
      </c>
      <c r="G1231" s="73">
        <v>10.5</v>
      </c>
      <c r="H1231" s="51">
        <v>0</v>
      </c>
      <c r="I1231" s="5"/>
    </row>
    <row r="1232" spans="1:9" ht="12.75">
      <c r="A1232" s="4" t="s">
        <v>728</v>
      </c>
      <c r="B1232" s="94" t="s">
        <v>2886</v>
      </c>
      <c r="C1232" s="94" t="s">
        <v>1867</v>
      </c>
      <c r="D1232" s="152" t="s">
        <v>2783</v>
      </c>
      <c r="E1232" s="153"/>
      <c r="F1232" s="94" t="s">
        <v>2850</v>
      </c>
      <c r="G1232" s="73">
        <v>1</v>
      </c>
      <c r="H1232" s="51">
        <v>0</v>
      </c>
      <c r="I1232" s="5"/>
    </row>
    <row r="1233" spans="1:9" ht="12.75">
      <c r="A1233" s="4" t="s">
        <v>729</v>
      </c>
      <c r="B1233" s="94" t="s">
        <v>2886</v>
      </c>
      <c r="C1233" s="94" t="s">
        <v>1868</v>
      </c>
      <c r="D1233" s="152" t="s">
        <v>2758</v>
      </c>
      <c r="E1233" s="153"/>
      <c r="F1233" s="94" t="s">
        <v>2850</v>
      </c>
      <c r="G1233" s="73">
        <v>2</v>
      </c>
      <c r="H1233" s="51">
        <v>0</v>
      </c>
      <c r="I1233" s="5"/>
    </row>
    <row r="1234" spans="1:9" ht="12.75">
      <c r="A1234" s="4" t="s">
        <v>730</v>
      </c>
      <c r="B1234" s="94" t="s">
        <v>2886</v>
      </c>
      <c r="C1234" s="94" t="s">
        <v>1869</v>
      </c>
      <c r="D1234" s="152" t="s">
        <v>2745</v>
      </c>
      <c r="E1234" s="153"/>
      <c r="F1234" s="94" t="s">
        <v>2850</v>
      </c>
      <c r="G1234" s="73">
        <v>1</v>
      </c>
      <c r="H1234" s="51">
        <v>0</v>
      </c>
      <c r="I1234" s="5"/>
    </row>
    <row r="1235" spans="1:9" ht="12.75">
      <c r="A1235" s="4" t="s">
        <v>731</v>
      </c>
      <c r="B1235" s="94" t="s">
        <v>2886</v>
      </c>
      <c r="C1235" s="94" t="s">
        <v>1870</v>
      </c>
      <c r="D1235" s="152" t="s">
        <v>2194</v>
      </c>
      <c r="E1235" s="153"/>
      <c r="F1235" s="94" t="s">
        <v>2850</v>
      </c>
      <c r="G1235" s="73">
        <v>1</v>
      </c>
      <c r="H1235" s="51">
        <v>0</v>
      </c>
      <c r="I1235" s="5"/>
    </row>
    <row r="1236" spans="1:9" ht="12.75">
      <c r="A1236" s="4" t="s">
        <v>732</v>
      </c>
      <c r="B1236" s="94" t="s">
        <v>2886</v>
      </c>
      <c r="C1236" s="94" t="s">
        <v>1871</v>
      </c>
      <c r="D1236" s="152" t="s">
        <v>2195</v>
      </c>
      <c r="E1236" s="153"/>
      <c r="F1236" s="94" t="s">
        <v>2850</v>
      </c>
      <c r="G1236" s="73">
        <v>1</v>
      </c>
      <c r="H1236" s="51">
        <v>0</v>
      </c>
      <c r="I1236" s="5"/>
    </row>
    <row r="1237" spans="1:9" ht="12.75">
      <c r="A1237" s="4" t="s">
        <v>733</v>
      </c>
      <c r="B1237" s="94" t="s">
        <v>2886</v>
      </c>
      <c r="C1237" s="94" t="s">
        <v>1872</v>
      </c>
      <c r="D1237" s="152" t="s">
        <v>2196</v>
      </c>
      <c r="E1237" s="153"/>
      <c r="F1237" s="94" t="s">
        <v>2850</v>
      </c>
      <c r="G1237" s="73">
        <v>1</v>
      </c>
      <c r="H1237" s="51">
        <v>0</v>
      </c>
      <c r="I1237" s="5"/>
    </row>
    <row r="1238" spans="1:9" ht="12.75">
      <c r="A1238" s="4" t="s">
        <v>734</v>
      </c>
      <c r="B1238" s="94" t="s">
        <v>2888</v>
      </c>
      <c r="C1238" s="94" t="s">
        <v>1876</v>
      </c>
      <c r="D1238" s="152" t="s">
        <v>2749</v>
      </c>
      <c r="E1238" s="153"/>
      <c r="F1238" s="94" t="s">
        <v>2851</v>
      </c>
      <c r="G1238" s="73">
        <v>194.5</v>
      </c>
      <c r="H1238" s="51">
        <v>0</v>
      </c>
      <c r="I1238" s="5"/>
    </row>
    <row r="1239" spans="1:9" ht="12.75">
      <c r="A1239" s="4" t="s">
        <v>735</v>
      </c>
      <c r="B1239" s="94" t="s">
        <v>2888</v>
      </c>
      <c r="C1239" s="94" t="s">
        <v>1877</v>
      </c>
      <c r="D1239" s="152" t="s">
        <v>2802</v>
      </c>
      <c r="E1239" s="153"/>
      <c r="F1239" s="94" t="s">
        <v>2850</v>
      </c>
      <c r="G1239" s="73">
        <v>8</v>
      </c>
      <c r="H1239" s="51">
        <v>0</v>
      </c>
      <c r="I1239" s="5"/>
    </row>
    <row r="1240" spans="1:9" ht="12.75">
      <c r="A1240" s="4" t="s">
        <v>736</v>
      </c>
      <c r="B1240" s="94" t="s">
        <v>2888</v>
      </c>
      <c r="C1240" s="94" t="s">
        <v>1878</v>
      </c>
      <c r="D1240" s="152" t="s">
        <v>2750</v>
      </c>
      <c r="E1240" s="153"/>
      <c r="F1240" s="94" t="s">
        <v>2850</v>
      </c>
      <c r="G1240" s="73">
        <v>6</v>
      </c>
      <c r="H1240" s="51">
        <v>0</v>
      </c>
      <c r="I1240" s="5"/>
    </row>
    <row r="1241" spans="1:9" ht="12.75">
      <c r="A1241" s="4" t="s">
        <v>737</v>
      </c>
      <c r="B1241" s="94" t="s">
        <v>2888</v>
      </c>
      <c r="C1241" s="94" t="s">
        <v>1879</v>
      </c>
      <c r="D1241" s="152" t="s">
        <v>2803</v>
      </c>
      <c r="E1241" s="153"/>
      <c r="F1241" s="94" t="s">
        <v>2850</v>
      </c>
      <c r="G1241" s="73">
        <v>1</v>
      </c>
      <c r="H1241" s="51">
        <v>0</v>
      </c>
      <c r="I1241" s="5"/>
    </row>
    <row r="1242" spans="1:9" ht="12.75">
      <c r="A1242" s="4" t="s">
        <v>738</v>
      </c>
      <c r="B1242" s="94" t="s">
        <v>2888</v>
      </c>
      <c r="C1242" s="94" t="s">
        <v>1880</v>
      </c>
      <c r="D1242" s="152" t="s">
        <v>2804</v>
      </c>
      <c r="E1242" s="153"/>
      <c r="F1242" s="94" t="s">
        <v>2850</v>
      </c>
      <c r="G1242" s="73">
        <v>1</v>
      </c>
      <c r="H1242" s="51">
        <v>0</v>
      </c>
      <c r="I1242" s="5"/>
    </row>
    <row r="1243" spans="1:9" ht="12.75">
      <c r="A1243" s="4" t="s">
        <v>739</v>
      </c>
      <c r="B1243" s="94" t="s">
        <v>2888</v>
      </c>
      <c r="C1243" s="94" t="s">
        <v>1881</v>
      </c>
      <c r="D1243" s="152" t="s">
        <v>2805</v>
      </c>
      <c r="E1243" s="153"/>
      <c r="F1243" s="94" t="s">
        <v>2850</v>
      </c>
      <c r="G1243" s="73">
        <v>1</v>
      </c>
      <c r="H1243" s="51">
        <v>0</v>
      </c>
      <c r="I1243" s="5"/>
    </row>
    <row r="1244" spans="1:9" ht="12.75">
      <c r="A1244" s="4" t="s">
        <v>740</v>
      </c>
      <c r="B1244" s="94" t="s">
        <v>2888</v>
      </c>
      <c r="C1244" s="94" t="s">
        <v>1882</v>
      </c>
      <c r="D1244" s="152" t="s">
        <v>2722</v>
      </c>
      <c r="E1244" s="153"/>
      <c r="F1244" s="94" t="s">
        <v>2851</v>
      </c>
      <c r="G1244" s="73">
        <v>194.5</v>
      </c>
      <c r="H1244" s="51">
        <v>0</v>
      </c>
      <c r="I1244" s="5"/>
    </row>
    <row r="1245" spans="1:9" ht="12.75">
      <c r="A1245" s="4" t="s">
        <v>741</v>
      </c>
      <c r="B1245" s="94" t="s">
        <v>2888</v>
      </c>
      <c r="C1245" s="94" t="s">
        <v>1883</v>
      </c>
      <c r="D1245" s="152" t="s">
        <v>2724</v>
      </c>
      <c r="E1245" s="153"/>
      <c r="F1245" s="94" t="s">
        <v>2851</v>
      </c>
      <c r="G1245" s="73">
        <v>194.5</v>
      </c>
      <c r="H1245" s="51">
        <v>0</v>
      </c>
      <c r="I1245" s="5"/>
    </row>
    <row r="1246" spans="1:9" ht="12.75">
      <c r="A1246" s="4" t="s">
        <v>742</v>
      </c>
      <c r="B1246" s="94" t="s">
        <v>2888</v>
      </c>
      <c r="C1246" s="94" t="s">
        <v>1884</v>
      </c>
      <c r="D1246" s="152" t="s">
        <v>2725</v>
      </c>
      <c r="E1246" s="153"/>
      <c r="F1246" s="94" t="s">
        <v>2847</v>
      </c>
      <c r="G1246" s="73">
        <v>16</v>
      </c>
      <c r="H1246" s="51">
        <v>0</v>
      </c>
      <c r="I1246" s="5"/>
    </row>
    <row r="1247" spans="1:9" ht="12.75">
      <c r="A1247" s="4" t="s">
        <v>743</v>
      </c>
      <c r="B1247" s="94" t="s">
        <v>2888</v>
      </c>
      <c r="C1247" s="94" t="s">
        <v>1885</v>
      </c>
      <c r="D1247" s="152" t="s">
        <v>2751</v>
      </c>
      <c r="E1247" s="153"/>
      <c r="F1247" s="94" t="s">
        <v>2847</v>
      </c>
      <c r="G1247" s="73">
        <v>63</v>
      </c>
      <c r="H1247" s="51">
        <v>0</v>
      </c>
      <c r="I1247" s="5"/>
    </row>
    <row r="1248" spans="1:9" ht="12.75">
      <c r="A1248" s="4" t="s">
        <v>744</v>
      </c>
      <c r="B1248" s="94" t="s">
        <v>2888</v>
      </c>
      <c r="C1248" s="94" t="s">
        <v>1886</v>
      </c>
      <c r="D1248" s="152" t="s">
        <v>2727</v>
      </c>
      <c r="E1248" s="153"/>
      <c r="F1248" s="94" t="s">
        <v>2847</v>
      </c>
      <c r="G1248" s="73">
        <v>590</v>
      </c>
      <c r="H1248" s="51">
        <v>0</v>
      </c>
      <c r="I1248" s="5"/>
    </row>
    <row r="1249" spans="1:9" ht="12.75">
      <c r="A1249" s="4" t="s">
        <v>745</v>
      </c>
      <c r="B1249" s="94" t="s">
        <v>2888</v>
      </c>
      <c r="C1249" s="94" t="s">
        <v>1887</v>
      </c>
      <c r="D1249" s="152" t="s">
        <v>2806</v>
      </c>
      <c r="E1249" s="153"/>
      <c r="F1249" s="94" t="s">
        <v>2851</v>
      </c>
      <c r="G1249" s="73">
        <v>5.5</v>
      </c>
      <c r="H1249" s="51">
        <v>0</v>
      </c>
      <c r="I1249" s="5"/>
    </row>
    <row r="1250" spans="1:9" ht="12.75">
      <c r="A1250" s="4" t="s">
        <v>746</v>
      </c>
      <c r="B1250" s="94" t="s">
        <v>2888</v>
      </c>
      <c r="C1250" s="94" t="s">
        <v>1888</v>
      </c>
      <c r="D1250" s="152" t="s">
        <v>2807</v>
      </c>
      <c r="E1250" s="153"/>
      <c r="F1250" s="94" t="s">
        <v>2851</v>
      </c>
      <c r="G1250" s="73">
        <v>140</v>
      </c>
      <c r="H1250" s="51">
        <v>0</v>
      </c>
      <c r="I1250" s="5"/>
    </row>
    <row r="1251" spans="1:9" ht="12.75">
      <c r="A1251" s="4" t="s">
        <v>747</v>
      </c>
      <c r="B1251" s="94" t="s">
        <v>2888</v>
      </c>
      <c r="C1251" s="94" t="s">
        <v>1889</v>
      </c>
      <c r="D1251" s="152" t="s">
        <v>2808</v>
      </c>
      <c r="E1251" s="153"/>
      <c r="F1251" s="94" t="s">
        <v>2851</v>
      </c>
      <c r="G1251" s="73">
        <v>43.5</v>
      </c>
      <c r="H1251" s="51">
        <v>0</v>
      </c>
      <c r="I1251" s="5"/>
    </row>
    <row r="1252" spans="1:9" ht="12.75">
      <c r="A1252" s="4" t="s">
        <v>748</v>
      </c>
      <c r="B1252" s="94" t="s">
        <v>2888</v>
      </c>
      <c r="C1252" s="94" t="s">
        <v>1890</v>
      </c>
      <c r="D1252" s="152" t="s">
        <v>2809</v>
      </c>
      <c r="E1252" s="153"/>
      <c r="F1252" s="94" t="s">
        <v>2851</v>
      </c>
      <c r="G1252" s="73">
        <v>5.5</v>
      </c>
      <c r="H1252" s="51">
        <v>0</v>
      </c>
      <c r="I1252" s="5"/>
    </row>
    <row r="1253" spans="1:9" ht="12.75">
      <c r="A1253" s="4" t="s">
        <v>749</v>
      </c>
      <c r="B1253" s="94" t="s">
        <v>2888</v>
      </c>
      <c r="C1253" s="94" t="s">
        <v>1891</v>
      </c>
      <c r="D1253" s="152" t="s">
        <v>2810</v>
      </c>
      <c r="E1253" s="153"/>
      <c r="F1253" s="94" t="s">
        <v>2850</v>
      </c>
      <c r="G1253" s="73">
        <v>1</v>
      </c>
      <c r="H1253" s="51">
        <v>0</v>
      </c>
      <c r="I1253" s="5"/>
    </row>
    <row r="1254" spans="1:9" ht="12.75">
      <c r="A1254" s="4" t="s">
        <v>750</v>
      </c>
      <c r="B1254" s="94" t="s">
        <v>2888</v>
      </c>
      <c r="C1254" s="94" t="s">
        <v>1892</v>
      </c>
      <c r="D1254" s="152" t="s">
        <v>2811</v>
      </c>
      <c r="E1254" s="153"/>
      <c r="F1254" s="94" t="s">
        <v>2850</v>
      </c>
      <c r="G1254" s="73">
        <v>1</v>
      </c>
      <c r="H1254" s="51">
        <v>0</v>
      </c>
      <c r="I1254" s="5"/>
    </row>
    <row r="1255" spans="1:9" ht="12.75">
      <c r="A1255" s="4" t="s">
        <v>751</v>
      </c>
      <c r="B1255" s="94" t="s">
        <v>2888</v>
      </c>
      <c r="C1255" s="94" t="s">
        <v>1893</v>
      </c>
      <c r="D1255" s="152" t="s">
        <v>2812</v>
      </c>
      <c r="E1255" s="153"/>
      <c r="F1255" s="94" t="s">
        <v>2850</v>
      </c>
      <c r="G1255" s="73">
        <v>1</v>
      </c>
      <c r="H1255" s="51">
        <v>0</v>
      </c>
      <c r="I1255" s="5"/>
    </row>
    <row r="1256" spans="1:9" ht="12.75">
      <c r="A1256" s="4" t="s">
        <v>752</v>
      </c>
      <c r="B1256" s="94" t="s">
        <v>2888</v>
      </c>
      <c r="C1256" s="94" t="s">
        <v>1894</v>
      </c>
      <c r="D1256" s="152" t="s">
        <v>2813</v>
      </c>
      <c r="E1256" s="153"/>
      <c r="F1256" s="94" t="s">
        <v>2850</v>
      </c>
      <c r="G1256" s="73">
        <v>62</v>
      </c>
      <c r="H1256" s="51">
        <v>0</v>
      </c>
      <c r="I1256" s="5"/>
    </row>
    <row r="1257" spans="1:9" ht="12.75">
      <c r="A1257" s="4" t="s">
        <v>753</v>
      </c>
      <c r="B1257" s="94" t="s">
        <v>2888</v>
      </c>
      <c r="C1257" s="94" t="s">
        <v>1895</v>
      </c>
      <c r="D1257" s="152" t="s">
        <v>2814</v>
      </c>
      <c r="E1257" s="153"/>
      <c r="F1257" s="94" t="s">
        <v>2850</v>
      </c>
      <c r="G1257" s="73">
        <v>4</v>
      </c>
      <c r="H1257" s="51">
        <v>0</v>
      </c>
      <c r="I1257" s="5"/>
    </row>
    <row r="1258" spans="1:9" ht="12.75">
      <c r="A1258" s="4" t="s">
        <v>754</v>
      </c>
      <c r="B1258" s="94" t="s">
        <v>2888</v>
      </c>
      <c r="C1258" s="94" t="s">
        <v>1896</v>
      </c>
      <c r="D1258" s="152" t="s">
        <v>2815</v>
      </c>
      <c r="E1258" s="153"/>
      <c r="F1258" s="94" t="s">
        <v>2850</v>
      </c>
      <c r="G1258" s="73">
        <v>216</v>
      </c>
      <c r="H1258" s="51">
        <v>0</v>
      </c>
      <c r="I1258" s="5"/>
    </row>
    <row r="1259" spans="1:9" ht="12.75">
      <c r="A1259" s="4" t="s">
        <v>755</v>
      </c>
      <c r="B1259" s="94" t="s">
        <v>2888</v>
      </c>
      <c r="C1259" s="94" t="s">
        <v>1897</v>
      </c>
      <c r="D1259" s="152" t="s">
        <v>2816</v>
      </c>
      <c r="E1259" s="153"/>
      <c r="F1259" s="94" t="s">
        <v>2850</v>
      </c>
      <c r="G1259" s="73">
        <v>4</v>
      </c>
      <c r="H1259" s="51">
        <v>0</v>
      </c>
      <c r="I1259" s="5"/>
    </row>
    <row r="1260" spans="1:9" ht="12.75">
      <c r="A1260" s="4" t="s">
        <v>756</v>
      </c>
      <c r="B1260" s="94" t="s">
        <v>2888</v>
      </c>
      <c r="C1260" s="94" t="s">
        <v>1898</v>
      </c>
      <c r="D1260" s="152" t="s">
        <v>2817</v>
      </c>
      <c r="E1260" s="153"/>
      <c r="F1260" s="94" t="s">
        <v>2850</v>
      </c>
      <c r="G1260" s="73">
        <v>1</v>
      </c>
      <c r="H1260" s="51">
        <v>0</v>
      </c>
      <c r="I1260" s="5"/>
    </row>
    <row r="1261" spans="1:9" ht="12.75">
      <c r="A1261" s="4" t="s">
        <v>757</v>
      </c>
      <c r="B1261" s="94" t="s">
        <v>2888</v>
      </c>
      <c r="C1261" s="94" t="s">
        <v>1899</v>
      </c>
      <c r="D1261" s="152" t="s">
        <v>2818</v>
      </c>
      <c r="E1261" s="153"/>
      <c r="F1261" s="94" t="s">
        <v>2850</v>
      </c>
      <c r="G1261" s="73">
        <v>1</v>
      </c>
      <c r="H1261" s="51">
        <v>0</v>
      </c>
      <c r="I1261" s="5"/>
    </row>
    <row r="1262" spans="1:9" ht="12.75">
      <c r="A1262" s="4" t="s">
        <v>758</v>
      </c>
      <c r="B1262" s="94" t="s">
        <v>2888</v>
      </c>
      <c r="C1262" s="94" t="s">
        <v>1900</v>
      </c>
      <c r="D1262" s="152" t="s">
        <v>2819</v>
      </c>
      <c r="E1262" s="153"/>
      <c r="F1262" s="94" t="s">
        <v>2849</v>
      </c>
      <c r="G1262" s="73">
        <v>75</v>
      </c>
      <c r="H1262" s="51">
        <v>0</v>
      </c>
      <c r="I1262" s="5"/>
    </row>
    <row r="1263" spans="1:9" ht="12.75">
      <c r="A1263" s="4" t="s">
        <v>759</v>
      </c>
      <c r="B1263" s="94" t="s">
        <v>2888</v>
      </c>
      <c r="C1263" s="94" t="s">
        <v>1901</v>
      </c>
      <c r="D1263" s="152" t="s">
        <v>2820</v>
      </c>
      <c r="E1263" s="153"/>
      <c r="F1263" s="94" t="s">
        <v>2850</v>
      </c>
      <c r="G1263" s="73">
        <v>1</v>
      </c>
      <c r="H1263" s="51">
        <v>0</v>
      </c>
      <c r="I1263" s="5"/>
    </row>
    <row r="1264" spans="1:9" ht="12.75">
      <c r="A1264" s="4" t="s">
        <v>760</v>
      </c>
      <c r="B1264" s="94" t="s">
        <v>2888</v>
      </c>
      <c r="C1264" s="94" t="s">
        <v>1902</v>
      </c>
      <c r="D1264" s="152" t="s">
        <v>2821</v>
      </c>
      <c r="E1264" s="153"/>
      <c r="F1264" s="94" t="s">
        <v>2850</v>
      </c>
      <c r="G1264" s="73">
        <v>1</v>
      </c>
      <c r="H1264" s="51">
        <v>0</v>
      </c>
      <c r="I1264" s="5"/>
    </row>
    <row r="1265" spans="1:9" ht="12.75">
      <c r="A1265" s="4" t="s">
        <v>761</v>
      </c>
      <c r="B1265" s="94" t="s">
        <v>2888</v>
      </c>
      <c r="C1265" s="94" t="s">
        <v>1903</v>
      </c>
      <c r="D1265" s="152" t="s">
        <v>2822</v>
      </c>
      <c r="E1265" s="153"/>
      <c r="F1265" s="94" t="s">
        <v>2850</v>
      </c>
      <c r="G1265" s="73">
        <v>1</v>
      </c>
      <c r="H1265" s="51">
        <v>0</v>
      </c>
      <c r="I1265" s="5"/>
    </row>
    <row r="1266" spans="1:9" ht="12.75">
      <c r="A1266" s="4" t="s">
        <v>762</v>
      </c>
      <c r="B1266" s="94" t="s">
        <v>2888</v>
      </c>
      <c r="C1266" s="94" t="s">
        <v>1904</v>
      </c>
      <c r="D1266" s="152" t="s">
        <v>2823</v>
      </c>
      <c r="E1266" s="153"/>
      <c r="F1266" s="94" t="s">
        <v>2850</v>
      </c>
      <c r="G1266" s="73">
        <v>1</v>
      </c>
      <c r="H1266" s="51">
        <v>0</v>
      </c>
      <c r="I1266" s="5"/>
    </row>
    <row r="1267" spans="1:9" ht="12.75">
      <c r="A1267" s="4" t="s">
        <v>763</v>
      </c>
      <c r="B1267" s="94" t="s">
        <v>2888</v>
      </c>
      <c r="C1267" s="94" t="s">
        <v>1905</v>
      </c>
      <c r="D1267" s="152" t="s">
        <v>2824</v>
      </c>
      <c r="E1267" s="153"/>
      <c r="F1267" s="94" t="s">
        <v>2850</v>
      </c>
      <c r="G1267" s="73">
        <v>1</v>
      </c>
      <c r="H1267" s="51">
        <v>0</v>
      </c>
      <c r="I1267" s="5"/>
    </row>
    <row r="1268" spans="1:9" ht="12.75">
      <c r="A1268" s="4" t="s">
        <v>764</v>
      </c>
      <c r="B1268" s="94" t="s">
        <v>2888</v>
      </c>
      <c r="C1268" s="94" t="s">
        <v>1906</v>
      </c>
      <c r="D1268" s="152" t="s">
        <v>2825</v>
      </c>
      <c r="E1268" s="153"/>
      <c r="F1268" s="94" t="s">
        <v>2850</v>
      </c>
      <c r="G1268" s="73">
        <v>4</v>
      </c>
      <c r="H1268" s="51">
        <v>0</v>
      </c>
      <c r="I1268" s="5"/>
    </row>
    <row r="1269" spans="1:9" ht="12.75">
      <c r="A1269" s="4" t="s">
        <v>765</v>
      </c>
      <c r="B1269" s="94" t="s">
        <v>2888</v>
      </c>
      <c r="C1269" s="94" t="s">
        <v>1907</v>
      </c>
      <c r="D1269" s="152" t="s">
        <v>2826</v>
      </c>
      <c r="E1269" s="153"/>
      <c r="F1269" s="94" t="s">
        <v>2850</v>
      </c>
      <c r="G1269" s="73">
        <v>1</v>
      </c>
      <c r="H1269" s="51">
        <v>0</v>
      </c>
      <c r="I1269" s="5"/>
    </row>
    <row r="1270" spans="1:9" ht="12.75">
      <c r="A1270" s="4" t="s">
        <v>766</v>
      </c>
      <c r="B1270" s="94" t="s">
        <v>2888</v>
      </c>
      <c r="C1270" s="94" t="s">
        <v>1908</v>
      </c>
      <c r="D1270" s="152" t="s">
        <v>2189</v>
      </c>
      <c r="E1270" s="153"/>
      <c r="F1270" s="94" t="s">
        <v>2852</v>
      </c>
      <c r="G1270" s="73">
        <v>30</v>
      </c>
      <c r="H1270" s="51">
        <v>0</v>
      </c>
      <c r="I1270" s="5"/>
    </row>
    <row r="1271" spans="1:9" ht="12.75">
      <c r="A1271" s="4" t="s">
        <v>767</v>
      </c>
      <c r="B1271" s="94" t="s">
        <v>2888</v>
      </c>
      <c r="C1271" s="94" t="s">
        <v>1909</v>
      </c>
      <c r="D1271" s="152" t="s">
        <v>2754</v>
      </c>
      <c r="E1271" s="153"/>
      <c r="F1271" s="94" t="s">
        <v>2851</v>
      </c>
      <c r="G1271" s="73">
        <v>194.5</v>
      </c>
      <c r="H1271" s="51">
        <v>0</v>
      </c>
      <c r="I1271" s="5"/>
    </row>
    <row r="1272" spans="1:9" ht="12.75">
      <c r="A1272" s="4" t="s">
        <v>768</v>
      </c>
      <c r="B1272" s="94" t="s">
        <v>2888</v>
      </c>
      <c r="C1272" s="94" t="s">
        <v>1910</v>
      </c>
      <c r="D1272" s="152" t="s">
        <v>2755</v>
      </c>
      <c r="E1272" s="153"/>
      <c r="F1272" s="94" t="s">
        <v>2851</v>
      </c>
      <c r="G1272" s="73">
        <v>194.5</v>
      </c>
      <c r="H1272" s="51">
        <v>0</v>
      </c>
      <c r="I1272" s="5"/>
    </row>
    <row r="1273" spans="1:9" ht="12.75">
      <c r="A1273" s="4" t="s">
        <v>769</v>
      </c>
      <c r="B1273" s="94" t="s">
        <v>2888</v>
      </c>
      <c r="C1273" s="94" t="s">
        <v>1911</v>
      </c>
      <c r="D1273" s="152" t="s">
        <v>2756</v>
      </c>
      <c r="E1273" s="153"/>
      <c r="F1273" s="94" t="s">
        <v>2851</v>
      </c>
      <c r="G1273" s="73">
        <v>194.5</v>
      </c>
      <c r="H1273" s="51">
        <v>0</v>
      </c>
      <c r="I1273" s="5"/>
    </row>
    <row r="1274" spans="1:9" ht="12.75">
      <c r="A1274" s="4" t="s">
        <v>770</v>
      </c>
      <c r="B1274" s="94" t="s">
        <v>2888</v>
      </c>
      <c r="C1274" s="94" t="s">
        <v>1912</v>
      </c>
      <c r="D1274" s="152" t="s">
        <v>2827</v>
      </c>
      <c r="E1274" s="153"/>
      <c r="F1274" s="94" t="s">
        <v>2850</v>
      </c>
      <c r="G1274" s="73">
        <v>1</v>
      </c>
      <c r="H1274" s="51">
        <v>0</v>
      </c>
      <c r="I1274" s="5"/>
    </row>
    <row r="1275" spans="1:9" ht="12.75">
      <c r="A1275" s="4" t="s">
        <v>771</v>
      </c>
      <c r="B1275" s="94" t="s">
        <v>2888</v>
      </c>
      <c r="C1275" s="94" t="s">
        <v>1913</v>
      </c>
      <c r="D1275" s="152" t="s">
        <v>2745</v>
      </c>
      <c r="E1275" s="153"/>
      <c r="F1275" s="94" t="s">
        <v>2850</v>
      </c>
      <c r="G1275" s="73">
        <v>1</v>
      </c>
      <c r="H1275" s="51">
        <v>0</v>
      </c>
      <c r="I1275" s="5"/>
    </row>
    <row r="1276" spans="1:9" ht="12.75">
      <c r="A1276" s="4" t="s">
        <v>772</v>
      </c>
      <c r="B1276" s="94" t="s">
        <v>2888</v>
      </c>
      <c r="C1276" s="94" t="s">
        <v>1914</v>
      </c>
      <c r="D1276" s="152" t="s">
        <v>2194</v>
      </c>
      <c r="E1276" s="153"/>
      <c r="F1276" s="94" t="s">
        <v>2850</v>
      </c>
      <c r="G1276" s="73">
        <v>1</v>
      </c>
      <c r="H1276" s="51">
        <v>0</v>
      </c>
      <c r="I1276" s="5"/>
    </row>
    <row r="1277" spans="1:9" ht="12.75">
      <c r="A1277" s="4" t="s">
        <v>773</v>
      </c>
      <c r="B1277" s="94" t="s">
        <v>2888</v>
      </c>
      <c r="C1277" s="94" t="s">
        <v>1915</v>
      </c>
      <c r="D1277" s="152" t="s">
        <v>2195</v>
      </c>
      <c r="E1277" s="153"/>
      <c r="F1277" s="94" t="s">
        <v>2850</v>
      </c>
      <c r="G1277" s="73">
        <v>1</v>
      </c>
      <c r="H1277" s="51">
        <v>0</v>
      </c>
      <c r="I1277" s="5"/>
    </row>
    <row r="1278" spans="1:9" ht="12.75">
      <c r="A1278" s="4" t="s">
        <v>774</v>
      </c>
      <c r="B1278" s="94" t="s">
        <v>2888</v>
      </c>
      <c r="C1278" s="94" t="s">
        <v>1916</v>
      </c>
      <c r="D1278" s="152" t="s">
        <v>2196</v>
      </c>
      <c r="E1278" s="153"/>
      <c r="F1278" s="94" t="s">
        <v>2850</v>
      </c>
      <c r="G1278" s="73">
        <v>1</v>
      </c>
      <c r="H1278" s="51">
        <v>0</v>
      </c>
      <c r="I1278" s="5"/>
    </row>
    <row r="1279" spans="1:9" ht="12.75">
      <c r="A1279" s="44"/>
      <c r="B1279" s="97"/>
      <c r="C1279" s="97" t="s">
        <v>1585</v>
      </c>
      <c r="D1279" s="161" t="s">
        <v>2785</v>
      </c>
      <c r="E1279" s="162"/>
      <c r="F1279" s="97"/>
      <c r="G1279" s="74"/>
      <c r="H1279" s="24"/>
      <c r="I1279" s="5"/>
    </row>
    <row r="1280" spans="1:9" ht="12.75">
      <c r="A1280" s="4" t="s">
        <v>775</v>
      </c>
      <c r="B1280" s="94" t="s">
        <v>2882</v>
      </c>
      <c r="C1280" s="94" t="s">
        <v>1586</v>
      </c>
      <c r="D1280" s="152" t="s">
        <v>2532</v>
      </c>
      <c r="E1280" s="153"/>
      <c r="F1280" s="94" t="s">
        <v>2850</v>
      </c>
      <c r="G1280" s="73">
        <v>224</v>
      </c>
      <c r="H1280" s="51">
        <v>0</v>
      </c>
      <c r="I1280" s="5"/>
    </row>
    <row r="1281" spans="1:9" ht="12.75">
      <c r="A1281" s="4" t="s">
        <v>776</v>
      </c>
      <c r="B1281" s="94" t="s">
        <v>2882</v>
      </c>
      <c r="C1281" s="94" t="s">
        <v>1587</v>
      </c>
      <c r="D1281" s="152" t="s">
        <v>2533</v>
      </c>
      <c r="E1281" s="153"/>
      <c r="F1281" s="94" t="s">
        <v>2850</v>
      </c>
      <c r="G1281" s="73">
        <v>104</v>
      </c>
      <c r="H1281" s="51">
        <v>0</v>
      </c>
      <c r="I1281" s="5"/>
    </row>
    <row r="1282" spans="1:9" ht="12.75">
      <c r="A1282" s="4" t="s">
        <v>777</v>
      </c>
      <c r="B1282" s="94" t="s">
        <v>2882</v>
      </c>
      <c r="C1282" s="94" t="s">
        <v>1588</v>
      </c>
      <c r="D1282" s="152" t="s">
        <v>2534</v>
      </c>
      <c r="E1282" s="153"/>
      <c r="F1282" s="94" t="s">
        <v>2850</v>
      </c>
      <c r="G1282" s="73">
        <v>175</v>
      </c>
      <c r="H1282" s="51">
        <v>0</v>
      </c>
      <c r="I1282" s="5"/>
    </row>
    <row r="1283" spans="1:9" ht="12.75">
      <c r="A1283" s="4" t="s">
        <v>778</v>
      </c>
      <c r="B1283" s="94" t="s">
        <v>2882</v>
      </c>
      <c r="C1283" s="94" t="s">
        <v>1589</v>
      </c>
      <c r="D1283" s="152" t="s">
        <v>2535</v>
      </c>
      <c r="E1283" s="153"/>
      <c r="F1283" s="94" t="s">
        <v>2851</v>
      </c>
      <c r="G1283" s="73">
        <v>1840</v>
      </c>
      <c r="H1283" s="51">
        <v>0</v>
      </c>
      <c r="I1283" s="5"/>
    </row>
    <row r="1284" spans="1:9" ht="12.75">
      <c r="A1284" s="4" t="s">
        <v>779</v>
      </c>
      <c r="B1284" s="94" t="s">
        <v>2882</v>
      </c>
      <c r="C1284" s="94" t="s">
        <v>1590</v>
      </c>
      <c r="D1284" s="152" t="s">
        <v>2536</v>
      </c>
      <c r="E1284" s="153"/>
      <c r="F1284" s="94" t="s">
        <v>2851</v>
      </c>
      <c r="G1284" s="73">
        <v>114</v>
      </c>
      <c r="H1284" s="51">
        <v>0</v>
      </c>
      <c r="I1284" s="5"/>
    </row>
    <row r="1285" spans="1:9" ht="12.75">
      <c r="A1285" s="4" t="s">
        <v>780</v>
      </c>
      <c r="B1285" s="94" t="s">
        <v>2882</v>
      </c>
      <c r="C1285" s="94" t="s">
        <v>1591</v>
      </c>
      <c r="D1285" s="152" t="s">
        <v>2537</v>
      </c>
      <c r="E1285" s="153"/>
      <c r="F1285" s="94" t="s">
        <v>2850</v>
      </c>
      <c r="G1285" s="73">
        <v>1</v>
      </c>
      <c r="H1285" s="51">
        <v>0</v>
      </c>
      <c r="I1285" s="5"/>
    </row>
    <row r="1286" spans="1:9" ht="12.75">
      <c r="A1286" s="4" t="s">
        <v>781</v>
      </c>
      <c r="B1286" s="94" t="s">
        <v>2882</v>
      </c>
      <c r="C1286" s="94" t="s">
        <v>1592</v>
      </c>
      <c r="D1286" s="152" t="s">
        <v>2538</v>
      </c>
      <c r="E1286" s="153"/>
      <c r="F1286" s="94" t="s">
        <v>2850</v>
      </c>
      <c r="G1286" s="73">
        <v>1</v>
      </c>
      <c r="H1286" s="51">
        <v>0</v>
      </c>
      <c r="I1286" s="5"/>
    </row>
    <row r="1287" spans="1:9" ht="12.75">
      <c r="A1287" s="4" t="s">
        <v>782</v>
      </c>
      <c r="B1287" s="94" t="s">
        <v>2882</v>
      </c>
      <c r="C1287" s="94" t="s">
        <v>1593</v>
      </c>
      <c r="D1287" s="152" t="s">
        <v>2539</v>
      </c>
      <c r="E1287" s="153"/>
      <c r="F1287" s="94" t="s">
        <v>2850</v>
      </c>
      <c r="G1287" s="73">
        <v>1</v>
      </c>
      <c r="H1287" s="51">
        <v>0</v>
      </c>
      <c r="I1287" s="5"/>
    </row>
    <row r="1288" spans="1:9" ht="12.75">
      <c r="A1288" s="4" t="s">
        <v>783</v>
      </c>
      <c r="B1288" s="94" t="s">
        <v>2882</v>
      </c>
      <c r="C1288" s="94" t="s">
        <v>1594</v>
      </c>
      <c r="D1288" s="152" t="s">
        <v>2540</v>
      </c>
      <c r="E1288" s="153"/>
      <c r="F1288" s="94" t="s">
        <v>2852</v>
      </c>
      <c r="G1288" s="73">
        <v>5</v>
      </c>
      <c r="H1288" s="51">
        <v>0</v>
      </c>
      <c r="I1288" s="5"/>
    </row>
    <row r="1289" spans="1:9" ht="12.75">
      <c r="A1289" s="4" t="s">
        <v>784</v>
      </c>
      <c r="B1289" s="94" t="s">
        <v>2882</v>
      </c>
      <c r="C1289" s="94" t="s">
        <v>1595</v>
      </c>
      <c r="D1289" s="152" t="s">
        <v>2541</v>
      </c>
      <c r="E1289" s="153"/>
      <c r="F1289" s="94" t="s">
        <v>2850</v>
      </c>
      <c r="G1289" s="73">
        <v>1</v>
      </c>
      <c r="H1289" s="51">
        <v>0</v>
      </c>
      <c r="I1289" s="5"/>
    </row>
    <row r="1290" spans="1:9" ht="12.75">
      <c r="A1290" s="4" t="s">
        <v>785</v>
      </c>
      <c r="B1290" s="94" t="s">
        <v>2882</v>
      </c>
      <c r="C1290" s="94" t="s">
        <v>1596</v>
      </c>
      <c r="D1290" s="152" t="s">
        <v>2541</v>
      </c>
      <c r="E1290" s="153"/>
      <c r="F1290" s="94" t="s">
        <v>2850</v>
      </c>
      <c r="G1290" s="73">
        <v>1</v>
      </c>
      <c r="H1290" s="51">
        <v>0</v>
      </c>
      <c r="I1290" s="5"/>
    </row>
    <row r="1291" spans="1:9" ht="12.75">
      <c r="A1291" s="4" t="s">
        <v>786</v>
      </c>
      <c r="B1291" s="94" t="s">
        <v>2882</v>
      </c>
      <c r="C1291" s="94" t="s">
        <v>1597</v>
      </c>
      <c r="D1291" s="152" t="s">
        <v>2542</v>
      </c>
      <c r="E1291" s="153"/>
      <c r="F1291" s="94" t="s">
        <v>2852</v>
      </c>
      <c r="G1291" s="73">
        <v>10</v>
      </c>
      <c r="H1291" s="51">
        <v>0</v>
      </c>
      <c r="I1291" s="5"/>
    </row>
    <row r="1292" spans="1:9" ht="12.75">
      <c r="A1292" s="4" t="s">
        <v>787</v>
      </c>
      <c r="B1292" s="94" t="s">
        <v>2882</v>
      </c>
      <c r="C1292" s="94" t="s">
        <v>1598</v>
      </c>
      <c r="D1292" s="152" t="s">
        <v>2543</v>
      </c>
      <c r="E1292" s="153"/>
      <c r="F1292" s="94" t="s">
        <v>2851</v>
      </c>
      <c r="G1292" s="73">
        <v>2120</v>
      </c>
      <c r="H1292" s="51">
        <v>0</v>
      </c>
      <c r="I1292" s="5"/>
    </row>
    <row r="1293" spans="1:9" ht="12.75">
      <c r="A1293" s="4" t="s">
        <v>788</v>
      </c>
      <c r="B1293" s="94" t="s">
        <v>2882</v>
      </c>
      <c r="C1293" s="94" t="s">
        <v>1599</v>
      </c>
      <c r="D1293" s="152" t="s">
        <v>2544</v>
      </c>
      <c r="E1293" s="153"/>
      <c r="F1293" s="94" t="s">
        <v>2851</v>
      </c>
      <c r="G1293" s="73">
        <v>2120</v>
      </c>
      <c r="H1293" s="51">
        <v>0</v>
      </c>
      <c r="I1293" s="5"/>
    </row>
    <row r="1294" spans="1:9" ht="12.75">
      <c r="A1294" s="4" t="s">
        <v>789</v>
      </c>
      <c r="B1294" s="94" t="s">
        <v>2882</v>
      </c>
      <c r="C1294" s="94" t="s">
        <v>1600</v>
      </c>
      <c r="D1294" s="152" t="s">
        <v>2545</v>
      </c>
      <c r="E1294" s="153"/>
      <c r="F1294" s="94" t="s">
        <v>2851</v>
      </c>
      <c r="G1294" s="73">
        <v>420</v>
      </c>
      <c r="H1294" s="51">
        <v>0</v>
      </c>
      <c r="I1294" s="5"/>
    </row>
    <row r="1295" spans="1:9" ht="12.75">
      <c r="A1295" s="4" t="s">
        <v>790</v>
      </c>
      <c r="B1295" s="94" t="s">
        <v>2882</v>
      </c>
      <c r="C1295" s="94" t="s">
        <v>1601</v>
      </c>
      <c r="D1295" s="152" t="s">
        <v>2546</v>
      </c>
      <c r="E1295" s="153"/>
      <c r="F1295" s="94" t="s">
        <v>2851</v>
      </c>
      <c r="G1295" s="73">
        <v>420</v>
      </c>
      <c r="H1295" s="51">
        <v>0</v>
      </c>
      <c r="I1295" s="5"/>
    </row>
    <row r="1296" spans="1:9" ht="12.75">
      <c r="A1296" s="4" t="s">
        <v>791</v>
      </c>
      <c r="B1296" s="94" t="s">
        <v>2882</v>
      </c>
      <c r="C1296" s="94" t="s">
        <v>1602</v>
      </c>
      <c r="D1296" s="152" t="s">
        <v>2547</v>
      </c>
      <c r="E1296" s="153"/>
      <c r="F1296" s="94" t="s">
        <v>2851</v>
      </c>
      <c r="G1296" s="73">
        <v>540</v>
      </c>
      <c r="H1296" s="51">
        <v>0</v>
      </c>
      <c r="I1296" s="5"/>
    </row>
    <row r="1297" spans="1:9" ht="12.75">
      <c r="A1297" s="4" t="s">
        <v>792</v>
      </c>
      <c r="B1297" s="94" t="s">
        <v>2882</v>
      </c>
      <c r="C1297" s="94" t="s">
        <v>1603</v>
      </c>
      <c r="D1297" s="152" t="s">
        <v>2548</v>
      </c>
      <c r="E1297" s="153"/>
      <c r="F1297" s="94" t="s">
        <v>2851</v>
      </c>
      <c r="G1297" s="73">
        <v>540</v>
      </c>
      <c r="H1297" s="51">
        <v>0</v>
      </c>
      <c r="I1297" s="5"/>
    </row>
    <row r="1298" spans="1:9" ht="12.75">
      <c r="A1298" s="4" t="s">
        <v>793</v>
      </c>
      <c r="B1298" s="94" t="s">
        <v>2882</v>
      </c>
      <c r="C1298" s="94" t="s">
        <v>1604</v>
      </c>
      <c r="D1298" s="152" t="s">
        <v>2549</v>
      </c>
      <c r="E1298" s="153"/>
      <c r="F1298" s="94" t="s">
        <v>2850</v>
      </c>
      <c r="G1298" s="73">
        <v>306</v>
      </c>
      <c r="H1298" s="51">
        <v>0</v>
      </c>
      <c r="I1298" s="5"/>
    </row>
    <row r="1299" spans="1:9" ht="12.75">
      <c r="A1299" s="6" t="s">
        <v>794</v>
      </c>
      <c r="B1299" s="98" t="s">
        <v>2882</v>
      </c>
      <c r="C1299" s="98" t="s">
        <v>1605</v>
      </c>
      <c r="D1299" s="163" t="s">
        <v>2550</v>
      </c>
      <c r="E1299" s="164"/>
      <c r="F1299" s="98" t="s">
        <v>2850</v>
      </c>
      <c r="G1299" s="76">
        <v>232</v>
      </c>
      <c r="H1299" s="53">
        <v>0</v>
      </c>
      <c r="I1299" s="5"/>
    </row>
    <row r="1300" spans="1:9" ht="12.75">
      <c r="A1300" s="4" t="s">
        <v>795</v>
      </c>
      <c r="B1300" s="94" t="s">
        <v>2882</v>
      </c>
      <c r="C1300" s="94" t="s">
        <v>1606</v>
      </c>
      <c r="D1300" s="152" t="s">
        <v>2551</v>
      </c>
      <c r="E1300" s="153"/>
      <c r="F1300" s="94" t="s">
        <v>2850</v>
      </c>
      <c r="G1300" s="73">
        <v>62</v>
      </c>
      <c r="H1300" s="51">
        <v>0</v>
      </c>
      <c r="I1300" s="5"/>
    </row>
    <row r="1301" spans="1:9" ht="12.75">
      <c r="A1301" s="4" t="s">
        <v>796</v>
      </c>
      <c r="B1301" s="94" t="s">
        <v>2882</v>
      </c>
      <c r="C1301" s="94" t="s">
        <v>1607</v>
      </c>
      <c r="D1301" s="152" t="s">
        <v>2552</v>
      </c>
      <c r="E1301" s="153"/>
      <c r="F1301" s="94" t="s">
        <v>2850</v>
      </c>
      <c r="G1301" s="73">
        <v>12</v>
      </c>
      <c r="H1301" s="51">
        <v>0</v>
      </c>
      <c r="I1301" s="5"/>
    </row>
    <row r="1302" spans="1:9" ht="12.75">
      <c r="A1302" s="4" t="s">
        <v>797</v>
      </c>
      <c r="B1302" s="94" t="s">
        <v>2882</v>
      </c>
      <c r="C1302" s="94" t="s">
        <v>1608</v>
      </c>
      <c r="D1302" s="152" t="s">
        <v>2553</v>
      </c>
      <c r="E1302" s="153"/>
      <c r="F1302" s="94" t="s">
        <v>2850</v>
      </c>
      <c r="G1302" s="73">
        <v>6</v>
      </c>
      <c r="H1302" s="51">
        <v>0</v>
      </c>
      <c r="I1302" s="5"/>
    </row>
    <row r="1303" spans="1:9" ht="12.75">
      <c r="A1303" s="4" t="s">
        <v>798</v>
      </c>
      <c r="B1303" s="94" t="s">
        <v>2882</v>
      </c>
      <c r="C1303" s="94" t="s">
        <v>1609</v>
      </c>
      <c r="D1303" s="152" t="s">
        <v>2554</v>
      </c>
      <c r="E1303" s="153"/>
      <c r="F1303" s="94" t="s">
        <v>2850</v>
      </c>
      <c r="G1303" s="73">
        <v>6</v>
      </c>
      <c r="H1303" s="51">
        <v>0</v>
      </c>
      <c r="I1303" s="5"/>
    </row>
    <row r="1304" spans="1:9" ht="12.75">
      <c r="A1304" s="4" t="s">
        <v>799</v>
      </c>
      <c r="B1304" s="94" t="s">
        <v>2882</v>
      </c>
      <c r="C1304" s="94" t="s">
        <v>1610</v>
      </c>
      <c r="D1304" s="152" t="s">
        <v>2555</v>
      </c>
      <c r="E1304" s="153"/>
      <c r="F1304" s="94" t="s">
        <v>2851</v>
      </c>
      <c r="G1304" s="73">
        <v>40</v>
      </c>
      <c r="H1304" s="51">
        <v>0</v>
      </c>
      <c r="I1304" s="5"/>
    </row>
    <row r="1305" spans="1:9" ht="12.75">
      <c r="A1305" s="4" t="s">
        <v>800</v>
      </c>
      <c r="B1305" s="94" t="s">
        <v>2882</v>
      </c>
      <c r="C1305" s="94" t="s">
        <v>1611</v>
      </c>
      <c r="D1305" s="152" t="s">
        <v>2556</v>
      </c>
      <c r="E1305" s="153"/>
      <c r="F1305" s="94" t="s">
        <v>2851</v>
      </c>
      <c r="G1305" s="73">
        <v>40</v>
      </c>
      <c r="H1305" s="51">
        <v>0</v>
      </c>
      <c r="I1305" s="5"/>
    </row>
    <row r="1306" spans="1:9" ht="12.75">
      <c r="A1306" s="4" t="s">
        <v>801</v>
      </c>
      <c r="B1306" s="94" t="s">
        <v>2882</v>
      </c>
      <c r="C1306" s="94" t="s">
        <v>1612</v>
      </c>
      <c r="D1306" s="152" t="s">
        <v>2557</v>
      </c>
      <c r="E1306" s="153"/>
      <c r="F1306" s="94" t="s">
        <v>2851</v>
      </c>
      <c r="G1306" s="73">
        <v>4</v>
      </c>
      <c r="H1306" s="51">
        <v>0</v>
      </c>
      <c r="I1306" s="5"/>
    </row>
    <row r="1307" spans="1:9" ht="12.75">
      <c r="A1307" s="4" t="s">
        <v>802</v>
      </c>
      <c r="B1307" s="94" t="s">
        <v>2882</v>
      </c>
      <c r="C1307" s="94" t="s">
        <v>1613</v>
      </c>
      <c r="D1307" s="152" t="s">
        <v>2558</v>
      </c>
      <c r="E1307" s="153"/>
      <c r="F1307" s="94" t="s">
        <v>2851</v>
      </c>
      <c r="G1307" s="73">
        <v>4</v>
      </c>
      <c r="H1307" s="51">
        <v>0</v>
      </c>
      <c r="I1307" s="5"/>
    </row>
    <row r="1308" spans="1:9" ht="12.75">
      <c r="A1308" s="4" t="s">
        <v>803</v>
      </c>
      <c r="B1308" s="94" t="s">
        <v>2882</v>
      </c>
      <c r="C1308" s="94" t="s">
        <v>1614</v>
      </c>
      <c r="D1308" s="152" t="s">
        <v>2559</v>
      </c>
      <c r="E1308" s="153"/>
      <c r="F1308" s="94" t="s">
        <v>2851</v>
      </c>
      <c r="G1308" s="73">
        <v>6</v>
      </c>
      <c r="H1308" s="51">
        <v>0</v>
      </c>
      <c r="I1308" s="5"/>
    </row>
    <row r="1309" spans="1:9" ht="12.75">
      <c r="A1309" s="4" t="s">
        <v>804</v>
      </c>
      <c r="B1309" s="94" t="s">
        <v>2882</v>
      </c>
      <c r="C1309" s="94" t="s">
        <v>1615</v>
      </c>
      <c r="D1309" s="152" t="s">
        <v>2559</v>
      </c>
      <c r="E1309" s="153"/>
      <c r="F1309" s="94" t="s">
        <v>2851</v>
      </c>
      <c r="G1309" s="73">
        <v>6</v>
      </c>
      <c r="H1309" s="51">
        <v>0</v>
      </c>
      <c r="I1309" s="5"/>
    </row>
    <row r="1310" spans="1:9" ht="12.75">
      <c r="A1310" s="4" t="s">
        <v>805</v>
      </c>
      <c r="B1310" s="94" t="s">
        <v>2882</v>
      </c>
      <c r="C1310" s="94" t="s">
        <v>1616</v>
      </c>
      <c r="D1310" s="152" t="s">
        <v>2560</v>
      </c>
      <c r="E1310" s="153"/>
      <c r="F1310" s="94" t="s">
        <v>2851</v>
      </c>
      <c r="G1310" s="73">
        <v>20</v>
      </c>
      <c r="H1310" s="51">
        <v>0</v>
      </c>
      <c r="I1310" s="5"/>
    </row>
    <row r="1311" spans="1:9" ht="12.75">
      <c r="A1311" s="4" t="s">
        <v>806</v>
      </c>
      <c r="B1311" s="94" t="s">
        <v>2882</v>
      </c>
      <c r="C1311" s="94" t="s">
        <v>1617</v>
      </c>
      <c r="D1311" s="152" t="s">
        <v>2560</v>
      </c>
      <c r="E1311" s="153"/>
      <c r="F1311" s="94" t="s">
        <v>2851</v>
      </c>
      <c r="G1311" s="73">
        <v>20</v>
      </c>
      <c r="H1311" s="51">
        <v>0</v>
      </c>
      <c r="I1311" s="5"/>
    </row>
    <row r="1312" spans="1:9" ht="12.75">
      <c r="A1312" s="4" t="s">
        <v>807</v>
      </c>
      <c r="B1312" s="94" t="s">
        <v>2882</v>
      </c>
      <c r="C1312" s="94" t="s">
        <v>1618</v>
      </c>
      <c r="D1312" s="152" t="s">
        <v>2561</v>
      </c>
      <c r="E1312" s="153"/>
      <c r="F1312" s="94" t="s">
        <v>2851</v>
      </c>
      <c r="G1312" s="73">
        <v>20</v>
      </c>
      <c r="H1312" s="51">
        <v>0</v>
      </c>
      <c r="I1312" s="5"/>
    </row>
    <row r="1313" spans="1:9" ht="12.75">
      <c r="A1313" s="4" t="s">
        <v>808</v>
      </c>
      <c r="B1313" s="94" t="s">
        <v>2882</v>
      </c>
      <c r="C1313" s="94" t="s">
        <v>1619</v>
      </c>
      <c r="D1313" s="152" t="s">
        <v>2561</v>
      </c>
      <c r="E1313" s="153"/>
      <c r="F1313" s="94" t="s">
        <v>2851</v>
      </c>
      <c r="G1313" s="73">
        <v>20</v>
      </c>
      <c r="H1313" s="51">
        <v>0</v>
      </c>
      <c r="I1313" s="5"/>
    </row>
    <row r="1314" spans="1:9" ht="12.75">
      <c r="A1314" s="4" t="s">
        <v>809</v>
      </c>
      <c r="B1314" s="94" t="s">
        <v>2882</v>
      </c>
      <c r="C1314" s="94" t="s">
        <v>1620</v>
      </c>
      <c r="D1314" s="152" t="s">
        <v>2562</v>
      </c>
      <c r="E1314" s="153"/>
      <c r="F1314" s="94" t="s">
        <v>2851</v>
      </c>
      <c r="G1314" s="73">
        <v>10</v>
      </c>
      <c r="H1314" s="51">
        <v>0</v>
      </c>
      <c r="I1314" s="5"/>
    </row>
    <row r="1315" spans="1:9" ht="12.75">
      <c r="A1315" s="4" t="s">
        <v>810</v>
      </c>
      <c r="B1315" s="94" t="s">
        <v>2882</v>
      </c>
      <c r="C1315" s="94" t="s">
        <v>1621</v>
      </c>
      <c r="D1315" s="152" t="s">
        <v>2562</v>
      </c>
      <c r="E1315" s="153"/>
      <c r="F1315" s="94" t="s">
        <v>2851</v>
      </c>
      <c r="G1315" s="73">
        <v>10</v>
      </c>
      <c r="H1315" s="51">
        <v>0</v>
      </c>
      <c r="I1315" s="5"/>
    </row>
    <row r="1316" spans="1:9" ht="12.75">
      <c r="A1316" s="4" t="s">
        <v>811</v>
      </c>
      <c r="B1316" s="94" t="s">
        <v>2882</v>
      </c>
      <c r="C1316" s="94" t="s">
        <v>1622</v>
      </c>
      <c r="D1316" s="152" t="s">
        <v>2563</v>
      </c>
      <c r="E1316" s="153"/>
      <c r="F1316" s="94" t="s">
        <v>2851</v>
      </c>
      <c r="G1316" s="73">
        <v>540</v>
      </c>
      <c r="H1316" s="51">
        <v>0</v>
      </c>
      <c r="I1316" s="5"/>
    </row>
    <row r="1317" spans="1:9" ht="12.75">
      <c r="A1317" s="4" t="s">
        <v>812</v>
      </c>
      <c r="B1317" s="94" t="s">
        <v>2882</v>
      </c>
      <c r="C1317" s="94" t="s">
        <v>1623</v>
      </c>
      <c r="D1317" s="152" t="s">
        <v>2564</v>
      </c>
      <c r="E1317" s="153"/>
      <c r="F1317" s="94" t="s">
        <v>2851</v>
      </c>
      <c r="G1317" s="73">
        <v>240</v>
      </c>
      <c r="H1317" s="51">
        <v>0</v>
      </c>
      <c r="I1317" s="5"/>
    </row>
    <row r="1318" spans="1:9" ht="12.75">
      <c r="A1318" s="4" t="s">
        <v>813</v>
      </c>
      <c r="B1318" s="94" t="s">
        <v>2882</v>
      </c>
      <c r="C1318" s="94" t="s">
        <v>1624</v>
      </c>
      <c r="D1318" s="152" t="s">
        <v>2565</v>
      </c>
      <c r="E1318" s="153"/>
      <c r="F1318" s="94" t="s">
        <v>2851</v>
      </c>
      <c r="G1318" s="73">
        <v>100</v>
      </c>
      <c r="H1318" s="51">
        <v>0</v>
      </c>
      <c r="I1318" s="5"/>
    </row>
    <row r="1319" spans="1:9" ht="12.75">
      <c r="A1319" s="4" t="s">
        <v>814</v>
      </c>
      <c r="B1319" s="94" t="s">
        <v>2882</v>
      </c>
      <c r="C1319" s="94" t="s">
        <v>1625</v>
      </c>
      <c r="D1319" s="152" t="s">
        <v>2566</v>
      </c>
      <c r="E1319" s="153"/>
      <c r="F1319" s="94" t="s">
        <v>2851</v>
      </c>
      <c r="G1319" s="73">
        <v>200</v>
      </c>
      <c r="H1319" s="51">
        <v>0</v>
      </c>
      <c r="I1319" s="5"/>
    </row>
    <row r="1320" spans="1:9" ht="12.75">
      <c r="A1320" s="4" t="s">
        <v>815</v>
      </c>
      <c r="B1320" s="94" t="s">
        <v>2882</v>
      </c>
      <c r="C1320" s="94" t="s">
        <v>1626</v>
      </c>
      <c r="D1320" s="152" t="s">
        <v>2567</v>
      </c>
      <c r="E1320" s="153"/>
      <c r="F1320" s="94" t="s">
        <v>2851</v>
      </c>
      <c r="G1320" s="73">
        <v>20</v>
      </c>
      <c r="H1320" s="51">
        <v>0</v>
      </c>
      <c r="I1320" s="5"/>
    </row>
    <row r="1321" spans="1:9" ht="12.75">
      <c r="A1321" s="4" t="s">
        <v>816</v>
      </c>
      <c r="B1321" s="94" t="s">
        <v>2882</v>
      </c>
      <c r="C1321" s="94" t="s">
        <v>1627</v>
      </c>
      <c r="D1321" s="152" t="s">
        <v>2568</v>
      </c>
      <c r="E1321" s="153"/>
      <c r="F1321" s="94" t="s">
        <v>2851</v>
      </c>
      <c r="G1321" s="73">
        <v>10</v>
      </c>
      <c r="H1321" s="51">
        <v>0</v>
      </c>
      <c r="I1321" s="5"/>
    </row>
    <row r="1322" spans="1:9" ht="12.75">
      <c r="A1322" s="4" t="s">
        <v>817</v>
      </c>
      <c r="B1322" s="94" t="s">
        <v>2882</v>
      </c>
      <c r="C1322" s="94" t="s">
        <v>1628</v>
      </c>
      <c r="D1322" s="152" t="s">
        <v>2569</v>
      </c>
      <c r="E1322" s="153"/>
      <c r="F1322" s="94" t="s">
        <v>2851</v>
      </c>
      <c r="G1322" s="73">
        <v>10</v>
      </c>
      <c r="H1322" s="51">
        <v>0</v>
      </c>
      <c r="I1322" s="5"/>
    </row>
    <row r="1323" spans="1:9" ht="12.75">
      <c r="A1323" s="4" t="s">
        <v>818</v>
      </c>
      <c r="B1323" s="94" t="s">
        <v>2882</v>
      </c>
      <c r="C1323" s="94" t="s">
        <v>1629</v>
      </c>
      <c r="D1323" s="152" t="s">
        <v>2570</v>
      </c>
      <c r="E1323" s="153"/>
      <c r="F1323" s="94" t="s">
        <v>2851</v>
      </c>
      <c r="G1323" s="73">
        <v>2600</v>
      </c>
      <c r="H1323" s="51">
        <v>0</v>
      </c>
      <c r="I1323" s="5"/>
    </row>
    <row r="1324" spans="1:9" ht="12.75">
      <c r="A1324" s="4" t="s">
        <v>819</v>
      </c>
      <c r="B1324" s="94" t="s">
        <v>2882</v>
      </c>
      <c r="C1324" s="94" t="s">
        <v>1630</v>
      </c>
      <c r="D1324" s="152" t="s">
        <v>2571</v>
      </c>
      <c r="E1324" s="153"/>
      <c r="F1324" s="94" t="s">
        <v>2851</v>
      </c>
      <c r="G1324" s="73">
        <v>1680</v>
      </c>
      <c r="H1324" s="51">
        <v>0</v>
      </c>
      <c r="I1324" s="5"/>
    </row>
    <row r="1325" spans="1:9" ht="12.75">
      <c r="A1325" s="4" t="s">
        <v>820</v>
      </c>
      <c r="B1325" s="94" t="s">
        <v>2882</v>
      </c>
      <c r="C1325" s="94" t="s">
        <v>1631</v>
      </c>
      <c r="D1325" s="152" t="s">
        <v>2572</v>
      </c>
      <c r="E1325" s="153"/>
      <c r="F1325" s="94" t="s">
        <v>2851</v>
      </c>
      <c r="G1325" s="73">
        <v>810</v>
      </c>
      <c r="H1325" s="51">
        <v>0</v>
      </c>
      <c r="I1325" s="5"/>
    </row>
    <row r="1326" spans="1:9" ht="12.75">
      <c r="A1326" s="4" t="s">
        <v>821</v>
      </c>
      <c r="B1326" s="94" t="s">
        <v>2882</v>
      </c>
      <c r="C1326" s="94" t="s">
        <v>1632</v>
      </c>
      <c r="D1326" s="152" t="s">
        <v>2573</v>
      </c>
      <c r="E1326" s="153"/>
      <c r="F1326" s="94" t="s">
        <v>2851</v>
      </c>
      <c r="G1326" s="73">
        <v>110</v>
      </c>
      <c r="H1326" s="51">
        <v>0</v>
      </c>
      <c r="I1326" s="5"/>
    </row>
    <row r="1327" spans="1:9" ht="12.75">
      <c r="A1327" s="4" t="s">
        <v>822</v>
      </c>
      <c r="B1327" s="94" t="s">
        <v>2882</v>
      </c>
      <c r="C1327" s="94" t="s">
        <v>1633</v>
      </c>
      <c r="D1327" s="152" t="s">
        <v>2574</v>
      </c>
      <c r="E1327" s="153"/>
      <c r="F1327" s="94" t="s">
        <v>2851</v>
      </c>
      <c r="G1327" s="73">
        <v>2420</v>
      </c>
      <c r="H1327" s="51">
        <v>0</v>
      </c>
      <c r="I1327" s="5"/>
    </row>
    <row r="1328" spans="1:9" ht="12.75">
      <c r="A1328" s="4" t="s">
        <v>823</v>
      </c>
      <c r="B1328" s="94" t="s">
        <v>2882</v>
      </c>
      <c r="C1328" s="94" t="s">
        <v>1634</v>
      </c>
      <c r="D1328" s="152" t="s">
        <v>2575</v>
      </c>
      <c r="E1328" s="153"/>
      <c r="F1328" s="94" t="s">
        <v>2851</v>
      </c>
      <c r="G1328" s="73">
        <v>510</v>
      </c>
      <c r="H1328" s="51">
        <v>0</v>
      </c>
      <c r="I1328" s="5"/>
    </row>
    <row r="1329" spans="1:9" ht="12.75">
      <c r="A1329" s="4" t="s">
        <v>824</v>
      </c>
      <c r="B1329" s="94" t="s">
        <v>2882</v>
      </c>
      <c r="C1329" s="94" t="s">
        <v>1635</v>
      </c>
      <c r="D1329" s="152" t="s">
        <v>2576</v>
      </c>
      <c r="E1329" s="153"/>
      <c r="F1329" s="94" t="s">
        <v>2851</v>
      </c>
      <c r="G1329" s="73">
        <v>30</v>
      </c>
      <c r="H1329" s="51">
        <v>0</v>
      </c>
      <c r="I1329" s="5"/>
    </row>
    <row r="1330" spans="1:9" ht="12.75">
      <c r="A1330" s="4" t="s">
        <v>825</v>
      </c>
      <c r="B1330" s="94" t="s">
        <v>2882</v>
      </c>
      <c r="C1330" s="94" t="s">
        <v>1636</v>
      </c>
      <c r="D1330" s="152" t="s">
        <v>2577</v>
      </c>
      <c r="E1330" s="153"/>
      <c r="F1330" s="94" t="s">
        <v>2851</v>
      </c>
      <c r="G1330" s="73">
        <v>40</v>
      </c>
      <c r="H1330" s="51">
        <v>0</v>
      </c>
      <c r="I1330" s="5"/>
    </row>
    <row r="1331" spans="1:9" ht="12.75">
      <c r="A1331" s="4" t="s">
        <v>826</v>
      </c>
      <c r="B1331" s="94" t="s">
        <v>2882</v>
      </c>
      <c r="C1331" s="94" t="s">
        <v>1637</v>
      </c>
      <c r="D1331" s="152" t="s">
        <v>2578</v>
      </c>
      <c r="E1331" s="153"/>
      <c r="F1331" s="94" t="s">
        <v>2851</v>
      </c>
      <c r="G1331" s="73">
        <v>1840</v>
      </c>
      <c r="H1331" s="51">
        <v>0</v>
      </c>
      <c r="I1331" s="5"/>
    </row>
    <row r="1332" spans="1:9" ht="12.75">
      <c r="A1332" s="4" t="s">
        <v>827</v>
      </c>
      <c r="B1332" s="94" t="s">
        <v>2882</v>
      </c>
      <c r="C1332" s="94" t="s">
        <v>1638</v>
      </c>
      <c r="D1332" s="152" t="s">
        <v>2579</v>
      </c>
      <c r="E1332" s="153"/>
      <c r="F1332" s="94" t="s">
        <v>2850</v>
      </c>
      <c r="G1332" s="73">
        <v>542</v>
      </c>
      <c r="H1332" s="51">
        <v>0</v>
      </c>
      <c r="I1332" s="5"/>
    </row>
    <row r="1333" spans="1:9" ht="12.75">
      <c r="A1333" s="4" t="s">
        <v>828</v>
      </c>
      <c r="B1333" s="94" t="s">
        <v>2882</v>
      </c>
      <c r="C1333" s="94" t="s">
        <v>1639</v>
      </c>
      <c r="D1333" s="152" t="s">
        <v>2580</v>
      </c>
      <c r="E1333" s="153"/>
      <c r="F1333" s="94" t="s">
        <v>2850</v>
      </c>
      <c r="G1333" s="73">
        <v>132</v>
      </c>
      <c r="H1333" s="51">
        <v>0</v>
      </c>
      <c r="I1333" s="5"/>
    </row>
    <row r="1334" spans="1:9" ht="12.75">
      <c r="A1334" s="4" t="s">
        <v>829</v>
      </c>
      <c r="B1334" s="94" t="s">
        <v>2882</v>
      </c>
      <c r="C1334" s="94" t="s">
        <v>1640</v>
      </c>
      <c r="D1334" s="152" t="s">
        <v>2581</v>
      </c>
      <c r="E1334" s="153"/>
      <c r="F1334" s="94" t="s">
        <v>2850</v>
      </c>
      <c r="G1334" s="73">
        <v>4</v>
      </c>
      <c r="H1334" s="51">
        <v>0</v>
      </c>
      <c r="I1334" s="5"/>
    </row>
    <row r="1335" spans="1:9" ht="12.75">
      <c r="A1335" s="4" t="s">
        <v>830</v>
      </c>
      <c r="B1335" s="94" t="s">
        <v>2882</v>
      </c>
      <c r="C1335" s="94" t="s">
        <v>1641</v>
      </c>
      <c r="D1335" s="152" t="s">
        <v>2582</v>
      </c>
      <c r="E1335" s="153"/>
      <c r="F1335" s="94" t="s">
        <v>2850</v>
      </c>
      <c r="G1335" s="73">
        <v>98</v>
      </c>
      <c r="H1335" s="51">
        <v>0</v>
      </c>
      <c r="I1335" s="5"/>
    </row>
    <row r="1336" spans="1:9" ht="12.75">
      <c r="A1336" s="4" t="s">
        <v>831</v>
      </c>
      <c r="B1336" s="94" t="s">
        <v>2882</v>
      </c>
      <c r="C1336" s="94" t="s">
        <v>1642</v>
      </c>
      <c r="D1336" s="152" t="s">
        <v>2583</v>
      </c>
      <c r="E1336" s="153"/>
      <c r="F1336" s="94" t="s">
        <v>2855</v>
      </c>
      <c r="G1336" s="73">
        <v>120</v>
      </c>
      <c r="H1336" s="51">
        <v>0</v>
      </c>
      <c r="I1336" s="5"/>
    </row>
    <row r="1337" spans="1:9" ht="12.75">
      <c r="A1337" s="4" t="s">
        <v>832</v>
      </c>
      <c r="B1337" s="94" t="s">
        <v>2882</v>
      </c>
      <c r="C1337" s="94" t="s">
        <v>1643</v>
      </c>
      <c r="D1337" s="152" t="s">
        <v>2584</v>
      </c>
      <c r="E1337" s="153"/>
      <c r="F1337" s="94" t="s">
        <v>2850</v>
      </c>
      <c r="G1337" s="73">
        <v>10</v>
      </c>
      <c r="H1337" s="51">
        <v>0</v>
      </c>
      <c r="I1337" s="5"/>
    </row>
    <row r="1338" spans="1:9" ht="12.75">
      <c r="A1338" s="4" t="s">
        <v>833</v>
      </c>
      <c r="B1338" s="94" t="s">
        <v>2882</v>
      </c>
      <c r="C1338" s="94" t="s">
        <v>1644</v>
      </c>
      <c r="D1338" s="152" t="s">
        <v>2585</v>
      </c>
      <c r="E1338" s="153"/>
      <c r="F1338" s="94" t="s">
        <v>2850</v>
      </c>
      <c r="G1338" s="73">
        <v>1</v>
      </c>
      <c r="H1338" s="51">
        <v>0</v>
      </c>
      <c r="I1338" s="5"/>
    </row>
    <row r="1339" spans="1:9" ht="12.75">
      <c r="A1339" s="4" t="s">
        <v>834</v>
      </c>
      <c r="B1339" s="94" t="s">
        <v>2882</v>
      </c>
      <c r="C1339" s="94" t="s">
        <v>1645</v>
      </c>
      <c r="D1339" s="152" t="s">
        <v>2586</v>
      </c>
      <c r="E1339" s="153"/>
      <c r="F1339" s="94" t="s">
        <v>2850</v>
      </c>
      <c r="G1339" s="73">
        <v>1</v>
      </c>
      <c r="H1339" s="51">
        <v>0</v>
      </c>
      <c r="I1339" s="5"/>
    </row>
    <row r="1340" spans="1:9" ht="12.75">
      <c r="A1340" s="4" t="s">
        <v>835</v>
      </c>
      <c r="B1340" s="94" t="s">
        <v>2882</v>
      </c>
      <c r="C1340" s="94" t="s">
        <v>1646</v>
      </c>
      <c r="D1340" s="152" t="s">
        <v>2587</v>
      </c>
      <c r="E1340" s="153"/>
      <c r="F1340" s="94" t="s">
        <v>2850</v>
      </c>
      <c r="G1340" s="73">
        <v>7</v>
      </c>
      <c r="H1340" s="51">
        <v>0</v>
      </c>
      <c r="I1340" s="5"/>
    </row>
    <row r="1341" spans="1:9" ht="12.75">
      <c r="A1341" s="4" t="s">
        <v>836</v>
      </c>
      <c r="B1341" s="94" t="s">
        <v>2882</v>
      </c>
      <c r="C1341" s="94" t="s">
        <v>1647</v>
      </c>
      <c r="D1341" s="152" t="s">
        <v>2588</v>
      </c>
      <c r="E1341" s="153"/>
      <c r="F1341" s="94" t="s">
        <v>2850</v>
      </c>
      <c r="G1341" s="73">
        <v>4</v>
      </c>
      <c r="H1341" s="51">
        <v>0</v>
      </c>
      <c r="I1341" s="5"/>
    </row>
    <row r="1342" spans="1:9" ht="12.75">
      <c r="A1342" s="4" t="s">
        <v>837</v>
      </c>
      <c r="B1342" s="94" t="s">
        <v>2882</v>
      </c>
      <c r="C1342" s="94" t="s">
        <v>1648</v>
      </c>
      <c r="D1342" s="152" t="s">
        <v>2589</v>
      </c>
      <c r="E1342" s="153"/>
      <c r="F1342" s="94" t="s">
        <v>2850</v>
      </c>
      <c r="G1342" s="73">
        <v>3</v>
      </c>
      <c r="H1342" s="51">
        <v>0</v>
      </c>
      <c r="I1342" s="5"/>
    </row>
    <row r="1343" spans="1:9" ht="12.75">
      <c r="A1343" s="4" t="s">
        <v>838</v>
      </c>
      <c r="B1343" s="94" t="s">
        <v>2882</v>
      </c>
      <c r="C1343" s="94" t="s">
        <v>1649</v>
      </c>
      <c r="D1343" s="152" t="s">
        <v>2590</v>
      </c>
      <c r="E1343" s="153"/>
      <c r="F1343" s="94" t="s">
        <v>2850</v>
      </c>
      <c r="G1343" s="73">
        <v>16</v>
      </c>
      <c r="H1343" s="51">
        <v>0</v>
      </c>
      <c r="I1343" s="5"/>
    </row>
    <row r="1344" spans="1:9" ht="12.75">
      <c r="A1344" s="4" t="s">
        <v>839</v>
      </c>
      <c r="B1344" s="94" t="s">
        <v>2882</v>
      </c>
      <c r="C1344" s="94" t="s">
        <v>1650</v>
      </c>
      <c r="D1344" s="152" t="s">
        <v>2591</v>
      </c>
      <c r="E1344" s="153"/>
      <c r="F1344" s="94" t="s">
        <v>2850</v>
      </c>
      <c r="G1344" s="73">
        <v>16</v>
      </c>
      <c r="H1344" s="51">
        <v>0</v>
      </c>
      <c r="I1344" s="5"/>
    </row>
    <row r="1345" spans="1:9" ht="12.75">
      <c r="A1345" s="4" t="s">
        <v>840</v>
      </c>
      <c r="B1345" s="94" t="s">
        <v>2882</v>
      </c>
      <c r="C1345" s="94" t="s">
        <v>1651</v>
      </c>
      <c r="D1345" s="152" t="s">
        <v>2592</v>
      </c>
      <c r="E1345" s="153"/>
      <c r="F1345" s="94" t="s">
        <v>2850</v>
      </c>
      <c r="G1345" s="73">
        <v>16</v>
      </c>
      <c r="H1345" s="51">
        <v>0</v>
      </c>
      <c r="I1345" s="5"/>
    </row>
    <row r="1346" spans="1:9" ht="12.75">
      <c r="A1346" s="4" t="s">
        <v>841</v>
      </c>
      <c r="B1346" s="94" t="s">
        <v>2882</v>
      </c>
      <c r="C1346" s="94" t="s">
        <v>1652</v>
      </c>
      <c r="D1346" s="152" t="s">
        <v>2593</v>
      </c>
      <c r="E1346" s="153"/>
      <c r="F1346" s="94" t="s">
        <v>2850</v>
      </c>
      <c r="G1346" s="73">
        <v>10</v>
      </c>
      <c r="H1346" s="51">
        <v>0</v>
      </c>
      <c r="I1346" s="5"/>
    </row>
    <row r="1347" spans="1:9" ht="12.75">
      <c r="A1347" s="4" t="s">
        <v>842</v>
      </c>
      <c r="B1347" s="94" t="s">
        <v>2882</v>
      </c>
      <c r="C1347" s="94" t="s">
        <v>1653</v>
      </c>
      <c r="D1347" s="152" t="s">
        <v>2594</v>
      </c>
      <c r="E1347" s="153"/>
      <c r="F1347" s="94" t="s">
        <v>2850</v>
      </c>
      <c r="G1347" s="73">
        <v>6</v>
      </c>
      <c r="H1347" s="51">
        <v>0</v>
      </c>
      <c r="I1347" s="5"/>
    </row>
    <row r="1348" spans="1:9" ht="12.75">
      <c r="A1348" s="4" t="s">
        <v>843</v>
      </c>
      <c r="B1348" s="94" t="s">
        <v>2882</v>
      </c>
      <c r="C1348" s="94" t="s">
        <v>1654</v>
      </c>
      <c r="D1348" s="152" t="s">
        <v>2595</v>
      </c>
      <c r="E1348" s="153"/>
      <c r="F1348" s="94" t="s">
        <v>2850</v>
      </c>
      <c r="G1348" s="73">
        <v>21</v>
      </c>
      <c r="H1348" s="51">
        <v>0</v>
      </c>
      <c r="I1348" s="5"/>
    </row>
    <row r="1349" spans="1:9" ht="12.75">
      <c r="A1349" s="4" t="s">
        <v>844</v>
      </c>
      <c r="B1349" s="94" t="s">
        <v>2882</v>
      </c>
      <c r="C1349" s="94" t="s">
        <v>1655</v>
      </c>
      <c r="D1349" s="152" t="s">
        <v>2596</v>
      </c>
      <c r="E1349" s="153"/>
      <c r="F1349" s="94" t="s">
        <v>2850</v>
      </c>
      <c r="G1349" s="73">
        <v>21</v>
      </c>
      <c r="H1349" s="51">
        <v>0</v>
      </c>
      <c r="I1349" s="5"/>
    </row>
    <row r="1350" spans="1:9" ht="12.75">
      <c r="A1350" s="4" t="s">
        <v>845</v>
      </c>
      <c r="B1350" s="94" t="s">
        <v>2882</v>
      </c>
      <c r="C1350" s="94" t="s">
        <v>1654</v>
      </c>
      <c r="D1350" s="152" t="s">
        <v>2597</v>
      </c>
      <c r="E1350" s="153"/>
      <c r="F1350" s="94" t="s">
        <v>2850</v>
      </c>
      <c r="G1350" s="73">
        <v>13</v>
      </c>
      <c r="H1350" s="51">
        <v>0</v>
      </c>
      <c r="I1350" s="5"/>
    </row>
    <row r="1351" spans="1:9" ht="12.75">
      <c r="A1351" s="4" t="s">
        <v>846</v>
      </c>
      <c r="B1351" s="94" t="s">
        <v>2882</v>
      </c>
      <c r="C1351" s="94" t="s">
        <v>1655</v>
      </c>
      <c r="D1351" s="152" t="s">
        <v>2597</v>
      </c>
      <c r="E1351" s="153"/>
      <c r="F1351" s="94" t="s">
        <v>2850</v>
      </c>
      <c r="G1351" s="73">
        <v>13</v>
      </c>
      <c r="H1351" s="51">
        <v>0</v>
      </c>
      <c r="I1351" s="5"/>
    </row>
    <row r="1352" spans="1:9" ht="12.75">
      <c r="A1352" s="4" t="s">
        <v>847</v>
      </c>
      <c r="B1352" s="94" t="s">
        <v>2882</v>
      </c>
      <c r="C1352" s="94" t="s">
        <v>1656</v>
      </c>
      <c r="D1352" s="152" t="s">
        <v>2598</v>
      </c>
      <c r="E1352" s="153"/>
      <c r="F1352" s="94" t="s">
        <v>2850</v>
      </c>
      <c r="G1352" s="73">
        <v>55</v>
      </c>
      <c r="H1352" s="51">
        <v>0</v>
      </c>
      <c r="I1352" s="5"/>
    </row>
    <row r="1353" spans="1:9" ht="12.75">
      <c r="A1353" s="4" t="s">
        <v>848</v>
      </c>
      <c r="B1353" s="94" t="s">
        <v>2882</v>
      </c>
      <c r="C1353" s="94" t="s">
        <v>1657</v>
      </c>
      <c r="D1353" s="152" t="s">
        <v>2599</v>
      </c>
      <c r="E1353" s="153"/>
      <c r="F1353" s="94" t="s">
        <v>2850</v>
      </c>
      <c r="G1353" s="73">
        <v>46</v>
      </c>
      <c r="H1353" s="51">
        <v>0</v>
      </c>
      <c r="I1353" s="5"/>
    </row>
    <row r="1354" spans="1:9" ht="12.75">
      <c r="A1354" s="4" t="s">
        <v>849</v>
      </c>
      <c r="B1354" s="94" t="s">
        <v>2882</v>
      </c>
      <c r="C1354" s="94" t="s">
        <v>1658</v>
      </c>
      <c r="D1354" s="152" t="s">
        <v>2600</v>
      </c>
      <c r="E1354" s="153"/>
      <c r="F1354" s="94" t="s">
        <v>2850</v>
      </c>
      <c r="G1354" s="73">
        <v>7</v>
      </c>
      <c r="H1354" s="51">
        <v>0</v>
      </c>
      <c r="I1354" s="5"/>
    </row>
    <row r="1355" spans="1:9" ht="12.75">
      <c r="A1355" s="4" t="s">
        <v>850</v>
      </c>
      <c r="B1355" s="94" t="s">
        <v>2882</v>
      </c>
      <c r="C1355" s="94" t="s">
        <v>1659</v>
      </c>
      <c r="D1355" s="152" t="s">
        <v>2601</v>
      </c>
      <c r="E1355" s="153"/>
      <c r="F1355" s="94" t="s">
        <v>2850</v>
      </c>
      <c r="G1355" s="73">
        <v>2</v>
      </c>
      <c r="H1355" s="51">
        <v>0</v>
      </c>
      <c r="I1355" s="5"/>
    </row>
    <row r="1356" spans="1:9" ht="12.75">
      <c r="A1356" s="4" t="s">
        <v>851</v>
      </c>
      <c r="B1356" s="94" t="s">
        <v>2882</v>
      </c>
      <c r="C1356" s="94" t="s">
        <v>1660</v>
      </c>
      <c r="D1356" s="152" t="s">
        <v>2602</v>
      </c>
      <c r="E1356" s="153"/>
      <c r="F1356" s="94" t="s">
        <v>2850</v>
      </c>
      <c r="G1356" s="73">
        <v>4</v>
      </c>
      <c r="H1356" s="51">
        <v>0</v>
      </c>
      <c r="I1356" s="5"/>
    </row>
    <row r="1357" spans="1:9" ht="12.75">
      <c r="A1357" s="4" t="s">
        <v>852</v>
      </c>
      <c r="B1357" s="94" t="s">
        <v>2882</v>
      </c>
      <c r="C1357" s="94" t="s">
        <v>1661</v>
      </c>
      <c r="D1357" s="152" t="s">
        <v>2603</v>
      </c>
      <c r="E1357" s="153"/>
      <c r="F1357" s="94" t="s">
        <v>2850</v>
      </c>
      <c r="G1357" s="73">
        <v>4</v>
      </c>
      <c r="H1357" s="51">
        <v>0</v>
      </c>
      <c r="I1357" s="5"/>
    </row>
    <row r="1358" spans="1:9" ht="12.75">
      <c r="A1358" s="4" t="s">
        <v>853</v>
      </c>
      <c r="B1358" s="94" t="s">
        <v>2882</v>
      </c>
      <c r="C1358" s="94" t="s">
        <v>1660</v>
      </c>
      <c r="D1358" s="152" t="s">
        <v>2604</v>
      </c>
      <c r="E1358" s="153"/>
      <c r="F1358" s="94" t="s">
        <v>2850</v>
      </c>
      <c r="G1358" s="73">
        <v>1</v>
      </c>
      <c r="H1358" s="51">
        <v>0</v>
      </c>
      <c r="I1358" s="5"/>
    </row>
    <row r="1359" spans="1:9" ht="12.75">
      <c r="A1359" s="4" t="s">
        <v>854</v>
      </c>
      <c r="B1359" s="94" t="s">
        <v>2882</v>
      </c>
      <c r="C1359" s="94" t="s">
        <v>1661</v>
      </c>
      <c r="D1359" s="152" t="s">
        <v>2604</v>
      </c>
      <c r="E1359" s="153"/>
      <c r="F1359" s="94" t="s">
        <v>2850</v>
      </c>
      <c r="G1359" s="73">
        <v>1</v>
      </c>
      <c r="H1359" s="51">
        <v>0</v>
      </c>
      <c r="I1359" s="5"/>
    </row>
    <row r="1360" spans="1:9" ht="12.75">
      <c r="A1360" s="4" t="s">
        <v>855</v>
      </c>
      <c r="B1360" s="94" t="s">
        <v>2882</v>
      </c>
      <c r="C1360" s="94" t="s">
        <v>1662</v>
      </c>
      <c r="D1360" s="152" t="s">
        <v>2605</v>
      </c>
      <c r="E1360" s="153"/>
      <c r="F1360" s="94" t="s">
        <v>2850</v>
      </c>
      <c r="G1360" s="73">
        <v>1</v>
      </c>
      <c r="H1360" s="51">
        <v>0</v>
      </c>
      <c r="I1360" s="5"/>
    </row>
    <row r="1361" spans="1:9" ht="12.75">
      <c r="A1361" s="4" t="s">
        <v>856</v>
      </c>
      <c r="B1361" s="94" t="s">
        <v>2882</v>
      </c>
      <c r="C1361" s="94" t="s">
        <v>1663</v>
      </c>
      <c r="D1361" s="152" t="s">
        <v>2606</v>
      </c>
      <c r="E1361" s="153"/>
      <c r="F1361" s="94" t="s">
        <v>2850</v>
      </c>
      <c r="G1361" s="73">
        <v>98</v>
      </c>
      <c r="H1361" s="51">
        <v>0</v>
      </c>
      <c r="I1361" s="5"/>
    </row>
    <row r="1362" spans="1:9" ht="12.75">
      <c r="A1362" s="4" t="s">
        <v>857</v>
      </c>
      <c r="B1362" s="94" t="s">
        <v>2882</v>
      </c>
      <c r="C1362" s="94" t="s">
        <v>1664</v>
      </c>
      <c r="D1362" s="152" t="s">
        <v>2607</v>
      </c>
      <c r="E1362" s="153"/>
      <c r="F1362" s="94" t="s">
        <v>2850</v>
      </c>
      <c r="G1362" s="73">
        <v>15</v>
      </c>
      <c r="H1362" s="51">
        <v>0</v>
      </c>
      <c r="I1362" s="5"/>
    </row>
    <row r="1363" spans="1:9" ht="12.75">
      <c r="A1363" s="4" t="s">
        <v>858</v>
      </c>
      <c r="B1363" s="94" t="s">
        <v>2882</v>
      </c>
      <c r="C1363" s="94" t="s">
        <v>1665</v>
      </c>
      <c r="D1363" s="152" t="s">
        <v>2608</v>
      </c>
      <c r="E1363" s="153"/>
      <c r="F1363" s="94" t="s">
        <v>2850</v>
      </c>
      <c r="G1363" s="73">
        <v>5</v>
      </c>
      <c r="H1363" s="51">
        <v>0</v>
      </c>
      <c r="I1363" s="5"/>
    </row>
    <row r="1364" spans="1:9" ht="12.75">
      <c r="A1364" s="4" t="s">
        <v>859</v>
      </c>
      <c r="B1364" s="94" t="s">
        <v>2882</v>
      </c>
      <c r="C1364" s="94" t="s">
        <v>1666</v>
      </c>
      <c r="D1364" s="152" t="s">
        <v>2609</v>
      </c>
      <c r="E1364" s="153"/>
      <c r="F1364" s="94" t="s">
        <v>2850</v>
      </c>
      <c r="G1364" s="73">
        <v>5</v>
      </c>
      <c r="H1364" s="51">
        <v>0</v>
      </c>
      <c r="I1364" s="5"/>
    </row>
    <row r="1365" spans="1:9" ht="12.75">
      <c r="A1365" s="4" t="s">
        <v>860</v>
      </c>
      <c r="B1365" s="94" t="s">
        <v>2882</v>
      </c>
      <c r="C1365" s="94" t="s">
        <v>1667</v>
      </c>
      <c r="D1365" s="152" t="s">
        <v>2610</v>
      </c>
      <c r="E1365" s="153"/>
      <c r="F1365" s="94" t="s">
        <v>2850</v>
      </c>
      <c r="G1365" s="73">
        <v>4</v>
      </c>
      <c r="H1365" s="51">
        <v>0</v>
      </c>
      <c r="I1365" s="5"/>
    </row>
    <row r="1366" spans="1:9" ht="12.75">
      <c r="A1366" s="4" t="s">
        <v>861</v>
      </c>
      <c r="B1366" s="94" t="s">
        <v>2882</v>
      </c>
      <c r="C1366" s="94" t="s">
        <v>1668</v>
      </c>
      <c r="D1366" s="152" t="s">
        <v>2611</v>
      </c>
      <c r="E1366" s="153"/>
      <c r="F1366" s="94" t="s">
        <v>2850</v>
      </c>
      <c r="G1366" s="73">
        <v>6</v>
      </c>
      <c r="H1366" s="51">
        <v>0</v>
      </c>
      <c r="I1366" s="5"/>
    </row>
    <row r="1367" spans="1:9" ht="12.75">
      <c r="A1367" s="4" t="s">
        <v>862</v>
      </c>
      <c r="B1367" s="94" t="s">
        <v>2882</v>
      </c>
      <c r="C1367" s="94" t="s">
        <v>1669</v>
      </c>
      <c r="D1367" s="152" t="s">
        <v>2612</v>
      </c>
      <c r="E1367" s="153"/>
      <c r="F1367" s="94" t="s">
        <v>2850</v>
      </c>
      <c r="G1367" s="73">
        <v>34</v>
      </c>
      <c r="H1367" s="51">
        <v>0</v>
      </c>
      <c r="I1367" s="5"/>
    </row>
    <row r="1368" spans="1:9" ht="12.75">
      <c r="A1368" s="4" t="s">
        <v>863</v>
      </c>
      <c r="B1368" s="94" t="s">
        <v>2882</v>
      </c>
      <c r="C1368" s="94" t="s">
        <v>1670</v>
      </c>
      <c r="D1368" s="152" t="s">
        <v>2613</v>
      </c>
      <c r="E1368" s="153"/>
      <c r="F1368" s="94" t="s">
        <v>2850</v>
      </c>
      <c r="G1368" s="73">
        <v>1</v>
      </c>
      <c r="H1368" s="51">
        <v>0</v>
      </c>
      <c r="I1368" s="5"/>
    </row>
    <row r="1369" spans="1:9" ht="12.75">
      <c r="A1369" s="4" t="s">
        <v>864</v>
      </c>
      <c r="B1369" s="94" t="s">
        <v>2882</v>
      </c>
      <c r="C1369" s="94" t="s">
        <v>1671</v>
      </c>
      <c r="D1369" s="152" t="s">
        <v>2614</v>
      </c>
      <c r="E1369" s="153"/>
      <c r="F1369" s="94" t="s">
        <v>2850</v>
      </c>
      <c r="G1369" s="73">
        <v>11</v>
      </c>
      <c r="H1369" s="51">
        <v>0</v>
      </c>
      <c r="I1369" s="5"/>
    </row>
    <row r="1370" spans="1:9" ht="12.75">
      <c r="A1370" s="4" t="s">
        <v>865</v>
      </c>
      <c r="B1370" s="94" t="s">
        <v>2882</v>
      </c>
      <c r="C1370" s="94" t="s">
        <v>1672</v>
      </c>
      <c r="D1370" s="152" t="s">
        <v>2615</v>
      </c>
      <c r="E1370" s="153"/>
      <c r="F1370" s="94" t="s">
        <v>2850</v>
      </c>
      <c r="G1370" s="73">
        <v>9</v>
      </c>
      <c r="H1370" s="51">
        <v>0</v>
      </c>
      <c r="I1370" s="5"/>
    </row>
    <row r="1371" spans="1:9" ht="12.75">
      <c r="A1371" s="4" t="s">
        <v>866</v>
      </c>
      <c r="B1371" s="94" t="s">
        <v>2882</v>
      </c>
      <c r="C1371" s="94" t="s">
        <v>1673</v>
      </c>
      <c r="D1371" s="152" t="s">
        <v>2616</v>
      </c>
      <c r="E1371" s="153"/>
      <c r="F1371" s="94" t="s">
        <v>2850</v>
      </c>
      <c r="G1371" s="73">
        <v>3</v>
      </c>
      <c r="H1371" s="51">
        <v>0</v>
      </c>
      <c r="I1371" s="5"/>
    </row>
    <row r="1372" spans="1:9" ht="12.75">
      <c r="A1372" s="4" t="s">
        <v>867</v>
      </c>
      <c r="B1372" s="94" t="s">
        <v>2882</v>
      </c>
      <c r="C1372" s="94" t="s">
        <v>1674</v>
      </c>
      <c r="D1372" s="152" t="s">
        <v>2617</v>
      </c>
      <c r="E1372" s="153"/>
      <c r="F1372" s="94" t="s">
        <v>2850</v>
      </c>
      <c r="G1372" s="73">
        <v>1</v>
      </c>
      <c r="H1372" s="51">
        <v>0</v>
      </c>
      <c r="I1372" s="5"/>
    </row>
    <row r="1373" spans="1:9" ht="12.75">
      <c r="A1373" s="4" t="s">
        <v>868</v>
      </c>
      <c r="B1373" s="94" t="s">
        <v>2882</v>
      </c>
      <c r="C1373" s="94" t="s">
        <v>1675</v>
      </c>
      <c r="D1373" s="152" t="s">
        <v>2618</v>
      </c>
      <c r="E1373" s="153"/>
      <c r="F1373" s="94" t="s">
        <v>2850</v>
      </c>
      <c r="G1373" s="73">
        <v>4</v>
      </c>
      <c r="H1373" s="51">
        <v>0</v>
      </c>
      <c r="I1373" s="5"/>
    </row>
    <row r="1374" spans="1:9" ht="12.75">
      <c r="A1374" s="4" t="s">
        <v>869</v>
      </c>
      <c r="B1374" s="94" t="s">
        <v>2882</v>
      </c>
      <c r="C1374" s="94" t="s">
        <v>1676</v>
      </c>
      <c r="D1374" s="152" t="s">
        <v>2619</v>
      </c>
      <c r="E1374" s="153"/>
      <c r="F1374" s="94" t="s">
        <v>2850</v>
      </c>
      <c r="G1374" s="73">
        <v>3</v>
      </c>
      <c r="H1374" s="51">
        <v>0</v>
      </c>
      <c r="I1374" s="5"/>
    </row>
    <row r="1375" spans="1:9" ht="12.75">
      <c r="A1375" s="4" t="s">
        <v>870</v>
      </c>
      <c r="B1375" s="94" t="s">
        <v>2882</v>
      </c>
      <c r="C1375" s="94" t="s">
        <v>1677</v>
      </c>
      <c r="D1375" s="152" t="s">
        <v>2620</v>
      </c>
      <c r="E1375" s="153"/>
      <c r="F1375" s="94" t="s">
        <v>2850</v>
      </c>
      <c r="G1375" s="73">
        <v>3</v>
      </c>
      <c r="H1375" s="51">
        <v>0</v>
      </c>
      <c r="I1375" s="5"/>
    </row>
    <row r="1376" spans="1:9" ht="12.75">
      <c r="A1376" s="4" t="s">
        <v>871</v>
      </c>
      <c r="B1376" s="94" t="s">
        <v>2882</v>
      </c>
      <c r="C1376" s="94" t="s">
        <v>1678</v>
      </c>
      <c r="D1376" s="152" t="s">
        <v>2621</v>
      </c>
      <c r="E1376" s="153"/>
      <c r="F1376" s="94" t="s">
        <v>2856</v>
      </c>
      <c r="G1376" s="73">
        <v>1</v>
      </c>
      <c r="H1376" s="51">
        <v>0</v>
      </c>
      <c r="I1376" s="5"/>
    </row>
    <row r="1377" spans="1:9" ht="12.75">
      <c r="A1377" s="4" t="s">
        <v>872</v>
      </c>
      <c r="B1377" s="94" t="s">
        <v>2882</v>
      </c>
      <c r="C1377" s="94" t="s">
        <v>1679</v>
      </c>
      <c r="D1377" s="152" t="s">
        <v>2622</v>
      </c>
      <c r="E1377" s="153"/>
      <c r="F1377" s="94" t="s">
        <v>2856</v>
      </c>
      <c r="G1377" s="73">
        <v>1</v>
      </c>
      <c r="H1377" s="51">
        <v>0</v>
      </c>
      <c r="I1377" s="5"/>
    </row>
    <row r="1378" spans="1:9" ht="12.75">
      <c r="A1378" s="4" t="s">
        <v>873</v>
      </c>
      <c r="B1378" s="94" t="s">
        <v>2882</v>
      </c>
      <c r="C1378" s="94" t="s">
        <v>1680</v>
      </c>
      <c r="D1378" s="152" t="s">
        <v>2623</v>
      </c>
      <c r="E1378" s="153"/>
      <c r="F1378" s="94" t="s">
        <v>2851</v>
      </c>
      <c r="G1378" s="73">
        <v>30</v>
      </c>
      <c r="H1378" s="51">
        <v>0</v>
      </c>
      <c r="I1378" s="5"/>
    </row>
    <row r="1379" spans="1:9" ht="12.75">
      <c r="A1379" s="4" t="s">
        <v>874</v>
      </c>
      <c r="B1379" s="94" t="s">
        <v>2882</v>
      </c>
      <c r="C1379" s="94" t="s">
        <v>1681</v>
      </c>
      <c r="D1379" s="152" t="s">
        <v>2623</v>
      </c>
      <c r="E1379" s="153"/>
      <c r="F1379" s="94" t="s">
        <v>2851</v>
      </c>
      <c r="G1379" s="73">
        <v>30</v>
      </c>
      <c r="H1379" s="51">
        <v>0</v>
      </c>
      <c r="I1379" s="5"/>
    </row>
    <row r="1380" spans="1:9" ht="12.75">
      <c r="A1380" s="4" t="s">
        <v>875</v>
      </c>
      <c r="B1380" s="94" t="s">
        <v>2882</v>
      </c>
      <c r="C1380" s="94" t="s">
        <v>1682</v>
      </c>
      <c r="D1380" s="152" t="s">
        <v>2624</v>
      </c>
      <c r="E1380" s="153"/>
      <c r="F1380" s="94" t="s">
        <v>2850</v>
      </c>
      <c r="G1380" s="73">
        <v>26</v>
      </c>
      <c r="H1380" s="51">
        <v>0</v>
      </c>
      <c r="I1380" s="5"/>
    </row>
    <row r="1381" spans="1:9" ht="12.75">
      <c r="A1381" s="4" t="s">
        <v>876</v>
      </c>
      <c r="B1381" s="94" t="s">
        <v>2882</v>
      </c>
      <c r="C1381" s="94" t="s">
        <v>1683</v>
      </c>
      <c r="D1381" s="152" t="s">
        <v>2624</v>
      </c>
      <c r="E1381" s="153"/>
      <c r="F1381" s="94" t="s">
        <v>2850</v>
      </c>
      <c r="G1381" s="73">
        <v>26</v>
      </c>
      <c r="H1381" s="51">
        <v>0</v>
      </c>
      <c r="I1381" s="5"/>
    </row>
    <row r="1382" spans="1:9" ht="12.75">
      <c r="A1382" s="4" t="s">
        <v>877</v>
      </c>
      <c r="B1382" s="94" t="s">
        <v>2882</v>
      </c>
      <c r="C1382" s="94" t="s">
        <v>1684</v>
      </c>
      <c r="D1382" s="152" t="s">
        <v>2625</v>
      </c>
      <c r="E1382" s="153"/>
      <c r="F1382" s="94" t="s">
        <v>2850</v>
      </c>
      <c r="G1382" s="73">
        <v>6</v>
      </c>
      <c r="H1382" s="51">
        <v>0</v>
      </c>
      <c r="I1382" s="5"/>
    </row>
    <row r="1383" spans="1:9" ht="12.75">
      <c r="A1383" s="4" t="s">
        <v>878</v>
      </c>
      <c r="B1383" s="94" t="s">
        <v>2882</v>
      </c>
      <c r="C1383" s="94" t="s">
        <v>1685</v>
      </c>
      <c r="D1383" s="152" t="s">
        <v>2625</v>
      </c>
      <c r="E1383" s="153"/>
      <c r="F1383" s="94" t="s">
        <v>2850</v>
      </c>
      <c r="G1383" s="73">
        <v>6</v>
      </c>
      <c r="H1383" s="51">
        <v>0</v>
      </c>
      <c r="I1383" s="5"/>
    </row>
    <row r="1384" spans="1:9" ht="12.75">
      <c r="A1384" s="4" t="s">
        <v>879</v>
      </c>
      <c r="B1384" s="94" t="s">
        <v>2882</v>
      </c>
      <c r="C1384" s="94" t="s">
        <v>1686</v>
      </c>
      <c r="D1384" s="152" t="s">
        <v>2626</v>
      </c>
      <c r="E1384" s="153"/>
      <c r="F1384" s="94" t="s">
        <v>2851</v>
      </c>
      <c r="G1384" s="73">
        <v>280</v>
      </c>
      <c r="H1384" s="51">
        <v>0</v>
      </c>
      <c r="I1384" s="5"/>
    </row>
    <row r="1385" spans="1:9" ht="12.75">
      <c r="A1385" s="4" t="s">
        <v>880</v>
      </c>
      <c r="B1385" s="94" t="s">
        <v>2882</v>
      </c>
      <c r="C1385" s="94" t="s">
        <v>1687</v>
      </c>
      <c r="D1385" s="152" t="s">
        <v>2626</v>
      </c>
      <c r="E1385" s="153"/>
      <c r="F1385" s="94" t="s">
        <v>2851</v>
      </c>
      <c r="G1385" s="73">
        <v>280</v>
      </c>
      <c r="H1385" s="51">
        <v>0</v>
      </c>
      <c r="I1385" s="5"/>
    </row>
    <row r="1386" spans="1:9" ht="12.75">
      <c r="A1386" s="4" t="s">
        <v>881</v>
      </c>
      <c r="B1386" s="94" t="s">
        <v>2882</v>
      </c>
      <c r="C1386" s="94" t="s">
        <v>1688</v>
      </c>
      <c r="D1386" s="152" t="s">
        <v>2627</v>
      </c>
      <c r="E1386" s="153"/>
      <c r="F1386" s="94" t="s">
        <v>2851</v>
      </c>
      <c r="G1386" s="73">
        <v>100</v>
      </c>
      <c r="H1386" s="51">
        <v>0</v>
      </c>
      <c r="I1386" s="5"/>
    </row>
    <row r="1387" spans="1:9" ht="12.75">
      <c r="A1387" s="4" t="s">
        <v>882</v>
      </c>
      <c r="B1387" s="94" t="s">
        <v>2882</v>
      </c>
      <c r="C1387" s="94" t="s">
        <v>1689</v>
      </c>
      <c r="D1387" s="152" t="s">
        <v>2628</v>
      </c>
      <c r="E1387" s="153"/>
      <c r="F1387" s="94" t="s">
        <v>2851</v>
      </c>
      <c r="G1387" s="73">
        <v>100</v>
      </c>
      <c r="H1387" s="51">
        <v>0</v>
      </c>
      <c r="I1387" s="5"/>
    </row>
    <row r="1388" spans="1:9" ht="12.75">
      <c r="A1388" s="4" t="s">
        <v>883</v>
      </c>
      <c r="B1388" s="94" t="s">
        <v>2882</v>
      </c>
      <c r="C1388" s="94" t="s">
        <v>1690</v>
      </c>
      <c r="D1388" s="152" t="s">
        <v>2629</v>
      </c>
      <c r="E1388" s="153"/>
      <c r="F1388" s="94" t="s">
        <v>2850</v>
      </c>
      <c r="G1388" s="73">
        <v>7</v>
      </c>
      <c r="H1388" s="51">
        <v>0</v>
      </c>
      <c r="I1388" s="5"/>
    </row>
    <row r="1389" spans="1:9" ht="12.75">
      <c r="A1389" s="4" t="s">
        <v>884</v>
      </c>
      <c r="B1389" s="94" t="s">
        <v>2882</v>
      </c>
      <c r="C1389" s="94" t="s">
        <v>1691</v>
      </c>
      <c r="D1389" s="152" t="s">
        <v>2629</v>
      </c>
      <c r="E1389" s="153"/>
      <c r="F1389" s="94" t="s">
        <v>2850</v>
      </c>
      <c r="G1389" s="73">
        <v>7</v>
      </c>
      <c r="H1389" s="51">
        <v>0</v>
      </c>
      <c r="I1389" s="5"/>
    </row>
    <row r="1390" spans="1:9" ht="12.75">
      <c r="A1390" s="4" t="s">
        <v>885</v>
      </c>
      <c r="B1390" s="94" t="s">
        <v>2882</v>
      </c>
      <c r="C1390" s="94" t="s">
        <v>1692</v>
      </c>
      <c r="D1390" s="152" t="s">
        <v>2630</v>
      </c>
      <c r="E1390" s="153"/>
      <c r="F1390" s="94" t="s">
        <v>2850</v>
      </c>
      <c r="G1390" s="73">
        <v>14</v>
      </c>
      <c r="H1390" s="51">
        <v>0</v>
      </c>
      <c r="I1390" s="5"/>
    </row>
    <row r="1391" spans="1:9" ht="12.75">
      <c r="A1391" s="4" t="s">
        <v>886</v>
      </c>
      <c r="B1391" s="94" t="s">
        <v>2882</v>
      </c>
      <c r="C1391" s="94" t="s">
        <v>1693</v>
      </c>
      <c r="D1391" s="152" t="s">
        <v>2630</v>
      </c>
      <c r="E1391" s="153"/>
      <c r="F1391" s="94" t="s">
        <v>2850</v>
      </c>
      <c r="G1391" s="73">
        <v>14</v>
      </c>
      <c r="H1391" s="51">
        <v>0</v>
      </c>
      <c r="I1391" s="5"/>
    </row>
    <row r="1392" spans="1:9" ht="12.75">
      <c r="A1392" s="4" t="s">
        <v>887</v>
      </c>
      <c r="B1392" s="94" t="s">
        <v>2882</v>
      </c>
      <c r="C1392" s="94" t="s">
        <v>1694</v>
      </c>
      <c r="D1392" s="152" t="s">
        <v>2631</v>
      </c>
      <c r="E1392" s="153"/>
      <c r="F1392" s="94" t="s">
        <v>2850</v>
      </c>
      <c r="G1392" s="73">
        <v>7</v>
      </c>
      <c r="H1392" s="51">
        <v>0</v>
      </c>
      <c r="I1392" s="5"/>
    </row>
    <row r="1393" spans="1:9" ht="12.75">
      <c r="A1393" s="4" t="s">
        <v>888</v>
      </c>
      <c r="B1393" s="94" t="s">
        <v>2882</v>
      </c>
      <c r="C1393" s="94" t="s">
        <v>1695</v>
      </c>
      <c r="D1393" s="152" t="s">
        <v>2631</v>
      </c>
      <c r="E1393" s="153"/>
      <c r="F1393" s="94" t="s">
        <v>2850</v>
      </c>
      <c r="G1393" s="73">
        <v>7</v>
      </c>
      <c r="H1393" s="51">
        <v>0</v>
      </c>
      <c r="I1393" s="5"/>
    </row>
    <row r="1394" spans="1:9" ht="12.75">
      <c r="A1394" s="4" t="s">
        <v>889</v>
      </c>
      <c r="B1394" s="94" t="s">
        <v>2882</v>
      </c>
      <c r="C1394" s="94" t="s">
        <v>1696</v>
      </c>
      <c r="D1394" s="152" t="s">
        <v>2632</v>
      </c>
      <c r="E1394" s="153"/>
      <c r="F1394" s="94" t="s">
        <v>2850</v>
      </c>
      <c r="G1394" s="73">
        <v>34</v>
      </c>
      <c r="H1394" s="51">
        <v>0</v>
      </c>
      <c r="I1394" s="5"/>
    </row>
    <row r="1395" spans="1:9" ht="12.75">
      <c r="A1395" s="4" t="s">
        <v>890</v>
      </c>
      <c r="B1395" s="94" t="s">
        <v>2882</v>
      </c>
      <c r="C1395" s="94" t="s">
        <v>1697</v>
      </c>
      <c r="D1395" s="152" t="s">
        <v>2632</v>
      </c>
      <c r="E1395" s="153"/>
      <c r="F1395" s="94" t="s">
        <v>2850</v>
      </c>
      <c r="G1395" s="73">
        <v>34</v>
      </c>
      <c r="H1395" s="51">
        <v>0</v>
      </c>
      <c r="I1395" s="5"/>
    </row>
    <row r="1396" spans="1:9" ht="12.75">
      <c r="A1396" s="4" t="s">
        <v>891</v>
      </c>
      <c r="B1396" s="94" t="s">
        <v>2882</v>
      </c>
      <c r="C1396" s="94" t="s">
        <v>1698</v>
      </c>
      <c r="D1396" s="152" t="s">
        <v>2633</v>
      </c>
      <c r="E1396" s="153"/>
      <c r="F1396" s="94" t="s">
        <v>2850</v>
      </c>
      <c r="G1396" s="73">
        <v>19</v>
      </c>
      <c r="H1396" s="51">
        <v>0</v>
      </c>
      <c r="I1396" s="5"/>
    </row>
    <row r="1397" spans="1:9" ht="12.75">
      <c r="A1397" s="4" t="s">
        <v>892</v>
      </c>
      <c r="B1397" s="94" t="s">
        <v>2882</v>
      </c>
      <c r="C1397" s="94" t="s">
        <v>1699</v>
      </c>
      <c r="D1397" s="152" t="s">
        <v>2633</v>
      </c>
      <c r="E1397" s="153"/>
      <c r="F1397" s="94" t="s">
        <v>2850</v>
      </c>
      <c r="G1397" s="73">
        <v>19</v>
      </c>
      <c r="H1397" s="51">
        <v>0</v>
      </c>
      <c r="I1397" s="5"/>
    </row>
    <row r="1398" spans="1:9" ht="12.75">
      <c r="A1398" s="4" t="s">
        <v>893</v>
      </c>
      <c r="B1398" s="94" t="s">
        <v>2882</v>
      </c>
      <c r="C1398" s="94" t="s">
        <v>1700</v>
      </c>
      <c r="D1398" s="152" t="s">
        <v>2634</v>
      </c>
      <c r="E1398" s="153"/>
      <c r="F1398" s="94" t="s">
        <v>2850</v>
      </c>
      <c r="G1398" s="73">
        <v>7</v>
      </c>
      <c r="H1398" s="51">
        <v>0</v>
      </c>
      <c r="I1398" s="5"/>
    </row>
    <row r="1399" spans="1:9" ht="12.75">
      <c r="A1399" s="4" t="s">
        <v>894</v>
      </c>
      <c r="B1399" s="94" t="s">
        <v>2882</v>
      </c>
      <c r="C1399" s="94" t="s">
        <v>1701</v>
      </c>
      <c r="D1399" s="152" t="s">
        <v>2634</v>
      </c>
      <c r="E1399" s="153"/>
      <c r="F1399" s="94" t="s">
        <v>2850</v>
      </c>
      <c r="G1399" s="73">
        <v>7</v>
      </c>
      <c r="H1399" s="51">
        <v>0</v>
      </c>
      <c r="I1399" s="5"/>
    </row>
    <row r="1400" spans="1:9" ht="12.75">
      <c r="A1400" s="4" t="s">
        <v>895</v>
      </c>
      <c r="B1400" s="94" t="s">
        <v>2882</v>
      </c>
      <c r="C1400" s="94" t="s">
        <v>1702</v>
      </c>
      <c r="D1400" s="152" t="s">
        <v>2635</v>
      </c>
      <c r="E1400" s="153"/>
      <c r="F1400" s="94" t="s">
        <v>2850</v>
      </c>
      <c r="G1400" s="73">
        <v>1</v>
      </c>
      <c r="H1400" s="51">
        <v>0</v>
      </c>
      <c r="I1400" s="5"/>
    </row>
    <row r="1401" spans="1:9" ht="12.75">
      <c r="A1401" s="4" t="s">
        <v>896</v>
      </c>
      <c r="B1401" s="94" t="s">
        <v>2882</v>
      </c>
      <c r="C1401" s="94" t="s">
        <v>1703</v>
      </c>
      <c r="D1401" s="152" t="s">
        <v>2636</v>
      </c>
      <c r="E1401" s="153"/>
      <c r="F1401" s="94" t="s">
        <v>2850</v>
      </c>
      <c r="G1401" s="73">
        <v>1</v>
      </c>
      <c r="H1401" s="51">
        <v>0</v>
      </c>
      <c r="I1401" s="5"/>
    </row>
    <row r="1402" spans="1:9" ht="12.75">
      <c r="A1402" s="4" t="s">
        <v>897</v>
      </c>
      <c r="B1402" s="94" t="s">
        <v>2882</v>
      </c>
      <c r="C1402" s="94" t="s">
        <v>1704</v>
      </c>
      <c r="D1402" s="152" t="s">
        <v>2637</v>
      </c>
      <c r="E1402" s="153"/>
      <c r="F1402" s="94" t="s">
        <v>2856</v>
      </c>
      <c r="G1402" s="73">
        <v>1</v>
      </c>
      <c r="H1402" s="51">
        <v>0</v>
      </c>
      <c r="I1402" s="5"/>
    </row>
    <row r="1403" spans="1:9" ht="12.75">
      <c r="A1403" s="4" t="s">
        <v>898</v>
      </c>
      <c r="B1403" s="94" t="s">
        <v>2882</v>
      </c>
      <c r="C1403" s="94" t="s">
        <v>1705</v>
      </c>
      <c r="D1403" s="152" t="s">
        <v>2638</v>
      </c>
      <c r="E1403" s="153"/>
      <c r="F1403" s="94" t="s">
        <v>2856</v>
      </c>
      <c r="G1403" s="73">
        <v>1</v>
      </c>
      <c r="H1403" s="51">
        <v>0</v>
      </c>
      <c r="I1403" s="5"/>
    </row>
    <row r="1404" spans="1:9" ht="12.75">
      <c r="A1404" s="4" t="s">
        <v>899</v>
      </c>
      <c r="B1404" s="94" t="s">
        <v>2882</v>
      </c>
      <c r="C1404" s="94" t="s">
        <v>1706</v>
      </c>
      <c r="D1404" s="152" t="s">
        <v>2639</v>
      </c>
      <c r="E1404" s="153"/>
      <c r="F1404" s="94" t="s">
        <v>2856</v>
      </c>
      <c r="G1404" s="73">
        <v>1</v>
      </c>
      <c r="H1404" s="51">
        <v>0</v>
      </c>
      <c r="I1404" s="5"/>
    </row>
    <row r="1405" spans="1:9" ht="12.75">
      <c r="A1405" s="4" t="s">
        <v>900</v>
      </c>
      <c r="B1405" s="94" t="s">
        <v>2882</v>
      </c>
      <c r="C1405" s="94" t="s">
        <v>1707</v>
      </c>
      <c r="D1405" s="152" t="s">
        <v>2640</v>
      </c>
      <c r="E1405" s="153"/>
      <c r="F1405" s="94" t="s">
        <v>2856</v>
      </c>
      <c r="G1405" s="73">
        <v>1</v>
      </c>
      <c r="H1405" s="51">
        <v>0</v>
      </c>
      <c r="I1405" s="5"/>
    </row>
    <row r="1406" spans="1:9" ht="12.75">
      <c r="A1406" s="4" t="s">
        <v>901</v>
      </c>
      <c r="B1406" s="94" t="s">
        <v>2882</v>
      </c>
      <c r="C1406" s="94" t="s">
        <v>1708</v>
      </c>
      <c r="D1406" s="152" t="s">
        <v>2641</v>
      </c>
      <c r="E1406" s="153"/>
      <c r="F1406" s="94" t="s">
        <v>2852</v>
      </c>
      <c r="G1406" s="73">
        <v>40</v>
      </c>
      <c r="H1406" s="51">
        <v>0</v>
      </c>
      <c r="I1406" s="5"/>
    </row>
    <row r="1407" spans="1:9" ht="12.75">
      <c r="A1407" s="4" t="s">
        <v>902</v>
      </c>
      <c r="B1407" s="94" t="s">
        <v>2882</v>
      </c>
      <c r="C1407" s="94" t="s">
        <v>1709</v>
      </c>
      <c r="D1407" s="152" t="s">
        <v>2642</v>
      </c>
      <c r="E1407" s="153"/>
      <c r="F1407" s="94" t="s">
        <v>2849</v>
      </c>
      <c r="G1407" s="73">
        <v>120</v>
      </c>
      <c r="H1407" s="51">
        <v>0</v>
      </c>
      <c r="I1407" s="5"/>
    </row>
    <row r="1408" spans="1:9" ht="12.75">
      <c r="A1408" s="4" t="s">
        <v>903</v>
      </c>
      <c r="B1408" s="94" t="s">
        <v>2882</v>
      </c>
      <c r="C1408" s="94" t="s">
        <v>1708</v>
      </c>
      <c r="D1408" s="152" t="s">
        <v>2643</v>
      </c>
      <c r="E1408" s="153"/>
      <c r="F1408" s="94" t="s">
        <v>2852</v>
      </c>
      <c r="G1408" s="73">
        <v>62</v>
      </c>
      <c r="H1408" s="51">
        <v>0</v>
      </c>
      <c r="I1408" s="5"/>
    </row>
    <row r="1409" spans="1:9" ht="12.75">
      <c r="A1409" s="4" t="s">
        <v>904</v>
      </c>
      <c r="B1409" s="94" t="s">
        <v>2882</v>
      </c>
      <c r="C1409" s="94" t="s">
        <v>1709</v>
      </c>
      <c r="D1409" s="152" t="s">
        <v>2643</v>
      </c>
      <c r="E1409" s="153"/>
      <c r="F1409" s="94" t="s">
        <v>2850</v>
      </c>
      <c r="G1409" s="73">
        <v>1</v>
      </c>
      <c r="H1409" s="51">
        <v>0</v>
      </c>
      <c r="I1409" s="5"/>
    </row>
    <row r="1410" spans="1:9" ht="12.75">
      <c r="A1410" s="4" t="s">
        <v>905</v>
      </c>
      <c r="B1410" s="94" t="s">
        <v>2882</v>
      </c>
      <c r="C1410" s="94" t="s">
        <v>1710</v>
      </c>
      <c r="D1410" s="152" t="s">
        <v>2644</v>
      </c>
      <c r="E1410" s="153"/>
      <c r="F1410" s="94" t="s">
        <v>2856</v>
      </c>
      <c r="G1410" s="73">
        <v>1</v>
      </c>
      <c r="H1410" s="51">
        <v>0</v>
      </c>
      <c r="I1410" s="5"/>
    </row>
    <row r="1411" spans="1:9" ht="12.75">
      <c r="A1411" s="4" t="s">
        <v>906</v>
      </c>
      <c r="B1411" s="94" t="s">
        <v>2887</v>
      </c>
      <c r="C1411" s="94" t="s">
        <v>1586</v>
      </c>
      <c r="D1411" s="152" t="s">
        <v>2532</v>
      </c>
      <c r="E1411" s="153"/>
      <c r="F1411" s="94" t="s">
        <v>2850</v>
      </c>
      <c r="G1411" s="73">
        <v>2</v>
      </c>
      <c r="H1411" s="51">
        <v>0</v>
      </c>
      <c r="I1411" s="5"/>
    </row>
    <row r="1412" spans="1:9" ht="12.75">
      <c r="A1412" s="4" t="s">
        <v>907</v>
      </c>
      <c r="B1412" s="94" t="s">
        <v>2887</v>
      </c>
      <c r="C1412" s="94" t="s">
        <v>1587</v>
      </c>
      <c r="D1412" s="152" t="s">
        <v>2533</v>
      </c>
      <c r="E1412" s="153"/>
      <c r="F1412" s="94" t="s">
        <v>2850</v>
      </c>
      <c r="G1412" s="73">
        <v>2</v>
      </c>
      <c r="H1412" s="51">
        <v>0</v>
      </c>
      <c r="I1412" s="5"/>
    </row>
    <row r="1413" spans="1:9" ht="12.75">
      <c r="A1413" s="4" t="s">
        <v>908</v>
      </c>
      <c r="B1413" s="94" t="s">
        <v>2887</v>
      </c>
      <c r="C1413" s="94" t="s">
        <v>1588</v>
      </c>
      <c r="D1413" s="152" t="s">
        <v>2534</v>
      </c>
      <c r="E1413" s="153"/>
      <c r="F1413" s="94" t="s">
        <v>2850</v>
      </c>
      <c r="G1413" s="73">
        <v>100</v>
      </c>
      <c r="H1413" s="51">
        <v>0</v>
      </c>
      <c r="I1413" s="5"/>
    </row>
    <row r="1414" spans="1:9" ht="12.75">
      <c r="A1414" s="4" t="s">
        <v>909</v>
      </c>
      <c r="B1414" s="94" t="s">
        <v>2887</v>
      </c>
      <c r="C1414" s="94" t="s">
        <v>1589</v>
      </c>
      <c r="D1414" s="152" t="s">
        <v>2535</v>
      </c>
      <c r="E1414" s="153"/>
      <c r="F1414" s="94" t="s">
        <v>2851</v>
      </c>
      <c r="G1414" s="73">
        <v>5</v>
      </c>
      <c r="H1414" s="51">
        <v>0</v>
      </c>
      <c r="I1414" s="5"/>
    </row>
    <row r="1415" spans="1:9" ht="12.75">
      <c r="A1415" s="4" t="s">
        <v>910</v>
      </c>
      <c r="B1415" s="94" t="s">
        <v>2887</v>
      </c>
      <c r="C1415" s="94" t="s">
        <v>1590</v>
      </c>
      <c r="D1415" s="152" t="s">
        <v>2536</v>
      </c>
      <c r="E1415" s="153"/>
      <c r="F1415" s="94" t="s">
        <v>2851</v>
      </c>
      <c r="G1415" s="73">
        <v>5</v>
      </c>
      <c r="H1415" s="51">
        <v>0</v>
      </c>
      <c r="I1415" s="5"/>
    </row>
    <row r="1416" spans="1:9" ht="12.75">
      <c r="A1416" s="4" t="s">
        <v>911</v>
      </c>
      <c r="B1416" s="94" t="s">
        <v>2887</v>
      </c>
      <c r="C1416" s="94" t="s">
        <v>1591</v>
      </c>
      <c r="D1416" s="152" t="s">
        <v>2786</v>
      </c>
      <c r="E1416" s="153"/>
      <c r="F1416" s="94" t="s">
        <v>2850</v>
      </c>
      <c r="G1416" s="73">
        <v>1</v>
      </c>
      <c r="H1416" s="51">
        <v>0</v>
      </c>
      <c r="I1416" s="5"/>
    </row>
    <row r="1417" spans="1:9" ht="12.75">
      <c r="A1417" s="4" t="s">
        <v>912</v>
      </c>
      <c r="B1417" s="94" t="s">
        <v>2887</v>
      </c>
      <c r="C1417" s="94" t="s">
        <v>1592</v>
      </c>
      <c r="D1417" s="152" t="s">
        <v>2538</v>
      </c>
      <c r="E1417" s="153"/>
      <c r="F1417" s="94" t="s">
        <v>2850</v>
      </c>
      <c r="G1417" s="73">
        <v>1</v>
      </c>
      <c r="H1417" s="51">
        <v>0</v>
      </c>
      <c r="I1417" s="5"/>
    </row>
    <row r="1418" spans="1:9" ht="12.75">
      <c r="A1418" s="4" t="s">
        <v>913</v>
      </c>
      <c r="B1418" s="94" t="s">
        <v>2887</v>
      </c>
      <c r="C1418" s="94" t="s">
        <v>1593</v>
      </c>
      <c r="D1418" s="152" t="s">
        <v>2787</v>
      </c>
      <c r="E1418" s="153"/>
      <c r="F1418" s="94" t="s">
        <v>2850</v>
      </c>
      <c r="G1418" s="73">
        <v>1</v>
      </c>
      <c r="H1418" s="51">
        <v>0</v>
      </c>
      <c r="I1418" s="5"/>
    </row>
    <row r="1419" spans="1:9" ht="12.75">
      <c r="A1419" s="4" t="s">
        <v>914</v>
      </c>
      <c r="B1419" s="94" t="s">
        <v>2887</v>
      </c>
      <c r="C1419" s="94" t="s">
        <v>1594</v>
      </c>
      <c r="D1419" s="152" t="s">
        <v>2788</v>
      </c>
      <c r="E1419" s="153"/>
      <c r="F1419" s="94" t="s">
        <v>2852</v>
      </c>
      <c r="G1419" s="73">
        <v>10</v>
      </c>
      <c r="H1419" s="51">
        <v>0</v>
      </c>
      <c r="I1419" s="5"/>
    </row>
    <row r="1420" spans="1:9" ht="12.75">
      <c r="A1420" s="4" t="s">
        <v>915</v>
      </c>
      <c r="B1420" s="94" t="s">
        <v>2887</v>
      </c>
      <c r="C1420" s="94" t="s">
        <v>1873</v>
      </c>
      <c r="D1420" s="152" t="s">
        <v>2789</v>
      </c>
      <c r="E1420" s="153"/>
      <c r="F1420" s="94" t="s">
        <v>2851</v>
      </c>
      <c r="G1420" s="73">
        <v>5</v>
      </c>
      <c r="H1420" s="51">
        <v>0</v>
      </c>
      <c r="I1420" s="5"/>
    </row>
    <row r="1421" spans="1:9" ht="12.75">
      <c r="A1421" s="4" t="s">
        <v>916</v>
      </c>
      <c r="B1421" s="94" t="s">
        <v>2887</v>
      </c>
      <c r="C1421" s="94" t="s">
        <v>1595</v>
      </c>
      <c r="D1421" s="152" t="s">
        <v>2541</v>
      </c>
      <c r="E1421" s="153"/>
      <c r="F1421" s="94" t="s">
        <v>2850</v>
      </c>
      <c r="G1421" s="73">
        <v>1</v>
      </c>
      <c r="H1421" s="51">
        <v>0</v>
      </c>
      <c r="I1421" s="5"/>
    </row>
    <row r="1422" spans="1:9" ht="12.75">
      <c r="A1422" s="4" t="s">
        <v>917</v>
      </c>
      <c r="B1422" s="94" t="s">
        <v>2887</v>
      </c>
      <c r="C1422" s="94" t="s">
        <v>1596</v>
      </c>
      <c r="D1422" s="152" t="s">
        <v>2541</v>
      </c>
      <c r="E1422" s="153"/>
      <c r="F1422" s="94" t="s">
        <v>2850</v>
      </c>
      <c r="G1422" s="73">
        <v>1</v>
      </c>
      <c r="H1422" s="51">
        <v>0</v>
      </c>
      <c r="I1422" s="5"/>
    </row>
    <row r="1423" spans="1:9" ht="12.75">
      <c r="A1423" s="4" t="s">
        <v>918</v>
      </c>
      <c r="B1423" s="94" t="s">
        <v>2887</v>
      </c>
      <c r="C1423" s="94" t="s">
        <v>1597</v>
      </c>
      <c r="D1423" s="152" t="s">
        <v>2542</v>
      </c>
      <c r="E1423" s="153"/>
      <c r="F1423" s="94" t="s">
        <v>2852</v>
      </c>
      <c r="G1423" s="73">
        <v>10</v>
      </c>
      <c r="H1423" s="51">
        <v>0</v>
      </c>
      <c r="I1423" s="5"/>
    </row>
    <row r="1424" spans="1:9" ht="12.75">
      <c r="A1424" s="4" t="s">
        <v>919</v>
      </c>
      <c r="B1424" s="94" t="s">
        <v>2887</v>
      </c>
      <c r="C1424" s="94" t="s">
        <v>1600</v>
      </c>
      <c r="D1424" s="152" t="s">
        <v>2545</v>
      </c>
      <c r="E1424" s="153"/>
      <c r="F1424" s="94" t="s">
        <v>2851</v>
      </c>
      <c r="G1424" s="73">
        <v>10</v>
      </c>
      <c r="H1424" s="51">
        <v>0</v>
      </c>
      <c r="I1424" s="5"/>
    </row>
    <row r="1425" spans="1:9" ht="12.75">
      <c r="A1425" s="4" t="s">
        <v>920</v>
      </c>
      <c r="B1425" s="94" t="s">
        <v>2887</v>
      </c>
      <c r="C1425" s="94" t="s">
        <v>1601</v>
      </c>
      <c r="D1425" s="152" t="s">
        <v>2546</v>
      </c>
      <c r="E1425" s="153"/>
      <c r="F1425" s="94" t="s">
        <v>2851</v>
      </c>
      <c r="G1425" s="73">
        <v>10</v>
      </c>
      <c r="H1425" s="51">
        <v>0</v>
      </c>
      <c r="I1425" s="5"/>
    </row>
    <row r="1426" spans="1:9" ht="12.75">
      <c r="A1426" s="4" t="s">
        <v>921</v>
      </c>
      <c r="B1426" s="94" t="s">
        <v>2887</v>
      </c>
      <c r="C1426" s="94" t="s">
        <v>1618</v>
      </c>
      <c r="D1426" s="152" t="s">
        <v>2561</v>
      </c>
      <c r="E1426" s="153"/>
      <c r="F1426" s="94" t="s">
        <v>2851</v>
      </c>
      <c r="G1426" s="73">
        <v>20</v>
      </c>
      <c r="H1426" s="51">
        <v>0</v>
      </c>
      <c r="I1426" s="5"/>
    </row>
    <row r="1427" spans="1:9" ht="12.75">
      <c r="A1427" s="4" t="s">
        <v>922</v>
      </c>
      <c r="B1427" s="94" t="s">
        <v>2887</v>
      </c>
      <c r="C1427" s="94" t="s">
        <v>1619</v>
      </c>
      <c r="D1427" s="152" t="s">
        <v>2561</v>
      </c>
      <c r="E1427" s="153"/>
      <c r="F1427" s="94" t="s">
        <v>2851</v>
      </c>
      <c r="G1427" s="73">
        <v>20</v>
      </c>
      <c r="H1427" s="51">
        <v>0</v>
      </c>
      <c r="I1427" s="5"/>
    </row>
    <row r="1428" spans="1:9" ht="12.75">
      <c r="A1428" s="4" t="s">
        <v>923</v>
      </c>
      <c r="B1428" s="94" t="s">
        <v>2887</v>
      </c>
      <c r="C1428" s="94" t="s">
        <v>1620</v>
      </c>
      <c r="D1428" s="152" t="s">
        <v>2562</v>
      </c>
      <c r="E1428" s="153"/>
      <c r="F1428" s="94" t="s">
        <v>2851</v>
      </c>
      <c r="G1428" s="73">
        <v>10</v>
      </c>
      <c r="H1428" s="51">
        <v>0</v>
      </c>
      <c r="I1428" s="5"/>
    </row>
    <row r="1429" spans="1:9" ht="12.75">
      <c r="A1429" s="4" t="s">
        <v>924</v>
      </c>
      <c r="B1429" s="94" t="s">
        <v>2887</v>
      </c>
      <c r="C1429" s="94" t="s">
        <v>1621</v>
      </c>
      <c r="D1429" s="152" t="s">
        <v>2562</v>
      </c>
      <c r="E1429" s="153"/>
      <c r="F1429" s="94" t="s">
        <v>2851</v>
      </c>
      <c r="G1429" s="73">
        <v>10</v>
      </c>
      <c r="H1429" s="51">
        <v>0</v>
      </c>
      <c r="I1429" s="5"/>
    </row>
    <row r="1430" spans="1:9" ht="12.75">
      <c r="A1430" s="4" t="s">
        <v>925</v>
      </c>
      <c r="B1430" s="94" t="s">
        <v>2887</v>
      </c>
      <c r="C1430" s="94" t="s">
        <v>1629</v>
      </c>
      <c r="D1430" s="152" t="s">
        <v>2570</v>
      </c>
      <c r="E1430" s="153"/>
      <c r="F1430" s="94" t="s">
        <v>2851</v>
      </c>
      <c r="G1430" s="73">
        <v>60</v>
      </c>
      <c r="H1430" s="51">
        <v>0</v>
      </c>
      <c r="I1430" s="5"/>
    </row>
    <row r="1431" spans="1:9" ht="12.75">
      <c r="A1431" s="4" t="s">
        <v>926</v>
      </c>
      <c r="B1431" s="94" t="s">
        <v>2887</v>
      </c>
      <c r="C1431" s="94" t="s">
        <v>1630</v>
      </c>
      <c r="D1431" s="152" t="s">
        <v>2571</v>
      </c>
      <c r="E1431" s="153"/>
      <c r="F1431" s="94" t="s">
        <v>2851</v>
      </c>
      <c r="G1431" s="73">
        <v>60</v>
      </c>
      <c r="H1431" s="51">
        <v>0</v>
      </c>
      <c r="I1431" s="5"/>
    </row>
    <row r="1432" spans="1:9" ht="12.75">
      <c r="A1432" s="4" t="s">
        <v>927</v>
      </c>
      <c r="B1432" s="94" t="s">
        <v>2887</v>
      </c>
      <c r="C1432" s="94" t="s">
        <v>1633</v>
      </c>
      <c r="D1432" s="152" t="s">
        <v>2790</v>
      </c>
      <c r="E1432" s="153"/>
      <c r="F1432" s="94" t="s">
        <v>2851</v>
      </c>
      <c r="G1432" s="73">
        <v>70</v>
      </c>
      <c r="H1432" s="51">
        <v>0</v>
      </c>
      <c r="I1432" s="5"/>
    </row>
    <row r="1433" spans="1:9" ht="12.75">
      <c r="A1433" s="4" t="s">
        <v>928</v>
      </c>
      <c r="B1433" s="94" t="s">
        <v>2887</v>
      </c>
      <c r="C1433" s="94" t="s">
        <v>1634</v>
      </c>
      <c r="D1433" s="152" t="s">
        <v>2791</v>
      </c>
      <c r="E1433" s="153"/>
      <c r="F1433" s="94" t="s">
        <v>2851</v>
      </c>
      <c r="G1433" s="73">
        <v>60</v>
      </c>
      <c r="H1433" s="51">
        <v>0</v>
      </c>
      <c r="I1433" s="5"/>
    </row>
    <row r="1434" spans="1:9" ht="12.75">
      <c r="A1434" s="4" t="s">
        <v>929</v>
      </c>
      <c r="B1434" s="94" t="s">
        <v>2887</v>
      </c>
      <c r="C1434" s="94" t="s">
        <v>1635</v>
      </c>
      <c r="D1434" s="152" t="s">
        <v>2792</v>
      </c>
      <c r="E1434" s="153"/>
      <c r="F1434" s="94" t="s">
        <v>2851</v>
      </c>
      <c r="G1434" s="73">
        <v>10</v>
      </c>
      <c r="H1434" s="51">
        <v>0</v>
      </c>
      <c r="I1434" s="5"/>
    </row>
    <row r="1435" spans="1:9" ht="12.75">
      <c r="A1435" s="4" t="s">
        <v>930</v>
      </c>
      <c r="B1435" s="94" t="s">
        <v>2887</v>
      </c>
      <c r="C1435" s="94" t="s">
        <v>1638</v>
      </c>
      <c r="D1435" s="152" t="s">
        <v>2579</v>
      </c>
      <c r="E1435" s="153"/>
      <c r="F1435" s="94" t="s">
        <v>2850</v>
      </c>
      <c r="G1435" s="73">
        <v>6</v>
      </c>
      <c r="H1435" s="51">
        <v>0</v>
      </c>
      <c r="I1435" s="5"/>
    </row>
    <row r="1436" spans="1:9" ht="12.75">
      <c r="A1436" s="4" t="s">
        <v>931</v>
      </c>
      <c r="B1436" s="94" t="s">
        <v>2887</v>
      </c>
      <c r="C1436" s="94" t="s">
        <v>1639</v>
      </c>
      <c r="D1436" s="152" t="s">
        <v>2793</v>
      </c>
      <c r="E1436" s="153"/>
      <c r="F1436" s="94" t="s">
        <v>2850</v>
      </c>
      <c r="G1436" s="73">
        <v>16</v>
      </c>
      <c r="H1436" s="51">
        <v>0</v>
      </c>
      <c r="I1436" s="5"/>
    </row>
    <row r="1437" spans="1:9" ht="12.75">
      <c r="A1437" s="4" t="s">
        <v>932</v>
      </c>
      <c r="B1437" s="94" t="s">
        <v>2887</v>
      </c>
      <c r="C1437" s="94" t="s">
        <v>1641</v>
      </c>
      <c r="D1437" s="152" t="s">
        <v>2582</v>
      </c>
      <c r="E1437" s="153"/>
      <c r="F1437" s="94" t="s">
        <v>2850</v>
      </c>
      <c r="G1437" s="73">
        <v>6</v>
      </c>
      <c r="H1437" s="51">
        <v>0</v>
      </c>
      <c r="I1437" s="5"/>
    </row>
    <row r="1438" spans="1:9" ht="12.75">
      <c r="A1438" s="4" t="s">
        <v>933</v>
      </c>
      <c r="B1438" s="94" t="s">
        <v>2887</v>
      </c>
      <c r="C1438" s="94" t="s">
        <v>1642</v>
      </c>
      <c r="D1438" s="152" t="s">
        <v>2794</v>
      </c>
      <c r="E1438" s="153"/>
      <c r="F1438" s="94" t="s">
        <v>2850</v>
      </c>
      <c r="G1438" s="73">
        <v>2</v>
      </c>
      <c r="H1438" s="51">
        <v>0</v>
      </c>
      <c r="I1438" s="5"/>
    </row>
    <row r="1439" spans="1:9" ht="12.75">
      <c r="A1439" s="4" t="s">
        <v>934</v>
      </c>
      <c r="B1439" s="94" t="s">
        <v>2887</v>
      </c>
      <c r="C1439" s="94" t="s">
        <v>1643</v>
      </c>
      <c r="D1439" s="152" t="s">
        <v>2795</v>
      </c>
      <c r="E1439" s="153"/>
      <c r="F1439" s="94" t="s">
        <v>2850</v>
      </c>
      <c r="G1439" s="73">
        <v>16</v>
      </c>
      <c r="H1439" s="51">
        <v>0</v>
      </c>
      <c r="I1439" s="5"/>
    </row>
    <row r="1440" spans="1:9" ht="12.75">
      <c r="A1440" s="4" t="s">
        <v>935</v>
      </c>
      <c r="B1440" s="94" t="s">
        <v>2887</v>
      </c>
      <c r="C1440" s="94" t="s">
        <v>1662</v>
      </c>
      <c r="D1440" s="152" t="s">
        <v>2605</v>
      </c>
      <c r="E1440" s="153"/>
      <c r="F1440" s="94" t="s">
        <v>2850</v>
      </c>
      <c r="G1440" s="73">
        <v>1</v>
      </c>
      <c r="H1440" s="51">
        <v>0</v>
      </c>
      <c r="I1440" s="5"/>
    </row>
    <row r="1441" spans="1:9" ht="12.75">
      <c r="A1441" s="4" t="s">
        <v>936</v>
      </c>
      <c r="B1441" s="94" t="s">
        <v>2887</v>
      </c>
      <c r="C1441" s="94" t="s">
        <v>1704</v>
      </c>
      <c r="D1441" s="152" t="s">
        <v>2637</v>
      </c>
      <c r="E1441" s="153"/>
      <c r="F1441" s="94" t="s">
        <v>2856</v>
      </c>
      <c r="G1441" s="73">
        <v>1</v>
      </c>
      <c r="H1441" s="51">
        <v>0</v>
      </c>
      <c r="I1441" s="5"/>
    </row>
    <row r="1442" spans="1:9" ht="12.75">
      <c r="A1442" s="4" t="s">
        <v>937</v>
      </c>
      <c r="B1442" s="94" t="s">
        <v>2887</v>
      </c>
      <c r="C1442" s="94" t="s">
        <v>1705</v>
      </c>
      <c r="D1442" s="152" t="s">
        <v>2796</v>
      </c>
      <c r="E1442" s="153"/>
      <c r="F1442" s="94" t="s">
        <v>2856</v>
      </c>
      <c r="G1442" s="73">
        <v>1</v>
      </c>
      <c r="H1442" s="51">
        <v>0</v>
      </c>
      <c r="I1442" s="5"/>
    </row>
    <row r="1443" spans="1:9" ht="12.75">
      <c r="A1443" s="4" t="s">
        <v>938</v>
      </c>
      <c r="B1443" s="94" t="s">
        <v>2887</v>
      </c>
      <c r="C1443" s="94" t="s">
        <v>1707</v>
      </c>
      <c r="D1443" s="152" t="s">
        <v>2797</v>
      </c>
      <c r="E1443" s="153"/>
      <c r="F1443" s="94" t="s">
        <v>2851</v>
      </c>
      <c r="G1443" s="73">
        <v>75</v>
      </c>
      <c r="H1443" s="51">
        <v>0</v>
      </c>
      <c r="I1443" s="5"/>
    </row>
    <row r="1444" spans="1:9" ht="12.75">
      <c r="A1444" s="4" t="s">
        <v>939</v>
      </c>
      <c r="B1444" s="94" t="s">
        <v>2887</v>
      </c>
      <c r="C1444" s="94" t="s">
        <v>1874</v>
      </c>
      <c r="D1444" s="152" t="s">
        <v>2798</v>
      </c>
      <c r="E1444" s="153"/>
      <c r="F1444" s="94" t="s">
        <v>2851</v>
      </c>
      <c r="G1444" s="73">
        <v>75</v>
      </c>
      <c r="H1444" s="51">
        <v>0</v>
      </c>
      <c r="I1444" s="5"/>
    </row>
    <row r="1445" spans="1:9" ht="12.75">
      <c r="A1445" s="4" t="s">
        <v>940</v>
      </c>
      <c r="B1445" s="94" t="s">
        <v>2887</v>
      </c>
      <c r="C1445" s="94" t="s">
        <v>1709</v>
      </c>
      <c r="D1445" s="152" t="s">
        <v>2799</v>
      </c>
      <c r="E1445" s="153"/>
      <c r="F1445" s="94" t="s">
        <v>2847</v>
      </c>
      <c r="G1445" s="73">
        <v>5</v>
      </c>
      <c r="H1445" s="51">
        <v>0</v>
      </c>
      <c r="I1445" s="5"/>
    </row>
    <row r="1446" spans="1:9" ht="12.75">
      <c r="A1446" s="4" t="s">
        <v>941</v>
      </c>
      <c r="B1446" s="94" t="s">
        <v>2887</v>
      </c>
      <c r="C1446" s="94" t="s">
        <v>1708</v>
      </c>
      <c r="D1446" s="152" t="s">
        <v>2641</v>
      </c>
      <c r="E1446" s="153"/>
      <c r="F1446" s="94" t="s">
        <v>2852</v>
      </c>
      <c r="G1446" s="73">
        <v>5</v>
      </c>
      <c r="H1446" s="51">
        <v>0</v>
      </c>
      <c r="I1446" s="5"/>
    </row>
    <row r="1447" spans="1:9" ht="12.75">
      <c r="A1447" s="4" t="s">
        <v>942</v>
      </c>
      <c r="B1447" s="94" t="s">
        <v>2887</v>
      </c>
      <c r="C1447" s="94" t="s">
        <v>1709</v>
      </c>
      <c r="D1447" s="152" t="s">
        <v>2642</v>
      </c>
      <c r="E1447" s="153"/>
      <c r="F1447" s="94" t="s">
        <v>2849</v>
      </c>
      <c r="G1447" s="73">
        <v>2</v>
      </c>
      <c r="H1447" s="51">
        <v>0</v>
      </c>
      <c r="I1447" s="5"/>
    </row>
    <row r="1448" spans="1:9" ht="12.75">
      <c r="A1448" s="4" t="s">
        <v>943</v>
      </c>
      <c r="B1448" s="94" t="s">
        <v>2887</v>
      </c>
      <c r="C1448" s="94" t="s">
        <v>1875</v>
      </c>
      <c r="D1448" s="152" t="s">
        <v>2800</v>
      </c>
      <c r="E1448" s="153"/>
      <c r="F1448" s="94" t="s">
        <v>2856</v>
      </c>
      <c r="G1448" s="73">
        <v>5</v>
      </c>
      <c r="H1448" s="51">
        <v>0</v>
      </c>
      <c r="I1448" s="5"/>
    </row>
    <row r="1449" spans="1:9" ht="12.75">
      <c r="A1449" s="4" t="s">
        <v>944</v>
      </c>
      <c r="B1449" s="94" t="s">
        <v>2887</v>
      </c>
      <c r="C1449" s="94" t="s">
        <v>1710</v>
      </c>
      <c r="D1449" s="152" t="s">
        <v>2644</v>
      </c>
      <c r="E1449" s="153"/>
      <c r="F1449" s="94" t="s">
        <v>2856</v>
      </c>
      <c r="G1449" s="73">
        <v>1</v>
      </c>
      <c r="H1449" s="51">
        <v>0</v>
      </c>
      <c r="I1449" s="5"/>
    </row>
    <row r="1450" spans="1:9" ht="12.75">
      <c r="A1450" s="44"/>
      <c r="B1450" s="97"/>
      <c r="C1450" s="97" t="s">
        <v>1711</v>
      </c>
      <c r="D1450" s="161" t="s">
        <v>2645</v>
      </c>
      <c r="E1450" s="162"/>
      <c r="F1450" s="97"/>
      <c r="G1450" s="74"/>
      <c r="H1450" s="24"/>
      <c r="I1450" s="5"/>
    </row>
    <row r="1451" spans="1:9" ht="12.75">
      <c r="A1451" s="4" t="s">
        <v>945</v>
      </c>
      <c r="B1451" s="94" t="s">
        <v>2882</v>
      </c>
      <c r="C1451" s="94" t="s">
        <v>1591</v>
      </c>
      <c r="D1451" s="152" t="s">
        <v>2646</v>
      </c>
      <c r="E1451" s="153"/>
      <c r="F1451" s="94" t="s">
        <v>2850</v>
      </c>
      <c r="G1451" s="73">
        <v>22</v>
      </c>
      <c r="H1451" s="51">
        <v>0</v>
      </c>
      <c r="I1451" s="5"/>
    </row>
    <row r="1452" spans="1:9" ht="12.75">
      <c r="A1452" s="4" t="s">
        <v>946</v>
      </c>
      <c r="B1452" s="94" t="s">
        <v>2882</v>
      </c>
      <c r="C1452" s="94" t="s">
        <v>1592</v>
      </c>
      <c r="D1452" s="152" t="s">
        <v>2538</v>
      </c>
      <c r="E1452" s="153"/>
      <c r="F1452" s="94" t="s">
        <v>2850</v>
      </c>
      <c r="G1452" s="73">
        <v>1</v>
      </c>
      <c r="H1452" s="51">
        <v>0</v>
      </c>
      <c r="I1452" s="5"/>
    </row>
    <row r="1453" spans="1:9" ht="12.75">
      <c r="A1453" s="4" t="s">
        <v>947</v>
      </c>
      <c r="B1453" s="94" t="s">
        <v>2882</v>
      </c>
      <c r="C1453" s="94" t="s">
        <v>1596</v>
      </c>
      <c r="D1453" s="152" t="s">
        <v>2647</v>
      </c>
      <c r="E1453" s="153"/>
      <c r="F1453" s="94" t="s">
        <v>2850</v>
      </c>
      <c r="G1453" s="73">
        <v>1</v>
      </c>
      <c r="H1453" s="51">
        <v>0</v>
      </c>
      <c r="I1453" s="5"/>
    </row>
    <row r="1454" spans="1:9" ht="12.75">
      <c r="A1454" s="4" t="s">
        <v>948</v>
      </c>
      <c r="B1454" s="94" t="s">
        <v>2882</v>
      </c>
      <c r="C1454" s="94" t="s">
        <v>1594</v>
      </c>
      <c r="D1454" s="152" t="s">
        <v>2648</v>
      </c>
      <c r="E1454" s="153"/>
      <c r="F1454" s="94" t="s">
        <v>2852</v>
      </c>
      <c r="G1454" s="73">
        <v>4</v>
      </c>
      <c r="H1454" s="51">
        <v>0</v>
      </c>
      <c r="I1454" s="5"/>
    </row>
    <row r="1455" spans="1:9" ht="12.75">
      <c r="A1455" s="4" t="s">
        <v>949</v>
      </c>
      <c r="B1455" s="94" t="s">
        <v>2882</v>
      </c>
      <c r="C1455" s="94" t="s">
        <v>1595</v>
      </c>
      <c r="D1455" s="152" t="s">
        <v>2649</v>
      </c>
      <c r="E1455" s="153"/>
      <c r="F1455" s="94" t="s">
        <v>2850</v>
      </c>
      <c r="G1455" s="73">
        <v>1</v>
      </c>
      <c r="H1455" s="51">
        <v>0</v>
      </c>
      <c r="I1455" s="5"/>
    </row>
    <row r="1456" spans="1:9" ht="12.75">
      <c r="A1456" s="4" t="s">
        <v>950</v>
      </c>
      <c r="B1456" s="94" t="s">
        <v>2882</v>
      </c>
      <c r="C1456" s="94" t="s">
        <v>1596</v>
      </c>
      <c r="D1456" s="152" t="s">
        <v>2649</v>
      </c>
      <c r="E1456" s="153"/>
      <c r="F1456" s="94" t="s">
        <v>2850</v>
      </c>
      <c r="G1456" s="73">
        <v>1</v>
      </c>
      <c r="H1456" s="51">
        <v>0</v>
      </c>
      <c r="I1456" s="5"/>
    </row>
    <row r="1457" spans="1:9" ht="12.75">
      <c r="A1457" s="4" t="s">
        <v>951</v>
      </c>
      <c r="B1457" s="94" t="s">
        <v>2882</v>
      </c>
      <c r="C1457" s="94" t="s">
        <v>1597</v>
      </c>
      <c r="D1457" s="152" t="s">
        <v>2542</v>
      </c>
      <c r="E1457" s="153"/>
      <c r="F1457" s="94" t="s">
        <v>2852</v>
      </c>
      <c r="G1457" s="73">
        <v>8</v>
      </c>
      <c r="H1457" s="51">
        <v>0</v>
      </c>
      <c r="I1457" s="5"/>
    </row>
    <row r="1458" spans="1:9" ht="12.75">
      <c r="A1458" s="4" t="s">
        <v>952</v>
      </c>
      <c r="B1458" s="94" t="s">
        <v>2882</v>
      </c>
      <c r="C1458" s="94" t="s">
        <v>1598</v>
      </c>
      <c r="D1458" s="152" t="s">
        <v>2543</v>
      </c>
      <c r="E1458" s="153"/>
      <c r="F1458" s="94" t="s">
        <v>2851</v>
      </c>
      <c r="G1458" s="73">
        <v>100</v>
      </c>
      <c r="H1458" s="51">
        <v>0</v>
      </c>
      <c r="I1458" s="5"/>
    </row>
    <row r="1459" spans="1:9" ht="12.75">
      <c r="A1459" s="4" t="s">
        <v>953</v>
      </c>
      <c r="B1459" s="94" t="s">
        <v>2882</v>
      </c>
      <c r="C1459" s="94" t="s">
        <v>1599</v>
      </c>
      <c r="D1459" s="152" t="s">
        <v>2544</v>
      </c>
      <c r="E1459" s="153"/>
      <c r="F1459" s="94" t="s">
        <v>2851</v>
      </c>
      <c r="G1459" s="73">
        <v>100</v>
      </c>
      <c r="H1459" s="51">
        <v>0</v>
      </c>
      <c r="I1459" s="5"/>
    </row>
    <row r="1460" spans="1:9" ht="12.75">
      <c r="A1460" s="4" t="s">
        <v>954</v>
      </c>
      <c r="B1460" s="94" t="s">
        <v>2882</v>
      </c>
      <c r="C1460" s="94" t="s">
        <v>1600</v>
      </c>
      <c r="D1460" s="152" t="s">
        <v>2545</v>
      </c>
      <c r="E1460" s="153"/>
      <c r="F1460" s="94" t="s">
        <v>2851</v>
      </c>
      <c r="G1460" s="73">
        <v>40</v>
      </c>
      <c r="H1460" s="51">
        <v>0</v>
      </c>
      <c r="I1460" s="5"/>
    </row>
    <row r="1461" spans="1:9" ht="12.75">
      <c r="A1461" s="4" t="s">
        <v>955</v>
      </c>
      <c r="B1461" s="94" t="s">
        <v>2882</v>
      </c>
      <c r="C1461" s="94" t="s">
        <v>1601</v>
      </c>
      <c r="D1461" s="152" t="s">
        <v>2546</v>
      </c>
      <c r="E1461" s="153"/>
      <c r="F1461" s="94" t="s">
        <v>2851</v>
      </c>
      <c r="G1461" s="73">
        <v>40</v>
      </c>
      <c r="H1461" s="51">
        <v>0</v>
      </c>
      <c r="I1461" s="5"/>
    </row>
    <row r="1462" spans="1:9" ht="12.75">
      <c r="A1462" s="4" t="s">
        <v>956</v>
      </c>
      <c r="B1462" s="94" t="s">
        <v>2882</v>
      </c>
      <c r="C1462" s="94" t="s">
        <v>1602</v>
      </c>
      <c r="D1462" s="152" t="s">
        <v>2547</v>
      </c>
      <c r="E1462" s="153"/>
      <c r="F1462" s="94" t="s">
        <v>2851</v>
      </c>
      <c r="G1462" s="73">
        <v>100</v>
      </c>
      <c r="H1462" s="51">
        <v>0</v>
      </c>
      <c r="I1462" s="5"/>
    </row>
    <row r="1463" spans="1:9" ht="12.75">
      <c r="A1463" s="4" t="s">
        <v>957</v>
      </c>
      <c r="B1463" s="94" t="s">
        <v>2882</v>
      </c>
      <c r="C1463" s="94" t="s">
        <v>1712</v>
      </c>
      <c r="D1463" s="152" t="s">
        <v>2650</v>
      </c>
      <c r="E1463" s="153"/>
      <c r="F1463" s="94" t="s">
        <v>2851</v>
      </c>
      <c r="G1463" s="73">
        <v>100</v>
      </c>
      <c r="H1463" s="51">
        <v>0</v>
      </c>
      <c r="I1463" s="5"/>
    </row>
    <row r="1464" spans="1:9" ht="12.75">
      <c r="A1464" s="4" t="s">
        <v>958</v>
      </c>
      <c r="B1464" s="94" t="s">
        <v>2882</v>
      </c>
      <c r="C1464" s="94" t="s">
        <v>1713</v>
      </c>
      <c r="D1464" s="152" t="s">
        <v>2651</v>
      </c>
      <c r="E1464" s="153"/>
      <c r="F1464" s="94" t="s">
        <v>2851</v>
      </c>
      <c r="G1464" s="73">
        <v>9</v>
      </c>
      <c r="H1464" s="51">
        <v>0</v>
      </c>
      <c r="I1464" s="5"/>
    </row>
    <row r="1465" spans="1:9" ht="12.75">
      <c r="A1465" s="4" t="s">
        <v>959</v>
      </c>
      <c r="B1465" s="94" t="s">
        <v>2882</v>
      </c>
      <c r="C1465" s="94" t="s">
        <v>1603</v>
      </c>
      <c r="D1465" s="152" t="s">
        <v>2651</v>
      </c>
      <c r="E1465" s="153"/>
      <c r="F1465" s="94" t="s">
        <v>2851</v>
      </c>
      <c r="G1465" s="73">
        <v>9</v>
      </c>
      <c r="H1465" s="51">
        <v>0</v>
      </c>
      <c r="I1465" s="5"/>
    </row>
    <row r="1466" spans="1:9" ht="12.75">
      <c r="A1466" s="4" t="s">
        <v>960</v>
      </c>
      <c r="B1466" s="94" t="s">
        <v>2882</v>
      </c>
      <c r="C1466" s="94" t="s">
        <v>1618</v>
      </c>
      <c r="D1466" s="152" t="s">
        <v>2561</v>
      </c>
      <c r="E1466" s="153"/>
      <c r="F1466" s="94" t="s">
        <v>2851</v>
      </c>
      <c r="G1466" s="73">
        <v>12</v>
      </c>
      <c r="H1466" s="51">
        <v>0</v>
      </c>
      <c r="I1466" s="5"/>
    </row>
    <row r="1467" spans="1:9" ht="12.75">
      <c r="A1467" s="4" t="s">
        <v>961</v>
      </c>
      <c r="B1467" s="94" t="s">
        <v>2882</v>
      </c>
      <c r="C1467" s="94" t="s">
        <v>1619</v>
      </c>
      <c r="D1467" s="152" t="s">
        <v>2561</v>
      </c>
      <c r="E1467" s="153"/>
      <c r="F1467" s="94" t="s">
        <v>2851</v>
      </c>
      <c r="G1467" s="73">
        <v>12</v>
      </c>
      <c r="H1467" s="51">
        <v>0</v>
      </c>
      <c r="I1467" s="5"/>
    </row>
    <row r="1468" spans="1:9" ht="12.75">
      <c r="A1468" s="4" t="s">
        <v>962</v>
      </c>
      <c r="B1468" s="94" t="s">
        <v>2882</v>
      </c>
      <c r="C1468" s="94" t="s">
        <v>1620</v>
      </c>
      <c r="D1468" s="152" t="s">
        <v>2562</v>
      </c>
      <c r="E1468" s="153"/>
      <c r="F1468" s="94" t="s">
        <v>2851</v>
      </c>
      <c r="G1468" s="73">
        <v>10</v>
      </c>
      <c r="H1468" s="51">
        <v>0</v>
      </c>
      <c r="I1468" s="5"/>
    </row>
    <row r="1469" spans="1:9" ht="12.75">
      <c r="A1469" s="4" t="s">
        <v>963</v>
      </c>
      <c r="B1469" s="94" t="s">
        <v>2882</v>
      </c>
      <c r="C1469" s="94" t="s">
        <v>1621</v>
      </c>
      <c r="D1469" s="152" t="s">
        <v>2562</v>
      </c>
      <c r="E1469" s="153"/>
      <c r="F1469" s="94" t="s">
        <v>2851</v>
      </c>
      <c r="G1469" s="73">
        <v>10</v>
      </c>
      <c r="H1469" s="51">
        <v>0</v>
      </c>
      <c r="I1469" s="5"/>
    </row>
    <row r="1470" spans="1:9" ht="12.75">
      <c r="A1470" s="4" t="s">
        <v>964</v>
      </c>
      <c r="B1470" s="94" t="s">
        <v>2882</v>
      </c>
      <c r="C1470" s="94" t="s">
        <v>1629</v>
      </c>
      <c r="D1470" s="152" t="s">
        <v>2570</v>
      </c>
      <c r="E1470" s="153"/>
      <c r="F1470" s="94" t="s">
        <v>2851</v>
      </c>
      <c r="G1470" s="73">
        <v>1660</v>
      </c>
      <c r="H1470" s="51">
        <v>0</v>
      </c>
      <c r="I1470" s="5"/>
    </row>
    <row r="1471" spans="1:9" ht="12.75">
      <c r="A1471" s="4" t="s">
        <v>965</v>
      </c>
      <c r="B1471" s="94" t="s">
        <v>2882</v>
      </c>
      <c r="C1471" s="94" t="s">
        <v>1631</v>
      </c>
      <c r="D1471" s="152" t="s">
        <v>2652</v>
      </c>
      <c r="E1471" s="153"/>
      <c r="F1471" s="94" t="s">
        <v>2851</v>
      </c>
      <c r="G1471" s="73">
        <v>1280</v>
      </c>
      <c r="H1471" s="51">
        <v>0</v>
      </c>
      <c r="I1471" s="5"/>
    </row>
    <row r="1472" spans="1:9" ht="12.75">
      <c r="A1472" s="4" t="s">
        <v>966</v>
      </c>
      <c r="B1472" s="94" t="s">
        <v>2882</v>
      </c>
      <c r="C1472" s="94" t="s">
        <v>1635</v>
      </c>
      <c r="D1472" s="152" t="s">
        <v>2653</v>
      </c>
      <c r="E1472" s="153"/>
      <c r="F1472" s="94" t="s">
        <v>2851</v>
      </c>
      <c r="G1472" s="73">
        <v>380</v>
      </c>
      <c r="H1472" s="51">
        <v>0</v>
      </c>
      <c r="I1472" s="5"/>
    </row>
    <row r="1473" spans="1:9" ht="12.75">
      <c r="A1473" s="4" t="s">
        <v>967</v>
      </c>
      <c r="B1473" s="94" t="s">
        <v>2882</v>
      </c>
      <c r="C1473" s="94" t="s">
        <v>1714</v>
      </c>
      <c r="D1473" s="152" t="s">
        <v>2654</v>
      </c>
      <c r="E1473" s="153"/>
      <c r="F1473" s="94" t="s">
        <v>2850</v>
      </c>
      <c r="G1473" s="73">
        <v>8</v>
      </c>
      <c r="H1473" s="51">
        <v>0</v>
      </c>
      <c r="I1473" s="5"/>
    </row>
    <row r="1474" spans="1:9" ht="12.75">
      <c r="A1474" s="4" t="s">
        <v>968</v>
      </c>
      <c r="B1474" s="94" t="s">
        <v>2882</v>
      </c>
      <c r="C1474" s="94" t="s">
        <v>1715</v>
      </c>
      <c r="D1474" s="152" t="s">
        <v>2655</v>
      </c>
      <c r="E1474" s="153"/>
      <c r="F1474" s="94" t="s">
        <v>2850</v>
      </c>
      <c r="G1474" s="73">
        <v>8</v>
      </c>
      <c r="H1474" s="51">
        <v>0</v>
      </c>
      <c r="I1474" s="5"/>
    </row>
    <row r="1475" spans="1:9" ht="12.75">
      <c r="A1475" s="4" t="s">
        <v>969</v>
      </c>
      <c r="B1475" s="94" t="s">
        <v>2882</v>
      </c>
      <c r="C1475" s="94" t="s">
        <v>1660</v>
      </c>
      <c r="D1475" s="152" t="s">
        <v>2656</v>
      </c>
      <c r="E1475" s="153"/>
      <c r="F1475" s="94" t="s">
        <v>2850</v>
      </c>
      <c r="G1475" s="73">
        <v>23</v>
      </c>
      <c r="H1475" s="51">
        <v>0</v>
      </c>
      <c r="I1475" s="5"/>
    </row>
    <row r="1476" spans="1:9" ht="12.75">
      <c r="A1476" s="4" t="s">
        <v>970</v>
      </c>
      <c r="B1476" s="94" t="s">
        <v>2882</v>
      </c>
      <c r="C1476" s="94" t="s">
        <v>1661</v>
      </c>
      <c r="D1476" s="152" t="s">
        <v>2656</v>
      </c>
      <c r="E1476" s="153"/>
      <c r="F1476" s="94" t="s">
        <v>2850</v>
      </c>
      <c r="G1476" s="73">
        <v>23</v>
      </c>
      <c r="H1476" s="51">
        <v>0</v>
      </c>
      <c r="I1476" s="5"/>
    </row>
    <row r="1477" spans="1:9" ht="12.75">
      <c r="A1477" s="4" t="s">
        <v>971</v>
      </c>
      <c r="B1477" s="94" t="s">
        <v>2882</v>
      </c>
      <c r="C1477" s="94" t="s">
        <v>1716</v>
      </c>
      <c r="D1477" s="152" t="s">
        <v>2657</v>
      </c>
      <c r="E1477" s="153"/>
      <c r="F1477" s="94" t="s">
        <v>2850</v>
      </c>
      <c r="G1477" s="73">
        <v>1</v>
      </c>
      <c r="H1477" s="51">
        <v>0</v>
      </c>
      <c r="I1477" s="5"/>
    </row>
    <row r="1478" spans="1:9" ht="12.75">
      <c r="A1478" s="4" t="s">
        <v>972</v>
      </c>
      <c r="B1478" s="94" t="s">
        <v>2882</v>
      </c>
      <c r="C1478" s="94" t="s">
        <v>1717</v>
      </c>
      <c r="D1478" s="152" t="s">
        <v>2658</v>
      </c>
      <c r="E1478" s="153"/>
      <c r="F1478" s="94" t="s">
        <v>2850</v>
      </c>
      <c r="G1478" s="73">
        <v>1</v>
      </c>
      <c r="H1478" s="51">
        <v>0</v>
      </c>
      <c r="I1478" s="5"/>
    </row>
    <row r="1479" spans="1:9" ht="12.75">
      <c r="A1479" s="4" t="s">
        <v>973</v>
      </c>
      <c r="B1479" s="94" t="s">
        <v>2882</v>
      </c>
      <c r="C1479" s="94" t="s">
        <v>1718</v>
      </c>
      <c r="D1479" s="152" t="s">
        <v>2659</v>
      </c>
      <c r="E1479" s="153"/>
      <c r="F1479" s="94" t="s">
        <v>2850</v>
      </c>
      <c r="G1479" s="73">
        <v>7</v>
      </c>
      <c r="H1479" s="51">
        <v>0</v>
      </c>
      <c r="I1479" s="5"/>
    </row>
    <row r="1480" spans="1:9" ht="12.75">
      <c r="A1480" s="4" t="s">
        <v>974</v>
      </c>
      <c r="B1480" s="94" t="s">
        <v>2882</v>
      </c>
      <c r="C1480" s="94" t="s">
        <v>1719</v>
      </c>
      <c r="D1480" s="152" t="s">
        <v>2659</v>
      </c>
      <c r="E1480" s="153"/>
      <c r="F1480" s="94" t="s">
        <v>2850</v>
      </c>
      <c r="G1480" s="73">
        <v>7</v>
      </c>
      <c r="H1480" s="51">
        <v>0</v>
      </c>
      <c r="I1480" s="5"/>
    </row>
    <row r="1481" spans="1:9" ht="12.75">
      <c r="A1481" s="4" t="s">
        <v>975</v>
      </c>
      <c r="B1481" s="94" t="s">
        <v>2882</v>
      </c>
      <c r="C1481" s="94" t="s">
        <v>1720</v>
      </c>
      <c r="D1481" s="152" t="s">
        <v>2660</v>
      </c>
      <c r="E1481" s="153"/>
      <c r="F1481" s="94" t="s">
        <v>2850</v>
      </c>
      <c r="G1481" s="73">
        <v>1</v>
      </c>
      <c r="H1481" s="51">
        <v>0</v>
      </c>
      <c r="I1481" s="5"/>
    </row>
    <row r="1482" spans="1:9" ht="12.75">
      <c r="A1482" s="4" t="s">
        <v>976</v>
      </c>
      <c r="B1482" s="94" t="s">
        <v>2882</v>
      </c>
      <c r="C1482" s="94" t="s">
        <v>1721</v>
      </c>
      <c r="D1482" s="152" t="s">
        <v>2660</v>
      </c>
      <c r="E1482" s="153"/>
      <c r="F1482" s="94" t="s">
        <v>2850</v>
      </c>
      <c r="G1482" s="73">
        <v>1</v>
      </c>
      <c r="H1482" s="51">
        <v>0</v>
      </c>
      <c r="I1482" s="5"/>
    </row>
    <row r="1483" spans="1:9" ht="12.75">
      <c r="A1483" s="4" t="s">
        <v>977</v>
      </c>
      <c r="B1483" s="94" t="s">
        <v>2882</v>
      </c>
      <c r="C1483" s="94" t="s">
        <v>1722</v>
      </c>
      <c r="D1483" s="152" t="s">
        <v>2661</v>
      </c>
      <c r="E1483" s="153"/>
      <c r="F1483" s="94" t="s">
        <v>2850</v>
      </c>
      <c r="G1483" s="73">
        <v>1</v>
      </c>
      <c r="H1483" s="51">
        <v>0</v>
      </c>
      <c r="I1483" s="5"/>
    </row>
    <row r="1484" spans="1:9" ht="12.75">
      <c r="A1484" s="4" t="s">
        <v>978</v>
      </c>
      <c r="B1484" s="94" t="s">
        <v>2882</v>
      </c>
      <c r="C1484" s="94" t="s">
        <v>1723</v>
      </c>
      <c r="D1484" s="152" t="s">
        <v>2661</v>
      </c>
      <c r="E1484" s="153"/>
      <c r="F1484" s="94" t="s">
        <v>2850</v>
      </c>
      <c r="G1484" s="73">
        <v>1</v>
      </c>
      <c r="H1484" s="51">
        <v>0</v>
      </c>
      <c r="I1484" s="5"/>
    </row>
    <row r="1485" spans="1:9" ht="12.75">
      <c r="A1485" s="4" t="s">
        <v>979</v>
      </c>
      <c r="B1485" s="94" t="s">
        <v>2882</v>
      </c>
      <c r="C1485" s="94" t="s">
        <v>1724</v>
      </c>
      <c r="D1485" s="152" t="s">
        <v>2662</v>
      </c>
      <c r="E1485" s="153"/>
      <c r="F1485" s="94" t="s">
        <v>2850</v>
      </c>
      <c r="G1485" s="73">
        <v>1</v>
      </c>
      <c r="H1485" s="51">
        <v>0</v>
      </c>
      <c r="I1485" s="5"/>
    </row>
    <row r="1486" spans="1:9" ht="12.75">
      <c r="A1486" s="4" t="s">
        <v>980</v>
      </c>
      <c r="B1486" s="94" t="s">
        <v>2882</v>
      </c>
      <c r="C1486" s="94" t="s">
        <v>1725</v>
      </c>
      <c r="D1486" s="152" t="s">
        <v>2662</v>
      </c>
      <c r="E1486" s="153"/>
      <c r="F1486" s="94" t="s">
        <v>2850</v>
      </c>
      <c r="G1486" s="73">
        <v>1</v>
      </c>
      <c r="H1486" s="51">
        <v>0</v>
      </c>
      <c r="I1486" s="5"/>
    </row>
    <row r="1487" spans="1:9" ht="12.75">
      <c r="A1487" s="4" t="s">
        <v>981</v>
      </c>
      <c r="B1487" s="94" t="s">
        <v>2882</v>
      </c>
      <c r="C1487" s="94" t="s">
        <v>1726</v>
      </c>
      <c r="D1487" s="152" t="s">
        <v>2663</v>
      </c>
      <c r="E1487" s="153"/>
      <c r="F1487" s="94" t="s">
        <v>2850</v>
      </c>
      <c r="G1487" s="73">
        <v>1</v>
      </c>
      <c r="H1487" s="51">
        <v>0</v>
      </c>
      <c r="I1487" s="5"/>
    </row>
    <row r="1488" spans="1:9" ht="12.75">
      <c r="A1488" s="4" t="s">
        <v>982</v>
      </c>
      <c r="B1488" s="94" t="s">
        <v>2882</v>
      </c>
      <c r="C1488" s="94" t="s">
        <v>1727</v>
      </c>
      <c r="D1488" s="152" t="s">
        <v>2663</v>
      </c>
      <c r="E1488" s="153"/>
      <c r="F1488" s="94" t="s">
        <v>2850</v>
      </c>
      <c r="G1488" s="73">
        <v>1</v>
      </c>
      <c r="H1488" s="51">
        <v>0</v>
      </c>
      <c r="I1488" s="5"/>
    </row>
    <row r="1489" spans="1:9" ht="12.75">
      <c r="A1489" s="4" t="s">
        <v>983</v>
      </c>
      <c r="B1489" s="94" t="s">
        <v>2882</v>
      </c>
      <c r="C1489" s="94" t="s">
        <v>1728</v>
      </c>
      <c r="D1489" s="152" t="s">
        <v>2664</v>
      </c>
      <c r="E1489" s="153"/>
      <c r="F1489" s="94" t="s">
        <v>2850</v>
      </c>
      <c r="G1489" s="73">
        <v>3</v>
      </c>
      <c r="H1489" s="51">
        <v>0</v>
      </c>
      <c r="I1489" s="5"/>
    </row>
    <row r="1490" spans="1:9" ht="12.75">
      <c r="A1490" s="4" t="s">
        <v>984</v>
      </c>
      <c r="B1490" s="94" t="s">
        <v>2882</v>
      </c>
      <c r="C1490" s="94" t="s">
        <v>1729</v>
      </c>
      <c r="D1490" s="152" t="s">
        <v>2664</v>
      </c>
      <c r="E1490" s="153"/>
      <c r="F1490" s="94" t="s">
        <v>2850</v>
      </c>
      <c r="G1490" s="73">
        <v>3</v>
      </c>
      <c r="H1490" s="51">
        <v>0</v>
      </c>
      <c r="I1490" s="5"/>
    </row>
    <row r="1491" spans="1:9" ht="12.75">
      <c r="A1491" s="4" t="s">
        <v>985</v>
      </c>
      <c r="B1491" s="94" t="s">
        <v>2882</v>
      </c>
      <c r="C1491" s="94" t="s">
        <v>1730</v>
      </c>
      <c r="D1491" s="152" t="s">
        <v>2665</v>
      </c>
      <c r="E1491" s="153"/>
      <c r="F1491" s="94" t="s">
        <v>2850</v>
      </c>
      <c r="G1491" s="73">
        <v>2</v>
      </c>
      <c r="H1491" s="51">
        <v>0</v>
      </c>
      <c r="I1491" s="5"/>
    </row>
    <row r="1492" spans="1:9" ht="12.75">
      <c r="A1492" s="4" t="s">
        <v>986</v>
      </c>
      <c r="B1492" s="94" t="s">
        <v>2882</v>
      </c>
      <c r="C1492" s="94" t="s">
        <v>1731</v>
      </c>
      <c r="D1492" s="152" t="s">
        <v>2665</v>
      </c>
      <c r="E1492" s="153"/>
      <c r="F1492" s="94" t="s">
        <v>2850</v>
      </c>
      <c r="G1492" s="73">
        <v>2</v>
      </c>
      <c r="H1492" s="51">
        <v>0</v>
      </c>
      <c r="I1492" s="5"/>
    </row>
    <row r="1493" spans="1:9" ht="12.75">
      <c r="A1493" s="4" t="s">
        <v>987</v>
      </c>
      <c r="B1493" s="94" t="s">
        <v>2882</v>
      </c>
      <c r="C1493" s="94" t="s">
        <v>1732</v>
      </c>
      <c r="D1493" s="152" t="s">
        <v>2666</v>
      </c>
      <c r="E1493" s="153"/>
      <c r="F1493" s="94" t="s">
        <v>2850</v>
      </c>
      <c r="G1493" s="73">
        <v>1</v>
      </c>
      <c r="H1493" s="51">
        <v>0</v>
      </c>
      <c r="I1493" s="5"/>
    </row>
    <row r="1494" spans="1:9" ht="12.75">
      <c r="A1494" s="4" t="s">
        <v>988</v>
      </c>
      <c r="B1494" s="94" t="s">
        <v>2882</v>
      </c>
      <c r="C1494" s="94" t="s">
        <v>1733</v>
      </c>
      <c r="D1494" s="152" t="s">
        <v>2666</v>
      </c>
      <c r="E1494" s="153"/>
      <c r="F1494" s="94" t="s">
        <v>2850</v>
      </c>
      <c r="G1494" s="73">
        <v>1</v>
      </c>
      <c r="H1494" s="51">
        <v>0</v>
      </c>
      <c r="I1494" s="5"/>
    </row>
    <row r="1495" spans="1:9" ht="12.75">
      <c r="A1495" s="4" t="s">
        <v>989</v>
      </c>
      <c r="B1495" s="94" t="s">
        <v>2882</v>
      </c>
      <c r="C1495" s="94" t="s">
        <v>1734</v>
      </c>
      <c r="D1495" s="152" t="s">
        <v>2667</v>
      </c>
      <c r="E1495" s="153"/>
      <c r="F1495" s="94" t="s">
        <v>2850</v>
      </c>
      <c r="G1495" s="73">
        <v>1</v>
      </c>
      <c r="H1495" s="51">
        <v>0</v>
      </c>
      <c r="I1495" s="5"/>
    </row>
    <row r="1496" spans="1:9" ht="12.75">
      <c r="A1496" s="4" t="s">
        <v>990</v>
      </c>
      <c r="B1496" s="94" t="s">
        <v>2882</v>
      </c>
      <c r="C1496" s="94" t="s">
        <v>1735</v>
      </c>
      <c r="D1496" s="152" t="s">
        <v>2667</v>
      </c>
      <c r="E1496" s="153"/>
      <c r="F1496" s="94" t="s">
        <v>2850</v>
      </c>
      <c r="G1496" s="73">
        <v>1</v>
      </c>
      <c r="H1496" s="51">
        <v>0</v>
      </c>
      <c r="I1496" s="5"/>
    </row>
    <row r="1497" spans="1:9" ht="12.75">
      <c r="A1497" s="4" t="s">
        <v>991</v>
      </c>
      <c r="B1497" s="94" t="s">
        <v>2882</v>
      </c>
      <c r="C1497" s="94" t="s">
        <v>1736</v>
      </c>
      <c r="D1497" s="152" t="s">
        <v>2668</v>
      </c>
      <c r="E1497" s="153"/>
      <c r="F1497" s="94" t="s">
        <v>2850</v>
      </c>
      <c r="G1497" s="73">
        <v>1</v>
      </c>
      <c r="H1497" s="51">
        <v>0</v>
      </c>
      <c r="I1497" s="5"/>
    </row>
    <row r="1498" spans="1:9" ht="12.75">
      <c r="A1498" s="4" t="s">
        <v>992</v>
      </c>
      <c r="B1498" s="94" t="s">
        <v>2882</v>
      </c>
      <c r="C1498" s="94" t="s">
        <v>1737</v>
      </c>
      <c r="D1498" s="152" t="s">
        <v>2668</v>
      </c>
      <c r="E1498" s="153"/>
      <c r="F1498" s="94" t="s">
        <v>2850</v>
      </c>
      <c r="G1498" s="73">
        <v>1</v>
      </c>
      <c r="H1498" s="51">
        <v>0</v>
      </c>
      <c r="I1498" s="5"/>
    </row>
    <row r="1499" spans="1:9" ht="12.75">
      <c r="A1499" s="4" t="s">
        <v>993</v>
      </c>
      <c r="B1499" s="94" t="s">
        <v>2882</v>
      </c>
      <c r="C1499" s="94" t="s">
        <v>1738</v>
      </c>
      <c r="D1499" s="152" t="s">
        <v>2669</v>
      </c>
      <c r="E1499" s="153"/>
      <c r="F1499" s="94" t="s">
        <v>2850</v>
      </c>
      <c r="G1499" s="73">
        <v>1</v>
      </c>
      <c r="H1499" s="51">
        <v>0</v>
      </c>
      <c r="I1499" s="5"/>
    </row>
    <row r="1500" spans="1:9" ht="12.75">
      <c r="A1500" s="4" t="s">
        <v>994</v>
      </c>
      <c r="B1500" s="94" t="s">
        <v>2882</v>
      </c>
      <c r="C1500" s="94" t="s">
        <v>1739</v>
      </c>
      <c r="D1500" s="152" t="s">
        <v>2670</v>
      </c>
      <c r="E1500" s="153"/>
      <c r="F1500" s="94" t="s">
        <v>2850</v>
      </c>
      <c r="G1500" s="73">
        <v>1</v>
      </c>
      <c r="H1500" s="51">
        <v>0</v>
      </c>
      <c r="I1500" s="5"/>
    </row>
    <row r="1501" spans="1:9" ht="12.75">
      <c r="A1501" s="4" t="s">
        <v>995</v>
      </c>
      <c r="B1501" s="94" t="s">
        <v>2882</v>
      </c>
      <c r="C1501" s="94" t="s">
        <v>1740</v>
      </c>
      <c r="D1501" s="152" t="s">
        <v>2671</v>
      </c>
      <c r="E1501" s="153"/>
      <c r="F1501" s="94" t="s">
        <v>2850</v>
      </c>
      <c r="G1501" s="73">
        <v>1</v>
      </c>
      <c r="H1501" s="51">
        <v>0</v>
      </c>
      <c r="I1501" s="5"/>
    </row>
    <row r="1502" spans="1:9" ht="12.75">
      <c r="A1502" s="4" t="s">
        <v>996</v>
      </c>
      <c r="B1502" s="94" t="s">
        <v>2882</v>
      </c>
      <c r="C1502" s="94" t="s">
        <v>1741</v>
      </c>
      <c r="D1502" s="152" t="s">
        <v>2671</v>
      </c>
      <c r="E1502" s="153"/>
      <c r="F1502" s="94" t="s">
        <v>2850</v>
      </c>
      <c r="G1502" s="73">
        <v>1</v>
      </c>
      <c r="H1502" s="51">
        <v>0</v>
      </c>
      <c r="I1502" s="5"/>
    </row>
    <row r="1503" spans="1:9" ht="12.75">
      <c r="A1503" s="4" t="s">
        <v>997</v>
      </c>
      <c r="B1503" s="94" t="s">
        <v>2882</v>
      </c>
      <c r="C1503" s="94" t="s">
        <v>1742</v>
      </c>
      <c r="D1503" s="152" t="s">
        <v>2672</v>
      </c>
      <c r="E1503" s="153"/>
      <c r="F1503" s="94" t="s">
        <v>2850</v>
      </c>
      <c r="G1503" s="73">
        <v>1</v>
      </c>
      <c r="H1503" s="51">
        <v>0</v>
      </c>
      <c r="I1503" s="5"/>
    </row>
    <row r="1504" spans="1:9" ht="12.75">
      <c r="A1504" s="4" t="s">
        <v>998</v>
      </c>
      <c r="B1504" s="94" t="s">
        <v>2882</v>
      </c>
      <c r="C1504" s="94" t="s">
        <v>1743</v>
      </c>
      <c r="D1504" s="152" t="s">
        <v>2673</v>
      </c>
      <c r="E1504" s="153"/>
      <c r="F1504" s="94" t="s">
        <v>2850</v>
      </c>
      <c r="G1504" s="73">
        <v>1</v>
      </c>
      <c r="H1504" s="51">
        <v>0</v>
      </c>
      <c r="I1504" s="5"/>
    </row>
    <row r="1505" spans="1:9" ht="12.75">
      <c r="A1505" s="4" t="s">
        <v>999</v>
      </c>
      <c r="B1505" s="94" t="s">
        <v>2882</v>
      </c>
      <c r="C1505" s="94" t="s">
        <v>1662</v>
      </c>
      <c r="D1505" s="152" t="s">
        <v>2605</v>
      </c>
      <c r="E1505" s="153"/>
      <c r="F1505" s="94" t="s">
        <v>2850</v>
      </c>
      <c r="G1505" s="73">
        <v>1</v>
      </c>
      <c r="H1505" s="51">
        <v>0</v>
      </c>
      <c r="I1505" s="5"/>
    </row>
    <row r="1506" spans="1:9" ht="12.75">
      <c r="A1506" s="4" t="s">
        <v>1000</v>
      </c>
      <c r="B1506" s="94" t="s">
        <v>2882</v>
      </c>
      <c r="C1506" s="94" t="s">
        <v>1702</v>
      </c>
      <c r="D1506" s="152" t="s">
        <v>2674</v>
      </c>
      <c r="E1506" s="153"/>
      <c r="F1506" s="94" t="s">
        <v>2852</v>
      </c>
      <c r="G1506" s="73">
        <v>50</v>
      </c>
      <c r="H1506" s="51">
        <v>0</v>
      </c>
      <c r="I1506" s="5"/>
    </row>
    <row r="1507" spans="1:9" ht="12.75">
      <c r="A1507" s="4" t="s">
        <v>1001</v>
      </c>
      <c r="B1507" s="94" t="s">
        <v>2882</v>
      </c>
      <c r="C1507" s="94" t="s">
        <v>1703</v>
      </c>
      <c r="D1507" s="152" t="s">
        <v>2674</v>
      </c>
      <c r="E1507" s="153"/>
      <c r="F1507" s="94" t="s">
        <v>2850</v>
      </c>
      <c r="G1507" s="73">
        <v>1</v>
      </c>
      <c r="H1507" s="51">
        <v>0</v>
      </c>
      <c r="I1507" s="5"/>
    </row>
    <row r="1508" spans="1:9" ht="12.75">
      <c r="A1508" s="4" t="s">
        <v>1002</v>
      </c>
      <c r="B1508" s="94" t="s">
        <v>2882</v>
      </c>
      <c r="C1508" s="94" t="s">
        <v>1704</v>
      </c>
      <c r="D1508" s="152" t="s">
        <v>2675</v>
      </c>
      <c r="E1508" s="153"/>
      <c r="F1508" s="94" t="s">
        <v>2856</v>
      </c>
      <c r="G1508" s="73">
        <v>1</v>
      </c>
      <c r="H1508" s="51">
        <v>0</v>
      </c>
      <c r="I1508" s="5"/>
    </row>
    <row r="1509" spans="1:9" ht="12.75">
      <c r="A1509" s="4" t="s">
        <v>1003</v>
      </c>
      <c r="B1509" s="94" t="s">
        <v>2882</v>
      </c>
      <c r="C1509" s="94" t="s">
        <v>1706</v>
      </c>
      <c r="D1509" s="152" t="s">
        <v>2639</v>
      </c>
      <c r="E1509" s="153"/>
      <c r="F1509" s="94" t="s">
        <v>2856</v>
      </c>
      <c r="G1509" s="73">
        <v>1</v>
      </c>
      <c r="H1509" s="51">
        <v>0</v>
      </c>
      <c r="I1509" s="5"/>
    </row>
    <row r="1510" spans="1:9" ht="12.75">
      <c r="A1510" s="4" t="s">
        <v>1004</v>
      </c>
      <c r="B1510" s="94" t="s">
        <v>2882</v>
      </c>
      <c r="C1510" s="94" t="s">
        <v>1707</v>
      </c>
      <c r="D1510" s="152" t="s">
        <v>2640</v>
      </c>
      <c r="E1510" s="153"/>
      <c r="F1510" s="94" t="s">
        <v>2856</v>
      </c>
      <c r="G1510" s="73">
        <v>1</v>
      </c>
      <c r="H1510" s="51">
        <v>0</v>
      </c>
      <c r="I1510" s="5"/>
    </row>
    <row r="1511" spans="1:9" ht="12.75">
      <c r="A1511" s="4" t="s">
        <v>1005</v>
      </c>
      <c r="B1511" s="94" t="s">
        <v>2882</v>
      </c>
      <c r="C1511" s="94" t="s">
        <v>1744</v>
      </c>
      <c r="D1511" s="152" t="s">
        <v>2676</v>
      </c>
      <c r="E1511" s="153"/>
      <c r="F1511" s="94" t="s">
        <v>2852</v>
      </c>
      <c r="G1511" s="73">
        <v>10</v>
      </c>
      <c r="H1511" s="51">
        <v>0</v>
      </c>
      <c r="I1511" s="5"/>
    </row>
    <row r="1512" spans="1:9" ht="12.75">
      <c r="A1512" s="4" t="s">
        <v>1006</v>
      </c>
      <c r="B1512" s="94" t="s">
        <v>2882</v>
      </c>
      <c r="C1512" s="94" t="s">
        <v>1745</v>
      </c>
      <c r="D1512" s="152" t="s">
        <v>2676</v>
      </c>
      <c r="E1512" s="153"/>
      <c r="F1512" s="94" t="s">
        <v>2850</v>
      </c>
      <c r="G1512" s="73">
        <v>1</v>
      </c>
      <c r="H1512" s="51">
        <v>0</v>
      </c>
      <c r="I1512" s="5"/>
    </row>
    <row r="1513" spans="1:9" ht="12.75">
      <c r="A1513" s="4" t="s">
        <v>1007</v>
      </c>
      <c r="B1513" s="94" t="s">
        <v>2882</v>
      </c>
      <c r="C1513" s="94" t="s">
        <v>1708</v>
      </c>
      <c r="D1513" s="152" t="s">
        <v>2643</v>
      </c>
      <c r="E1513" s="153"/>
      <c r="F1513" s="94" t="s">
        <v>2852</v>
      </c>
      <c r="G1513" s="73">
        <v>20</v>
      </c>
      <c r="H1513" s="51">
        <v>0</v>
      </c>
      <c r="I1513" s="5"/>
    </row>
    <row r="1514" spans="1:9" ht="12.75">
      <c r="A1514" s="4" t="s">
        <v>1008</v>
      </c>
      <c r="B1514" s="94" t="s">
        <v>2882</v>
      </c>
      <c r="C1514" s="94" t="s">
        <v>1709</v>
      </c>
      <c r="D1514" s="152" t="s">
        <v>2643</v>
      </c>
      <c r="E1514" s="153"/>
      <c r="F1514" s="94" t="s">
        <v>2850</v>
      </c>
      <c r="G1514" s="73">
        <v>1</v>
      </c>
      <c r="H1514" s="51">
        <v>0</v>
      </c>
      <c r="I1514" s="5"/>
    </row>
    <row r="1515" spans="1:9" ht="12.75">
      <c r="A1515" s="7" t="s">
        <v>1009</v>
      </c>
      <c r="B1515" s="95" t="s">
        <v>2882</v>
      </c>
      <c r="C1515" s="95" t="s">
        <v>1710</v>
      </c>
      <c r="D1515" s="188" t="s">
        <v>2644</v>
      </c>
      <c r="E1515" s="189"/>
      <c r="F1515" s="95" t="s">
        <v>2856</v>
      </c>
      <c r="G1515" s="78">
        <v>1</v>
      </c>
      <c r="H1515" s="54">
        <v>0</v>
      </c>
      <c r="I1515" s="5"/>
    </row>
    <row r="1516" spans="1:8" ht="12.75">
      <c r="A1516" s="8"/>
      <c r="B1516" s="8"/>
      <c r="C1516" s="8"/>
      <c r="D1516" s="8"/>
      <c r="E1516" s="8"/>
      <c r="F1516" s="8"/>
      <c r="G1516" s="8"/>
      <c r="H1516" s="8"/>
    </row>
    <row r="1517" ht="11.25" customHeight="1">
      <c r="A1517" s="9" t="s">
        <v>1010</v>
      </c>
    </row>
    <row r="1518" spans="1:7" ht="12.75">
      <c r="A1518" s="108"/>
      <c r="B1518" s="109"/>
      <c r="C1518" s="109"/>
      <c r="D1518" s="109"/>
      <c r="E1518" s="109"/>
      <c r="F1518" s="109"/>
      <c r="G1518" s="109"/>
    </row>
  </sheetData>
  <sheetProtection algorithmName="SHA-512" hashValue="QV8rPX+UCPi1V2EOA260/U46BaL55aYDEXRmBwq5u4V4r7KfBltx3Oh5/Rtjwlzd4iTZZI1WXkWAwu9P4Yd82g==" saltValue="ym3bhG6nV3Ln3jAl75QbJQ==" spinCount="100000" sheet="1" objects="1" scenarios="1"/>
  <mergeCells count="1524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D16:E16"/>
    <mergeCell ref="D17:E17"/>
    <mergeCell ref="E18:F18"/>
    <mergeCell ref="D19:E19"/>
    <mergeCell ref="E20:F20"/>
    <mergeCell ref="E21:F21"/>
    <mergeCell ref="D10:E10"/>
    <mergeCell ref="D11:E11"/>
    <mergeCell ref="D12:E12"/>
    <mergeCell ref="E13:F13"/>
    <mergeCell ref="D14:E14"/>
    <mergeCell ref="E15:F15"/>
    <mergeCell ref="A6:B7"/>
    <mergeCell ref="C6:D7"/>
    <mergeCell ref="E6:E7"/>
    <mergeCell ref="F6:H7"/>
    <mergeCell ref="A8:B9"/>
    <mergeCell ref="C8:D9"/>
    <mergeCell ref="E8:E9"/>
    <mergeCell ref="F8:H9"/>
    <mergeCell ref="D34:E34"/>
    <mergeCell ref="E35:F35"/>
    <mergeCell ref="E36:F36"/>
    <mergeCell ref="E37:F37"/>
    <mergeCell ref="E38:F38"/>
    <mergeCell ref="D39:E39"/>
    <mergeCell ref="D28:E28"/>
    <mergeCell ref="E29:F29"/>
    <mergeCell ref="E30:F30"/>
    <mergeCell ref="D31:E31"/>
    <mergeCell ref="E32:F32"/>
    <mergeCell ref="E33:F33"/>
    <mergeCell ref="E22:F22"/>
    <mergeCell ref="D23:E23"/>
    <mergeCell ref="E24:F24"/>
    <mergeCell ref="D25:E25"/>
    <mergeCell ref="D26:E26"/>
    <mergeCell ref="E27:F27"/>
    <mergeCell ref="D52:E52"/>
    <mergeCell ref="D53:E53"/>
    <mergeCell ref="E54:F54"/>
    <mergeCell ref="E55:F55"/>
    <mergeCell ref="E56:F56"/>
    <mergeCell ref="E57:F57"/>
    <mergeCell ref="D46:E46"/>
    <mergeCell ref="D47:E47"/>
    <mergeCell ref="E48:F48"/>
    <mergeCell ref="D49:E49"/>
    <mergeCell ref="D50:E50"/>
    <mergeCell ref="E51:F51"/>
    <mergeCell ref="D40:E40"/>
    <mergeCell ref="E41:F41"/>
    <mergeCell ref="D42:E42"/>
    <mergeCell ref="E43:F43"/>
    <mergeCell ref="D44:E44"/>
    <mergeCell ref="E45:F45"/>
    <mergeCell ref="E70:F70"/>
    <mergeCell ref="E71:F71"/>
    <mergeCell ref="D72:E72"/>
    <mergeCell ref="E73:F73"/>
    <mergeCell ref="D74:E74"/>
    <mergeCell ref="E75:F75"/>
    <mergeCell ref="E64:F64"/>
    <mergeCell ref="D65:E65"/>
    <mergeCell ref="E66:F66"/>
    <mergeCell ref="D67:E67"/>
    <mergeCell ref="E68:F68"/>
    <mergeCell ref="D69:E69"/>
    <mergeCell ref="E58:F58"/>
    <mergeCell ref="D59:E59"/>
    <mergeCell ref="E60:F60"/>
    <mergeCell ref="D61:E61"/>
    <mergeCell ref="E62:F62"/>
    <mergeCell ref="D63:E63"/>
    <mergeCell ref="E88:F88"/>
    <mergeCell ref="D89:E89"/>
    <mergeCell ref="E90:F90"/>
    <mergeCell ref="D91:E91"/>
    <mergeCell ref="E92:F92"/>
    <mergeCell ref="D93:E93"/>
    <mergeCell ref="E82:F82"/>
    <mergeCell ref="D83:E83"/>
    <mergeCell ref="E84:F84"/>
    <mergeCell ref="D85:E85"/>
    <mergeCell ref="E86:F86"/>
    <mergeCell ref="D87:E87"/>
    <mergeCell ref="E76:F76"/>
    <mergeCell ref="E77:F77"/>
    <mergeCell ref="E78:F78"/>
    <mergeCell ref="D79:E79"/>
    <mergeCell ref="E80:F80"/>
    <mergeCell ref="D81:E81"/>
    <mergeCell ref="E106:F106"/>
    <mergeCell ref="D107:E107"/>
    <mergeCell ref="E108:F108"/>
    <mergeCell ref="D109:E109"/>
    <mergeCell ref="E110:F110"/>
    <mergeCell ref="D111:E111"/>
    <mergeCell ref="E100:F100"/>
    <mergeCell ref="D101:E101"/>
    <mergeCell ref="E102:F102"/>
    <mergeCell ref="D103:E103"/>
    <mergeCell ref="E104:F104"/>
    <mergeCell ref="D105:E105"/>
    <mergeCell ref="D94:E94"/>
    <mergeCell ref="E95:F95"/>
    <mergeCell ref="E96:F96"/>
    <mergeCell ref="E97:F97"/>
    <mergeCell ref="E98:F98"/>
    <mergeCell ref="E99:F99"/>
    <mergeCell ref="E124:F124"/>
    <mergeCell ref="D125:E125"/>
    <mergeCell ref="D126:E126"/>
    <mergeCell ref="E127:F127"/>
    <mergeCell ref="D128:E128"/>
    <mergeCell ref="E129:F129"/>
    <mergeCell ref="E118:F118"/>
    <mergeCell ref="D119:E119"/>
    <mergeCell ref="E120:F120"/>
    <mergeCell ref="D121:E121"/>
    <mergeCell ref="E122:F122"/>
    <mergeCell ref="D123:E123"/>
    <mergeCell ref="E112:F112"/>
    <mergeCell ref="D113:E113"/>
    <mergeCell ref="E114:F114"/>
    <mergeCell ref="D115:E115"/>
    <mergeCell ref="E116:F116"/>
    <mergeCell ref="D117:E117"/>
    <mergeCell ref="E142:F142"/>
    <mergeCell ref="D143:E143"/>
    <mergeCell ref="E144:F144"/>
    <mergeCell ref="E145:F145"/>
    <mergeCell ref="E146:F146"/>
    <mergeCell ref="E147:F147"/>
    <mergeCell ref="E136:F136"/>
    <mergeCell ref="D137:E137"/>
    <mergeCell ref="E138:F138"/>
    <mergeCell ref="E139:F139"/>
    <mergeCell ref="E140:F140"/>
    <mergeCell ref="E141:F141"/>
    <mergeCell ref="E130:F130"/>
    <mergeCell ref="D131:E131"/>
    <mergeCell ref="E132:F132"/>
    <mergeCell ref="E133:F133"/>
    <mergeCell ref="E134:F134"/>
    <mergeCell ref="E135:F135"/>
    <mergeCell ref="E160:F160"/>
    <mergeCell ref="E161:F161"/>
    <mergeCell ref="E162:F162"/>
    <mergeCell ref="E163:F163"/>
    <mergeCell ref="E164:F164"/>
    <mergeCell ref="D165:E165"/>
    <mergeCell ref="E154:F154"/>
    <mergeCell ref="E155:F155"/>
    <mergeCell ref="D156:E156"/>
    <mergeCell ref="E157:F157"/>
    <mergeCell ref="E158:F158"/>
    <mergeCell ref="E159:F159"/>
    <mergeCell ref="E148:F148"/>
    <mergeCell ref="E149:F149"/>
    <mergeCell ref="D150:E150"/>
    <mergeCell ref="E151:F151"/>
    <mergeCell ref="E152:F152"/>
    <mergeCell ref="D153:E153"/>
    <mergeCell ref="E178:F178"/>
    <mergeCell ref="E179:F179"/>
    <mergeCell ref="E180:F180"/>
    <mergeCell ref="E181:F181"/>
    <mergeCell ref="D182:E182"/>
    <mergeCell ref="E183:F183"/>
    <mergeCell ref="D172:E172"/>
    <mergeCell ref="E173:F173"/>
    <mergeCell ref="E174:F174"/>
    <mergeCell ref="E175:F175"/>
    <mergeCell ref="E176:F176"/>
    <mergeCell ref="D177:E177"/>
    <mergeCell ref="D166:E166"/>
    <mergeCell ref="E167:F167"/>
    <mergeCell ref="E168:F168"/>
    <mergeCell ref="D169:E169"/>
    <mergeCell ref="E170:F170"/>
    <mergeCell ref="E171:F171"/>
    <mergeCell ref="E196:F196"/>
    <mergeCell ref="D197:E197"/>
    <mergeCell ref="E198:F198"/>
    <mergeCell ref="E199:F199"/>
    <mergeCell ref="D200:E200"/>
    <mergeCell ref="E201:F201"/>
    <mergeCell ref="E190:F190"/>
    <mergeCell ref="D191:E191"/>
    <mergeCell ref="E192:F192"/>
    <mergeCell ref="D193:E193"/>
    <mergeCell ref="E194:F194"/>
    <mergeCell ref="D195:E195"/>
    <mergeCell ref="E184:F184"/>
    <mergeCell ref="D185:E185"/>
    <mergeCell ref="E186:F186"/>
    <mergeCell ref="E187:F187"/>
    <mergeCell ref="D188:E188"/>
    <mergeCell ref="E189:F189"/>
    <mergeCell ref="E214:F214"/>
    <mergeCell ref="D215:E215"/>
    <mergeCell ref="E216:F216"/>
    <mergeCell ref="E217:F217"/>
    <mergeCell ref="E218:F218"/>
    <mergeCell ref="D219:E219"/>
    <mergeCell ref="D208:E208"/>
    <mergeCell ref="E209:F209"/>
    <mergeCell ref="E210:F210"/>
    <mergeCell ref="D211:E211"/>
    <mergeCell ref="E212:F212"/>
    <mergeCell ref="E213:F213"/>
    <mergeCell ref="E202:F202"/>
    <mergeCell ref="D203:E203"/>
    <mergeCell ref="E204:F204"/>
    <mergeCell ref="E205:F205"/>
    <mergeCell ref="D206:E206"/>
    <mergeCell ref="E207:F207"/>
    <mergeCell ref="D232:E232"/>
    <mergeCell ref="D233:E233"/>
    <mergeCell ref="E234:F234"/>
    <mergeCell ref="D235:E235"/>
    <mergeCell ref="E236:F236"/>
    <mergeCell ref="D237:E237"/>
    <mergeCell ref="E226:F226"/>
    <mergeCell ref="D227:E227"/>
    <mergeCell ref="D228:E228"/>
    <mergeCell ref="E229:F229"/>
    <mergeCell ref="D230:E230"/>
    <mergeCell ref="E231:F231"/>
    <mergeCell ref="E220:F220"/>
    <mergeCell ref="E221:F221"/>
    <mergeCell ref="E222:F222"/>
    <mergeCell ref="D223:E223"/>
    <mergeCell ref="E224:F224"/>
    <mergeCell ref="E225:F225"/>
    <mergeCell ref="E250:F250"/>
    <mergeCell ref="D251:E251"/>
    <mergeCell ref="E252:F252"/>
    <mergeCell ref="D253:E253"/>
    <mergeCell ref="E254:F254"/>
    <mergeCell ref="D255:E255"/>
    <mergeCell ref="D244:E244"/>
    <mergeCell ref="E245:F245"/>
    <mergeCell ref="D246:E246"/>
    <mergeCell ref="E247:F247"/>
    <mergeCell ref="D248:E248"/>
    <mergeCell ref="E249:F249"/>
    <mergeCell ref="E238:F238"/>
    <mergeCell ref="D239:E239"/>
    <mergeCell ref="E240:F240"/>
    <mergeCell ref="D241:E241"/>
    <mergeCell ref="D242:E242"/>
    <mergeCell ref="E243:F243"/>
    <mergeCell ref="E268:F268"/>
    <mergeCell ref="D269:E269"/>
    <mergeCell ref="E270:F270"/>
    <mergeCell ref="D271:E271"/>
    <mergeCell ref="D272:E272"/>
    <mergeCell ref="E273:F273"/>
    <mergeCell ref="D262:E262"/>
    <mergeCell ref="E263:F263"/>
    <mergeCell ref="D264:E264"/>
    <mergeCell ref="E265:F265"/>
    <mergeCell ref="D266:E266"/>
    <mergeCell ref="D267:E267"/>
    <mergeCell ref="E256:F256"/>
    <mergeCell ref="D257:E257"/>
    <mergeCell ref="E258:F258"/>
    <mergeCell ref="E259:F259"/>
    <mergeCell ref="D260:E260"/>
    <mergeCell ref="E261:F261"/>
    <mergeCell ref="D286:E286"/>
    <mergeCell ref="E287:F287"/>
    <mergeCell ref="D288:E288"/>
    <mergeCell ref="E289:F289"/>
    <mergeCell ref="D290:E290"/>
    <mergeCell ref="E291:F291"/>
    <mergeCell ref="E280:F280"/>
    <mergeCell ref="E281:F281"/>
    <mergeCell ref="D282:E282"/>
    <mergeCell ref="E283:F283"/>
    <mergeCell ref="D284:E284"/>
    <mergeCell ref="E285:F285"/>
    <mergeCell ref="E274:F274"/>
    <mergeCell ref="E275:F275"/>
    <mergeCell ref="E276:F276"/>
    <mergeCell ref="D277:E277"/>
    <mergeCell ref="E278:F278"/>
    <mergeCell ref="D279:E279"/>
    <mergeCell ref="E304:F304"/>
    <mergeCell ref="D305:E305"/>
    <mergeCell ref="E306:F306"/>
    <mergeCell ref="E307:F307"/>
    <mergeCell ref="D308:E308"/>
    <mergeCell ref="D309:E309"/>
    <mergeCell ref="E298:F298"/>
    <mergeCell ref="E299:F299"/>
    <mergeCell ref="E300:F300"/>
    <mergeCell ref="D301:E301"/>
    <mergeCell ref="E302:F302"/>
    <mergeCell ref="D303:E303"/>
    <mergeCell ref="D292:E292"/>
    <mergeCell ref="E293:F293"/>
    <mergeCell ref="D294:E294"/>
    <mergeCell ref="E295:F295"/>
    <mergeCell ref="E296:F296"/>
    <mergeCell ref="D297:E297"/>
    <mergeCell ref="D322:E322"/>
    <mergeCell ref="E323:F323"/>
    <mergeCell ref="E324:F324"/>
    <mergeCell ref="D325:E325"/>
    <mergeCell ref="E326:F326"/>
    <mergeCell ref="D327:E327"/>
    <mergeCell ref="E316:F316"/>
    <mergeCell ref="D317:E317"/>
    <mergeCell ref="E318:F318"/>
    <mergeCell ref="E319:F319"/>
    <mergeCell ref="D320:E320"/>
    <mergeCell ref="E321:F321"/>
    <mergeCell ref="E310:F310"/>
    <mergeCell ref="D311:E311"/>
    <mergeCell ref="E312:F312"/>
    <mergeCell ref="D313:E313"/>
    <mergeCell ref="E314:F314"/>
    <mergeCell ref="D315:E315"/>
    <mergeCell ref="D340:E340"/>
    <mergeCell ref="E341:F341"/>
    <mergeCell ref="D342:E342"/>
    <mergeCell ref="E343:F343"/>
    <mergeCell ref="D344:E344"/>
    <mergeCell ref="E345:F345"/>
    <mergeCell ref="E334:F334"/>
    <mergeCell ref="D335:E335"/>
    <mergeCell ref="D336:E336"/>
    <mergeCell ref="E337:F337"/>
    <mergeCell ref="D338:E338"/>
    <mergeCell ref="E339:F339"/>
    <mergeCell ref="E328:F328"/>
    <mergeCell ref="D329:E329"/>
    <mergeCell ref="E330:F330"/>
    <mergeCell ref="D331:E331"/>
    <mergeCell ref="E332:F332"/>
    <mergeCell ref="D333:E333"/>
    <mergeCell ref="E358:F358"/>
    <mergeCell ref="D359:E359"/>
    <mergeCell ref="E360:F360"/>
    <mergeCell ref="D361:E361"/>
    <mergeCell ref="E362:F362"/>
    <mergeCell ref="D363:E363"/>
    <mergeCell ref="E352:F352"/>
    <mergeCell ref="D353:E353"/>
    <mergeCell ref="E354:F354"/>
    <mergeCell ref="D355:E355"/>
    <mergeCell ref="E356:F356"/>
    <mergeCell ref="D357:E357"/>
    <mergeCell ref="D346:E346"/>
    <mergeCell ref="D347:E347"/>
    <mergeCell ref="E348:F348"/>
    <mergeCell ref="D349:E349"/>
    <mergeCell ref="E350:F350"/>
    <mergeCell ref="D351:E351"/>
    <mergeCell ref="D376:E376"/>
    <mergeCell ref="E377:F377"/>
    <mergeCell ref="D378:E378"/>
    <mergeCell ref="E379:F379"/>
    <mergeCell ref="D380:E380"/>
    <mergeCell ref="E381:F381"/>
    <mergeCell ref="D370:E370"/>
    <mergeCell ref="E371:F371"/>
    <mergeCell ref="D372:E372"/>
    <mergeCell ref="E373:F373"/>
    <mergeCell ref="D374:E374"/>
    <mergeCell ref="E375:F375"/>
    <mergeCell ref="E364:F364"/>
    <mergeCell ref="D365:E365"/>
    <mergeCell ref="D366:E366"/>
    <mergeCell ref="E367:F367"/>
    <mergeCell ref="D368:E368"/>
    <mergeCell ref="E369:F369"/>
    <mergeCell ref="D394:E394"/>
    <mergeCell ref="E395:F395"/>
    <mergeCell ref="D396:E396"/>
    <mergeCell ref="E397:F397"/>
    <mergeCell ref="E398:F398"/>
    <mergeCell ref="D399:E399"/>
    <mergeCell ref="D388:E388"/>
    <mergeCell ref="E389:F389"/>
    <mergeCell ref="D390:E390"/>
    <mergeCell ref="E391:F391"/>
    <mergeCell ref="D392:E392"/>
    <mergeCell ref="E393:F393"/>
    <mergeCell ref="D382:E382"/>
    <mergeCell ref="E383:F383"/>
    <mergeCell ref="D384:E384"/>
    <mergeCell ref="E385:F385"/>
    <mergeCell ref="D386:E386"/>
    <mergeCell ref="E387:F387"/>
    <mergeCell ref="D412:E412"/>
    <mergeCell ref="E413:F413"/>
    <mergeCell ref="D414:E414"/>
    <mergeCell ref="E415:F415"/>
    <mergeCell ref="D416:E416"/>
    <mergeCell ref="E417:F417"/>
    <mergeCell ref="D406:E406"/>
    <mergeCell ref="E407:F407"/>
    <mergeCell ref="D408:E408"/>
    <mergeCell ref="E409:F409"/>
    <mergeCell ref="D410:E410"/>
    <mergeCell ref="E411:F411"/>
    <mergeCell ref="E400:F400"/>
    <mergeCell ref="D401:E401"/>
    <mergeCell ref="D402:E402"/>
    <mergeCell ref="E403:F403"/>
    <mergeCell ref="D404:E404"/>
    <mergeCell ref="E405:F405"/>
    <mergeCell ref="E430:F430"/>
    <mergeCell ref="D431:E431"/>
    <mergeCell ref="E432:F432"/>
    <mergeCell ref="D433:E433"/>
    <mergeCell ref="E434:F434"/>
    <mergeCell ref="D435:E435"/>
    <mergeCell ref="E424:F424"/>
    <mergeCell ref="D425:E425"/>
    <mergeCell ref="E426:F426"/>
    <mergeCell ref="D427:E427"/>
    <mergeCell ref="E428:F428"/>
    <mergeCell ref="D429:E429"/>
    <mergeCell ref="D418:E418"/>
    <mergeCell ref="D419:E419"/>
    <mergeCell ref="E420:F420"/>
    <mergeCell ref="D421:E421"/>
    <mergeCell ref="E422:F422"/>
    <mergeCell ref="E423:F423"/>
    <mergeCell ref="D448:E448"/>
    <mergeCell ref="D449:E449"/>
    <mergeCell ref="E450:F450"/>
    <mergeCell ref="D451:E451"/>
    <mergeCell ref="D452:E452"/>
    <mergeCell ref="E453:F453"/>
    <mergeCell ref="E442:F442"/>
    <mergeCell ref="D443:E443"/>
    <mergeCell ref="E444:F444"/>
    <mergeCell ref="D445:E445"/>
    <mergeCell ref="D446:E446"/>
    <mergeCell ref="E447:F447"/>
    <mergeCell ref="E436:F436"/>
    <mergeCell ref="D437:E437"/>
    <mergeCell ref="E438:F438"/>
    <mergeCell ref="D439:E439"/>
    <mergeCell ref="E440:F440"/>
    <mergeCell ref="D441:E441"/>
    <mergeCell ref="D466:E466"/>
    <mergeCell ref="D467:E467"/>
    <mergeCell ref="D468:E468"/>
    <mergeCell ref="E469:F469"/>
    <mergeCell ref="D470:E470"/>
    <mergeCell ref="E471:F471"/>
    <mergeCell ref="D460:E460"/>
    <mergeCell ref="D461:E461"/>
    <mergeCell ref="D462:E462"/>
    <mergeCell ref="D463:E463"/>
    <mergeCell ref="D464:E464"/>
    <mergeCell ref="D465:E465"/>
    <mergeCell ref="D454:E454"/>
    <mergeCell ref="D455:E455"/>
    <mergeCell ref="D456:E456"/>
    <mergeCell ref="D457:E457"/>
    <mergeCell ref="D458:E458"/>
    <mergeCell ref="D459:E459"/>
    <mergeCell ref="D484:E484"/>
    <mergeCell ref="E485:F485"/>
    <mergeCell ref="D486:E486"/>
    <mergeCell ref="D487:E487"/>
    <mergeCell ref="E488:F488"/>
    <mergeCell ref="D489:E489"/>
    <mergeCell ref="D478:E478"/>
    <mergeCell ref="E479:F479"/>
    <mergeCell ref="D480:E480"/>
    <mergeCell ref="E481:F481"/>
    <mergeCell ref="D482:E482"/>
    <mergeCell ref="E483:F483"/>
    <mergeCell ref="D472:E472"/>
    <mergeCell ref="E473:F473"/>
    <mergeCell ref="D474:E474"/>
    <mergeCell ref="E475:F475"/>
    <mergeCell ref="D476:E476"/>
    <mergeCell ref="E477:F477"/>
    <mergeCell ref="E502:F502"/>
    <mergeCell ref="E503:F503"/>
    <mergeCell ref="D504:E504"/>
    <mergeCell ref="E505:F505"/>
    <mergeCell ref="D506:E506"/>
    <mergeCell ref="D507:E507"/>
    <mergeCell ref="E496:F496"/>
    <mergeCell ref="D497:E497"/>
    <mergeCell ref="E498:F498"/>
    <mergeCell ref="D499:E499"/>
    <mergeCell ref="E500:F500"/>
    <mergeCell ref="D501:E501"/>
    <mergeCell ref="E490:F490"/>
    <mergeCell ref="D491:E491"/>
    <mergeCell ref="E492:F492"/>
    <mergeCell ref="D493:E493"/>
    <mergeCell ref="E494:F494"/>
    <mergeCell ref="D495:E495"/>
    <mergeCell ref="E520:F520"/>
    <mergeCell ref="D521:E521"/>
    <mergeCell ref="E522:F522"/>
    <mergeCell ref="D523:E523"/>
    <mergeCell ref="E524:F524"/>
    <mergeCell ref="E525:F525"/>
    <mergeCell ref="D514:E514"/>
    <mergeCell ref="E515:F515"/>
    <mergeCell ref="E516:F516"/>
    <mergeCell ref="D517:E517"/>
    <mergeCell ref="E518:F518"/>
    <mergeCell ref="D519:E519"/>
    <mergeCell ref="E508:F508"/>
    <mergeCell ref="D509:E509"/>
    <mergeCell ref="E510:F510"/>
    <mergeCell ref="E511:F511"/>
    <mergeCell ref="D512:E512"/>
    <mergeCell ref="E513:F513"/>
    <mergeCell ref="E538:F538"/>
    <mergeCell ref="E539:F539"/>
    <mergeCell ref="D540:E540"/>
    <mergeCell ref="E541:F541"/>
    <mergeCell ref="D542:E542"/>
    <mergeCell ref="E543:F543"/>
    <mergeCell ref="D532:E532"/>
    <mergeCell ref="E533:F533"/>
    <mergeCell ref="E534:F534"/>
    <mergeCell ref="D535:E535"/>
    <mergeCell ref="E536:F536"/>
    <mergeCell ref="D537:E537"/>
    <mergeCell ref="D526:E526"/>
    <mergeCell ref="E527:F527"/>
    <mergeCell ref="E528:F528"/>
    <mergeCell ref="D529:E529"/>
    <mergeCell ref="E530:F530"/>
    <mergeCell ref="E531:F531"/>
    <mergeCell ref="E556:F556"/>
    <mergeCell ref="E557:F557"/>
    <mergeCell ref="D558:E558"/>
    <mergeCell ref="E559:F559"/>
    <mergeCell ref="D560:E560"/>
    <mergeCell ref="E561:F561"/>
    <mergeCell ref="D550:E550"/>
    <mergeCell ref="E551:F551"/>
    <mergeCell ref="D552:E552"/>
    <mergeCell ref="E553:F553"/>
    <mergeCell ref="E554:F554"/>
    <mergeCell ref="D555:E555"/>
    <mergeCell ref="E544:F544"/>
    <mergeCell ref="D545:E545"/>
    <mergeCell ref="E546:F546"/>
    <mergeCell ref="D547:E547"/>
    <mergeCell ref="E548:F548"/>
    <mergeCell ref="E549:F549"/>
    <mergeCell ref="D574:E574"/>
    <mergeCell ref="D575:E575"/>
    <mergeCell ref="D576:E576"/>
    <mergeCell ref="D577:E577"/>
    <mergeCell ref="D578:E578"/>
    <mergeCell ref="D579:E579"/>
    <mergeCell ref="E568:F568"/>
    <mergeCell ref="D569:E569"/>
    <mergeCell ref="D570:E570"/>
    <mergeCell ref="D571:E571"/>
    <mergeCell ref="D572:E572"/>
    <mergeCell ref="D573:E573"/>
    <mergeCell ref="E562:F562"/>
    <mergeCell ref="E563:F563"/>
    <mergeCell ref="D564:E564"/>
    <mergeCell ref="E565:F565"/>
    <mergeCell ref="E566:F566"/>
    <mergeCell ref="D567:E567"/>
    <mergeCell ref="D592:E592"/>
    <mergeCell ref="D593:E593"/>
    <mergeCell ref="D594:E594"/>
    <mergeCell ref="D595:E595"/>
    <mergeCell ref="D596:E596"/>
    <mergeCell ref="D597:E597"/>
    <mergeCell ref="D586:E586"/>
    <mergeCell ref="D587:E587"/>
    <mergeCell ref="D588:E588"/>
    <mergeCell ref="D589:E589"/>
    <mergeCell ref="D590:E590"/>
    <mergeCell ref="D591:E591"/>
    <mergeCell ref="D580:E580"/>
    <mergeCell ref="D581:E581"/>
    <mergeCell ref="D582:E582"/>
    <mergeCell ref="D583:E583"/>
    <mergeCell ref="D584:E584"/>
    <mergeCell ref="D585:E585"/>
    <mergeCell ref="D610:E610"/>
    <mergeCell ref="D611:E611"/>
    <mergeCell ref="D612:E612"/>
    <mergeCell ref="D613:E613"/>
    <mergeCell ref="D614:E614"/>
    <mergeCell ref="D615:E615"/>
    <mergeCell ref="D604:E604"/>
    <mergeCell ref="D605:E605"/>
    <mergeCell ref="D606:E606"/>
    <mergeCell ref="D607:E607"/>
    <mergeCell ref="D608:E608"/>
    <mergeCell ref="D609:E609"/>
    <mergeCell ref="D598:E598"/>
    <mergeCell ref="D599:E599"/>
    <mergeCell ref="D600:E600"/>
    <mergeCell ref="D601:E601"/>
    <mergeCell ref="D602:E602"/>
    <mergeCell ref="D603:E603"/>
    <mergeCell ref="D628:E628"/>
    <mergeCell ref="D629:E629"/>
    <mergeCell ref="D630:E630"/>
    <mergeCell ref="D631:E631"/>
    <mergeCell ref="D632:E632"/>
    <mergeCell ref="D633:E633"/>
    <mergeCell ref="D622:E622"/>
    <mergeCell ref="D623:E623"/>
    <mergeCell ref="D624:E624"/>
    <mergeCell ref="D625:E625"/>
    <mergeCell ref="D626:E626"/>
    <mergeCell ref="D627:E627"/>
    <mergeCell ref="D616:E616"/>
    <mergeCell ref="D617:E617"/>
    <mergeCell ref="D618:E618"/>
    <mergeCell ref="D619:E619"/>
    <mergeCell ref="D620:E620"/>
    <mergeCell ref="D621:E621"/>
    <mergeCell ref="D646:E646"/>
    <mergeCell ref="D647:E647"/>
    <mergeCell ref="D648:E648"/>
    <mergeCell ref="D649:E649"/>
    <mergeCell ref="D650:E650"/>
    <mergeCell ref="D651:E651"/>
    <mergeCell ref="D640:E640"/>
    <mergeCell ref="D641:E641"/>
    <mergeCell ref="D642:E642"/>
    <mergeCell ref="D643:E643"/>
    <mergeCell ref="D644:E644"/>
    <mergeCell ref="D645:E645"/>
    <mergeCell ref="D634:E634"/>
    <mergeCell ref="D635:E635"/>
    <mergeCell ref="D636:E636"/>
    <mergeCell ref="D637:E637"/>
    <mergeCell ref="D638:E638"/>
    <mergeCell ref="D639:E639"/>
    <mergeCell ref="D664:E664"/>
    <mergeCell ref="D665:E665"/>
    <mergeCell ref="D666:E666"/>
    <mergeCell ref="D667:E667"/>
    <mergeCell ref="D668:E668"/>
    <mergeCell ref="D669:E669"/>
    <mergeCell ref="D658:E658"/>
    <mergeCell ref="D659:E659"/>
    <mergeCell ref="D660:E660"/>
    <mergeCell ref="D661:E661"/>
    <mergeCell ref="D662:E662"/>
    <mergeCell ref="D663:E663"/>
    <mergeCell ref="D652:E652"/>
    <mergeCell ref="D653:E653"/>
    <mergeCell ref="D654:E654"/>
    <mergeCell ref="D655:E655"/>
    <mergeCell ref="D656:E656"/>
    <mergeCell ref="D657:E657"/>
    <mergeCell ref="D682:E682"/>
    <mergeCell ref="D683:E683"/>
    <mergeCell ref="D684:E684"/>
    <mergeCell ref="D685:E685"/>
    <mergeCell ref="D686:E686"/>
    <mergeCell ref="D687:E687"/>
    <mergeCell ref="D676:E676"/>
    <mergeCell ref="D677:E677"/>
    <mergeCell ref="D678:E678"/>
    <mergeCell ref="D679:E679"/>
    <mergeCell ref="D680:E680"/>
    <mergeCell ref="D681:E681"/>
    <mergeCell ref="D670:E670"/>
    <mergeCell ref="D671:E671"/>
    <mergeCell ref="D672:E672"/>
    <mergeCell ref="D673:E673"/>
    <mergeCell ref="D674:E674"/>
    <mergeCell ref="D675:E675"/>
    <mergeCell ref="D700:E700"/>
    <mergeCell ref="D701:E701"/>
    <mergeCell ref="D702:E702"/>
    <mergeCell ref="D703:E703"/>
    <mergeCell ref="D704:E704"/>
    <mergeCell ref="D705:E705"/>
    <mergeCell ref="D694:E694"/>
    <mergeCell ref="D695:E695"/>
    <mergeCell ref="D696:E696"/>
    <mergeCell ref="D697:E697"/>
    <mergeCell ref="D698:E698"/>
    <mergeCell ref="D699:E699"/>
    <mergeCell ref="D688:E688"/>
    <mergeCell ref="D689:E689"/>
    <mergeCell ref="D690:E690"/>
    <mergeCell ref="D691:E691"/>
    <mergeCell ref="D692:E692"/>
    <mergeCell ref="D693:E693"/>
    <mergeCell ref="D718:E718"/>
    <mergeCell ref="D719:E719"/>
    <mergeCell ref="D720:E720"/>
    <mergeCell ref="D721:E721"/>
    <mergeCell ref="D722:E722"/>
    <mergeCell ref="D723:E723"/>
    <mergeCell ref="D712:E712"/>
    <mergeCell ref="D713:E713"/>
    <mergeCell ref="D714:E714"/>
    <mergeCell ref="D715:E715"/>
    <mergeCell ref="D716:E716"/>
    <mergeCell ref="D717:E717"/>
    <mergeCell ref="D706:E706"/>
    <mergeCell ref="D707:E707"/>
    <mergeCell ref="D708:E708"/>
    <mergeCell ref="D709:E709"/>
    <mergeCell ref="D710:E710"/>
    <mergeCell ref="D711:E711"/>
    <mergeCell ref="D736:E736"/>
    <mergeCell ref="D737:E737"/>
    <mergeCell ref="D738:E738"/>
    <mergeCell ref="D739:E739"/>
    <mergeCell ref="D740:E740"/>
    <mergeCell ref="D741:E741"/>
    <mergeCell ref="D730:E730"/>
    <mergeCell ref="D731:E731"/>
    <mergeCell ref="D732:E732"/>
    <mergeCell ref="D733:E733"/>
    <mergeCell ref="D734:E734"/>
    <mergeCell ref="D735:E735"/>
    <mergeCell ref="D724:E724"/>
    <mergeCell ref="D725:E725"/>
    <mergeCell ref="D726:E726"/>
    <mergeCell ref="D727:E727"/>
    <mergeCell ref="D728:E728"/>
    <mergeCell ref="D729:E729"/>
    <mergeCell ref="D754:E754"/>
    <mergeCell ref="D755:E755"/>
    <mergeCell ref="D756:E756"/>
    <mergeCell ref="D757:E757"/>
    <mergeCell ref="D758:E758"/>
    <mergeCell ref="D759:E759"/>
    <mergeCell ref="D748:E748"/>
    <mergeCell ref="D749:E749"/>
    <mergeCell ref="D750:E750"/>
    <mergeCell ref="D751:E751"/>
    <mergeCell ref="D752:E752"/>
    <mergeCell ref="D753:E753"/>
    <mergeCell ref="D742:E742"/>
    <mergeCell ref="D743:E743"/>
    <mergeCell ref="D744:E744"/>
    <mergeCell ref="D745:E745"/>
    <mergeCell ref="D746:E746"/>
    <mergeCell ref="D747:E747"/>
    <mergeCell ref="D772:E772"/>
    <mergeCell ref="D773:E773"/>
    <mergeCell ref="D774:E774"/>
    <mergeCell ref="D775:E775"/>
    <mergeCell ref="D776:E776"/>
    <mergeCell ref="D777:E777"/>
    <mergeCell ref="D766:E766"/>
    <mergeCell ref="D767:E767"/>
    <mergeCell ref="D768:E768"/>
    <mergeCell ref="D769:E769"/>
    <mergeCell ref="D770:E770"/>
    <mergeCell ref="D771:E771"/>
    <mergeCell ref="D760:E760"/>
    <mergeCell ref="D761:E761"/>
    <mergeCell ref="D762:E762"/>
    <mergeCell ref="D763:E763"/>
    <mergeCell ref="D764:E764"/>
    <mergeCell ref="D765:E765"/>
    <mergeCell ref="D790:E790"/>
    <mergeCell ref="D791:E791"/>
    <mergeCell ref="D792:E792"/>
    <mergeCell ref="D793:E793"/>
    <mergeCell ref="D794:E794"/>
    <mergeCell ref="D795:E795"/>
    <mergeCell ref="D784:E784"/>
    <mergeCell ref="D785:E785"/>
    <mergeCell ref="D786:E786"/>
    <mergeCell ref="D787:E787"/>
    <mergeCell ref="D788:E788"/>
    <mergeCell ref="D789:E789"/>
    <mergeCell ref="D778:E778"/>
    <mergeCell ref="D779:E779"/>
    <mergeCell ref="D780:E780"/>
    <mergeCell ref="D781:E781"/>
    <mergeCell ref="D782:E782"/>
    <mergeCell ref="D783:E783"/>
    <mergeCell ref="D808:E808"/>
    <mergeCell ref="D809:E809"/>
    <mergeCell ref="D810:E810"/>
    <mergeCell ref="D811:E811"/>
    <mergeCell ref="D812:E812"/>
    <mergeCell ref="D813:E813"/>
    <mergeCell ref="D802:E802"/>
    <mergeCell ref="D803:E803"/>
    <mergeCell ref="D804:E804"/>
    <mergeCell ref="D805:E805"/>
    <mergeCell ref="D806:E806"/>
    <mergeCell ref="D807:E807"/>
    <mergeCell ref="D796:E796"/>
    <mergeCell ref="D797:E797"/>
    <mergeCell ref="D798:E798"/>
    <mergeCell ref="D799:E799"/>
    <mergeCell ref="D800:E800"/>
    <mergeCell ref="D801:E801"/>
    <mergeCell ref="D826:E826"/>
    <mergeCell ref="D827:E827"/>
    <mergeCell ref="D828:E828"/>
    <mergeCell ref="D829:E829"/>
    <mergeCell ref="D830:E830"/>
    <mergeCell ref="D831:E831"/>
    <mergeCell ref="D820:E820"/>
    <mergeCell ref="D821:E821"/>
    <mergeCell ref="D822:E822"/>
    <mergeCell ref="D823:E823"/>
    <mergeCell ref="D824:E824"/>
    <mergeCell ref="D825:E825"/>
    <mergeCell ref="D814:E814"/>
    <mergeCell ref="D815:E815"/>
    <mergeCell ref="D816:E816"/>
    <mergeCell ref="D817:E817"/>
    <mergeCell ref="D818:E818"/>
    <mergeCell ref="D819:E819"/>
    <mergeCell ref="D844:E844"/>
    <mergeCell ref="D845:E845"/>
    <mergeCell ref="D846:E846"/>
    <mergeCell ref="D847:E847"/>
    <mergeCell ref="D848:E848"/>
    <mergeCell ref="D849:E849"/>
    <mergeCell ref="D838:E838"/>
    <mergeCell ref="D839:E839"/>
    <mergeCell ref="D840:E840"/>
    <mergeCell ref="D841:E841"/>
    <mergeCell ref="D842:E842"/>
    <mergeCell ref="D843:E843"/>
    <mergeCell ref="D832:E832"/>
    <mergeCell ref="D833:E833"/>
    <mergeCell ref="D834:E834"/>
    <mergeCell ref="D835:E835"/>
    <mergeCell ref="D836:E836"/>
    <mergeCell ref="D837:E837"/>
    <mergeCell ref="D862:E862"/>
    <mergeCell ref="D863:E863"/>
    <mergeCell ref="D864:E864"/>
    <mergeCell ref="D865:E865"/>
    <mergeCell ref="D866:E866"/>
    <mergeCell ref="E867:F867"/>
    <mergeCell ref="D856:E856"/>
    <mergeCell ref="D857:E857"/>
    <mergeCell ref="D858:E858"/>
    <mergeCell ref="D859:E859"/>
    <mergeCell ref="D860:E860"/>
    <mergeCell ref="D861:E861"/>
    <mergeCell ref="D850:E850"/>
    <mergeCell ref="D851:E851"/>
    <mergeCell ref="D852:E852"/>
    <mergeCell ref="D853:E853"/>
    <mergeCell ref="D854:E854"/>
    <mergeCell ref="D855:E855"/>
    <mergeCell ref="D880:E880"/>
    <mergeCell ref="D881:E881"/>
    <mergeCell ref="E882:F882"/>
    <mergeCell ref="D883:E883"/>
    <mergeCell ref="E884:F884"/>
    <mergeCell ref="D885:E885"/>
    <mergeCell ref="D874:E874"/>
    <mergeCell ref="E875:F875"/>
    <mergeCell ref="D876:E876"/>
    <mergeCell ref="E877:F877"/>
    <mergeCell ref="D878:E878"/>
    <mergeCell ref="E879:F879"/>
    <mergeCell ref="D868:E868"/>
    <mergeCell ref="E869:F869"/>
    <mergeCell ref="D870:E870"/>
    <mergeCell ref="E871:F871"/>
    <mergeCell ref="D872:E872"/>
    <mergeCell ref="E873:F873"/>
    <mergeCell ref="D898:E898"/>
    <mergeCell ref="E899:F899"/>
    <mergeCell ref="D900:E900"/>
    <mergeCell ref="E901:F901"/>
    <mergeCell ref="D902:E902"/>
    <mergeCell ref="E903:F903"/>
    <mergeCell ref="E892:F892"/>
    <mergeCell ref="D893:E893"/>
    <mergeCell ref="D894:E894"/>
    <mergeCell ref="E895:F895"/>
    <mergeCell ref="D896:E896"/>
    <mergeCell ref="E897:F897"/>
    <mergeCell ref="E886:F886"/>
    <mergeCell ref="D887:E887"/>
    <mergeCell ref="E888:F888"/>
    <mergeCell ref="D889:E889"/>
    <mergeCell ref="E890:F890"/>
    <mergeCell ref="D891:E891"/>
    <mergeCell ref="D916:E916"/>
    <mergeCell ref="E917:F917"/>
    <mergeCell ref="D918:E918"/>
    <mergeCell ref="E919:F919"/>
    <mergeCell ref="D920:E920"/>
    <mergeCell ref="E921:F921"/>
    <mergeCell ref="D910:E910"/>
    <mergeCell ref="E911:F911"/>
    <mergeCell ref="D912:E912"/>
    <mergeCell ref="E913:F913"/>
    <mergeCell ref="D914:E914"/>
    <mergeCell ref="E915:F915"/>
    <mergeCell ref="D904:E904"/>
    <mergeCell ref="E905:F905"/>
    <mergeCell ref="D906:E906"/>
    <mergeCell ref="E907:F907"/>
    <mergeCell ref="D908:E908"/>
    <mergeCell ref="E909:F909"/>
    <mergeCell ref="D934:E934"/>
    <mergeCell ref="E935:F935"/>
    <mergeCell ref="D936:E936"/>
    <mergeCell ref="E937:F937"/>
    <mergeCell ref="D938:E938"/>
    <mergeCell ref="E939:F939"/>
    <mergeCell ref="D928:E928"/>
    <mergeCell ref="E929:F929"/>
    <mergeCell ref="D930:E930"/>
    <mergeCell ref="E931:F931"/>
    <mergeCell ref="D932:E932"/>
    <mergeCell ref="E933:F933"/>
    <mergeCell ref="D922:E922"/>
    <mergeCell ref="E923:F923"/>
    <mergeCell ref="D924:E924"/>
    <mergeCell ref="E925:F925"/>
    <mergeCell ref="D926:E926"/>
    <mergeCell ref="E927:F927"/>
    <mergeCell ref="E952:F952"/>
    <mergeCell ref="D953:E953"/>
    <mergeCell ref="E954:F954"/>
    <mergeCell ref="E955:F955"/>
    <mergeCell ref="D956:E956"/>
    <mergeCell ref="E957:F957"/>
    <mergeCell ref="D946:E946"/>
    <mergeCell ref="E947:F947"/>
    <mergeCell ref="D948:E948"/>
    <mergeCell ref="E949:F949"/>
    <mergeCell ref="D950:E950"/>
    <mergeCell ref="D951:E951"/>
    <mergeCell ref="D940:E940"/>
    <mergeCell ref="E941:F941"/>
    <mergeCell ref="D942:E942"/>
    <mergeCell ref="E943:F943"/>
    <mergeCell ref="D944:E944"/>
    <mergeCell ref="E945:F945"/>
    <mergeCell ref="D970:E970"/>
    <mergeCell ref="E971:F971"/>
    <mergeCell ref="D972:E972"/>
    <mergeCell ref="E973:F973"/>
    <mergeCell ref="D974:E974"/>
    <mergeCell ref="E975:F975"/>
    <mergeCell ref="D964:E964"/>
    <mergeCell ref="E965:F965"/>
    <mergeCell ref="D966:E966"/>
    <mergeCell ref="E967:F967"/>
    <mergeCell ref="D968:E968"/>
    <mergeCell ref="E969:F969"/>
    <mergeCell ref="D958:E958"/>
    <mergeCell ref="E959:F959"/>
    <mergeCell ref="D960:E960"/>
    <mergeCell ref="E961:F961"/>
    <mergeCell ref="D962:E962"/>
    <mergeCell ref="E963:F963"/>
    <mergeCell ref="D988:E988"/>
    <mergeCell ref="E989:F989"/>
    <mergeCell ref="D990:E990"/>
    <mergeCell ref="E991:F991"/>
    <mergeCell ref="D992:E992"/>
    <mergeCell ref="E993:F993"/>
    <mergeCell ref="D982:E982"/>
    <mergeCell ref="E983:F983"/>
    <mergeCell ref="D984:E984"/>
    <mergeCell ref="E985:F985"/>
    <mergeCell ref="D986:E986"/>
    <mergeCell ref="E987:F987"/>
    <mergeCell ref="D976:E976"/>
    <mergeCell ref="E977:F977"/>
    <mergeCell ref="D978:E978"/>
    <mergeCell ref="E979:F979"/>
    <mergeCell ref="D980:E980"/>
    <mergeCell ref="E981:F981"/>
    <mergeCell ref="D1006:E1006"/>
    <mergeCell ref="E1007:F1007"/>
    <mergeCell ref="D1008:E1008"/>
    <mergeCell ref="D1009:E1009"/>
    <mergeCell ref="E1010:F1010"/>
    <mergeCell ref="E1011:F1011"/>
    <mergeCell ref="D1000:E1000"/>
    <mergeCell ref="E1001:F1001"/>
    <mergeCell ref="D1002:E1002"/>
    <mergeCell ref="E1003:F1003"/>
    <mergeCell ref="D1004:E1004"/>
    <mergeCell ref="E1005:F1005"/>
    <mergeCell ref="D994:E994"/>
    <mergeCell ref="E995:F995"/>
    <mergeCell ref="D996:E996"/>
    <mergeCell ref="E997:F997"/>
    <mergeCell ref="D998:E998"/>
    <mergeCell ref="E999:F999"/>
    <mergeCell ref="D1024:E1024"/>
    <mergeCell ref="E1025:F1025"/>
    <mergeCell ref="E1026:F1026"/>
    <mergeCell ref="D1027:E1027"/>
    <mergeCell ref="E1028:F1028"/>
    <mergeCell ref="E1029:F1029"/>
    <mergeCell ref="E1018:F1018"/>
    <mergeCell ref="D1019:E1019"/>
    <mergeCell ref="E1020:F1020"/>
    <mergeCell ref="E1021:F1021"/>
    <mergeCell ref="D1022:E1022"/>
    <mergeCell ref="E1023:F1023"/>
    <mergeCell ref="E1012:F1012"/>
    <mergeCell ref="D1013:E1013"/>
    <mergeCell ref="E1014:F1014"/>
    <mergeCell ref="D1015:E1015"/>
    <mergeCell ref="E1016:F1016"/>
    <mergeCell ref="E1017:F1017"/>
    <mergeCell ref="E1042:F1042"/>
    <mergeCell ref="D1043:E1043"/>
    <mergeCell ref="E1044:F1044"/>
    <mergeCell ref="E1045:F1045"/>
    <mergeCell ref="D1046:E1046"/>
    <mergeCell ref="E1047:F1047"/>
    <mergeCell ref="E1036:F1036"/>
    <mergeCell ref="E1037:F1037"/>
    <mergeCell ref="D1038:E1038"/>
    <mergeCell ref="E1039:F1039"/>
    <mergeCell ref="E1040:F1040"/>
    <mergeCell ref="D1041:E1041"/>
    <mergeCell ref="D1030:E1030"/>
    <mergeCell ref="E1031:F1031"/>
    <mergeCell ref="D1032:E1032"/>
    <mergeCell ref="E1033:F1033"/>
    <mergeCell ref="E1034:F1034"/>
    <mergeCell ref="D1035:E1035"/>
    <mergeCell ref="E1060:F1060"/>
    <mergeCell ref="D1061:E1061"/>
    <mergeCell ref="E1062:F1062"/>
    <mergeCell ref="E1063:F1063"/>
    <mergeCell ref="D1064:E1064"/>
    <mergeCell ref="E1065:F1065"/>
    <mergeCell ref="E1054:F1054"/>
    <mergeCell ref="D1055:E1055"/>
    <mergeCell ref="E1056:F1056"/>
    <mergeCell ref="E1057:F1057"/>
    <mergeCell ref="D1058:E1058"/>
    <mergeCell ref="E1059:F1059"/>
    <mergeCell ref="D1048:E1048"/>
    <mergeCell ref="D1049:E1049"/>
    <mergeCell ref="E1050:F1050"/>
    <mergeCell ref="E1051:F1051"/>
    <mergeCell ref="D1052:E1052"/>
    <mergeCell ref="E1053:F1053"/>
    <mergeCell ref="E1078:F1078"/>
    <mergeCell ref="D1079:E1079"/>
    <mergeCell ref="E1080:F1080"/>
    <mergeCell ref="D1081:E1081"/>
    <mergeCell ref="E1082:F1082"/>
    <mergeCell ref="D1083:E1083"/>
    <mergeCell ref="E1072:F1072"/>
    <mergeCell ref="D1073:E1073"/>
    <mergeCell ref="D1074:E1074"/>
    <mergeCell ref="E1075:F1075"/>
    <mergeCell ref="E1076:F1076"/>
    <mergeCell ref="E1077:F1077"/>
    <mergeCell ref="E1066:F1066"/>
    <mergeCell ref="D1067:E1067"/>
    <mergeCell ref="E1068:F1068"/>
    <mergeCell ref="D1069:E1069"/>
    <mergeCell ref="E1070:F1070"/>
    <mergeCell ref="D1071:E1071"/>
    <mergeCell ref="D1096:E1096"/>
    <mergeCell ref="E1097:F1097"/>
    <mergeCell ref="D1098:E1098"/>
    <mergeCell ref="E1099:F1099"/>
    <mergeCell ref="E1100:F1100"/>
    <mergeCell ref="D1101:E1101"/>
    <mergeCell ref="E1090:F1090"/>
    <mergeCell ref="E1091:F1091"/>
    <mergeCell ref="D1092:E1092"/>
    <mergeCell ref="E1093:F1093"/>
    <mergeCell ref="E1094:F1094"/>
    <mergeCell ref="E1095:F1095"/>
    <mergeCell ref="E1084:F1084"/>
    <mergeCell ref="E1085:F1085"/>
    <mergeCell ref="D1086:E1086"/>
    <mergeCell ref="E1087:F1087"/>
    <mergeCell ref="E1088:F1088"/>
    <mergeCell ref="D1089:E1089"/>
    <mergeCell ref="D1114:E1114"/>
    <mergeCell ref="D1115:E1115"/>
    <mergeCell ref="E1116:F1116"/>
    <mergeCell ref="D1117:E1117"/>
    <mergeCell ref="E1118:F1118"/>
    <mergeCell ref="D1119:E1119"/>
    <mergeCell ref="E1108:F1108"/>
    <mergeCell ref="D1109:E1109"/>
    <mergeCell ref="E1110:F1110"/>
    <mergeCell ref="E1111:F1111"/>
    <mergeCell ref="D1112:E1112"/>
    <mergeCell ref="E1113:F1113"/>
    <mergeCell ref="E1102:F1102"/>
    <mergeCell ref="D1103:E1103"/>
    <mergeCell ref="E1104:F1104"/>
    <mergeCell ref="E1105:F1105"/>
    <mergeCell ref="D1106:E1106"/>
    <mergeCell ref="E1107:F1107"/>
    <mergeCell ref="D1132:E1132"/>
    <mergeCell ref="E1133:F1133"/>
    <mergeCell ref="D1134:E1134"/>
    <mergeCell ref="E1135:F1135"/>
    <mergeCell ref="D1136:E1136"/>
    <mergeCell ref="E1137:F1137"/>
    <mergeCell ref="D1126:E1126"/>
    <mergeCell ref="E1127:F1127"/>
    <mergeCell ref="D1128:E1128"/>
    <mergeCell ref="E1129:F1129"/>
    <mergeCell ref="D1130:E1130"/>
    <mergeCell ref="E1131:F1131"/>
    <mergeCell ref="E1120:F1120"/>
    <mergeCell ref="D1121:E1121"/>
    <mergeCell ref="E1122:F1122"/>
    <mergeCell ref="D1123:E1123"/>
    <mergeCell ref="D1124:E1124"/>
    <mergeCell ref="E1125:F1125"/>
    <mergeCell ref="D1150:E1150"/>
    <mergeCell ref="D1151:E1151"/>
    <mergeCell ref="D1152:E1152"/>
    <mergeCell ref="D1153:E1153"/>
    <mergeCell ref="D1154:E1154"/>
    <mergeCell ref="D1155:E1155"/>
    <mergeCell ref="D1144:E1144"/>
    <mergeCell ref="D1145:E1145"/>
    <mergeCell ref="D1146:E1146"/>
    <mergeCell ref="D1147:E1147"/>
    <mergeCell ref="D1148:E1148"/>
    <mergeCell ref="D1149:E1149"/>
    <mergeCell ref="D1138:E1138"/>
    <mergeCell ref="E1139:F1139"/>
    <mergeCell ref="E1140:F1140"/>
    <mergeCell ref="D1141:E1141"/>
    <mergeCell ref="E1142:F1142"/>
    <mergeCell ref="D1143:E1143"/>
    <mergeCell ref="D1168:E1168"/>
    <mergeCell ref="D1169:E1169"/>
    <mergeCell ref="D1170:E1170"/>
    <mergeCell ref="D1171:E1171"/>
    <mergeCell ref="D1172:E1172"/>
    <mergeCell ref="D1173:E1173"/>
    <mergeCell ref="D1162:E1162"/>
    <mergeCell ref="D1163:E1163"/>
    <mergeCell ref="D1164:E1164"/>
    <mergeCell ref="D1165:E1165"/>
    <mergeCell ref="D1166:E1166"/>
    <mergeCell ref="D1167:E1167"/>
    <mergeCell ref="D1156:E1156"/>
    <mergeCell ref="D1157:E1157"/>
    <mergeCell ref="D1158:E1158"/>
    <mergeCell ref="D1159:E1159"/>
    <mergeCell ref="D1160:E1160"/>
    <mergeCell ref="D1161:E1161"/>
    <mergeCell ref="D1186:E1186"/>
    <mergeCell ref="D1187:E1187"/>
    <mergeCell ref="D1188:E1188"/>
    <mergeCell ref="D1189:E1189"/>
    <mergeCell ref="D1190:E1190"/>
    <mergeCell ref="D1191:E1191"/>
    <mergeCell ref="D1180:E1180"/>
    <mergeCell ref="D1181:E1181"/>
    <mergeCell ref="D1182:E1182"/>
    <mergeCell ref="D1183:E1183"/>
    <mergeCell ref="D1184:E1184"/>
    <mergeCell ref="D1185:E1185"/>
    <mergeCell ref="D1174:E1174"/>
    <mergeCell ref="D1175:E1175"/>
    <mergeCell ref="D1176:E1176"/>
    <mergeCell ref="D1177:E1177"/>
    <mergeCell ref="D1178:E1178"/>
    <mergeCell ref="D1179:E1179"/>
    <mergeCell ref="D1204:E1204"/>
    <mergeCell ref="D1205:E1205"/>
    <mergeCell ref="D1206:E1206"/>
    <mergeCell ref="D1207:E1207"/>
    <mergeCell ref="D1208:E1208"/>
    <mergeCell ref="D1209:E1209"/>
    <mergeCell ref="D1198:E1198"/>
    <mergeCell ref="D1199:E1199"/>
    <mergeCell ref="D1200:E1200"/>
    <mergeCell ref="D1201:E1201"/>
    <mergeCell ref="D1202:E1202"/>
    <mergeCell ref="D1203:E1203"/>
    <mergeCell ref="D1192:E1192"/>
    <mergeCell ref="D1193:E1193"/>
    <mergeCell ref="D1194:E1194"/>
    <mergeCell ref="D1195:E1195"/>
    <mergeCell ref="D1196:E1196"/>
    <mergeCell ref="D1197:E1197"/>
    <mergeCell ref="D1222:E1222"/>
    <mergeCell ref="D1223:E1223"/>
    <mergeCell ref="D1224:E1224"/>
    <mergeCell ref="D1225:E1225"/>
    <mergeCell ref="D1226:E1226"/>
    <mergeCell ref="D1227:E1227"/>
    <mergeCell ref="D1216:E1216"/>
    <mergeCell ref="D1217:E1217"/>
    <mergeCell ref="D1218:E1218"/>
    <mergeCell ref="D1219:E1219"/>
    <mergeCell ref="D1220:E1220"/>
    <mergeCell ref="D1221:E1221"/>
    <mergeCell ref="D1210:E1210"/>
    <mergeCell ref="D1211:E1211"/>
    <mergeCell ref="D1212:E1212"/>
    <mergeCell ref="D1213:E1213"/>
    <mergeCell ref="D1214:E1214"/>
    <mergeCell ref="D1215:E1215"/>
    <mergeCell ref="D1240:E1240"/>
    <mergeCell ref="D1241:E1241"/>
    <mergeCell ref="D1242:E1242"/>
    <mergeCell ref="D1243:E1243"/>
    <mergeCell ref="D1244:E1244"/>
    <mergeCell ref="D1245:E1245"/>
    <mergeCell ref="D1234:E1234"/>
    <mergeCell ref="D1235:E1235"/>
    <mergeCell ref="D1236:E1236"/>
    <mergeCell ref="D1237:E1237"/>
    <mergeCell ref="D1238:E1238"/>
    <mergeCell ref="D1239:E1239"/>
    <mergeCell ref="D1228:E1228"/>
    <mergeCell ref="D1229:E1229"/>
    <mergeCell ref="D1230:E1230"/>
    <mergeCell ref="D1231:E1231"/>
    <mergeCell ref="D1232:E1232"/>
    <mergeCell ref="D1233:E1233"/>
    <mergeCell ref="D1258:E1258"/>
    <mergeCell ref="D1259:E1259"/>
    <mergeCell ref="D1260:E1260"/>
    <mergeCell ref="D1261:E1261"/>
    <mergeCell ref="D1262:E1262"/>
    <mergeCell ref="D1263:E1263"/>
    <mergeCell ref="D1252:E1252"/>
    <mergeCell ref="D1253:E1253"/>
    <mergeCell ref="D1254:E1254"/>
    <mergeCell ref="D1255:E1255"/>
    <mergeCell ref="D1256:E1256"/>
    <mergeCell ref="D1257:E1257"/>
    <mergeCell ref="D1246:E1246"/>
    <mergeCell ref="D1247:E1247"/>
    <mergeCell ref="D1248:E1248"/>
    <mergeCell ref="D1249:E1249"/>
    <mergeCell ref="D1250:E1250"/>
    <mergeCell ref="D1251:E1251"/>
    <mergeCell ref="D1276:E1276"/>
    <mergeCell ref="D1277:E1277"/>
    <mergeCell ref="D1278:E1278"/>
    <mergeCell ref="D1279:E1279"/>
    <mergeCell ref="D1280:E1280"/>
    <mergeCell ref="D1281:E1281"/>
    <mergeCell ref="D1270:E1270"/>
    <mergeCell ref="D1271:E1271"/>
    <mergeCell ref="D1272:E1272"/>
    <mergeCell ref="D1273:E1273"/>
    <mergeCell ref="D1274:E1274"/>
    <mergeCell ref="D1275:E1275"/>
    <mergeCell ref="D1264:E1264"/>
    <mergeCell ref="D1265:E1265"/>
    <mergeCell ref="D1266:E1266"/>
    <mergeCell ref="D1267:E1267"/>
    <mergeCell ref="D1268:E1268"/>
    <mergeCell ref="D1269:E1269"/>
    <mergeCell ref="D1294:E1294"/>
    <mergeCell ref="D1295:E1295"/>
    <mergeCell ref="D1296:E1296"/>
    <mergeCell ref="D1297:E1297"/>
    <mergeCell ref="D1298:E1298"/>
    <mergeCell ref="D1299:E1299"/>
    <mergeCell ref="D1288:E1288"/>
    <mergeCell ref="D1289:E1289"/>
    <mergeCell ref="D1290:E1290"/>
    <mergeCell ref="D1291:E1291"/>
    <mergeCell ref="D1292:E1292"/>
    <mergeCell ref="D1293:E1293"/>
    <mergeCell ref="D1282:E1282"/>
    <mergeCell ref="D1283:E1283"/>
    <mergeCell ref="D1284:E1284"/>
    <mergeCell ref="D1285:E1285"/>
    <mergeCell ref="D1286:E1286"/>
    <mergeCell ref="D1287:E1287"/>
    <mergeCell ref="D1312:E1312"/>
    <mergeCell ref="D1313:E1313"/>
    <mergeCell ref="D1314:E1314"/>
    <mergeCell ref="D1315:E1315"/>
    <mergeCell ref="D1316:E1316"/>
    <mergeCell ref="D1317:E1317"/>
    <mergeCell ref="D1306:E1306"/>
    <mergeCell ref="D1307:E1307"/>
    <mergeCell ref="D1308:E1308"/>
    <mergeCell ref="D1309:E1309"/>
    <mergeCell ref="D1310:E1310"/>
    <mergeCell ref="D1311:E1311"/>
    <mergeCell ref="D1300:E1300"/>
    <mergeCell ref="D1301:E1301"/>
    <mergeCell ref="D1302:E1302"/>
    <mergeCell ref="D1303:E1303"/>
    <mergeCell ref="D1304:E1304"/>
    <mergeCell ref="D1305:E1305"/>
    <mergeCell ref="D1330:E1330"/>
    <mergeCell ref="D1331:E1331"/>
    <mergeCell ref="D1332:E1332"/>
    <mergeCell ref="D1333:E1333"/>
    <mergeCell ref="D1334:E1334"/>
    <mergeCell ref="D1335:E1335"/>
    <mergeCell ref="D1324:E1324"/>
    <mergeCell ref="D1325:E1325"/>
    <mergeCell ref="D1326:E1326"/>
    <mergeCell ref="D1327:E1327"/>
    <mergeCell ref="D1328:E1328"/>
    <mergeCell ref="D1329:E1329"/>
    <mergeCell ref="D1318:E1318"/>
    <mergeCell ref="D1319:E1319"/>
    <mergeCell ref="D1320:E1320"/>
    <mergeCell ref="D1321:E1321"/>
    <mergeCell ref="D1322:E1322"/>
    <mergeCell ref="D1323:E1323"/>
    <mergeCell ref="D1348:E1348"/>
    <mergeCell ref="D1349:E1349"/>
    <mergeCell ref="D1350:E1350"/>
    <mergeCell ref="D1351:E1351"/>
    <mergeCell ref="D1352:E1352"/>
    <mergeCell ref="D1353:E1353"/>
    <mergeCell ref="D1342:E1342"/>
    <mergeCell ref="D1343:E1343"/>
    <mergeCell ref="D1344:E1344"/>
    <mergeCell ref="D1345:E1345"/>
    <mergeCell ref="D1346:E1346"/>
    <mergeCell ref="D1347:E1347"/>
    <mergeCell ref="D1336:E1336"/>
    <mergeCell ref="D1337:E1337"/>
    <mergeCell ref="D1338:E1338"/>
    <mergeCell ref="D1339:E1339"/>
    <mergeCell ref="D1340:E1340"/>
    <mergeCell ref="D1341:E1341"/>
    <mergeCell ref="D1366:E1366"/>
    <mergeCell ref="D1367:E1367"/>
    <mergeCell ref="D1368:E1368"/>
    <mergeCell ref="D1369:E1369"/>
    <mergeCell ref="D1370:E1370"/>
    <mergeCell ref="D1371:E1371"/>
    <mergeCell ref="D1360:E1360"/>
    <mergeCell ref="D1361:E1361"/>
    <mergeCell ref="D1362:E1362"/>
    <mergeCell ref="D1363:E1363"/>
    <mergeCell ref="D1364:E1364"/>
    <mergeCell ref="D1365:E1365"/>
    <mergeCell ref="D1354:E1354"/>
    <mergeCell ref="D1355:E1355"/>
    <mergeCell ref="D1356:E1356"/>
    <mergeCell ref="D1357:E1357"/>
    <mergeCell ref="D1358:E1358"/>
    <mergeCell ref="D1359:E1359"/>
    <mergeCell ref="D1384:E1384"/>
    <mergeCell ref="D1385:E1385"/>
    <mergeCell ref="D1386:E1386"/>
    <mergeCell ref="D1387:E1387"/>
    <mergeCell ref="D1388:E1388"/>
    <mergeCell ref="D1389:E1389"/>
    <mergeCell ref="D1378:E1378"/>
    <mergeCell ref="D1379:E1379"/>
    <mergeCell ref="D1380:E1380"/>
    <mergeCell ref="D1381:E1381"/>
    <mergeCell ref="D1382:E1382"/>
    <mergeCell ref="D1383:E1383"/>
    <mergeCell ref="D1372:E1372"/>
    <mergeCell ref="D1373:E1373"/>
    <mergeCell ref="D1374:E1374"/>
    <mergeCell ref="D1375:E1375"/>
    <mergeCell ref="D1376:E1376"/>
    <mergeCell ref="D1377:E1377"/>
    <mergeCell ref="D1402:E1402"/>
    <mergeCell ref="D1403:E1403"/>
    <mergeCell ref="D1404:E1404"/>
    <mergeCell ref="D1405:E1405"/>
    <mergeCell ref="D1406:E1406"/>
    <mergeCell ref="D1407:E1407"/>
    <mergeCell ref="D1396:E1396"/>
    <mergeCell ref="D1397:E1397"/>
    <mergeCell ref="D1398:E1398"/>
    <mergeCell ref="D1399:E1399"/>
    <mergeCell ref="D1400:E1400"/>
    <mergeCell ref="D1401:E1401"/>
    <mergeCell ref="D1390:E1390"/>
    <mergeCell ref="D1391:E1391"/>
    <mergeCell ref="D1392:E1392"/>
    <mergeCell ref="D1393:E1393"/>
    <mergeCell ref="D1394:E1394"/>
    <mergeCell ref="D1395:E1395"/>
    <mergeCell ref="D1420:E1420"/>
    <mergeCell ref="D1421:E1421"/>
    <mergeCell ref="D1422:E1422"/>
    <mergeCell ref="D1423:E1423"/>
    <mergeCell ref="D1424:E1424"/>
    <mergeCell ref="D1425:E1425"/>
    <mergeCell ref="D1414:E1414"/>
    <mergeCell ref="D1415:E1415"/>
    <mergeCell ref="D1416:E1416"/>
    <mergeCell ref="D1417:E1417"/>
    <mergeCell ref="D1418:E1418"/>
    <mergeCell ref="D1419:E1419"/>
    <mergeCell ref="D1408:E1408"/>
    <mergeCell ref="D1409:E1409"/>
    <mergeCell ref="D1410:E1410"/>
    <mergeCell ref="D1411:E1411"/>
    <mergeCell ref="D1412:E1412"/>
    <mergeCell ref="D1413:E1413"/>
    <mergeCell ref="D1438:E1438"/>
    <mergeCell ref="D1439:E1439"/>
    <mergeCell ref="D1440:E1440"/>
    <mergeCell ref="D1441:E1441"/>
    <mergeCell ref="D1442:E1442"/>
    <mergeCell ref="D1443:E1443"/>
    <mergeCell ref="D1432:E1432"/>
    <mergeCell ref="D1433:E1433"/>
    <mergeCell ref="D1434:E1434"/>
    <mergeCell ref="D1435:E1435"/>
    <mergeCell ref="D1436:E1436"/>
    <mergeCell ref="D1437:E1437"/>
    <mergeCell ref="D1426:E1426"/>
    <mergeCell ref="D1427:E1427"/>
    <mergeCell ref="D1428:E1428"/>
    <mergeCell ref="D1429:E1429"/>
    <mergeCell ref="D1430:E1430"/>
    <mergeCell ref="D1431:E1431"/>
    <mergeCell ref="D1456:E1456"/>
    <mergeCell ref="D1457:E1457"/>
    <mergeCell ref="D1458:E1458"/>
    <mergeCell ref="D1459:E1459"/>
    <mergeCell ref="D1460:E1460"/>
    <mergeCell ref="D1461:E1461"/>
    <mergeCell ref="D1450:E1450"/>
    <mergeCell ref="D1451:E1451"/>
    <mergeCell ref="D1452:E1452"/>
    <mergeCell ref="D1453:E1453"/>
    <mergeCell ref="D1454:E1454"/>
    <mergeCell ref="D1455:E1455"/>
    <mergeCell ref="D1444:E1444"/>
    <mergeCell ref="D1445:E1445"/>
    <mergeCell ref="D1446:E1446"/>
    <mergeCell ref="D1447:E1447"/>
    <mergeCell ref="D1448:E1448"/>
    <mergeCell ref="D1449:E1449"/>
    <mergeCell ref="D1474:E1474"/>
    <mergeCell ref="D1475:E1475"/>
    <mergeCell ref="D1476:E1476"/>
    <mergeCell ref="D1477:E1477"/>
    <mergeCell ref="D1478:E1478"/>
    <mergeCell ref="D1479:E1479"/>
    <mergeCell ref="D1468:E1468"/>
    <mergeCell ref="D1469:E1469"/>
    <mergeCell ref="D1470:E1470"/>
    <mergeCell ref="D1471:E1471"/>
    <mergeCell ref="D1472:E1472"/>
    <mergeCell ref="D1473:E1473"/>
    <mergeCell ref="D1462:E1462"/>
    <mergeCell ref="D1463:E1463"/>
    <mergeCell ref="D1464:E1464"/>
    <mergeCell ref="D1465:E1465"/>
    <mergeCell ref="D1466:E1466"/>
    <mergeCell ref="D1467:E1467"/>
    <mergeCell ref="D1492:E1492"/>
    <mergeCell ref="D1493:E1493"/>
    <mergeCell ref="D1494:E1494"/>
    <mergeCell ref="D1495:E1495"/>
    <mergeCell ref="D1496:E1496"/>
    <mergeCell ref="D1497:E1497"/>
    <mergeCell ref="D1486:E1486"/>
    <mergeCell ref="D1487:E1487"/>
    <mergeCell ref="D1488:E1488"/>
    <mergeCell ref="D1489:E1489"/>
    <mergeCell ref="D1490:E1490"/>
    <mergeCell ref="D1491:E1491"/>
    <mergeCell ref="D1480:E1480"/>
    <mergeCell ref="D1481:E1481"/>
    <mergeCell ref="D1482:E1482"/>
    <mergeCell ref="D1483:E1483"/>
    <mergeCell ref="D1484:E1484"/>
    <mergeCell ref="D1485:E1485"/>
    <mergeCell ref="A1518:G1518"/>
    <mergeCell ref="D1510:E1510"/>
    <mergeCell ref="D1511:E1511"/>
    <mergeCell ref="D1512:E1512"/>
    <mergeCell ref="D1513:E1513"/>
    <mergeCell ref="D1514:E1514"/>
    <mergeCell ref="D1515:E1515"/>
    <mergeCell ref="D1504:E1504"/>
    <mergeCell ref="D1505:E1505"/>
    <mergeCell ref="D1506:E1506"/>
    <mergeCell ref="D1507:E1507"/>
    <mergeCell ref="D1508:E1508"/>
    <mergeCell ref="D1509:E1509"/>
    <mergeCell ref="D1498:E1498"/>
    <mergeCell ref="D1499:E1499"/>
    <mergeCell ref="D1500:E1500"/>
    <mergeCell ref="D1501:E1501"/>
    <mergeCell ref="D1502:E1502"/>
    <mergeCell ref="D1503:E150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Hefner</dc:creator>
  <cp:keywords/>
  <dc:description/>
  <cp:lastModifiedBy>Martin Ezr</cp:lastModifiedBy>
  <cp:lastPrinted>2021-11-24T08:34:31Z</cp:lastPrinted>
  <dcterms:created xsi:type="dcterms:W3CDTF">2021-11-02T17:28:21Z</dcterms:created>
  <dcterms:modified xsi:type="dcterms:W3CDTF">2021-11-25T08:53:55Z</dcterms:modified>
  <cp:category/>
  <cp:version/>
  <cp:contentType/>
  <cp:contentStatus/>
</cp:coreProperties>
</file>