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MUCL-FS1\Data_odbory\ORMI\Podklady pro VZ\Zakázky ORMI\2022\ZŠ Speciální Jižní - pavilon E\VZD 1\"/>
    </mc:Choice>
  </mc:AlternateContent>
  <xr:revisionPtr revIDLastSave="0" documentId="13_ncr:1_{7B4967EE-9A23-4AA3-B8B9-952943A57A4C}" xr6:coauthVersionLast="47" xr6:coauthVersionMax="47" xr10:uidLastSave="{00000000-0000-0000-0000-000000000000}"/>
  <bookViews>
    <workbookView xWindow="-120" yWindow="-120" windowWidth="29040" windowHeight="15840" xr2:uid="{00000000-000D-0000-FFFF-FFFF00000000}"/>
  </bookViews>
  <sheets>
    <sheet name="Krycí list rozpočtu" sheetId="4" r:id="rId1"/>
    <sheet name="Stavební rozpočet - součet" sheetId="2" r:id="rId2"/>
    <sheet name="Stavební rozpočet" sheetId="1" r:id="rId3"/>
    <sheet name="Výkaz výměr" sheetId="3"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4" l="1"/>
  <c r="F2" i="4"/>
  <c r="C4" i="4"/>
  <c r="F4" i="4"/>
  <c r="C6" i="4"/>
  <c r="F6" i="4"/>
  <c r="C10" i="4"/>
  <c r="F10" i="4"/>
  <c r="F22" i="4"/>
  <c r="I22" i="4"/>
  <c r="K14" i="1"/>
  <c r="K13" i="1" s="1"/>
  <c r="L14" i="1"/>
  <c r="Z14" i="1"/>
  <c r="AB14" i="1"/>
  <c r="AC14" i="1"/>
  <c r="AD14" i="1"/>
  <c r="AE14" i="1"/>
  <c r="AF14" i="1"/>
  <c r="AG14" i="1"/>
  <c r="AH14" i="1"/>
  <c r="AJ14" i="1"/>
  <c r="AS13" i="1" s="1"/>
  <c r="AK14" i="1"/>
  <c r="AT13" i="1" s="1"/>
  <c r="AO14" i="1"/>
  <c r="J14" i="1" s="1"/>
  <c r="J13" i="1" s="1"/>
  <c r="AP14" i="1"/>
  <c r="AW14" i="1"/>
  <c r="AX14" i="1"/>
  <c r="BD14" i="1"/>
  <c r="BF14" i="1"/>
  <c r="BH14" i="1"/>
  <c r="BI14" i="1"/>
  <c r="BJ14" i="1"/>
  <c r="J15" i="1"/>
  <c r="L16" i="1"/>
  <c r="Z16" i="1"/>
  <c r="AC16" i="1"/>
  <c r="AD16" i="1"/>
  <c r="AE16" i="1"/>
  <c r="AF16" i="1"/>
  <c r="AG16" i="1"/>
  <c r="AH16" i="1"/>
  <c r="AJ16" i="1"/>
  <c r="AS15" i="1" s="1"/>
  <c r="AK16" i="1"/>
  <c r="AT15" i="1" s="1"/>
  <c r="AO16" i="1"/>
  <c r="J16" i="1" s="1"/>
  <c r="AP16" i="1"/>
  <c r="K16" i="1" s="1"/>
  <c r="K15" i="1" s="1"/>
  <c r="AX16" i="1"/>
  <c r="BD16" i="1"/>
  <c r="BF16" i="1"/>
  <c r="BH16" i="1"/>
  <c r="AB16" i="1" s="1"/>
  <c r="BI16" i="1"/>
  <c r="BJ16" i="1"/>
  <c r="L18" i="1"/>
  <c r="Z18" i="1"/>
  <c r="AB18" i="1"/>
  <c r="AD18" i="1"/>
  <c r="AE18" i="1"/>
  <c r="AF18" i="1"/>
  <c r="AG18" i="1"/>
  <c r="AH18" i="1"/>
  <c r="AJ18" i="1"/>
  <c r="AS17" i="1" s="1"/>
  <c r="AK18" i="1"/>
  <c r="AL18" i="1"/>
  <c r="AO18" i="1"/>
  <c r="J18" i="1" s="1"/>
  <c r="AP18" i="1"/>
  <c r="K18" i="1" s="1"/>
  <c r="BD18" i="1"/>
  <c r="BF18" i="1"/>
  <c r="BH18" i="1"/>
  <c r="BI18" i="1"/>
  <c r="AC18" i="1" s="1"/>
  <c r="BJ18" i="1"/>
  <c r="L19" i="1"/>
  <c r="AL19" i="1" s="1"/>
  <c r="Z19" i="1"/>
  <c r="AB19" i="1"/>
  <c r="AC19" i="1"/>
  <c r="AD19" i="1"/>
  <c r="AE19" i="1"/>
  <c r="AF19" i="1"/>
  <c r="AG19" i="1"/>
  <c r="AH19" i="1"/>
  <c r="AJ19" i="1"/>
  <c r="AK19" i="1"/>
  <c r="AO19" i="1"/>
  <c r="J19" i="1" s="1"/>
  <c r="AP19" i="1"/>
  <c r="K19" i="1" s="1"/>
  <c r="AX19" i="1"/>
  <c r="BD19" i="1"/>
  <c r="BF19" i="1"/>
  <c r="BH19" i="1"/>
  <c r="BI19" i="1"/>
  <c r="BJ19" i="1"/>
  <c r="K20" i="1"/>
  <c r="L20" i="1"/>
  <c r="AL20" i="1" s="1"/>
  <c r="Z20" i="1"/>
  <c r="AB20" i="1"/>
  <c r="AC20" i="1"/>
  <c r="AD20" i="1"/>
  <c r="AE20" i="1"/>
  <c r="AF20" i="1"/>
  <c r="AG20" i="1"/>
  <c r="AH20" i="1"/>
  <c r="AJ20" i="1"/>
  <c r="AK20" i="1"/>
  <c r="AO20" i="1"/>
  <c r="J20" i="1" s="1"/>
  <c r="AP20" i="1"/>
  <c r="AW20" i="1"/>
  <c r="AX20" i="1"/>
  <c r="BD20" i="1"/>
  <c r="BF20" i="1"/>
  <c r="BH20" i="1"/>
  <c r="BI20" i="1"/>
  <c r="BJ20" i="1"/>
  <c r="J21" i="1"/>
  <c r="K21" i="1"/>
  <c r="L21" i="1"/>
  <c r="AL21" i="1" s="1"/>
  <c r="Z21" i="1"/>
  <c r="AB21" i="1"/>
  <c r="AC21" i="1"/>
  <c r="AD21" i="1"/>
  <c r="AE21" i="1"/>
  <c r="AF21" i="1"/>
  <c r="AG21" i="1"/>
  <c r="AH21" i="1"/>
  <c r="AJ21" i="1"/>
  <c r="AK21" i="1"/>
  <c r="AO21" i="1"/>
  <c r="AP21" i="1"/>
  <c r="AV21" i="1"/>
  <c r="AW21" i="1"/>
  <c r="BC21" i="1" s="1"/>
  <c r="AX21" i="1"/>
  <c r="BD21" i="1"/>
  <c r="BF21" i="1"/>
  <c r="BH21" i="1"/>
  <c r="BI21" i="1"/>
  <c r="BJ21" i="1"/>
  <c r="J22" i="1"/>
  <c r="L22" i="1"/>
  <c r="AL22" i="1" s="1"/>
  <c r="Z22" i="1"/>
  <c r="AB22" i="1"/>
  <c r="AD22" i="1"/>
  <c r="AE22" i="1"/>
  <c r="AF22" i="1"/>
  <c r="AG22" i="1"/>
  <c r="AH22" i="1"/>
  <c r="AJ22" i="1"/>
  <c r="AK22" i="1"/>
  <c r="AO22" i="1"/>
  <c r="AP22" i="1"/>
  <c r="AW22" i="1"/>
  <c r="BD22" i="1"/>
  <c r="BF22" i="1"/>
  <c r="BH22" i="1"/>
  <c r="BI22" i="1"/>
  <c r="AC22" i="1" s="1"/>
  <c r="BJ22" i="1"/>
  <c r="L23" i="1"/>
  <c r="AL23" i="1" s="1"/>
  <c r="Z23" i="1"/>
  <c r="AD23" i="1"/>
  <c r="AE23" i="1"/>
  <c r="AF23" i="1"/>
  <c r="AG23" i="1"/>
  <c r="AH23" i="1"/>
  <c r="AJ23" i="1"/>
  <c r="AK23" i="1"/>
  <c r="AO23" i="1"/>
  <c r="AP23" i="1"/>
  <c r="BD23" i="1"/>
  <c r="BF23" i="1"/>
  <c r="BJ23" i="1"/>
  <c r="L24" i="1"/>
  <c r="Z24" i="1"/>
  <c r="AC24" i="1"/>
  <c r="AD24" i="1"/>
  <c r="AE24" i="1"/>
  <c r="AF24" i="1"/>
  <c r="AG24" i="1"/>
  <c r="AH24" i="1"/>
  <c r="AJ24" i="1"/>
  <c r="AK24" i="1"/>
  <c r="AL24" i="1"/>
  <c r="AO24" i="1"/>
  <c r="AP24" i="1"/>
  <c r="K24" i="1" s="1"/>
  <c r="BD24" i="1"/>
  <c r="BF24" i="1"/>
  <c r="BI24" i="1"/>
  <c r="BJ24" i="1"/>
  <c r="L26" i="1"/>
  <c r="Z26" i="1"/>
  <c r="AD26" i="1"/>
  <c r="AE26" i="1"/>
  <c r="AF26" i="1"/>
  <c r="AG26" i="1"/>
  <c r="AH26" i="1"/>
  <c r="AJ26" i="1"/>
  <c r="AK26" i="1"/>
  <c r="AO26" i="1"/>
  <c r="AP26" i="1"/>
  <c r="BD26" i="1"/>
  <c r="BF26" i="1"/>
  <c r="BH26" i="1"/>
  <c r="AB26" i="1" s="1"/>
  <c r="BI26" i="1"/>
  <c r="AC26" i="1" s="1"/>
  <c r="BJ26" i="1"/>
  <c r="L27" i="1"/>
  <c r="Z27" i="1"/>
  <c r="AC27" i="1"/>
  <c r="AD27" i="1"/>
  <c r="AE27" i="1"/>
  <c r="AF27" i="1"/>
  <c r="AG27" i="1"/>
  <c r="AH27" i="1"/>
  <c r="AJ27" i="1"/>
  <c r="AK27" i="1"/>
  <c r="AL27" i="1"/>
  <c r="AO27" i="1"/>
  <c r="BH27" i="1" s="1"/>
  <c r="AB27" i="1" s="1"/>
  <c r="AP27" i="1"/>
  <c r="K27" i="1" s="1"/>
  <c r="BD27" i="1"/>
  <c r="BF27" i="1"/>
  <c r="BI27" i="1"/>
  <c r="BJ27" i="1"/>
  <c r="L28" i="1"/>
  <c r="Z28" i="1"/>
  <c r="AB28" i="1"/>
  <c r="AC28" i="1"/>
  <c r="AD28" i="1"/>
  <c r="AE28" i="1"/>
  <c r="AF28" i="1"/>
  <c r="AG28" i="1"/>
  <c r="AH28" i="1"/>
  <c r="AJ28" i="1"/>
  <c r="AK28" i="1"/>
  <c r="AL28" i="1"/>
  <c r="AO28" i="1"/>
  <c r="J28" i="1" s="1"/>
  <c r="AP28" i="1"/>
  <c r="K28" i="1" s="1"/>
  <c r="BD28" i="1"/>
  <c r="BF28" i="1"/>
  <c r="BH28" i="1"/>
  <c r="BI28" i="1"/>
  <c r="BJ28" i="1"/>
  <c r="L29" i="1"/>
  <c r="Z29" i="1"/>
  <c r="AB29" i="1"/>
  <c r="AD29" i="1"/>
  <c r="AE29" i="1"/>
  <c r="AF29" i="1"/>
  <c r="AG29" i="1"/>
  <c r="AH29" i="1"/>
  <c r="AJ29" i="1"/>
  <c r="AK29" i="1"/>
  <c r="AT25" i="1" s="1"/>
  <c r="AL29" i="1"/>
  <c r="AO29" i="1"/>
  <c r="J29" i="1" s="1"/>
  <c r="AP29" i="1"/>
  <c r="K29" i="1" s="1"/>
  <c r="BD29" i="1"/>
  <c r="BF29" i="1"/>
  <c r="BH29" i="1"/>
  <c r="BI29" i="1"/>
  <c r="AC29" i="1" s="1"/>
  <c r="BJ29" i="1"/>
  <c r="K30" i="1"/>
  <c r="L30" i="1"/>
  <c r="AL30" i="1" s="1"/>
  <c r="Z30" i="1"/>
  <c r="AC30" i="1"/>
  <c r="AD30" i="1"/>
  <c r="AE30" i="1"/>
  <c r="AF30" i="1"/>
  <c r="AG30" i="1"/>
  <c r="AH30" i="1"/>
  <c r="AJ30" i="1"/>
  <c r="AK30" i="1"/>
  <c r="AO30" i="1"/>
  <c r="J30" i="1" s="1"/>
  <c r="AP30" i="1"/>
  <c r="AX30" i="1"/>
  <c r="BD30" i="1"/>
  <c r="BF30" i="1"/>
  <c r="BH30" i="1"/>
  <c r="AB30" i="1" s="1"/>
  <c r="BI30" i="1"/>
  <c r="BJ30" i="1"/>
  <c r="L32" i="1"/>
  <c r="Z32" i="1"/>
  <c r="AB32" i="1"/>
  <c r="AD32" i="1"/>
  <c r="AE32" i="1"/>
  <c r="AF32" i="1"/>
  <c r="AG32" i="1"/>
  <c r="AH32" i="1"/>
  <c r="AJ32" i="1"/>
  <c r="AS31" i="1" s="1"/>
  <c r="AK32" i="1"/>
  <c r="AT31" i="1" s="1"/>
  <c r="AL32" i="1"/>
  <c r="AO32" i="1"/>
  <c r="J32" i="1" s="1"/>
  <c r="AP32" i="1"/>
  <c r="K32" i="1" s="1"/>
  <c r="BD32" i="1"/>
  <c r="BF32" i="1"/>
  <c r="BH32" i="1"/>
  <c r="BI32" i="1"/>
  <c r="AC32" i="1" s="1"/>
  <c r="BJ32" i="1"/>
  <c r="L33" i="1"/>
  <c r="AL33" i="1" s="1"/>
  <c r="Z33" i="1"/>
  <c r="AC33" i="1"/>
  <c r="AD33" i="1"/>
  <c r="AE33" i="1"/>
  <c r="AF33" i="1"/>
  <c r="AG33" i="1"/>
  <c r="AH33" i="1"/>
  <c r="AJ33" i="1"/>
  <c r="AK33" i="1"/>
  <c r="AO33" i="1"/>
  <c r="J33" i="1" s="1"/>
  <c r="AP33" i="1"/>
  <c r="K33" i="1" s="1"/>
  <c r="AX33" i="1"/>
  <c r="BD33" i="1"/>
  <c r="BF33" i="1"/>
  <c r="BH33" i="1"/>
  <c r="AB33" i="1" s="1"/>
  <c r="BI33" i="1"/>
  <c r="BJ33" i="1"/>
  <c r="K34" i="1"/>
  <c r="L34" i="1"/>
  <c r="AL34" i="1" s="1"/>
  <c r="Z34" i="1"/>
  <c r="AB34" i="1"/>
  <c r="AC34" i="1"/>
  <c r="AD34" i="1"/>
  <c r="AE34" i="1"/>
  <c r="AF34" i="1"/>
  <c r="AG34" i="1"/>
  <c r="AH34" i="1"/>
  <c r="AJ34" i="1"/>
  <c r="AK34" i="1"/>
  <c r="AO34" i="1"/>
  <c r="J34" i="1" s="1"/>
  <c r="AP34" i="1"/>
  <c r="AW34" i="1"/>
  <c r="AX34" i="1"/>
  <c r="BD34" i="1"/>
  <c r="BF34" i="1"/>
  <c r="BH34" i="1"/>
  <c r="BI34" i="1"/>
  <c r="BJ34" i="1"/>
  <c r="J35" i="1"/>
  <c r="K35" i="1"/>
  <c r="L35" i="1"/>
  <c r="AL35" i="1" s="1"/>
  <c r="Z35" i="1"/>
  <c r="AB35" i="1"/>
  <c r="AD35" i="1"/>
  <c r="AE35" i="1"/>
  <c r="AF35" i="1"/>
  <c r="AG35" i="1"/>
  <c r="AH35" i="1"/>
  <c r="AJ35" i="1"/>
  <c r="AK35" i="1"/>
  <c r="AO35" i="1"/>
  <c r="AP35" i="1"/>
  <c r="AW35" i="1"/>
  <c r="BC35" i="1" s="1"/>
  <c r="AX35" i="1"/>
  <c r="BD35" i="1"/>
  <c r="BF35" i="1"/>
  <c r="BH35" i="1"/>
  <c r="BI35" i="1"/>
  <c r="AC35" i="1" s="1"/>
  <c r="BJ35" i="1"/>
  <c r="J36" i="1"/>
  <c r="L36" i="1"/>
  <c r="AL36" i="1" s="1"/>
  <c r="Z36" i="1"/>
  <c r="AD36" i="1"/>
  <c r="AE36" i="1"/>
  <c r="AF36" i="1"/>
  <c r="AG36" i="1"/>
  <c r="AH36" i="1"/>
  <c r="AJ36" i="1"/>
  <c r="AK36" i="1"/>
  <c r="AO36" i="1"/>
  <c r="AP36" i="1"/>
  <c r="AW36" i="1"/>
  <c r="BD36" i="1"/>
  <c r="BF36" i="1"/>
  <c r="BH36" i="1"/>
  <c r="AB36" i="1" s="1"/>
  <c r="BI36" i="1"/>
  <c r="AC36" i="1" s="1"/>
  <c r="BJ36" i="1"/>
  <c r="J38" i="1"/>
  <c r="K38" i="1"/>
  <c r="L38" i="1"/>
  <c r="L37" i="1" s="1"/>
  <c r="Z38" i="1"/>
  <c r="AB38" i="1"/>
  <c r="AD38" i="1"/>
  <c r="AE38" i="1"/>
  <c r="AF38" i="1"/>
  <c r="AG38" i="1"/>
  <c r="AH38" i="1"/>
  <c r="AJ38" i="1"/>
  <c r="AS37" i="1" s="1"/>
  <c r="AK38" i="1"/>
  <c r="AT37" i="1" s="1"/>
  <c r="AO38" i="1"/>
  <c r="AP38" i="1"/>
  <c r="AW38" i="1"/>
  <c r="BC38" i="1" s="1"/>
  <c r="AX38" i="1"/>
  <c r="BD38" i="1"/>
  <c r="BF38" i="1"/>
  <c r="BH38" i="1"/>
  <c r="BI38" i="1"/>
  <c r="AC38" i="1" s="1"/>
  <c r="BJ38" i="1"/>
  <c r="J39" i="1"/>
  <c r="L39" i="1"/>
  <c r="AL39" i="1" s="1"/>
  <c r="Z39" i="1"/>
  <c r="AD39" i="1"/>
  <c r="AE39" i="1"/>
  <c r="AF39" i="1"/>
  <c r="AG39" i="1"/>
  <c r="AH39" i="1"/>
  <c r="AJ39" i="1"/>
  <c r="AK39" i="1"/>
  <c r="AO39" i="1"/>
  <c r="AP39" i="1"/>
  <c r="AW39" i="1"/>
  <c r="BD39" i="1"/>
  <c r="BF39" i="1"/>
  <c r="BH39" i="1"/>
  <c r="AB39" i="1" s="1"/>
  <c r="BI39" i="1"/>
  <c r="AC39" i="1" s="1"/>
  <c r="BJ39" i="1"/>
  <c r="L40" i="1"/>
  <c r="AL40" i="1" s="1"/>
  <c r="Z40" i="1"/>
  <c r="AD40" i="1"/>
  <c r="AE40" i="1"/>
  <c r="AF40" i="1"/>
  <c r="AG40" i="1"/>
  <c r="AH40" i="1"/>
  <c r="AJ40" i="1"/>
  <c r="AK40" i="1"/>
  <c r="AO40" i="1"/>
  <c r="AP40" i="1"/>
  <c r="BD40" i="1"/>
  <c r="BF40" i="1"/>
  <c r="BH40" i="1"/>
  <c r="AB40" i="1" s="1"/>
  <c r="BJ40" i="1"/>
  <c r="AU41" i="1"/>
  <c r="J42" i="1"/>
  <c r="J41" i="1" s="1"/>
  <c r="L42" i="1"/>
  <c r="L41" i="1" s="1"/>
  <c r="Z42" i="1"/>
  <c r="AD42" i="1"/>
  <c r="AE42" i="1"/>
  <c r="AF42" i="1"/>
  <c r="AG42" i="1"/>
  <c r="AH42" i="1"/>
  <c r="AJ42" i="1"/>
  <c r="AS41" i="1" s="1"/>
  <c r="AK42" i="1"/>
  <c r="AT41" i="1" s="1"/>
  <c r="AL42" i="1"/>
  <c r="AO42" i="1"/>
  <c r="AW42" i="1" s="1"/>
  <c r="AP42" i="1"/>
  <c r="BD42" i="1"/>
  <c r="BF42" i="1"/>
  <c r="BH42" i="1"/>
  <c r="AB42" i="1" s="1"/>
  <c r="BI42" i="1"/>
  <c r="AC42" i="1" s="1"/>
  <c r="BJ42" i="1"/>
  <c r="J44" i="1"/>
  <c r="K44" i="1"/>
  <c r="L44" i="1"/>
  <c r="Z44" i="1"/>
  <c r="AD44" i="1"/>
  <c r="AE44" i="1"/>
  <c r="AF44" i="1"/>
  <c r="AG44" i="1"/>
  <c r="AH44" i="1"/>
  <c r="AJ44" i="1"/>
  <c r="AK44" i="1"/>
  <c r="AL44" i="1"/>
  <c r="AO44" i="1"/>
  <c r="AP44" i="1"/>
  <c r="AW44" i="1"/>
  <c r="AX44" i="1"/>
  <c r="BD44" i="1"/>
  <c r="BF44" i="1"/>
  <c r="BH44" i="1"/>
  <c r="AB44" i="1" s="1"/>
  <c r="BI44" i="1"/>
  <c r="AC44" i="1" s="1"/>
  <c r="BJ44" i="1"/>
  <c r="J45" i="1"/>
  <c r="L45" i="1"/>
  <c r="L43" i="1" s="1"/>
  <c r="Z45" i="1"/>
  <c r="AB45" i="1"/>
  <c r="AD45" i="1"/>
  <c r="AE45" i="1"/>
  <c r="AF45" i="1"/>
  <c r="AG45" i="1"/>
  <c r="AH45" i="1"/>
  <c r="AJ45" i="1"/>
  <c r="AK45" i="1"/>
  <c r="AL45" i="1"/>
  <c r="AO45" i="1"/>
  <c r="AP45" i="1"/>
  <c r="AW45" i="1"/>
  <c r="BD45" i="1"/>
  <c r="BF45" i="1"/>
  <c r="BH45" i="1"/>
  <c r="BI45" i="1"/>
  <c r="AC45" i="1" s="1"/>
  <c r="BJ45" i="1"/>
  <c r="L46" i="1"/>
  <c r="AL46" i="1" s="1"/>
  <c r="Z46" i="1"/>
  <c r="AD46" i="1"/>
  <c r="AE46" i="1"/>
  <c r="AF46" i="1"/>
  <c r="AG46" i="1"/>
  <c r="AH46" i="1"/>
  <c r="AJ46" i="1"/>
  <c r="AK46" i="1"/>
  <c r="AO46" i="1"/>
  <c r="BH46" i="1" s="1"/>
  <c r="AB46" i="1" s="1"/>
  <c r="AP46" i="1"/>
  <c r="BD46" i="1"/>
  <c r="BF46" i="1"/>
  <c r="BI46" i="1"/>
  <c r="AC46" i="1" s="1"/>
  <c r="BJ46" i="1"/>
  <c r="K47" i="1"/>
  <c r="L47" i="1"/>
  <c r="Z47" i="1"/>
  <c r="AC47" i="1"/>
  <c r="AD47" i="1"/>
  <c r="AE47" i="1"/>
  <c r="AF47" i="1"/>
  <c r="AG47" i="1"/>
  <c r="AH47" i="1"/>
  <c r="AJ47" i="1"/>
  <c r="AK47" i="1"/>
  <c r="AL47" i="1"/>
  <c r="AO47" i="1"/>
  <c r="AP47" i="1"/>
  <c r="AX47" i="1"/>
  <c r="BD47" i="1"/>
  <c r="BF47" i="1"/>
  <c r="BI47" i="1"/>
  <c r="BJ47" i="1"/>
  <c r="J48" i="1"/>
  <c r="K48" i="1"/>
  <c r="L48" i="1"/>
  <c r="Z48" i="1"/>
  <c r="AB48" i="1"/>
  <c r="AC48" i="1"/>
  <c r="AD48" i="1"/>
  <c r="AE48" i="1"/>
  <c r="AF48" i="1"/>
  <c r="AG48" i="1"/>
  <c r="AH48" i="1"/>
  <c r="AJ48" i="1"/>
  <c r="AK48" i="1"/>
  <c r="AL48" i="1"/>
  <c r="AO48" i="1"/>
  <c r="AP48" i="1"/>
  <c r="AW48" i="1"/>
  <c r="AV48" i="1" s="1"/>
  <c r="AX48" i="1"/>
  <c r="BD48" i="1"/>
  <c r="BF48" i="1"/>
  <c r="BH48" i="1"/>
  <c r="BI48" i="1"/>
  <c r="BJ48" i="1"/>
  <c r="L49" i="1"/>
  <c r="Z49" i="1"/>
  <c r="AB49" i="1"/>
  <c r="AD49" i="1"/>
  <c r="AE49" i="1"/>
  <c r="AF49" i="1"/>
  <c r="AG49" i="1"/>
  <c r="AH49" i="1"/>
  <c r="AJ49" i="1"/>
  <c r="AK49" i="1"/>
  <c r="AL49" i="1"/>
  <c r="AO49" i="1"/>
  <c r="J49" i="1" s="1"/>
  <c r="AP49" i="1"/>
  <c r="K49" i="1" s="1"/>
  <c r="AW49" i="1"/>
  <c r="BD49" i="1"/>
  <c r="BF49" i="1"/>
  <c r="BH49" i="1"/>
  <c r="BI49" i="1"/>
  <c r="AC49" i="1" s="1"/>
  <c r="BJ49" i="1"/>
  <c r="L50" i="1"/>
  <c r="AL50" i="1" s="1"/>
  <c r="Z50" i="1"/>
  <c r="AD50" i="1"/>
  <c r="AE50" i="1"/>
  <c r="AF50" i="1"/>
  <c r="AG50" i="1"/>
  <c r="AH50" i="1"/>
  <c r="AJ50" i="1"/>
  <c r="AK50" i="1"/>
  <c r="AO50" i="1"/>
  <c r="J50" i="1" s="1"/>
  <c r="AP50" i="1"/>
  <c r="K50" i="1" s="1"/>
  <c r="AX50" i="1"/>
  <c r="BD50" i="1"/>
  <c r="BF50" i="1"/>
  <c r="BH50" i="1"/>
  <c r="AB50" i="1" s="1"/>
  <c r="BI50" i="1"/>
  <c r="AC50" i="1" s="1"/>
  <c r="BJ50" i="1"/>
  <c r="K51" i="1"/>
  <c r="L51" i="1"/>
  <c r="AL51" i="1" s="1"/>
  <c r="Z51" i="1"/>
  <c r="AD51" i="1"/>
  <c r="AE51" i="1"/>
  <c r="AF51" i="1"/>
  <c r="AG51" i="1"/>
  <c r="AH51" i="1"/>
  <c r="AJ51" i="1"/>
  <c r="AK51" i="1"/>
  <c r="AO51" i="1"/>
  <c r="J51" i="1" s="1"/>
  <c r="AP51" i="1"/>
  <c r="AW51" i="1"/>
  <c r="AX51" i="1"/>
  <c r="BD51" i="1"/>
  <c r="BF51" i="1"/>
  <c r="BH51" i="1"/>
  <c r="AB51" i="1" s="1"/>
  <c r="BI51" i="1"/>
  <c r="AC51" i="1" s="1"/>
  <c r="BJ51" i="1"/>
  <c r="J52" i="1"/>
  <c r="K52" i="1"/>
  <c r="L52" i="1"/>
  <c r="Z52" i="1"/>
  <c r="AC52" i="1"/>
  <c r="AD52" i="1"/>
  <c r="AE52" i="1"/>
  <c r="AF52" i="1"/>
  <c r="AG52" i="1"/>
  <c r="AH52" i="1"/>
  <c r="AJ52" i="1"/>
  <c r="AK52" i="1"/>
  <c r="AL52" i="1"/>
  <c r="AO52" i="1"/>
  <c r="AP52" i="1"/>
  <c r="AW52" i="1"/>
  <c r="AX52" i="1"/>
  <c r="BD52" i="1"/>
  <c r="BF52" i="1"/>
  <c r="BH52" i="1"/>
  <c r="AB52" i="1" s="1"/>
  <c r="BI52" i="1"/>
  <c r="BJ52" i="1"/>
  <c r="J53" i="1"/>
  <c r="L53" i="1"/>
  <c r="Z53" i="1"/>
  <c r="AB53" i="1"/>
  <c r="AD53" i="1"/>
  <c r="AE53" i="1"/>
  <c r="AF53" i="1"/>
  <c r="AG53" i="1"/>
  <c r="AH53" i="1"/>
  <c r="AJ53" i="1"/>
  <c r="AK53" i="1"/>
  <c r="AL53" i="1"/>
  <c r="AO53" i="1"/>
  <c r="AP53" i="1"/>
  <c r="AW53" i="1"/>
  <c r="BD53" i="1"/>
  <c r="BF53" i="1"/>
  <c r="BH53" i="1"/>
  <c r="BI53" i="1"/>
  <c r="AC53" i="1" s="1"/>
  <c r="BJ53" i="1"/>
  <c r="L54" i="1"/>
  <c r="AL54" i="1" s="1"/>
  <c r="Z54" i="1"/>
  <c r="AD54" i="1"/>
  <c r="AE54" i="1"/>
  <c r="AF54" i="1"/>
  <c r="AG54" i="1"/>
  <c r="AH54" i="1"/>
  <c r="AJ54" i="1"/>
  <c r="AK54" i="1"/>
  <c r="AO54" i="1"/>
  <c r="BH54" i="1" s="1"/>
  <c r="AB54" i="1" s="1"/>
  <c r="AP54" i="1"/>
  <c r="BD54" i="1"/>
  <c r="BF54" i="1"/>
  <c r="BI54" i="1"/>
  <c r="AC54" i="1" s="1"/>
  <c r="BJ54" i="1"/>
  <c r="K55" i="1"/>
  <c r="L55" i="1"/>
  <c r="Z55" i="1"/>
  <c r="AC55" i="1"/>
  <c r="AD55" i="1"/>
  <c r="AE55" i="1"/>
  <c r="AF55" i="1"/>
  <c r="AG55" i="1"/>
  <c r="AH55" i="1"/>
  <c r="AJ55" i="1"/>
  <c r="AK55" i="1"/>
  <c r="AL55" i="1"/>
  <c r="AO55" i="1"/>
  <c r="AP55" i="1"/>
  <c r="AX55" i="1"/>
  <c r="BD55" i="1"/>
  <c r="BF55" i="1"/>
  <c r="BI55" i="1"/>
  <c r="BJ55" i="1"/>
  <c r="J56" i="1"/>
  <c r="L56" i="1"/>
  <c r="Z56" i="1"/>
  <c r="AB56" i="1"/>
  <c r="AC56" i="1"/>
  <c r="AD56" i="1"/>
  <c r="AE56" i="1"/>
  <c r="AF56" i="1"/>
  <c r="AG56" i="1"/>
  <c r="AH56" i="1"/>
  <c r="AJ56" i="1"/>
  <c r="AK56" i="1"/>
  <c r="AL56" i="1"/>
  <c r="AO56" i="1"/>
  <c r="AP56" i="1"/>
  <c r="K56" i="1" s="1"/>
  <c r="AW56" i="1"/>
  <c r="BC56" i="1" s="1"/>
  <c r="AX56" i="1"/>
  <c r="AV56" i="1" s="1"/>
  <c r="BD56" i="1"/>
  <c r="BF56" i="1"/>
  <c r="BH56" i="1"/>
  <c r="BI56" i="1"/>
  <c r="BJ56" i="1"/>
  <c r="K57" i="1"/>
  <c r="L57" i="1"/>
  <c r="Z57" i="1"/>
  <c r="AB57" i="1"/>
  <c r="AD57" i="1"/>
  <c r="AE57" i="1"/>
  <c r="AF57" i="1"/>
  <c r="AG57" i="1"/>
  <c r="AH57" i="1"/>
  <c r="AJ57" i="1"/>
  <c r="AK57" i="1"/>
  <c r="AL57" i="1"/>
  <c r="AO57" i="1"/>
  <c r="J57" i="1" s="1"/>
  <c r="AP57" i="1"/>
  <c r="AX57" i="1" s="1"/>
  <c r="BC57" i="1" s="1"/>
  <c r="AW57" i="1"/>
  <c r="BD57" i="1"/>
  <c r="BF57" i="1"/>
  <c r="BH57" i="1"/>
  <c r="BI57" i="1"/>
  <c r="AC57" i="1" s="1"/>
  <c r="BJ57" i="1"/>
  <c r="J58" i="1"/>
  <c r="L58" i="1"/>
  <c r="AL58" i="1" s="1"/>
  <c r="Z58" i="1"/>
  <c r="AD58" i="1"/>
  <c r="AE58" i="1"/>
  <c r="AF58" i="1"/>
  <c r="AG58" i="1"/>
  <c r="AH58" i="1"/>
  <c r="AJ58" i="1"/>
  <c r="AK58" i="1"/>
  <c r="AO58" i="1"/>
  <c r="AW58" i="1" s="1"/>
  <c r="AP58" i="1"/>
  <c r="K58" i="1" s="1"/>
  <c r="AX58" i="1"/>
  <c r="BC58" i="1"/>
  <c r="BD58" i="1"/>
  <c r="BF58" i="1"/>
  <c r="BH58" i="1"/>
  <c r="AB58" i="1" s="1"/>
  <c r="BI58" i="1"/>
  <c r="AC58" i="1" s="1"/>
  <c r="BJ58" i="1"/>
  <c r="K59" i="1"/>
  <c r="L59" i="1"/>
  <c r="AL59" i="1" s="1"/>
  <c r="Z59" i="1"/>
  <c r="AB59" i="1"/>
  <c r="AD59" i="1"/>
  <c r="AE59" i="1"/>
  <c r="AF59" i="1"/>
  <c r="AG59" i="1"/>
  <c r="AH59" i="1"/>
  <c r="AJ59" i="1"/>
  <c r="AK59" i="1"/>
  <c r="AO59" i="1"/>
  <c r="J59" i="1" s="1"/>
  <c r="AP59" i="1"/>
  <c r="AW59" i="1"/>
  <c r="AX59" i="1"/>
  <c r="BD59" i="1"/>
  <c r="BF59" i="1"/>
  <c r="BH59" i="1"/>
  <c r="BI59" i="1"/>
  <c r="AC59" i="1" s="1"/>
  <c r="BJ59" i="1"/>
  <c r="J60" i="1"/>
  <c r="K60" i="1"/>
  <c r="L60" i="1"/>
  <c r="Z60" i="1"/>
  <c r="AD60" i="1"/>
  <c r="AE60" i="1"/>
  <c r="AF60" i="1"/>
  <c r="AG60" i="1"/>
  <c r="AH60" i="1"/>
  <c r="AJ60" i="1"/>
  <c r="AK60" i="1"/>
  <c r="AL60" i="1"/>
  <c r="AO60" i="1"/>
  <c r="AP60" i="1"/>
  <c r="AV60" i="1"/>
  <c r="AW60" i="1"/>
  <c r="BC60" i="1" s="1"/>
  <c r="AX60" i="1"/>
  <c r="BD60" i="1"/>
  <c r="BF60" i="1"/>
  <c r="BH60" i="1"/>
  <c r="AB60" i="1" s="1"/>
  <c r="BI60" i="1"/>
  <c r="AC60" i="1" s="1"/>
  <c r="BJ60" i="1"/>
  <c r="J61" i="1"/>
  <c r="L61" i="1"/>
  <c r="Z61" i="1"/>
  <c r="AD61" i="1"/>
  <c r="AE61" i="1"/>
  <c r="AF61" i="1"/>
  <c r="AG61" i="1"/>
  <c r="AH61" i="1"/>
  <c r="AJ61" i="1"/>
  <c r="AK61" i="1"/>
  <c r="AL61" i="1"/>
  <c r="AO61" i="1"/>
  <c r="AP61" i="1"/>
  <c r="AW61" i="1"/>
  <c r="BD61" i="1"/>
  <c r="BF61" i="1"/>
  <c r="BH61" i="1"/>
  <c r="AB61" i="1" s="1"/>
  <c r="BI61" i="1"/>
  <c r="AC61" i="1" s="1"/>
  <c r="BJ61" i="1"/>
  <c r="J63" i="1"/>
  <c r="K63" i="1"/>
  <c r="L63" i="1"/>
  <c r="Z63" i="1"/>
  <c r="AD63" i="1"/>
  <c r="AE63" i="1"/>
  <c r="AF63" i="1"/>
  <c r="AG63" i="1"/>
  <c r="AH63" i="1"/>
  <c r="AJ63" i="1"/>
  <c r="AK63" i="1"/>
  <c r="AL63" i="1"/>
  <c r="AO63" i="1"/>
  <c r="AP63" i="1"/>
  <c r="AX63" i="1" s="1"/>
  <c r="AV63" i="1"/>
  <c r="AW63" i="1"/>
  <c r="BC63" i="1" s="1"/>
  <c r="BD63" i="1"/>
  <c r="BF63" i="1"/>
  <c r="BH63" i="1"/>
  <c r="AB63" i="1" s="1"/>
  <c r="BI63" i="1"/>
  <c r="AC63" i="1" s="1"/>
  <c r="BJ63" i="1"/>
  <c r="J64" i="1"/>
  <c r="L64" i="1"/>
  <c r="Z64" i="1"/>
  <c r="AD64" i="1"/>
  <c r="AE64" i="1"/>
  <c r="AF64" i="1"/>
  <c r="AG64" i="1"/>
  <c r="AH64" i="1"/>
  <c r="AJ64" i="1"/>
  <c r="AK64" i="1"/>
  <c r="AL64" i="1"/>
  <c r="AO64" i="1"/>
  <c r="AW64" i="1" s="1"/>
  <c r="AP64" i="1"/>
  <c r="BD64" i="1"/>
  <c r="BF64" i="1"/>
  <c r="BH64" i="1"/>
  <c r="AB64" i="1" s="1"/>
  <c r="BI64" i="1"/>
  <c r="AC64" i="1" s="1"/>
  <c r="BJ64" i="1"/>
  <c r="L65" i="1"/>
  <c r="Z65" i="1"/>
  <c r="AD65" i="1"/>
  <c r="AE65" i="1"/>
  <c r="AF65" i="1"/>
  <c r="AG65" i="1"/>
  <c r="AH65" i="1"/>
  <c r="AJ65" i="1"/>
  <c r="AK65" i="1"/>
  <c r="AL65" i="1"/>
  <c r="AO65" i="1"/>
  <c r="AP65" i="1"/>
  <c r="BD65" i="1"/>
  <c r="BF65" i="1"/>
  <c r="BH65" i="1"/>
  <c r="AB65" i="1" s="1"/>
  <c r="BJ65" i="1"/>
  <c r="L66" i="1"/>
  <c r="Z66" i="1"/>
  <c r="AC66" i="1"/>
  <c r="AD66" i="1"/>
  <c r="AE66" i="1"/>
  <c r="AF66" i="1"/>
  <c r="AG66" i="1"/>
  <c r="AH66" i="1"/>
  <c r="AJ66" i="1"/>
  <c r="AK66" i="1"/>
  <c r="AL66" i="1"/>
  <c r="AO66" i="1"/>
  <c r="AP66" i="1"/>
  <c r="K66" i="1" s="1"/>
  <c r="AX66" i="1"/>
  <c r="BD66" i="1"/>
  <c r="BF66" i="1"/>
  <c r="BI66" i="1"/>
  <c r="BJ66" i="1"/>
  <c r="L67" i="1"/>
  <c r="Z67" i="1"/>
  <c r="AB67" i="1"/>
  <c r="AC67" i="1"/>
  <c r="AD67" i="1"/>
  <c r="AE67" i="1"/>
  <c r="AF67" i="1"/>
  <c r="AG67" i="1"/>
  <c r="AH67" i="1"/>
  <c r="AJ67" i="1"/>
  <c r="AK67" i="1"/>
  <c r="AL67" i="1"/>
  <c r="AO67" i="1"/>
  <c r="J67" i="1" s="1"/>
  <c r="AP67" i="1"/>
  <c r="K67" i="1" s="1"/>
  <c r="AW67" i="1"/>
  <c r="AX67" i="1"/>
  <c r="AV67" i="1" s="1"/>
  <c r="BD67" i="1"/>
  <c r="BF67" i="1"/>
  <c r="BH67" i="1"/>
  <c r="BI67" i="1"/>
  <c r="BJ67" i="1"/>
  <c r="K68" i="1"/>
  <c r="L68" i="1"/>
  <c r="Z68" i="1"/>
  <c r="AB68" i="1"/>
  <c r="AD68" i="1"/>
  <c r="AE68" i="1"/>
  <c r="AF68" i="1"/>
  <c r="AG68" i="1"/>
  <c r="AH68" i="1"/>
  <c r="AJ68" i="1"/>
  <c r="AK68" i="1"/>
  <c r="AL68" i="1"/>
  <c r="AO68" i="1"/>
  <c r="J68" i="1" s="1"/>
  <c r="AP68" i="1"/>
  <c r="AX68" i="1" s="1"/>
  <c r="BC68" i="1" s="1"/>
  <c r="AW68" i="1"/>
  <c r="BD68" i="1"/>
  <c r="BF68" i="1"/>
  <c r="BH68" i="1"/>
  <c r="BI68" i="1"/>
  <c r="AC68" i="1" s="1"/>
  <c r="BJ68" i="1"/>
  <c r="L69" i="1"/>
  <c r="AL69" i="1" s="1"/>
  <c r="Z69" i="1"/>
  <c r="AD69" i="1"/>
  <c r="AE69" i="1"/>
  <c r="AF69" i="1"/>
  <c r="AG69" i="1"/>
  <c r="AH69" i="1"/>
  <c r="AJ69" i="1"/>
  <c r="AK69" i="1"/>
  <c r="AO69" i="1"/>
  <c r="J69" i="1" s="1"/>
  <c r="AP69" i="1"/>
  <c r="K69" i="1" s="1"/>
  <c r="AX69" i="1"/>
  <c r="BD69" i="1"/>
  <c r="BF69" i="1"/>
  <c r="BH69" i="1"/>
  <c r="AB69" i="1" s="1"/>
  <c r="BI69" i="1"/>
  <c r="AC69" i="1" s="1"/>
  <c r="BJ69" i="1"/>
  <c r="K70" i="1"/>
  <c r="L70" i="1"/>
  <c r="AL70" i="1" s="1"/>
  <c r="Z70" i="1"/>
  <c r="AB70" i="1"/>
  <c r="AD70" i="1"/>
  <c r="AE70" i="1"/>
  <c r="AF70" i="1"/>
  <c r="AG70" i="1"/>
  <c r="AH70" i="1"/>
  <c r="AJ70" i="1"/>
  <c r="AK70" i="1"/>
  <c r="AO70" i="1"/>
  <c r="J70" i="1" s="1"/>
  <c r="AP70" i="1"/>
  <c r="AW70" i="1"/>
  <c r="AX70" i="1"/>
  <c r="BD70" i="1"/>
  <c r="BF70" i="1"/>
  <c r="BH70" i="1"/>
  <c r="BI70" i="1"/>
  <c r="AC70" i="1" s="1"/>
  <c r="BJ70" i="1"/>
  <c r="J71" i="1"/>
  <c r="K71" i="1"/>
  <c r="L71" i="1"/>
  <c r="Z71" i="1"/>
  <c r="AD71" i="1"/>
  <c r="AE71" i="1"/>
  <c r="AF71" i="1"/>
  <c r="AG71" i="1"/>
  <c r="AH71" i="1"/>
  <c r="AJ71" i="1"/>
  <c r="AK71" i="1"/>
  <c r="AL71" i="1"/>
  <c r="AO71" i="1"/>
  <c r="AP71" i="1"/>
  <c r="AW71" i="1"/>
  <c r="BC71" i="1" s="1"/>
  <c r="AX71" i="1"/>
  <c r="BD71" i="1"/>
  <c r="BF71" i="1"/>
  <c r="BH71" i="1"/>
  <c r="AB71" i="1" s="1"/>
  <c r="BI71" i="1"/>
  <c r="AC71" i="1" s="1"/>
  <c r="BJ71" i="1"/>
  <c r="J72" i="1"/>
  <c r="L72" i="1"/>
  <c r="Z72" i="1"/>
  <c r="AD72" i="1"/>
  <c r="AE72" i="1"/>
  <c r="AF72" i="1"/>
  <c r="AG72" i="1"/>
  <c r="AH72" i="1"/>
  <c r="AJ72" i="1"/>
  <c r="AK72" i="1"/>
  <c r="AL72" i="1"/>
  <c r="AO72" i="1"/>
  <c r="AP72" i="1"/>
  <c r="AW72" i="1"/>
  <c r="BD72" i="1"/>
  <c r="BF72" i="1"/>
  <c r="BH72" i="1"/>
  <c r="AB72" i="1" s="1"/>
  <c r="BI72" i="1"/>
  <c r="AC72" i="1" s="1"/>
  <c r="BJ72" i="1"/>
  <c r="L73" i="1"/>
  <c r="AL73" i="1" s="1"/>
  <c r="Z73" i="1"/>
  <c r="AD73" i="1"/>
  <c r="AE73" i="1"/>
  <c r="AF73" i="1"/>
  <c r="AG73" i="1"/>
  <c r="AH73" i="1"/>
  <c r="AJ73" i="1"/>
  <c r="AK73" i="1"/>
  <c r="AO73" i="1"/>
  <c r="AP73" i="1"/>
  <c r="BD73" i="1"/>
  <c r="BF73" i="1"/>
  <c r="BH73" i="1"/>
  <c r="AB73" i="1" s="1"/>
  <c r="BI73" i="1"/>
  <c r="AC73" i="1" s="1"/>
  <c r="BJ73" i="1"/>
  <c r="L74" i="1"/>
  <c r="Z74" i="1"/>
  <c r="AC74" i="1"/>
  <c r="AD74" i="1"/>
  <c r="AE74" i="1"/>
  <c r="AF74" i="1"/>
  <c r="AG74" i="1"/>
  <c r="AH74" i="1"/>
  <c r="AJ74" i="1"/>
  <c r="AK74" i="1"/>
  <c r="AL74" i="1"/>
  <c r="AO74" i="1"/>
  <c r="BH74" i="1" s="1"/>
  <c r="AB74" i="1" s="1"/>
  <c r="AP74" i="1"/>
  <c r="K74" i="1" s="1"/>
  <c r="BD74" i="1"/>
  <c r="BF74" i="1"/>
  <c r="BI74" i="1"/>
  <c r="BJ74" i="1"/>
  <c r="L75" i="1"/>
  <c r="Z75" i="1"/>
  <c r="AB75" i="1"/>
  <c r="AC75" i="1"/>
  <c r="AD75" i="1"/>
  <c r="AE75" i="1"/>
  <c r="AF75" i="1"/>
  <c r="AG75" i="1"/>
  <c r="AH75" i="1"/>
  <c r="AJ75" i="1"/>
  <c r="AK75" i="1"/>
  <c r="AL75" i="1"/>
  <c r="AO75" i="1"/>
  <c r="J75" i="1" s="1"/>
  <c r="AP75" i="1"/>
  <c r="K75" i="1" s="1"/>
  <c r="AW75" i="1"/>
  <c r="AX75" i="1"/>
  <c r="AV75" i="1" s="1"/>
  <c r="BD75" i="1"/>
  <c r="BF75" i="1"/>
  <c r="BH75" i="1"/>
  <c r="BI75" i="1"/>
  <c r="BJ75" i="1"/>
  <c r="L76" i="1"/>
  <c r="Z76" i="1"/>
  <c r="AB76" i="1"/>
  <c r="AD76" i="1"/>
  <c r="AE76" i="1"/>
  <c r="AF76" i="1"/>
  <c r="AG76" i="1"/>
  <c r="AH76" i="1"/>
  <c r="AJ76" i="1"/>
  <c r="AK76" i="1"/>
  <c r="AL76" i="1"/>
  <c r="AO76" i="1"/>
  <c r="J76" i="1" s="1"/>
  <c r="AP76" i="1"/>
  <c r="K76" i="1" s="1"/>
  <c r="AW76" i="1"/>
  <c r="BD76" i="1"/>
  <c r="BF76" i="1"/>
  <c r="BH76" i="1"/>
  <c r="BI76" i="1"/>
  <c r="AC76" i="1" s="1"/>
  <c r="BJ76" i="1"/>
  <c r="L77" i="1"/>
  <c r="AS77" i="1"/>
  <c r="L78" i="1"/>
  <c r="Z78" i="1"/>
  <c r="AB78" i="1"/>
  <c r="AC78" i="1"/>
  <c r="AD78" i="1"/>
  <c r="AE78" i="1"/>
  <c r="AF78" i="1"/>
  <c r="AG78" i="1"/>
  <c r="AH78" i="1"/>
  <c r="AJ78" i="1"/>
  <c r="AK78" i="1"/>
  <c r="AT77" i="1" s="1"/>
  <c r="AL78" i="1"/>
  <c r="AU77" i="1" s="1"/>
  <c r="AO78" i="1"/>
  <c r="J78" i="1" s="1"/>
  <c r="J77" i="1" s="1"/>
  <c r="AP78" i="1"/>
  <c r="K78" i="1" s="1"/>
  <c r="K77" i="1" s="1"/>
  <c r="AX78" i="1"/>
  <c r="BD78" i="1"/>
  <c r="BF78" i="1"/>
  <c r="BH78" i="1"/>
  <c r="BI78" i="1"/>
  <c r="BJ78" i="1"/>
  <c r="L80" i="1"/>
  <c r="Z80" i="1"/>
  <c r="AC80" i="1"/>
  <c r="AD80" i="1"/>
  <c r="AE80" i="1"/>
  <c r="AF80" i="1"/>
  <c r="AG80" i="1"/>
  <c r="AH80" i="1"/>
  <c r="AJ80" i="1"/>
  <c r="AK80" i="1"/>
  <c r="AL80" i="1"/>
  <c r="AO80" i="1"/>
  <c r="AP80" i="1"/>
  <c r="K80" i="1" s="1"/>
  <c r="BD80" i="1"/>
  <c r="BF80" i="1"/>
  <c r="BI80" i="1"/>
  <c r="BJ80" i="1"/>
  <c r="L81" i="1"/>
  <c r="Z81" i="1"/>
  <c r="AB81" i="1"/>
  <c r="AC81" i="1"/>
  <c r="AD81" i="1"/>
  <c r="AE81" i="1"/>
  <c r="AF81" i="1"/>
  <c r="AG81" i="1"/>
  <c r="AH81" i="1"/>
  <c r="AJ81" i="1"/>
  <c r="AK81" i="1"/>
  <c r="AT79" i="1" s="1"/>
  <c r="AL81" i="1"/>
  <c r="AO81" i="1"/>
  <c r="J81" i="1" s="1"/>
  <c r="AP81" i="1"/>
  <c r="K81" i="1" s="1"/>
  <c r="AW81" i="1"/>
  <c r="AV81" i="1" s="1"/>
  <c r="AX81" i="1"/>
  <c r="BC81" i="1" s="1"/>
  <c r="BD81" i="1"/>
  <c r="BF81" i="1"/>
  <c r="BH81" i="1"/>
  <c r="BI81" i="1"/>
  <c r="BJ81" i="1"/>
  <c r="K82" i="1"/>
  <c r="L82" i="1"/>
  <c r="Z82" i="1"/>
  <c r="AB82" i="1"/>
  <c r="AD82" i="1"/>
  <c r="AE82" i="1"/>
  <c r="AF82" i="1"/>
  <c r="AG82" i="1"/>
  <c r="AH82" i="1"/>
  <c r="AJ82" i="1"/>
  <c r="AK82" i="1"/>
  <c r="AL82" i="1"/>
  <c r="AO82" i="1"/>
  <c r="J82" i="1" s="1"/>
  <c r="AP82" i="1"/>
  <c r="AW82" i="1"/>
  <c r="AV82" i="1" s="1"/>
  <c r="AX82" i="1"/>
  <c r="BC82" i="1"/>
  <c r="BD82" i="1"/>
  <c r="BF82" i="1"/>
  <c r="BH82" i="1"/>
  <c r="BI82" i="1"/>
  <c r="AC82" i="1" s="1"/>
  <c r="BJ82" i="1"/>
  <c r="J83" i="1"/>
  <c r="L83" i="1"/>
  <c r="AL83" i="1" s="1"/>
  <c r="Z83" i="1"/>
  <c r="AC83" i="1"/>
  <c r="AD83" i="1"/>
  <c r="AE83" i="1"/>
  <c r="AF83" i="1"/>
  <c r="AG83" i="1"/>
  <c r="AH83" i="1"/>
  <c r="AJ83" i="1"/>
  <c r="AS79" i="1" s="1"/>
  <c r="AK83" i="1"/>
  <c r="AO83" i="1"/>
  <c r="AP83" i="1"/>
  <c r="K83" i="1" s="1"/>
  <c r="AW83" i="1"/>
  <c r="AX83" i="1"/>
  <c r="BD83" i="1"/>
  <c r="BF83" i="1"/>
  <c r="BH83" i="1"/>
  <c r="AB83" i="1" s="1"/>
  <c r="BI83" i="1"/>
  <c r="BJ83" i="1"/>
  <c r="K84" i="1"/>
  <c r="L84" i="1"/>
  <c r="AL84" i="1" s="1"/>
  <c r="Z84" i="1"/>
  <c r="AB84" i="1"/>
  <c r="AD84" i="1"/>
  <c r="AE84" i="1"/>
  <c r="AF84" i="1"/>
  <c r="AG84" i="1"/>
  <c r="AH84" i="1"/>
  <c r="AJ84" i="1"/>
  <c r="AK84" i="1"/>
  <c r="AO84" i="1"/>
  <c r="J84" i="1" s="1"/>
  <c r="AP84" i="1"/>
  <c r="AW84" i="1"/>
  <c r="AX84" i="1"/>
  <c r="BD84" i="1"/>
  <c r="BF84" i="1"/>
  <c r="BH84" i="1"/>
  <c r="BI84" i="1"/>
  <c r="AC84" i="1" s="1"/>
  <c r="BJ84" i="1"/>
  <c r="L86" i="1"/>
  <c r="Z86" i="1"/>
  <c r="AC86" i="1"/>
  <c r="AD86" i="1"/>
  <c r="AE86" i="1"/>
  <c r="AF86" i="1"/>
  <c r="AG86" i="1"/>
  <c r="AH86" i="1"/>
  <c r="AJ86" i="1"/>
  <c r="AK86" i="1"/>
  <c r="AO86" i="1"/>
  <c r="J86" i="1" s="1"/>
  <c r="AP86" i="1"/>
  <c r="K86" i="1" s="1"/>
  <c r="AX86" i="1"/>
  <c r="BD86" i="1"/>
  <c r="BF86" i="1"/>
  <c r="BH86" i="1"/>
  <c r="AB86" i="1" s="1"/>
  <c r="BI86" i="1"/>
  <c r="BJ86" i="1"/>
  <c r="K87" i="1"/>
  <c r="L87" i="1"/>
  <c r="AL87" i="1" s="1"/>
  <c r="Z87" i="1"/>
  <c r="AB87" i="1"/>
  <c r="AD87" i="1"/>
  <c r="AE87" i="1"/>
  <c r="AF87" i="1"/>
  <c r="AG87" i="1"/>
  <c r="AH87" i="1"/>
  <c r="AJ87" i="1"/>
  <c r="AK87" i="1"/>
  <c r="AO87" i="1"/>
  <c r="J87" i="1" s="1"/>
  <c r="AP87" i="1"/>
  <c r="AW87" i="1"/>
  <c r="AX87" i="1"/>
  <c r="BD87" i="1"/>
  <c r="BF87" i="1"/>
  <c r="BH87" i="1"/>
  <c r="BI87" i="1"/>
  <c r="AC87" i="1" s="1"/>
  <c r="BJ87" i="1"/>
  <c r="J88" i="1"/>
  <c r="K88" i="1"/>
  <c r="L88" i="1"/>
  <c r="AL88" i="1" s="1"/>
  <c r="Z88" i="1"/>
  <c r="AD88" i="1"/>
  <c r="AE88" i="1"/>
  <c r="AF88" i="1"/>
  <c r="AG88" i="1"/>
  <c r="AH88" i="1"/>
  <c r="AJ88" i="1"/>
  <c r="AK88" i="1"/>
  <c r="AO88" i="1"/>
  <c r="AP88" i="1"/>
  <c r="AW88" i="1"/>
  <c r="BC88" i="1" s="1"/>
  <c r="AX88" i="1"/>
  <c r="BD88" i="1"/>
  <c r="BF88" i="1"/>
  <c r="BH88" i="1"/>
  <c r="AB88" i="1" s="1"/>
  <c r="BI88" i="1"/>
  <c r="AC88" i="1" s="1"/>
  <c r="BJ88" i="1"/>
  <c r="J89" i="1"/>
  <c r="L89" i="1"/>
  <c r="AL89" i="1" s="1"/>
  <c r="Z89" i="1"/>
  <c r="AD89" i="1"/>
  <c r="AE89" i="1"/>
  <c r="AF89" i="1"/>
  <c r="AG89" i="1"/>
  <c r="AH89" i="1"/>
  <c r="AJ89" i="1"/>
  <c r="AK89" i="1"/>
  <c r="AO89" i="1"/>
  <c r="AP89" i="1"/>
  <c r="AW89" i="1"/>
  <c r="BD89" i="1"/>
  <c r="BF89" i="1"/>
  <c r="BH89" i="1"/>
  <c r="AB89" i="1" s="1"/>
  <c r="BI89" i="1"/>
  <c r="AC89" i="1" s="1"/>
  <c r="BJ89" i="1"/>
  <c r="L90" i="1"/>
  <c r="Z90" i="1"/>
  <c r="AD90" i="1"/>
  <c r="AE90" i="1"/>
  <c r="AF90" i="1"/>
  <c r="AG90" i="1"/>
  <c r="AH90" i="1"/>
  <c r="AJ90" i="1"/>
  <c r="AK90" i="1"/>
  <c r="AL90" i="1"/>
  <c r="AO90" i="1"/>
  <c r="AP90" i="1"/>
  <c r="BD90" i="1"/>
  <c r="BF90" i="1"/>
  <c r="BH90" i="1"/>
  <c r="AB90" i="1" s="1"/>
  <c r="BJ90" i="1"/>
  <c r="L91" i="1"/>
  <c r="Z91" i="1"/>
  <c r="AC91" i="1"/>
  <c r="AD91" i="1"/>
  <c r="AE91" i="1"/>
  <c r="AF91" i="1"/>
  <c r="AG91" i="1"/>
  <c r="AH91" i="1"/>
  <c r="AJ91" i="1"/>
  <c r="AK91" i="1"/>
  <c r="AL91" i="1"/>
  <c r="AO91" i="1"/>
  <c r="AP91" i="1"/>
  <c r="K91" i="1" s="1"/>
  <c r="BD91" i="1"/>
  <c r="BF91" i="1"/>
  <c r="BI91" i="1"/>
  <c r="BJ91" i="1"/>
  <c r="L92" i="1"/>
  <c r="Z92" i="1"/>
  <c r="AB92" i="1"/>
  <c r="AC92" i="1"/>
  <c r="AD92" i="1"/>
  <c r="AE92" i="1"/>
  <c r="AF92" i="1"/>
  <c r="AG92" i="1"/>
  <c r="AH92" i="1"/>
  <c r="AJ92" i="1"/>
  <c r="AK92" i="1"/>
  <c r="AL92" i="1"/>
  <c r="AO92" i="1"/>
  <c r="J92" i="1" s="1"/>
  <c r="AP92" i="1"/>
  <c r="K92" i="1" s="1"/>
  <c r="AX92" i="1"/>
  <c r="BD92" i="1"/>
  <c r="BF92" i="1"/>
  <c r="BH92" i="1"/>
  <c r="BI92" i="1"/>
  <c r="BJ92" i="1"/>
  <c r="L93" i="1"/>
  <c r="Z93" i="1"/>
  <c r="AB93" i="1"/>
  <c r="AD93" i="1"/>
  <c r="AE93" i="1"/>
  <c r="AF93" i="1"/>
  <c r="AG93" i="1"/>
  <c r="AH93" i="1"/>
  <c r="AJ93" i="1"/>
  <c r="AK93" i="1"/>
  <c r="AL93" i="1"/>
  <c r="AO93" i="1"/>
  <c r="J93" i="1" s="1"/>
  <c r="AP93" i="1"/>
  <c r="K93" i="1" s="1"/>
  <c r="AW93" i="1"/>
  <c r="AV93" i="1" s="1"/>
  <c r="AX93" i="1"/>
  <c r="BC93" i="1"/>
  <c r="BD93" i="1"/>
  <c r="BF93" i="1"/>
  <c r="BH93" i="1"/>
  <c r="BI93" i="1"/>
  <c r="AC93" i="1" s="1"/>
  <c r="BJ93" i="1"/>
  <c r="J94" i="1"/>
  <c r="K94" i="1"/>
  <c r="L94" i="1"/>
  <c r="AL94" i="1" s="1"/>
  <c r="Z94" i="1"/>
  <c r="AC94" i="1"/>
  <c r="AD94" i="1"/>
  <c r="AE94" i="1"/>
  <c r="AF94" i="1"/>
  <c r="AG94" i="1"/>
  <c r="AH94" i="1"/>
  <c r="AJ94" i="1"/>
  <c r="AK94" i="1"/>
  <c r="AO94" i="1"/>
  <c r="AP94" i="1"/>
  <c r="AW94" i="1"/>
  <c r="AX94" i="1"/>
  <c r="BC94" i="1"/>
  <c r="BD94" i="1"/>
  <c r="BF94" i="1"/>
  <c r="BH94" i="1"/>
  <c r="AB94" i="1" s="1"/>
  <c r="BI94" i="1"/>
  <c r="BJ94" i="1"/>
  <c r="J95" i="1"/>
  <c r="K95" i="1"/>
  <c r="L95" i="1"/>
  <c r="AL95" i="1" s="1"/>
  <c r="Z95" i="1"/>
  <c r="AB95" i="1"/>
  <c r="AD95" i="1"/>
  <c r="AE95" i="1"/>
  <c r="AF95" i="1"/>
  <c r="AG95" i="1"/>
  <c r="AH95" i="1"/>
  <c r="AJ95" i="1"/>
  <c r="AK95" i="1"/>
  <c r="AO95" i="1"/>
  <c r="AP95" i="1"/>
  <c r="AW95" i="1"/>
  <c r="AX95" i="1"/>
  <c r="BD95" i="1"/>
  <c r="BF95" i="1"/>
  <c r="BH95" i="1"/>
  <c r="BI95" i="1"/>
  <c r="AC95" i="1" s="1"/>
  <c r="BJ95" i="1"/>
  <c r="J96" i="1"/>
  <c r="K96" i="1"/>
  <c r="L96" i="1"/>
  <c r="AL96" i="1" s="1"/>
  <c r="Z96" i="1"/>
  <c r="AD96" i="1"/>
  <c r="AE96" i="1"/>
  <c r="AF96" i="1"/>
  <c r="AG96" i="1"/>
  <c r="AH96" i="1"/>
  <c r="AJ96" i="1"/>
  <c r="AK96" i="1"/>
  <c r="AO96" i="1"/>
  <c r="AP96" i="1"/>
  <c r="AV96" i="1"/>
  <c r="AW96" i="1"/>
  <c r="AX96" i="1"/>
  <c r="BD96" i="1"/>
  <c r="BF96" i="1"/>
  <c r="BH96" i="1"/>
  <c r="AB96" i="1" s="1"/>
  <c r="BI96" i="1"/>
  <c r="AC96" i="1" s="1"/>
  <c r="BJ96" i="1"/>
  <c r="J97" i="1"/>
  <c r="L97" i="1"/>
  <c r="Z97" i="1"/>
  <c r="AD97" i="1"/>
  <c r="AE97" i="1"/>
  <c r="AF97" i="1"/>
  <c r="AG97" i="1"/>
  <c r="AH97" i="1"/>
  <c r="AJ97" i="1"/>
  <c r="AK97" i="1"/>
  <c r="AL97" i="1"/>
  <c r="AO97" i="1"/>
  <c r="AP97" i="1"/>
  <c r="AX97" i="1" s="1"/>
  <c r="AW97" i="1"/>
  <c r="BC97" i="1" s="1"/>
  <c r="BD97" i="1"/>
  <c r="BF97" i="1"/>
  <c r="BH97" i="1"/>
  <c r="AB97" i="1" s="1"/>
  <c r="BI97" i="1"/>
  <c r="AC97" i="1" s="1"/>
  <c r="BJ97" i="1"/>
  <c r="L98" i="1"/>
  <c r="Z98" i="1"/>
  <c r="AD98" i="1"/>
  <c r="AE98" i="1"/>
  <c r="AF98" i="1"/>
  <c r="AG98" i="1"/>
  <c r="AH98" i="1"/>
  <c r="AJ98" i="1"/>
  <c r="AK98" i="1"/>
  <c r="AL98" i="1"/>
  <c r="AO98" i="1"/>
  <c r="AP98" i="1"/>
  <c r="BD98" i="1"/>
  <c r="BF98" i="1"/>
  <c r="BI98" i="1"/>
  <c r="AC98" i="1" s="1"/>
  <c r="BJ98" i="1"/>
  <c r="L99" i="1"/>
  <c r="Z99" i="1"/>
  <c r="AD99" i="1"/>
  <c r="AE99" i="1"/>
  <c r="AF99" i="1"/>
  <c r="AG99" i="1"/>
  <c r="AH99" i="1"/>
  <c r="AJ99" i="1"/>
  <c r="AK99" i="1"/>
  <c r="AL99" i="1"/>
  <c r="AO99" i="1"/>
  <c r="BH99" i="1" s="1"/>
  <c r="AB99" i="1" s="1"/>
  <c r="AP99" i="1"/>
  <c r="BD99" i="1"/>
  <c r="BF99" i="1"/>
  <c r="BI99" i="1"/>
  <c r="AC99" i="1" s="1"/>
  <c r="BJ99" i="1"/>
  <c r="L100" i="1"/>
  <c r="Z100" i="1"/>
  <c r="AB100" i="1"/>
  <c r="AD100" i="1"/>
  <c r="AE100" i="1"/>
  <c r="AF100" i="1"/>
  <c r="AG100" i="1"/>
  <c r="AH100" i="1"/>
  <c r="AJ100" i="1"/>
  <c r="AK100" i="1"/>
  <c r="AL100" i="1"/>
  <c r="AO100" i="1"/>
  <c r="J100" i="1" s="1"/>
  <c r="AP100" i="1"/>
  <c r="K100" i="1" s="1"/>
  <c r="BD100" i="1"/>
  <c r="BF100" i="1"/>
  <c r="BH100" i="1"/>
  <c r="BI100" i="1"/>
  <c r="AC100" i="1" s="1"/>
  <c r="BJ100" i="1"/>
  <c r="K101" i="1"/>
  <c r="L101" i="1"/>
  <c r="AL101" i="1" s="1"/>
  <c r="Z101" i="1"/>
  <c r="AC101" i="1"/>
  <c r="AD101" i="1"/>
  <c r="AE101" i="1"/>
  <c r="AF101" i="1"/>
  <c r="AG101" i="1"/>
  <c r="AH101" i="1"/>
  <c r="AJ101" i="1"/>
  <c r="AK101" i="1"/>
  <c r="AO101" i="1"/>
  <c r="J101" i="1" s="1"/>
  <c r="AP101" i="1"/>
  <c r="AX101" i="1"/>
  <c r="BD101" i="1"/>
  <c r="BF101" i="1"/>
  <c r="BH101" i="1"/>
  <c r="AB101" i="1" s="1"/>
  <c r="BI101" i="1"/>
  <c r="BJ101" i="1"/>
  <c r="J102" i="1"/>
  <c r="K102" i="1"/>
  <c r="L102" i="1"/>
  <c r="AL102" i="1" s="1"/>
  <c r="Z102" i="1"/>
  <c r="AB102" i="1"/>
  <c r="AC102" i="1"/>
  <c r="AD102" i="1"/>
  <c r="AE102" i="1"/>
  <c r="AF102" i="1"/>
  <c r="AG102" i="1"/>
  <c r="AH102" i="1"/>
  <c r="AJ102" i="1"/>
  <c r="AK102" i="1"/>
  <c r="AO102" i="1"/>
  <c r="AP102" i="1"/>
  <c r="AW102" i="1"/>
  <c r="AX102" i="1"/>
  <c r="BD102" i="1"/>
  <c r="BF102" i="1"/>
  <c r="BH102" i="1"/>
  <c r="BI102" i="1"/>
  <c r="BJ102" i="1"/>
  <c r="J103" i="1"/>
  <c r="K103" i="1"/>
  <c r="L103" i="1"/>
  <c r="AL103" i="1" s="1"/>
  <c r="Z103" i="1"/>
  <c r="AB103" i="1"/>
  <c r="AD103" i="1"/>
  <c r="AE103" i="1"/>
  <c r="AF103" i="1"/>
  <c r="AG103" i="1"/>
  <c r="AH103" i="1"/>
  <c r="AJ103" i="1"/>
  <c r="AK103" i="1"/>
  <c r="AO103" i="1"/>
  <c r="AP103" i="1"/>
  <c r="AW103" i="1"/>
  <c r="AX103" i="1"/>
  <c r="BD103" i="1"/>
  <c r="BF103" i="1"/>
  <c r="BH103" i="1"/>
  <c r="BI103" i="1"/>
  <c r="AC103" i="1" s="1"/>
  <c r="BJ103" i="1"/>
  <c r="J104" i="1"/>
  <c r="AS104" i="1"/>
  <c r="J105" i="1"/>
  <c r="K105" i="1"/>
  <c r="K104" i="1" s="1"/>
  <c r="L105" i="1"/>
  <c r="Z105" i="1"/>
  <c r="AB105" i="1"/>
  <c r="AC105" i="1"/>
  <c r="AD105" i="1"/>
  <c r="AE105" i="1"/>
  <c r="AF105" i="1"/>
  <c r="AG105" i="1"/>
  <c r="AH105" i="1"/>
  <c r="AJ105" i="1"/>
  <c r="AK105" i="1"/>
  <c r="AT104" i="1" s="1"/>
  <c r="AO105" i="1"/>
  <c r="AP105" i="1"/>
  <c r="AW105" i="1"/>
  <c r="AV105" i="1" s="1"/>
  <c r="AX105" i="1"/>
  <c r="BD105" i="1"/>
  <c r="BF105" i="1"/>
  <c r="BH105" i="1"/>
  <c r="BI105" i="1"/>
  <c r="BJ105" i="1"/>
  <c r="K106" i="1"/>
  <c r="AT106" i="1"/>
  <c r="K107" i="1"/>
  <c r="L107" i="1"/>
  <c r="L106" i="1" s="1"/>
  <c r="Z107" i="1"/>
  <c r="AC107" i="1"/>
  <c r="AD107" i="1"/>
  <c r="AE107" i="1"/>
  <c r="AF107" i="1"/>
  <c r="AG107" i="1"/>
  <c r="AH107" i="1"/>
  <c r="AJ107" i="1"/>
  <c r="AS106" i="1" s="1"/>
  <c r="AK107" i="1"/>
  <c r="AO107" i="1"/>
  <c r="J107" i="1" s="1"/>
  <c r="J106" i="1" s="1"/>
  <c r="AP107" i="1"/>
  <c r="AX107" i="1"/>
  <c r="BD107" i="1"/>
  <c r="BF107" i="1"/>
  <c r="BH107" i="1"/>
  <c r="AB107" i="1" s="1"/>
  <c r="BI107" i="1"/>
  <c r="BJ107" i="1"/>
  <c r="L108" i="1"/>
  <c r="AU108" i="1"/>
  <c r="L109" i="1"/>
  <c r="Z109" i="1"/>
  <c r="AB109" i="1"/>
  <c r="AD109" i="1"/>
  <c r="AE109" i="1"/>
  <c r="AF109" i="1"/>
  <c r="AG109" i="1"/>
  <c r="AH109" i="1"/>
  <c r="AJ109" i="1"/>
  <c r="AS108" i="1" s="1"/>
  <c r="AK109" i="1"/>
  <c r="AT108" i="1" s="1"/>
  <c r="AL109" i="1"/>
  <c r="AO109" i="1"/>
  <c r="J109" i="1" s="1"/>
  <c r="J108" i="1" s="1"/>
  <c r="AP109" i="1"/>
  <c r="K109" i="1" s="1"/>
  <c r="K108" i="1" s="1"/>
  <c r="BD109" i="1"/>
  <c r="BF109" i="1"/>
  <c r="BH109" i="1"/>
  <c r="BI109" i="1"/>
  <c r="AC109" i="1" s="1"/>
  <c r="BJ109" i="1"/>
  <c r="J111" i="1"/>
  <c r="L111" i="1"/>
  <c r="Z111" i="1"/>
  <c r="AB111" i="1"/>
  <c r="AC111" i="1"/>
  <c r="AD111" i="1"/>
  <c r="AE111" i="1"/>
  <c r="AF111" i="1"/>
  <c r="AG111" i="1"/>
  <c r="AH111" i="1"/>
  <c r="AJ111" i="1"/>
  <c r="AK111" i="1"/>
  <c r="AT110" i="1" s="1"/>
  <c r="AL111" i="1"/>
  <c r="AO111" i="1"/>
  <c r="AW111" i="1" s="1"/>
  <c r="AP111" i="1"/>
  <c r="K111" i="1" s="1"/>
  <c r="BD111" i="1"/>
  <c r="BF111" i="1"/>
  <c r="BH111" i="1"/>
  <c r="BI111" i="1"/>
  <c r="BJ111" i="1"/>
  <c r="L112" i="1"/>
  <c r="Z112" i="1"/>
  <c r="AB112" i="1"/>
  <c r="AD112" i="1"/>
  <c r="AE112" i="1"/>
  <c r="AF112" i="1"/>
  <c r="AG112" i="1"/>
  <c r="AH112" i="1"/>
  <c r="AJ112" i="1"/>
  <c r="AK112" i="1"/>
  <c r="AL112" i="1"/>
  <c r="AO112" i="1"/>
  <c r="J112" i="1" s="1"/>
  <c r="AP112" i="1"/>
  <c r="K112" i="1" s="1"/>
  <c r="BD112" i="1"/>
  <c r="BF112" i="1"/>
  <c r="BH112" i="1"/>
  <c r="BI112" i="1"/>
  <c r="AC112" i="1" s="1"/>
  <c r="BJ112" i="1"/>
  <c r="K113" i="1"/>
  <c r="L113" i="1"/>
  <c r="Z113" i="1"/>
  <c r="AC113" i="1"/>
  <c r="AD113" i="1"/>
  <c r="AE113" i="1"/>
  <c r="AF113" i="1"/>
  <c r="AG113" i="1"/>
  <c r="AH113" i="1"/>
  <c r="AJ113" i="1"/>
  <c r="AK113" i="1"/>
  <c r="AO113" i="1"/>
  <c r="J113" i="1" s="1"/>
  <c r="AP113" i="1"/>
  <c r="AX113" i="1"/>
  <c r="BD113" i="1"/>
  <c r="BF113" i="1"/>
  <c r="BH113" i="1"/>
  <c r="AB113" i="1" s="1"/>
  <c r="BI113" i="1"/>
  <c r="BJ113" i="1"/>
  <c r="J114" i="1"/>
  <c r="K114" i="1"/>
  <c r="L114" i="1"/>
  <c r="AL114" i="1" s="1"/>
  <c r="Z114" i="1"/>
  <c r="AB114" i="1"/>
  <c r="AC114" i="1"/>
  <c r="AD114" i="1"/>
  <c r="AE114" i="1"/>
  <c r="AF114" i="1"/>
  <c r="AG114" i="1"/>
  <c r="AH114" i="1"/>
  <c r="AJ114" i="1"/>
  <c r="AK114" i="1"/>
  <c r="AO114" i="1"/>
  <c r="AP114" i="1"/>
  <c r="AW114" i="1"/>
  <c r="AX114" i="1"/>
  <c r="BD114" i="1"/>
  <c r="BF114" i="1"/>
  <c r="BH114" i="1"/>
  <c r="BI114" i="1"/>
  <c r="BJ114" i="1"/>
  <c r="J115" i="1"/>
  <c r="K115" i="1"/>
  <c r="L115" i="1"/>
  <c r="AL115" i="1" s="1"/>
  <c r="Z115" i="1"/>
  <c r="AB115" i="1"/>
  <c r="AD115" i="1"/>
  <c r="AE115" i="1"/>
  <c r="AF115" i="1"/>
  <c r="AG115" i="1"/>
  <c r="AH115" i="1"/>
  <c r="AJ115" i="1"/>
  <c r="AK115" i="1"/>
  <c r="AO115" i="1"/>
  <c r="AP115" i="1"/>
  <c r="AW115" i="1"/>
  <c r="AX115" i="1"/>
  <c r="BD115" i="1"/>
  <c r="BF115" i="1"/>
  <c r="BH115" i="1"/>
  <c r="BI115" i="1"/>
  <c r="AC115" i="1" s="1"/>
  <c r="BJ115" i="1"/>
  <c r="J116" i="1"/>
  <c r="L116" i="1"/>
  <c r="AL116" i="1" s="1"/>
  <c r="Z116" i="1"/>
  <c r="AD116" i="1"/>
  <c r="AE116" i="1"/>
  <c r="AF116" i="1"/>
  <c r="AG116" i="1"/>
  <c r="AH116" i="1"/>
  <c r="AJ116" i="1"/>
  <c r="AK116" i="1"/>
  <c r="AO116" i="1"/>
  <c r="AP116" i="1"/>
  <c r="K116" i="1" s="1"/>
  <c r="AW116" i="1"/>
  <c r="BD116" i="1"/>
  <c r="BF116" i="1"/>
  <c r="BH116" i="1"/>
  <c r="AB116" i="1" s="1"/>
  <c r="BI116" i="1"/>
  <c r="AC116" i="1" s="1"/>
  <c r="BJ116" i="1"/>
  <c r="L117" i="1"/>
  <c r="AL117" i="1" s="1"/>
  <c r="Z117" i="1"/>
  <c r="AD117" i="1"/>
  <c r="AE117" i="1"/>
  <c r="AF117" i="1"/>
  <c r="AG117" i="1"/>
  <c r="AH117" i="1"/>
  <c r="AJ117" i="1"/>
  <c r="AK117" i="1"/>
  <c r="AO117" i="1"/>
  <c r="J117" i="1" s="1"/>
  <c r="AP117" i="1"/>
  <c r="BD117" i="1"/>
  <c r="BF117" i="1"/>
  <c r="BH117" i="1"/>
  <c r="AB117" i="1" s="1"/>
  <c r="BJ117" i="1"/>
  <c r="K118" i="1"/>
  <c r="L118" i="1"/>
  <c r="Z118" i="1"/>
  <c r="AC118" i="1"/>
  <c r="AD118" i="1"/>
  <c r="AE118" i="1"/>
  <c r="AF118" i="1"/>
  <c r="AG118" i="1"/>
  <c r="AH118" i="1"/>
  <c r="AJ118" i="1"/>
  <c r="AK118" i="1"/>
  <c r="AL118" i="1"/>
  <c r="AO118" i="1"/>
  <c r="AP118" i="1"/>
  <c r="AX118" i="1" s="1"/>
  <c r="BD118" i="1"/>
  <c r="BF118" i="1"/>
  <c r="BH118" i="1"/>
  <c r="AB118" i="1" s="1"/>
  <c r="BI118" i="1"/>
  <c r="BJ118" i="1"/>
  <c r="J119" i="1"/>
  <c r="L119" i="1"/>
  <c r="Z119" i="1"/>
  <c r="AB119" i="1"/>
  <c r="AC119" i="1"/>
  <c r="AD119" i="1"/>
  <c r="AE119" i="1"/>
  <c r="AF119" i="1"/>
  <c r="AG119" i="1"/>
  <c r="AH119" i="1"/>
  <c r="AJ119" i="1"/>
  <c r="AK119" i="1"/>
  <c r="AL119" i="1"/>
  <c r="AO119" i="1"/>
  <c r="AW119" i="1" s="1"/>
  <c r="AP119" i="1"/>
  <c r="K119" i="1" s="1"/>
  <c r="BD119" i="1"/>
  <c r="BF119" i="1"/>
  <c r="BH119" i="1"/>
  <c r="BI119" i="1"/>
  <c r="BJ119" i="1"/>
  <c r="L120" i="1"/>
  <c r="Z120" i="1"/>
  <c r="AB120" i="1"/>
  <c r="AD120" i="1"/>
  <c r="AE120" i="1"/>
  <c r="AF120" i="1"/>
  <c r="AG120" i="1"/>
  <c r="AH120" i="1"/>
  <c r="AJ120" i="1"/>
  <c r="AK120" i="1"/>
  <c r="AL120" i="1"/>
  <c r="AO120" i="1"/>
  <c r="J120" i="1" s="1"/>
  <c r="AP120" i="1"/>
  <c r="K120" i="1" s="1"/>
  <c r="BD120" i="1"/>
  <c r="BF120" i="1"/>
  <c r="BH120" i="1"/>
  <c r="BI120" i="1"/>
  <c r="AC120" i="1" s="1"/>
  <c r="BJ120" i="1"/>
  <c r="K121" i="1"/>
  <c r="L121" i="1"/>
  <c r="AL121" i="1" s="1"/>
  <c r="Z121" i="1"/>
  <c r="AC121" i="1"/>
  <c r="AD121" i="1"/>
  <c r="AE121" i="1"/>
  <c r="AF121" i="1"/>
  <c r="AG121" i="1"/>
  <c r="AH121" i="1"/>
  <c r="AJ121" i="1"/>
  <c r="AK121" i="1"/>
  <c r="AO121" i="1"/>
  <c r="J121" i="1" s="1"/>
  <c r="AP121" i="1"/>
  <c r="AX121" i="1"/>
  <c r="BD121" i="1"/>
  <c r="BF121" i="1"/>
  <c r="BH121" i="1"/>
  <c r="AB121" i="1" s="1"/>
  <c r="BI121" i="1"/>
  <c r="BJ121" i="1"/>
  <c r="J122" i="1"/>
  <c r="K122" i="1"/>
  <c r="L122" i="1"/>
  <c r="AL122" i="1" s="1"/>
  <c r="Z122" i="1"/>
  <c r="AB122" i="1"/>
  <c r="AC122" i="1"/>
  <c r="AD122" i="1"/>
  <c r="AE122" i="1"/>
  <c r="AF122" i="1"/>
  <c r="AG122" i="1"/>
  <c r="AH122" i="1"/>
  <c r="AJ122" i="1"/>
  <c r="AK122" i="1"/>
  <c r="AO122" i="1"/>
  <c r="AP122" i="1"/>
  <c r="AW122" i="1"/>
  <c r="AX122" i="1"/>
  <c r="BD122" i="1"/>
  <c r="BF122" i="1"/>
  <c r="BH122" i="1"/>
  <c r="BI122" i="1"/>
  <c r="BJ122" i="1"/>
  <c r="J123" i="1"/>
  <c r="K123" i="1"/>
  <c r="L123" i="1"/>
  <c r="AL123" i="1" s="1"/>
  <c r="Z123" i="1"/>
  <c r="AB123" i="1"/>
  <c r="AD123" i="1"/>
  <c r="AE123" i="1"/>
  <c r="AF123" i="1"/>
  <c r="AG123" i="1"/>
  <c r="AH123" i="1"/>
  <c r="AJ123" i="1"/>
  <c r="AK123" i="1"/>
  <c r="AO123" i="1"/>
  <c r="AP123" i="1"/>
  <c r="AW123" i="1"/>
  <c r="AX123" i="1"/>
  <c r="BD123" i="1"/>
  <c r="BF123" i="1"/>
  <c r="BH123" i="1"/>
  <c r="BI123" i="1"/>
  <c r="AC123" i="1" s="1"/>
  <c r="BJ123" i="1"/>
  <c r="J125" i="1"/>
  <c r="K125" i="1"/>
  <c r="L125" i="1"/>
  <c r="Z125" i="1"/>
  <c r="AB125" i="1"/>
  <c r="AC125" i="1"/>
  <c r="AD125" i="1"/>
  <c r="AE125" i="1"/>
  <c r="AF125" i="1"/>
  <c r="AG125" i="1"/>
  <c r="AH125" i="1"/>
  <c r="AJ125" i="1"/>
  <c r="AK125" i="1"/>
  <c r="AT124" i="1" s="1"/>
  <c r="AO125" i="1"/>
  <c r="AP125" i="1"/>
  <c r="AW125" i="1"/>
  <c r="AV125" i="1" s="1"/>
  <c r="AX125" i="1"/>
  <c r="BD125" i="1"/>
  <c r="BF125" i="1"/>
  <c r="BH125" i="1"/>
  <c r="BI125" i="1"/>
  <c r="BJ125" i="1"/>
  <c r="J126" i="1"/>
  <c r="K126" i="1"/>
  <c r="L126" i="1"/>
  <c r="AL126" i="1" s="1"/>
  <c r="Z126" i="1"/>
  <c r="AB126" i="1"/>
  <c r="AD126" i="1"/>
  <c r="AE126" i="1"/>
  <c r="AF126" i="1"/>
  <c r="AG126" i="1"/>
  <c r="AH126" i="1"/>
  <c r="AJ126" i="1"/>
  <c r="AK126" i="1"/>
  <c r="AO126" i="1"/>
  <c r="AP126" i="1"/>
  <c r="AW126" i="1"/>
  <c r="AX126" i="1"/>
  <c r="BD126" i="1"/>
  <c r="BF126" i="1"/>
  <c r="BH126" i="1"/>
  <c r="BI126" i="1"/>
  <c r="AC126" i="1" s="1"/>
  <c r="BJ126" i="1"/>
  <c r="J127" i="1"/>
  <c r="L127" i="1"/>
  <c r="AL127" i="1" s="1"/>
  <c r="Z127" i="1"/>
  <c r="AD127" i="1"/>
  <c r="AE127" i="1"/>
  <c r="AF127" i="1"/>
  <c r="AG127" i="1"/>
  <c r="AH127" i="1"/>
  <c r="AJ127" i="1"/>
  <c r="AK127" i="1"/>
  <c r="AO127" i="1"/>
  <c r="AP127" i="1"/>
  <c r="K127" i="1" s="1"/>
  <c r="AW127" i="1"/>
  <c r="BD127" i="1"/>
  <c r="BF127" i="1"/>
  <c r="BH127" i="1"/>
  <c r="AB127" i="1" s="1"/>
  <c r="BI127" i="1"/>
  <c r="AC127" i="1" s="1"/>
  <c r="BJ127" i="1"/>
  <c r="L129" i="1"/>
  <c r="AL129" i="1" s="1"/>
  <c r="Z129" i="1"/>
  <c r="AD129" i="1"/>
  <c r="AE129" i="1"/>
  <c r="AF129" i="1"/>
  <c r="AG129" i="1"/>
  <c r="AH129" i="1"/>
  <c r="AJ129" i="1"/>
  <c r="AK129" i="1"/>
  <c r="AO129" i="1"/>
  <c r="J129" i="1" s="1"/>
  <c r="AP129" i="1"/>
  <c r="BD129" i="1"/>
  <c r="BF129" i="1"/>
  <c r="BH129" i="1"/>
  <c r="AB129" i="1" s="1"/>
  <c r="BI129" i="1"/>
  <c r="AC129" i="1" s="1"/>
  <c r="BJ129" i="1"/>
  <c r="K131" i="1"/>
  <c r="L131" i="1"/>
  <c r="Z131" i="1"/>
  <c r="AC131" i="1"/>
  <c r="AD131" i="1"/>
  <c r="AE131" i="1"/>
  <c r="AF131" i="1"/>
  <c r="AG131" i="1"/>
  <c r="AH131" i="1"/>
  <c r="AJ131" i="1"/>
  <c r="AK131" i="1"/>
  <c r="AL131" i="1"/>
  <c r="AO131" i="1"/>
  <c r="AP131" i="1"/>
  <c r="AX131" i="1" s="1"/>
  <c r="BD131" i="1"/>
  <c r="BF131" i="1"/>
  <c r="BI131" i="1"/>
  <c r="BJ131" i="1"/>
  <c r="J132" i="1"/>
  <c r="L132" i="1"/>
  <c r="Z132" i="1"/>
  <c r="AB132" i="1"/>
  <c r="AC132" i="1"/>
  <c r="AD132" i="1"/>
  <c r="AE132" i="1"/>
  <c r="AF132" i="1"/>
  <c r="AG132" i="1"/>
  <c r="AH132" i="1"/>
  <c r="AJ132" i="1"/>
  <c r="AK132" i="1"/>
  <c r="AL132" i="1"/>
  <c r="AO132" i="1"/>
  <c r="AW132" i="1" s="1"/>
  <c r="AP132" i="1"/>
  <c r="K132" i="1" s="1"/>
  <c r="BD132" i="1"/>
  <c r="BF132" i="1"/>
  <c r="BH132" i="1"/>
  <c r="BI132" i="1"/>
  <c r="BJ132" i="1"/>
  <c r="L133" i="1"/>
  <c r="Z133" i="1"/>
  <c r="AB133" i="1"/>
  <c r="AD133" i="1"/>
  <c r="AE133" i="1"/>
  <c r="AF133" i="1"/>
  <c r="AG133" i="1"/>
  <c r="AH133" i="1"/>
  <c r="AJ133" i="1"/>
  <c r="AK133" i="1"/>
  <c r="AL133" i="1"/>
  <c r="AO133" i="1"/>
  <c r="J133" i="1" s="1"/>
  <c r="AP133" i="1"/>
  <c r="K133" i="1" s="1"/>
  <c r="BD133" i="1"/>
  <c r="BF133" i="1"/>
  <c r="BH133" i="1"/>
  <c r="BI133" i="1"/>
  <c r="AC133" i="1" s="1"/>
  <c r="BJ133" i="1"/>
  <c r="K135" i="1"/>
  <c r="L135" i="1"/>
  <c r="AL135" i="1" s="1"/>
  <c r="Z135" i="1"/>
  <c r="AC135" i="1"/>
  <c r="AD135" i="1"/>
  <c r="AE135" i="1"/>
  <c r="AF135" i="1"/>
  <c r="AG135" i="1"/>
  <c r="AH135" i="1"/>
  <c r="AJ135" i="1"/>
  <c r="AK135" i="1"/>
  <c r="AO135" i="1"/>
  <c r="J135" i="1" s="1"/>
  <c r="AP135" i="1"/>
  <c r="AX135" i="1"/>
  <c r="BD135" i="1"/>
  <c r="BF135" i="1"/>
  <c r="BH135" i="1"/>
  <c r="AB135" i="1" s="1"/>
  <c r="BI135" i="1"/>
  <c r="BJ135" i="1"/>
  <c r="J136" i="1"/>
  <c r="K136" i="1"/>
  <c r="L136" i="1"/>
  <c r="AL136" i="1" s="1"/>
  <c r="Z136" i="1"/>
  <c r="AB136" i="1"/>
  <c r="AC136" i="1"/>
  <c r="AD136" i="1"/>
  <c r="AE136" i="1"/>
  <c r="AF136" i="1"/>
  <c r="AG136" i="1"/>
  <c r="AH136" i="1"/>
  <c r="AJ136" i="1"/>
  <c r="AK136" i="1"/>
  <c r="AO136" i="1"/>
  <c r="AP136" i="1"/>
  <c r="AW136" i="1"/>
  <c r="AV136" i="1" s="1"/>
  <c r="AX136" i="1"/>
  <c r="BD136" i="1"/>
  <c r="BF136" i="1"/>
  <c r="BH136" i="1"/>
  <c r="BI136" i="1"/>
  <c r="BJ136" i="1"/>
  <c r="J137" i="1"/>
  <c r="K137" i="1"/>
  <c r="L137" i="1"/>
  <c r="AL137" i="1" s="1"/>
  <c r="Z137" i="1"/>
  <c r="AB137" i="1"/>
  <c r="AD137" i="1"/>
  <c r="AE137" i="1"/>
  <c r="AF137" i="1"/>
  <c r="AG137" i="1"/>
  <c r="AH137" i="1"/>
  <c r="AJ137" i="1"/>
  <c r="AK137" i="1"/>
  <c r="AO137" i="1"/>
  <c r="AP137" i="1"/>
  <c r="AW137" i="1"/>
  <c r="AX137" i="1"/>
  <c r="BD137" i="1"/>
  <c r="BF137" i="1"/>
  <c r="BH137" i="1"/>
  <c r="BI137" i="1"/>
  <c r="AC137" i="1" s="1"/>
  <c r="BJ137" i="1"/>
  <c r="J138" i="1"/>
  <c r="L138" i="1"/>
  <c r="AL138" i="1" s="1"/>
  <c r="Z138" i="1"/>
  <c r="AD138" i="1"/>
  <c r="AE138" i="1"/>
  <c r="AF138" i="1"/>
  <c r="AG138" i="1"/>
  <c r="AH138" i="1"/>
  <c r="AJ138" i="1"/>
  <c r="AK138" i="1"/>
  <c r="AO138" i="1"/>
  <c r="AP138" i="1"/>
  <c r="K138" i="1" s="1"/>
  <c r="AW138" i="1"/>
  <c r="BD138" i="1"/>
  <c r="BF138" i="1"/>
  <c r="BH138" i="1"/>
  <c r="AB138" i="1" s="1"/>
  <c r="BI138" i="1"/>
  <c r="AC138" i="1" s="1"/>
  <c r="BJ138" i="1"/>
  <c r="L139" i="1"/>
  <c r="AL139" i="1" s="1"/>
  <c r="Z139" i="1"/>
  <c r="AD139" i="1"/>
  <c r="AE139" i="1"/>
  <c r="AF139" i="1"/>
  <c r="AG139" i="1"/>
  <c r="AH139" i="1"/>
  <c r="AJ139" i="1"/>
  <c r="AK139" i="1"/>
  <c r="AO139" i="1"/>
  <c r="J139" i="1" s="1"/>
  <c r="AP139" i="1"/>
  <c r="BD139" i="1"/>
  <c r="BF139" i="1"/>
  <c r="BH139" i="1"/>
  <c r="AB139" i="1" s="1"/>
  <c r="BI139" i="1"/>
  <c r="AC139" i="1" s="1"/>
  <c r="BJ139" i="1"/>
  <c r="J141" i="1"/>
  <c r="L141" i="1"/>
  <c r="L140" i="1" s="1"/>
  <c r="Z141" i="1"/>
  <c r="AD141" i="1"/>
  <c r="AE141" i="1"/>
  <c r="AF141" i="1"/>
  <c r="AG141" i="1"/>
  <c r="AH141" i="1"/>
  <c r="AJ141" i="1"/>
  <c r="AS140" i="1" s="1"/>
  <c r="AK141" i="1"/>
  <c r="AO141" i="1"/>
  <c r="AP141" i="1"/>
  <c r="K141" i="1" s="1"/>
  <c r="AW141" i="1"/>
  <c r="BD141" i="1"/>
  <c r="BF141" i="1"/>
  <c r="BH141" i="1"/>
  <c r="AB141" i="1" s="1"/>
  <c r="BI141" i="1"/>
  <c r="AC141" i="1" s="1"/>
  <c r="BJ141" i="1"/>
  <c r="L142" i="1"/>
  <c r="AL142" i="1" s="1"/>
  <c r="Z142" i="1"/>
  <c r="AD142" i="1"/>
  <c r="AE142" i="1"/>
  <c r="AF142" i="1"/>
  <c r="AG142" i="1"/>
  <c r="AH142" i="1"/>
  <c r="AJ142" i="1"/>
  <c r="AK142" i="1"/>
  <c r="AO142" i="1"/>
  <c r="J142" i="1" s="1"/>
  <c r="AP142" i="1"/>
  <c r="BD142" i="1"/>
  <c r="BF142" i="1"/>
  <c r="BH142" i="1"/>
  <c r="AB142" i="1" s="1"/>
  <c r="BI142" i="1"/>
  <c r="AC142" i="1" s="1"/>
  <c r="BJ142" i="1"/>
  <c r="K143" i="1"/>
  <c r="L143" i="1"/>
  <c r="Z143" i="1"/>
  <c r="AC143" i="1"/>
  <c r="AD143" i="1"/>
  <c r="AE143" i="1"/>
  <c r="AF143" i="1"/>
  <c r="AG143" i="1"/>
  <c r="AH143" i="1"/>
  <c r="AJ143" i="1"/>
  <c r="AK143" i="1"/>
  <c r="AL143" i="1"/>
  <c r="AO143" i="1"/>
  <c r="AP143" i="1"/>
  <c r="AX143" i="1" s="1"/>
  <c r="BD143" i="1"/>
  <c r="BF143" i="1"/>
  <c r="BH143" i="1"/>
  <c r="AB143" i="1" s="1"/>
  <c r="BI143" i="1"/>
  <c r="BJ143" i="1"/>
  <c r="J144" i="1"/>
  <c r="L144" i="1"/>
  <c r="Z144" i="1"/>
  <c r="AB144" i="1"/>
  <c r="AC144" i="1"/>
  <c r="AD144" i="1"/>
  <c r="AE144" i="1"/>
  <c r="AF144" i="1"/>
  <c r="AG144" i="1"/>
  <c r="AH144" i="1"/>
  <c r="AJ144" i="1"/>
  <c r="AK144" i="1"/>
  <c r="AL144" i="1"/>
  <c r="AO144" i="1"/>
  <c r="AW144" i="1" s="1"/>
  <c r="AP144" i="1"/>
  <c r="K144" i="1" s="1"/>
  <c r="BD144" i="1"/>
  <c r="BF144" i="1"/>
  <c r="BH144" i="1"/>
  <c r="BI144" i="1"/>
  <c r="BJ144" i="1"/>
  <c r="L145" i="1"/>
  <c r="Z145" i="1"/>
  <c r="AB145" i="1"/>
  <c r="AD145" i="1"/>
  <c r="AE145" i="1"/>
  <c r="AF145" i="1"/>
  <c r="AG145" i="1"/>
  <c r="AH145" i="1"/>
  <c r="AJ145" i="1"/>
  <c r="AK145" i="1"/>
  <c r="AL145" i="1"/>
  <c r="AO145" i="1"/>
  <c r="J145" i="1" s="1"/>
  <c r="AP145" i="1"/>
  <c r="K145" i="1" s="1"/>
  <c r="BD145" i="1"/>
  <c r="BF145" i="1"/>
  <c r="BH145" i="1"/>
  <c r="BI145" i="1"/>
  <c r="AC145" i="1" s="1"/>
  <c r="BJ145" i="1"/>
  <c r="L146" i="1"/>
  <c r="AS146" i="1"/>
  <c r="J147" i="1"/>
  <c r="J146" i="1" s="1"/>
  <c r="L147" i="1"/>
  <c r="Z147" i="1"/>
  <c r="AB147" i="1"/>
  <c r="AC147" i="1"/>
  <c r="AD147" i="1"/>
  <c r="AE147" i="1"/>
  <c r="AF147" i="1"/>
  <c r="AG147" i="1"/>
  <c r="AH147" i="1"/>
  <c r="AJ147" i="1"/>
  <c r="AK147" i="1"/>
  <c r="AT146" i="1" s="1"/>
  <c r="AL147" i="1"/>
  <c r="AU146" i="1" s="1"/>
  <c r="AO147" i="1"/>
  <c r="AW147" i="1" s="1"/>
  <c r="AP147" i="1"/>
  <c r="K147" i="1" s="1"/>
  <c r="K146" i="1" s="1"/>
  <c r="BD147" i="1"/>
  <c r="BF147" i="1"/>
  <c r="BH147" i="1"/>
  <c r="BI147" i="1"/>
  <c r="BJ147" i="1"/>
  <c r="K149" i="1"/>
  <c r="K148" i="1" s="1"/>
  <c r="L149" i="1"/>
  <c r="Z149" i="1"/>
  <c r="AC149" i="1"/>
  <c r="AD149" i="1"/>
  <c r="AE149" i="1"/>
  <c r="AF149" i="1"/>
  <c r="AG149" i="1"/>
  <c r="AH149" i="1"/>
  <c r="AJ149" i="1"/>
  <c r="AK149" i="1"/>
  <c r="AL149" i="1"/>
  <c r="AO149" i="1"/>
  <c r="AP149" i="1"/>
  <c r="AX149" i="1" s="1"/>
  <c r="BD149" i="1"/>
  <c r="BF149" i="1"/>
  <c r="BH149" i="1"/>
  <c r="AB149" i="1" s="1"/>
  <c r="BI149" i="1"/>
  <c r="BJ149" i="1"/>
  <c r="J150" i="1"/>
  <c r="L150" i="1"/>
  <c r="L148" i="1" s="1"/>
  <c r="Z150" i="1"/>
  <c r="AB150" i="1"/>
  <c r="AC150" i="1"/>
  <c r="AD150" i="1"/>
  <c r="AE150" i="1"/>
  <c r="AF150" i="1"/>
  <c r="AG150" i="1"/>
  <c r="AH150" i="1"/>
  <c r="AJ150" i="1"/>
  <c r="AK150" i="1"/>
  <c r="AL150" i="1"/>
  <c r="AO150" i="1"/>
  <c r="AW150" i="1" s="1"/>
  <c r="AP150" i="1"/>
  <c r="K150" i="1" s="1"/>
  <c r="BD150" i="1"/>
  <c r="BF150" i="1"/>
  <c r="BH150" i="1"/>
  <c r="BI150" i="1"/>
  <c r="BJ150" i="1"/>
  <c r="L151" i="1"/>
  <c r="Z151" i="1"/>
  <c r="AB151" i="1"/>
  <c r="AD151" i="1"/>
  <c r="AE151" i="1"/>
  <c r="AF151" i="1"/>
  <c r="AG151" i="1"/>
  <c r="AH151" i="1"/>
  <c r="AJ151" i="1"/>
  <c r="AS148" i="1" s="1"/>
  <c r="AK151" i="1"/>
  <c r="AT148" i="1" s="1"/>
  <c r="AL151" i="1"/>
  <c r="AO151" i="1"/>
  <c r="J151" i="1" s="1"/>
  <c r="AP151" i="1"/>
  <c r="K151" i="1" s="1"/>
  <c r="BD151" i="1"/>
  <c r="BF151" i="1"/>
  <c r="BH151" i="1"/>
  <c r="BI151" i="1"/>
  <c r="AC151" i="1" s="1"/>
  <c r="BJ151" i="1"/>
  <c r="K152" i="1"/>
  <c r="L152" i="1"/>
  <c r="AL152" i="1" s="1"/>
  <c r="Z152" i="1"/>
  <c r="AC152" i="1"/>
  <c r="AD152" i="1"/>
  <c r="AE152" i="1"/>
  <c r="AF152" i="1"/>
  <c r="AG152" i="1"/>
  <c r="AH152" i="1"/>
  <c r="AJ152" i="1"/>
  <c r="AK152" i="1"/>
  <c r="AO152" i="1"/>
  <c r="J152" i="1" s="1"/>
  <c r="AP152" i="1"/>
  <c r="AX152" i="1"/>
  <c r="BD152" i="1"/>
  <c r="BF152" i="1"/>
  <c r="BH152" i="1"/>
  <c r="AB152" i="1" s="1"/>
  <c r="BI152" i="1"/>
  <c r="BJ152" i="1"/>
  <c r="L154" i="1"/>
  <c r="L155" i="1"/>
  <c r="Z155" i="1"/>
  <c r="AD155" i="1"/>
  <c r="AE155" i="1"/>
  <c r="AF155" i="1"/>
  <c r="AG155" i="1"/>
  <c r="AH155" i="1"/>
  <c r="AJ155" i="1"/>
  <c r="AK155" i="1"/>
  <c r="AL155" i="1"/>
  <c r="AO155" i="1"/>
  <c r="AP155" i="1"/>
  <c r="K155" i="1" s="1"/>
  <c r="BD155" i="1"/>
  <c r="BF155" i="1"/>
  <c r="BH155" i="1"/>
  <c r="AB155" i="1" s="1"/>
  <c r="BI155" i="1"/>
  <c r="AC155" i="1" s="1"/>
  <c r="BJ155" i="1"/>
  <c r="K156" i="1"/>
  <c r="L156" i="1"/>
  <c r="Z156" i="1"/>
  <c r="AC156" i="1"/>
  <c r="AD156" i="1"/>
  <c r="AE156" i="1"/>
  <c r="AF156" i="1"/>
  <c r="AG156" i="1"/>
  <c r="AH156" i="1"/>
  <c r="AJ156" i="1"/>
  <c r="AK156" i="1"/>
  <c r="AL156" i="1"/>
  <c r="AO156" i="1"/>
  <c r="AP156" i="1"/>
  <c r="AX156" i="1"/>
  <c r="BD156" i="1"/>
  <c r="BF156" i="1"/>
  <c r="BI156" i="1"/>
  <c r="BJ156" i="1"/>
  <c r="J157" i="1"/>
  <c r="L157" i="1"/>
  <c r="Z157" i="1"/>
  <c r="AB157" i="1"/>
  <c r="AD157" i="1"/>
  <c r="AE157" i="1"/>
  <c r="AF157" i="1"/>
  <c r="AG157" i="1"/>
  <c r="AH157" i="1"/>
  <c r="AJ157" i="1"/>
  <c r="AK157" i="1"/>
  <c r="AL157" i="1"/>
  <c r="AO157" i="1"/>
  <c r="AP157" i="1"/>
  <c r="AW157" i="1"/>
  <c r="BD157" i="1"/>
  <c r="BF157" i="1"/>
  <c r="BH157" i="1"/>
  <c r="BJ157" i="1"/>
  <c r="K158" i="1"/>
  <c r="L158" i="1"/>
  <c r="AL158" i="1" s="1"/>
  <c r="Z158" i="1"/>
  <c r="AD158" i="1"/>
  <c r="AE158" i="1"/>
  <c r="AF158" i="1"/>
  <c r="AG158" i="1"/>
  <c r="AH158" i="1"/>
  <c r="AJ158" i="1"/>
  <c r="AK158" i="1"/>
  <c r="AO158" i="1"/>
  <c r="J158" i="1" s="1"/>
  <c r="AP158" i="1"/>
  <c r="AV158" i="1"/>
  <c r="AW158" i="1"/>
  <c r="BC158" i="1" s="1"/>
  <c r="AX158" i="1"/>
  <c r="BD158" i="1"/>
  <c r="BF158" i="1"/>
  <c r="BH158" i="1"/>
  <c r="AB158" i="1" s="1"/>
  <c r="BI158" i="1"/>
  <c r="AC158" i="1" s="1"/>
  <c r="BJ158" i="1"/>
  <c r="J159" i="1"/>
  <c r="L159" i="1"/>
  <c r="AL159" i="1" s="1"/>
  <c r="Z159" i="1"/>
  <c r="AD159" i="1"/>
  <c r="AE159" i="1"/>
  <c r="AF159" i="1"/>
  <c r="AG159" i="1"/>
  <c r="AH159" i="1"/>
  <c r="AJ159" i="1"/>
  <c r="AK159" i="1"/>
  <c r="AO159" i="1"/>
  <c r="AP159" i="1"/>
  <c r="K159" i="1" s="1"/>
  <c r="AW159" i="1"/>
  <c r="AX159" i="1"/>
  <c r="BD159" i="1"/>
  <c r="BF159" i="1"/>
  <c r="BH159" i="1"/>
  <c r="AB159" i="1" s="1"/>
  <c r="BI159" i="1"/>
  <c r="AC159" i="1" s="1"/>
  <c r="BJ159" i="1"/>
  <c r="J160" i="1"/>
  <c r="L160" i="1"/>
  <c r="AL160" i="1" s="1"/>
  <c r="Z160" i="1"/>
  <c r="AD160" i="1"/>
  <c r="AE160" i="1"/>
  <c r="AF160" i="1"/>
  <c r="AG160" i="1"/>
  <c r="AH160" i="1"/>
  <c r="AJ160" i="1"/>
  <c r="AK160" i="1"/>
  <c r="AO160" i="1"/>
  <c r="AP160" i="1"/>
  <c r="AW160" i="1"/>
  <c r="BD160" i="1"/>
  <c r="BF160" i="1"/>
  <c r="BH160" i="1"/>
  <c r="AB160" i="1" s="1"/>
  <c r="BI160" i="1"/>
  <c r="AC160" i="1" s="1"/>
  <c r="BJ160" i="1"/>
  <c r="L161" i="1"/>
  <c r="Z161" i="1"/>
  <c r="AD161" i="1"/>
  <c r="AE161" i="1"/>
  <c r="AF161" i="1"/>
  <c r="AG161" i="1"/>
  <c r="AH161" i="1"/>
  <c r="AJ161" i="1"/>
  <c r="AK161" i="1"/>
  <c r="AL161" i="1"/>
  <c r="AO161" i="1"/>
  <c r="AP161" i="1"/>
  <c r="BI161" i="1" s="1"/>
  <c r="AC161" i="1" s="1"/>
  <c r="BD161" i="1"/>
  <c r="BF161" i="1"/>
  <c r="BH161" i="1"/>
  <c r="AB161" i="1" s="1"/>
  <c r="BJ161" i="1"/>
  <c r="L162" i="1"/>
  <c r="Z162" i="1"/>
  <c r="AC162" i="1"/>
  <c r="AD162" i="1"/>
  <c r="AE162" i="1"/>
  <c r="AF162" i="1"/>
  <c r="AG162" i="1"/>
  <c r="AH162" i="1"/>
  <c r="AJ162" i="1"/>
  <c r="AK162" i="1"/>
  <c r="AL162" i="1"/>
  <c r="AO162" i="1"/>
  <c r="AP162" i="1"/>
  <c r="K162" i="1" s="1"/>
  <c r="BD162" i="1"/>
  <c r="BF162" i="1"/>
  <c r="BH162" i="1"/>
  <c r="AB162" i="1" s="1"/>
  <c r="BI162" i="1"/>
  <c r="BJ162" i="1"/>
  <c r="L163" i="1"/>
  <c r="AT163" i="1"/>
  <c r="L164" i="1"/>
  <c r="Z164" i="1"/>
  <c r="AD164" i="1"/>
  <c r="AE164" i="1"/>
  <c r="AF164" i="1"/>
  <c r="AG164" i="1"/>
  <c r="AH164" i="1"/>
  <c r="AJ164" i="1"/>
  <c r="AK164" i="1"/>
  <c r="AL164" i="1"/>
  <c r="AO164" i="1"/>
  <c r="AP164" i="1"/>
  <c r="BI164" i="1" s="1"/>
  <c r="AC164" i="1" s="1"/>
  <c r="BD164" i="1"/>
  <c r="BF164" i="1"/>
  <c r="BJ164" i="1"/>
  <c r="L165" i="1"/>
  <c r="Z165" i="1"/>
  <c r="AC165" i="1"/>
  <c r="AD165" i="1"/>
  <c r="AE165" i="1"/>
  <c r="AF165" i="1"/>
  <c r="AG165" i="1"/>
  <c r="AH165" i="1"/>
  <c r="AJ165" i="1"/>
  <c r="AS163" i="1" s="1"/>
  <c r="AK165" i="1"/>
  <c r="AL165" i="1"/>
  <c r="AU163" i="1" s="1"/>
  <c r="AO165" i="1"/>
  <c r="AP165" i="1"/>
  <c r="K165" i="1" s="1"/>
  <c r="BD165" i="1"/>
  <c r="BF165" i="1"/>
  <c r="BH165" i="1"/>
  <c r="AB165" i="1" s="1"/>
  <c r="BI165" i="1"/>
  <c r="BJ165" i="1"/>
  <c r="L166" i="1"/>
  <c r="AS166" i="1"/>
  <c r="AT166" i="1"/>
  <c r="AU166" i="1"/>
  <c r="L167" i="1"/>
  <c r="AB167" i="1"/>
  <c r="AC167" i="1"/>
  <c r="AD167" i="1"/>
  <c r="AE167" i="1"/>
  <c r="AF167" i="1"/>
  <c r="AG167" i="1"/>
  <c r="AH167" i="1"/>
  <c r="AJ167" i="1"/>
  <c r="AK167" i="1"/>
  <c r="AL167" i="1"/>
  <c r="AO167" i="1"/>
  <c r="AP167" i="1"/>
  <c r="BI167" i="1" s="1"/>
  <c r="BD167" i="1"/>
  <c r="BF167" i="1"/>
  <c r="BJ167" i="1"/>
  <c r="Z167" i="1" s="1"/>
  <c r="J169" i="1"/>
  <c r="L169" i="1"/>
  <c r="Z169" i="1"/>
  <c r="AB169" i="1"/>
  <c r="AC169" i="1"/>
  <c r="AF169" i="1"/>
  <c r="AG169" i="1"/>
  <c r="AH169" i="1"/>
  <c r="AJ169" i="1"/>
  <c r="AK169" i="1"/>
  <c r="AL169" i="1"/>
  <c r="AO169" i="1"/>
  <c r="AW169" i="1" s="1"/>
  <c r="AP169" i="1"/>
  <c r="BD169" i="1"/>
  <c r="BF169" i="1"/>
  <c r="BH169" i="1"/>
  <c r="AD169" i="1" s="1"/>
  <c r="BI169" i="1"/>
  <c r="AE169" i="1" s="1"/>
  <c r="BJ169" i="1"/>
  <c r="L170" i="1"/>
  <c r="Z170" i="1"/>
  <c r="AB170" i="1"/>
  <c r="AC170" i="1"/>
  <c r="AF170" i="1"/>
  <c r="AG170" i="1"/>
  <c r="AH170" i="1"/>
  <c r="AJ170" i="1"/>
  <c r="AK170" i="1"/>
  <c r="AT168" i="1" s="1"/>
  <c r="AL170" i="1"/>
  <c r="AO170" i="1"/>
  <c r="AP170" i="1"/>
  <c r="BI170" i="1" s="1"/>
  <c r="AE170" i="1" s="1"/>
  <c r="BD170" i="1"/>
  <c r="BF170" i="1"/>
  <c r="BJ170" i="1"/>
  <c r="L171" i="1"/>
  <c r="Z171" i="1"/>
  <c r="AB171" i="1"/>
  <c r="AC171" i="1"/>
  <c r="AF171" i="1"/>
  <c r="AG171" i="1"/>
  <c r="AH171" i="1"/>
  <c r="AJ171" i="1"/>
  <c r="AK171" i="1"/>
  <c r="AL171" i="1"/>
  <c r="AO171" i="1"/>
  <c r="AP171" i="1"/>
  <c r="K171" i="1" s="1"/>
  <c r="BD171" i="1"/>
  <c r="BF171" i="1"/>
  <c r="BH171" i="1"/>
  <c r="AD171" i="1" s="1"/>
  <c r="BI171" i="1"/>
  <c r="AE171" i="1" s="1"/>
  <c r="BJ171" i="1"/>
  <c r="L172" i="1"/>
  <c r="Z172" i="1"/>
  <c r="AB172" i="1"/>
  <c r="AC172" i="1"/>
  <c r="AF172" i="1"/>
  <c r="AG172" i="1"/>
  <c r="AH172" i="1"/>
  <c r="AJ172" i="1"/>
  <c r="AK172" i="1"/>
  <c r="AL172" i="1"/>
  <c r="AO172" i="1"/>
  <c r="J172" i="1" s="1"/>
  <c r="AP172" i="1"/>
  <c r="K172" i="1" s="1"/>
  <c r="AX172" i="1"/>
  <c r="BD172" i="1"/>
  <c r="BF172" i="1"/>
  <c r="BH172" i="1"/>
  <c r="AD172" i="1" s="1"/>
  <c r="BI172" i="1"/>
  <c r="AE172" i="1" s="1"/>
  <c r="BJ172" i="1"/>
  <c r="K173" i="1"/>
  <c r="L173" i="1"/>
  <c r="AL173" i="1" s="1"/>
  <c r="Z173" i="1"/>
  <c r="AB173" i="1"/>
  <c r="AC173" i="1"/>
  <c r="AF173" i="1"/>
  <c r="AG173" i="1"/>
  <c r="AH173" i="1"/>
  <c r="AJ173" i="1"/>
  <c r="AK173" i="1"/>
  <c r="AO173" i="1"/>
  <c r="J173" i="1" s="1"/>
  <c r="AP173" i="1"/>
  <c r="AW173" i="1"/>
  <c r="AV173" i="1" s="1"/>
  <c r="AX173" i="1"/>
  <c r="BC173" i="1"/>
  <c r="BD173" i="1"/>
  <c r="BF173" i="1"/>
  <c r="BH173" i="1"/>
  <c r="AD173" i="1" s="1"/>
  <c r="BI173" i="1"/>
  <c r="AE173" i="1" s="1"/>
  <c r="BJ173" i="1"/>
  <c r="J174" i="1"/>
  <c r="K174" i="1"/>
  <c r="L174" i="1"/>
  <c r="AL174" i="1" s="1"/>
  <c r="Z174" i="1"/>
  <c r="AB174" i="1"/>
  <c r="AC174" i="1"/>
  <c r="AF174" i="1"/>
  <c r="AG174" i="1"/>
  <c r="AH174" i="1"/>
  <c r="AJ174" i="1"/>
  <c r="AK174" i="1"/>
  <c r="AO174" i="1"/>
  <c r="AP174" i="1"/>
  <c r="AW174" i="1"/>
  <c r="AV174" i="1" s="1"/>
  <c r="AX174" i="1"/>
  <c r="BC174" i="1"/>
  <c r="BD174" i="1"/>
  <c r="BF174" i="1"/>
  <c r="BH174" i="1"/>
  <c r="AD174" i="1" s="1"/>
  <c r="BI174" i="1"/>
  <c r="AE174" i="1" s="1"/>
  <c r="BJ174" i="1"/>
  <c r="J175" i="1"/>
  <c r="K175" i="1"/>
  <c r="L175" i="1"/>
  <c r="AL175" i="1" s="1"/>
  <c r="Z175" i="1"/>
  <c r="AB175" i="1"/>
  <c r="AC175" i="1"/>
  <c r="AF175" i="1"/>
  <c r="AG175" i="1"/>
  <c r="AH175" i="1"/>
  <c r="AJ175" i="1"/>
  <c r="AK175" i="1"/>
  <c r="AO175" i="1"/>
  <c r="AP175" i="1"/>
  <c r="AW175" i="1"/>
  <c r="AX175" i="1"/>
  <c r="BD175" i="1"/>
  <c r="BF175" i="1"/>
  <c r="BH175" i="1"/>
  <c r="AD175" i="1" s="1"/>
  <c r="BI175" i="1"/>
  <c r="AE175" i="1" s="1"/>
  <c r="BJ175" i="1"/>
  <c r="J176" i="1"/>
  <c r="K176" i="1"/>
  <c r="L176" i="1"/>
  <c r="AL176" i="1" s="1"/>
  <c r="Z176" i="1"/>
  <c r="AB176" i="1"/>
  <c r="AC176" i="1"/>
  <c r="AF176" i="1"/>
  <c r="AG176" i="1"/>
  <c r="AH176" i="1"/>
  <c r="AJ176" i="1"/>
  <c r="AK176" i="1"/>
  <c r="AO176" i="1"/>
  <c r="AP176" i="1"/>
  <c r="AX176" i="1" s="1"/>
  <c r="AW176" i="1"/>
  <c r="BD176" i="1"/>
  <c r="BF176" i="1"/>
  <c r="BH176" i="1"/>
  <c r="AD176" i="1" s="1"/>
  <c r="BI176" i="1"/>
  <c r="AE176" i="1" s="1"/>
  <c r="BJ176" i="1"/>
  <c r="J177" i="1"/>
  <c r="L177" i="1"/>
  <c r="Z177" i="1"/>
  <c r="AB177" i="1"/>
  <c r="AC177" i="1"/>
  <c r="AF177" i="1"/>
  <c r="AG177" i="1"/>
  <c r="AH177" i="1"/>
  <c r="AJ177" i="1"/>
  <c r="AK177" i="1"/>
  <c r="AL177" i="1"/>
  <c r="AO177" i="1"/>
  <c r="AW177" i="1" s="1"/>
  <c r="AP177" i="1"/>
  <c r="BD177" i="1"/>
  <c r="BF177" i="1"/>
  <c r="BH177" i="1"/>
  <c r="AD177" i="1" s="1"/>
  <c r="BI177" i="1"/>
  <c r="AE177" i="1" s="1"/>
  <c r="BJ177" i="1"/>
  <c r="L178" i="1"/>
  <c r="Z178" i="1"/>
  <c r="AB178" i="1"/>
  <c r="AC178" i="1"/>
  <c r="AF178" i="1"/>
  <c r="AG178" i="1"/>
  <c r="AH178" i="1"/>
  <c r="AJ178" i="1"/>
  <c r="AK178" i="1"/>
  <c r="AL178" i="1"/>
  <c r="AO178" i="1"/>
  <c r="AP178" i="1"/>
  <c r="BD178" i="1"/>
  <c r="BF178" i="1"/>
  <c r="BH178" i="1"/>
  <c r="AD178" i="1" s="1"/>
  <c r="BI178" i="1"/>
  <c r="AE178" i="1" s="1"/>
  <c r="BJ178" i="1"/>
  <c r="L179" i="1"/>
  <c r="Z179" i="1"/>
  <c r="AB179" i="1"/>
  <c r="AC179" i="1"/>
  <c r="AD179" i="1"/>
  <c r="AE179" i="1"/>
  <c r="AF179" i="1"/>
  <c r="AG179" i="1"/>
  <c r="AH179" i="1"/>
  <c r="AJ179" i="1"/>
  <c r="AK179" i="1"/>
  <c r="AL179" i="1"/>
  <c r="AO179" i="1"/>
  <c r="AP179" i="1"/>
  <c r="K179" i="1" s="1"/>
  <c r="BD179" i="1"/>
  <c r="BF179" i="1"/>
  <c r="BI179" i="1"/>
  <c r="BJ179" i="1"/>
  <c r="AT180" i="1"/>
  <c r="L181" i="1"/>
  <c r="Z181" i="1"/>
  <c r="AB181" i="1"/>
  <c r="AC181" i="1"/>
  <c r="AF181" i="1"/>
  <c r="AG181" i="1"/>
  <c r="AH181" i="1"/>
  <c r="AJ181" i="1"/>
  <c r="AK181" i="1"/>
  <c r="AL181" i="1"/>
  <c r="AO181" i="1"/>
  <c r="AP181" i="1"/>
  <c r="BD181" i="1"/>
  <c r="BF181" i="1"/>
  <c r="BH181" i="1"/>
  <c r="AD181" i="1" s="1"/>
  <c r="BI181" i="1"/>
  <c r="AE181" i="1" s="1"/>
  <c r="BJ181" i="1"/>
  <c r="L182" i="1"/>
  <c r="Z182" i="1"/>
  <c r="AB182" i="1"/>
  <c r="AC182" i="1"/>
  <c r="AF182" i="1"/>
  <c r="AG182" i="1"/>
  <c r="AH182" i="1"/>
  <c r="AJ182" i="1"/>
  <c r="AK182" i="1"/>
  <c r="AL182" i="1"/>
  <c r="AO182" i="1"/>
  <c r="AP182" i="1"/>
  <c r="K182" i="1" s="1"/>
  <c r="BD182" i="1"/>
  <c r="BF182" i="1"/>
  <c r="BI182" i="1"/>
  <c r="AE182" i="1" s="1"/>
  <c r="BJ182" i="1"/>
  <c r="L183" i="1"/>
  <c r="Z183" i="1"/>
  <c r="AB183" i="1"/>
  <c r="AC183" i="1"/>
  <c r="AF183" i="1"/>
  <c r="AG183" i="1"/>
  <c r="AH183" i="1"/>
  <c r="AJ183" i="1"/>
  <c r="AK183" i="1"/>
  <c r="AL183" i="1"/>
  <c r="AO183" i="1"/>
  <c r="J183" i="1" s="1"/>
  <c r="AP183" i="1"/>
  <c r="K183" i="1" s="1"/>
  <c r="AX183" i="1"/>
  <c r="BD183" i="1"/>
  <c r="BF183" i="1"/>
  <c r="BH183" i="1"/>
  <c r="AD183" i="1" s="1"/>
  <c r="BI183" i="1"/>
  <c r="AE183" i="1" s="1"/>
  <c r="BJ183" i="1"/>
  <c r="K184" i="1"/>
  <c r="L184" i="1"/>
  <c r="AL184" i="1" s="1"/>
  <c r="Z184" i="1"/>
  <c r="AB184" i="1"/>
  <c r="AC184" i="1"/>
  <c r="AF184" i="1"/>
  <c r="AG184" i="1"/>
  <c r="AH184" i="1"/>
  <c r="AJ184" i="1"/>
  <c r="AK184" i="1"/>
  <c r="AO184" i="1"/>
  <c r="J184" i="1" s="1"/>
  <c r="AP184" i="1"/>
  <c r="AW184" i="1"/>
  <c r="AV184" i="1" s="1"/>
  <c r="AX184" i="1"/>
  <c r="BC184" i="1"/>
  <c r="BD184" i="1"/>
  <c r="BF184" i="1"/>
  <c r="BH184" i="1"/>
  <c r="AD184" i="1" s="1"/>
  <c r="BI184" i="1"/>
  <c r="AE184" i="1" s="1"/>
  <c r="BJ184" i="1"/>
  <c r="J185" i="1"/>
  <c r="K185" i="1"/>
  <c r="L185" i="1"/>
  <c r="AL185" i="1" s="1"/>
  <c r="Z185" i="1"/>
  <c r="AB185" i="1"/>
  <c r="AC185" i="1"/>
  <c r="AF185" i="1"/>
  <c r="AG185" i="1"/>
  <c r="AH185" i="1"/>
  <c r="AJ185" i="1"/>
  <c r="AK185" i="1"/>
  <c r="AO185" i="1"/>
  <c r="AP185" i="1"/>
  <c r="AW185" i="1"/>
  <c r="AX185" i="1"/>
  <c r="AV185" i="1" s="1"/>
  <c r="BD185" i="1"/>
  <c r="BF185" i="1"/>
  <c r="BH185" i="1"/>
  <c r="AD185" i="1" s="1"/>
  <c r="BI185" i="1"/>
  <c r="AE185" i="1" s="1"/>
  <c r="BJ185" i="1"/>
  <c r="J186" i="1"/>
  <c r="K186" i="1"/>
  <c r="L186" i="1"/>
  <c r="AL186" i="1" s="1"/>
  <c r="Z186" i="1"/>
  <c r="AB186" i="1"/>
  <c r="AC186" i="1"/>
  <c r="AF186" i="1"/>
  <c r="AG186" i="1"/>
  <c r="AH186" i="1"/>
  <c r="AJ186" i="1"/>
  <c r="AK186" i="1"/>
  <c r="AO186" i="1"/>
  <c r="AP186" i="1"/>
  <c r="AW186" i="1"/>
  <c r="AX186" i="1"/>
  <c r="BD186" i="1"/>
  <c r="BF186" i="1"/>
  <c r="BH186" i="1"/>
  <c r="AD186" i="1" s="1"/>
  <c r="BI186" i="1"/>
  <c r="AE186" i="1" s="1"/>
  <c r="BJ186" i="1"/>
  <c r="J187" i="1"/>
  <c r="K187" i="1"/>
  <c r="L187" i="1"/>
  <c r="AL187" i="1" s="1"/>
  <c r="AB187" i="1"/>
  <c r="AC187" i="1"/>
  <c r="AD187" i="1"/>
  <c r="AE187" i="1"/>
  <c r="AF187" i="1"/>
  <c r="AG187" i="1"/>
  <c r="AH187" i="1"/>
  <c r="AJ187" i="1"/>
  <c r="AK187" i="1"/>
  <c r="AO187" i="1"/>
  <c r="AP187" i="1"/>
  <c r="AX187" i="1" s="1"/>
  <c r="AV187" i="1" s="1"/>
  <c r="AW187" i="1"/>
  <c r="BD187" i="1"/>
  <c r="BF187" i="1"/>
  <c r="BH187" i="1"/>
  <c r="BI187" i="1"/>
  <c r="BJ187" i="1"/>
  <c r="Z187" i="1" s="1"/>
  <c r="J189" i="1"/>
  <c r="K189" i="1"/>
  <c r="L189" i="1"/>
  <c r="Z189" i="1"/>
  <c r="AB189" i="1"/>
  <c r="AC189" i="1"/>
  <c r="AF189" i="1"/>
  <c r="AG189" i="1"/>
  <c r="AH189" i="1"/>
  <c r="AJ189" i="1"/>
  <c r="AK189" i="1"/>
  <c r="AO189" i="1"/>
  <c r="AP189" i="1"/>
  <c r="AW189" i="1"/>
  <c r="AX189" i="1"/>
  <c r="BD189" i="1"/>
  <c r="BF189" i="1"/>
  <c r="BH189" i="1"/>
  <c r="AD189" i="1" s="1"/>
  <c r="BI189" i="1"/>
  <c r="AE189" i="1" s="1"/>
  <c r="BJ189" i="1"/>
  <c r="J190" i="1"/>
  <c r="K190" i="1"/>
  <c r="L190" i="1"/>
  <c r="AL190" i="1" s="1"/>
  <c r="Z190" i="1"/>
  <c r="AB190" i="1"/>
  <c r="AC190" i="1"/>
  <c r="AF190" i="1"/>
  <c r="AG190" i="1"/>
  <c r="AH190" i="1"/>
  <c r="AJ190" i="1"/>
  <c r="AK190" i="1"/>
  <c r="AO190" i="1"/>
  <c r="AP190" i="1"/>
  <c r="AX190" i="1" s="1"/>
  <c r="AW190" i="1"/>
  <c r="BC190" i="1" s="1"/>
  <c r="BD190" i="1"/>
  <c r="BF190" i="1"/>
  <c r="BH190" i="1"/>
  <c r="AD190" i="1" s="1"/>
  <c r="BI190" i="1"/>
  <c r="AE190" i="1" s="1"/>
  <c r="BJ190" i="1"/>
  <c r="J191" i="1"/>
  <c r="L191" i="1"/>
  <c r="Z191" i="1"/>
  <c r="AB191" i="1"/>
  <c r="AC191" i="1"/>
  <c r="AF191" i="1"/>
  <c r="AG191" i="1"/>
  <c r="AH191" i="1"/>
  <c r="AJ191" i="1"/>
  <c r="AK191" i="1"/>
  <c r="AL191" i="1"/>
  <c r="AO191" i="1"/>
  <c r="AW191" i="1" s="1"/>
  <c r="AP191" i="1"/>
  <c r="BD191" i="1"/>
  <c r="BF191" i="1"/>
  <c r="BH191" i="1"/>
  <c r="AD191" i="1" s="1"/>
  <c r="BI191" i="1"/>
  <c r="AE191" i="1" s="1"/>
  <c r="BJ191" i="1"/>
  <c r="L192" i="1"/>
  <c r="Z192" i="1"/>
  <c r="AB192" i="1"/>
  <c r="AC192" i="1"/>
  <c r="AF192" i="1"/>
  <c r="AG192" i="1"/>
  <c r="AH192" i="1"/>
  <c r="AJ192" i="1"/>
  <c r="AK192" i="1"/>
  <c r="AL192" i="1"/>
  <c r="AO192" i="1"/>
  <c r="AP192" i="1"/>
  <c r="BI192" i="1" s="1"/>
  <c r="AE192" i="1" s="1"/>
  <c r="BD192" i="1"/>
  <c r="BF192" i="1"/>
  <c r="BH192" i="1"/>
  <c r="AD192" i="1" s="1"/>
  <c r="BJ192" i="1"/>
  <c r="L193" i="1"/>
  <c r="Z193" i="1"/>
  <c r="AB193" i="1"/>
  <c r="AC193" i="1"/>
  <c r="AF193" i="1"/>
  <c r="AG193" i="1"/>
  <c r="AH193" i="1"/>
  <c r="AJ193" i="1"/>
  <c r="AK193" i="1"/>
  <c r="AL193" i="1"/>
  <c r="AO193" i="1"/>
  <c r="AP193" i="1"/>
  <c r="K193" i="1" s="1"/>
  <c r="BD193" i="1"/>
  <c r="BF193" i="1"/>
  <c r="BH193" i="1"/>
  <c r="AD193" i="1" s="1"/>
  <c r="BI193" i="1"/>
  <c r="AE193" i="1" s="1"/>
  <c r="BJ193" i="1"/>
  <c r="L194" i="1"/>
  <c r="Z194" i="1"/>
  <c r="AB194" i="1"/>
  <c r="AC194" i="1"/>
  <c r="AF194" i="1"/>
  <c r="AG194" i="1"/>
  <c r="AH194" i="1"/>
  <c r="AJ194" i="1"/>
  <c r="AK194" i="1"/>
  <c r="AL194" i="1"/>
  <c r="AO194" i="1"/>
  <c r="J194" i="1" s="1"/>
  <c r="AP194" i="1"/>
  <c r="K194" i="1" s="1"/>
  <c r="AX194" i="1"/>
  <c r="BD194" i="1"/>
  <c r="BF194" i="1"/>
  <c r="BH194" i="1"/>
  <c r="AD194" i="1" s="1"/>
  <c r="BI194" i="1"/>
  <c r="AE194" i="1" s="1"/>
  <c r="BJ194" i="1"/>
  <c r="K195" i="1"/>
  <c r="L195" i="1"/>
  <c r="AL195" i="1" s="1"/>
  <c r="Z195" i="1"/>
  <c r="AB195" i="1"/>
  <c r="AC195" i="1"/>
  <c r="AF195" i="1"/>
  <c r="AG195" i="1"/>
  <c r="AH195" i="1"/>
  <c r="AJ195" i="1"/>
  <c r="AK195" i="1"/>
  <c r="AO195" i="1"/>
  <c r="J195" i="1" s="1"/>
  <c r="AP195" i="1"/>
  <c r="AW195" i="1"/>
  <c r="AV195" i="1" s="1"/>
  <c r="AX195" i="1"/>
  <c r="BC195" i="1"/>
  <c r="BD195" i="1"/>
  <c r="BF195" i="1"/>
  <c r="BH195" i="1"/>
  <c r="AD195" i="1" s="1"/>
  <c r="BI195" i="1"/>
  <c r="AE195" i="1" s="1"/>
  <c r="BJ195" i="1"/>
  <c r="J196" i="1"/>
  <c r="K196" i="1"/>
  <c r="L196" i="1"/>
  <c r="AL196" i="1" s="1"/>
  <c r="Z196" i="1"/>
  <c r="AB196" i="1"/>
  <c r="AC196" i="1"/>
  <c r="AF196" i="1"/>
  <c r="AG196" i="1"/>
  <c r="AH196" i="1"/>
  <c r="AJ196" i="1"/>
  <c r="AK196" i="1"/>
  <c r="AO196" i="1"/>
  <c r="AP196" i="1"/>
  <c r="AW196" i="1"/>
  <c r="AX196" i="1"/>
  <c r="AV196" i="1" s="1"/>
  <c r="BC196" i="1"/>
  <c r="BD196" i="1"/>
  <c r="BF196" i="1"/>
  <c r="BH196" i="1"/>
  <c r="AD196" i="1" s="1"/>
  <c r="BI196" i="1"/>
  <c r="AE196" i="1" s="1"/>
  <c r="BJ196" i="1"/>
  <c r="J197" i="1"/>
  <c r="K197" i="1"/>
  <c r="L197" i="1"/>
  <c r="AL197" i="1" s="1"/>
  <c r="Z197" i="1"/>
  <c r="AB197" i="1"/>
  <c r="AC197" i="1"/>
  <c r="AF197" i="1"/>
  <c r="AG197" i="1"/>
  <c r="AH197" i="1"/>
  <c r="AJ197" i="1"/>
  <c r="AK197" i="1"/>
  <c r="AO197" i="1"/>
  <c r="AP197" i="1"/>
  <c r="AW197" i="1"/>
  <c r="AX197" i="1"/>
  <c r="BD197" i="1"/>
  <c r="BF197" i="1"/>
  <c r="BH197" i="1"/>
  <c r="AD197" i="1" s="1"/>
  <c r="BI197" i="1"/>
  <c r="AE197" i="1" s="1"/>
  <c r="BJ197" i="1"/>
  <c r="J198" i="1"/>
  <c r="K198" i="1"/>
  <c r="L198" i="1"/>
  <c r="AL198" i="1" s="1"/>
  <c r="Z198" i="1"/>
  <c r="AB198" i="1"/>
  <c r="AC198" i="1"/>
  <c r="AF198" i="1"/>
  <c r="AG198" i="1"/>
  <c r="AH198" i="1"/>
  <c r="AJ198" i="1"/>
  <c r="AK198" i="1"/>
  <c r="AO198" i="1"/>
  <c r="AP198" i="1"/>
  <c r="AX198" i="1" s="1"/>
  <c r="AW198" i="1"/>
  <c r="BD198" i="1"/>
  <c r="BF198" i="1"/>
  <c r="BH198" i="1"/>
  <c r="AD198" i="1" s="1"/>
  <c r="BI198" i="1"/>
  <c r="AE198" i="1" s="1"/>
  <c r="BJ198" i="1"/>
  <c r="J199" i="1"/>
  <c r="L199" i="1"/>
  <c r="Z199" i="1"/>
  <c r="AB199" i="1"/>
  <c r="AC199" i="1"/>
  <c r="AF199" i="1"/>
  <c r="AG199" i="1"/>
  <c r="AH199" i="1"/>
  <c r="AJ199" i="1"/>
  <c r="AK199" i="1"/>
  <c r="AL199" i="1"/>
  <c r="AO199" i="1"/>
  <c r="AW199" i="1" s="1"/>
  <c r="AP199" i="1"/>
  <c r="BD199" i="1"/>
  <c r="BF199" i="1"/>
  <c r="BH199" i="1"/>
  <c r="AD199" i="1" s="1"/>
  <c r="BI199" i="1"/>
  <c r="AE199" i="1" s="1"/>
  <c r="BJ199" i="1"/>
  <c r="L200" i="1"/>
  <c r="Z200" i="1"/>
  <c r="AB200" i="1"/>
  <c r="AC200" i="1"/>
  <c r="AF200" i="1"/>
  <c r="AG200" i="1"/>
  <c r="AH200" i="1"/>
  <c r="AJ200" i="1"/>
  <c r="AK200" i="1"/>
  <c r="AL200" i="1"/>
  <c r="AO200" i="1"/>
  <c r="AP200" i="1"/>
  <c r="BD200" i="1"/>
  <c r="BF200" i="1"/>
  <c r="BI200" i="1"/>
  <c r="AE200" i="1" s="1"/>
  <c r="BJ200" i="1"/>
  <c r="L201" i="1"/>
  <c r="Z201" i="1"/>
  <c r="AB201" i="1"/>
  <c r="AC201" i="1"/>
  <c r="AF201" i="1"/>
  <c r="AG201" i="1"/>
  <c r="AH201" i="1"/>
  <c r="AJ201" i="1"/>
  <c r="AK201" i="1"/>
  <c r="AL201" i="1"/>
  <c r="AO201" i="1"/>
  <c r="AP201" i="1"/>
  <c r="K201" i="1" s="1"/>
  <c r="BD201" i="1"/>
  <c r="BF201" i="1"/>
  <c r="BI201" i="1"/>
  <c r="AE201" i="1" s="1"/>
  <c r="BJ201" i="1"/>
  <c r="L202" i="1"/>
  <c r="Z202" i="1"/>
  <c r="AB202" i="1"/>
  <c r="AC202" i="1"/>
  <c r="AF202" i="1"/>
  <c r="AG202" i="1"/>
  <c r="AH202" i="1"/>
  <c r="AJ202" i="1"/>
  <c r="AK202" i="1"/>
  <c r="AL202" i="1"/>
  <c r="AO202" i="1"/>
  <c r="J202" i="1" s="1"/>
  <c r="AP202" i="1"/>
  <c r="K202" i="1" s="1"/>
  <c r="AX202" i="1"/>
  <c r="BD202" i="1"/>
  <c r="BF202" i="1"/>
  <c r="BH202" i="1"/>
  <c r="AD202" i="1" s="1"/>
  <c r="BI202" i="1"/>
  <c r="AE202" i="1" s="1"/>
  <c r="BJ202" i="1"/>
  <c r="K203" i="1"/>
  <c r="L203" i="1"/>
  <c r="AL203" i="1" s="1"/>
  <c r="Z203" i="1"/>
  <c r="AB203" i="1"/>
  <c r="AC203" i="1"/>
  <c r="AF203" i="1"/>
  <c r="AG203" i="1"/>
  <c r="AH203" i="1"/>
  <c r="AJ203" i="1"/>
  <c r="AK203" i="1"/>
  <c r="AO203" i="1"/>
  <c r="J203" i="1" s="1"/>
  <c r="AP203" i="1"/>
  <c r="AW203" i="1"/>
  <c r="AV203" i="1" s="1"/>
  <c r="AX203" i="1"/>
  <c r="BC203" i="1"/>
  <c r="BD203" i="1"/>
  <c r="BF203" i="1"/>
  <c r="BH203" i="1"/>
  <c r="AD203" i="1" s="1"/>
  <c r="BI203" i="1"/>
  <c r="AE203" i="1" s="1"/>
  <c r="BJ203" i="1"/>
  <c r="J204" i="1"/>
  <c r="K204" i="1"/>
  <c r="L204" i="1"/>
  <c r="AL204" i="1" s="1"/>
  <c r="Z204" i="1"/>
  <c r="AB204" i="1"/>
  <c r="AC204" i="1"/>
  <c r="AF204" i="1"/>
  <c r="AG204" i="1"/>
  <c r="AH204" i="1"/>
  <c r="AJ204" i="1"/>
  <c r="AK204" i="1"/>
  <c r="AO204" i="1"/>
  <c r="AP204" i="1"/>
  <c r="AW204" i="1"/>
  <c r="AX204" i="1"/>
  <c r="AV204" i="1" s="1"/>
  <c r="BC204" i="1"/>
  <c r="BD204" i="1"/>
  <c r="BF204" i="1"/>
  <c r="BH204" i="1"/>
  <c r="AD204" i="1" s="1"/>
  <c r="BI204" i="1"/>
  <c r="AE204" i="1" s="1"/>
  <c r="BJ204" i="1"/>
  <c r="J205" i="1"/>
  <c r="K205" i="1"/>
  <c r="L205" i="1"/>
  <c r="AL205" i="1" s="1"/>
  <c r="Z205" i="1"/>
  <c r="AB205" i="1"/>
  <c r="AC205" i="1"/>
  <c r="AF205" i="1"/>
  <c r="AG205" i="1"/>
  <c r="AH205" i="1"/>
  <c r="AJ205" i="1"/>
  <c r="AK205" i="1"/>
  <c r="AO205" i="1"/>
  <c r="AP205" i="1"/>
  <c r="AW205" i="1"/>
  <c r="AX205" i="1"/>
  <c r="BD205" i="1"/>
  <c r="BF205" i="1"/>
  <c r="BH205" i="1"/>
  <c r="AD205" i="1" s="1"/>
  <c r="BI205" i="1"/>
  <c r="AE205" i="1" s="1"/>
  <c r="BJ205" i="1"/>
  <c r="J206" i="1"/>
  <c r="K206" i="1"/>
  <c r="L206" i="1"/>
  <c r="AL206" i="1" s="1"/>
  <c r="Z206" i="1"/>
  <c r="AB206" i="1"/>
  <c r="AC206" i="1"/>
  <c r="AF206" i="1"/>
  <c r="AG206" i="1"/>
  <c r="AH206" i="1"/>
  <c r="AJ206" i="1"/>
  <c r="AK206" i="1"/>
  <c r="AO206" i="1"/>
  <c r="AP206" i="1"/>
  <c r="AX206" i="1" s="1"/>
  <c r="AW206" i="1"/>
  <c r="BC206" i="1" s="1"/>
  <c r="BD206" i="1"/>
  <c r="BF206" i="1"/>
  <c r="BH206" i="1"/>
  <c r="AD206" i="1" s="1"/>
  <c r="BI206" i="1"/>
  <c r="AE206" i="1" s="1"/>
  <c r="BJ206" i="1"/>
  <c r="J207" i="1"/>
  <c r="L207" i="1"/>
  <c r="Z207" i="1"/>
  <c r="AB207" i="1"/>
  <c r="AC207" i="1"/>
  <c r="AF207" i="1"/>
  <c r="AG207" i="1"/>
  <c r="AH207" i="1"/>
  <c r="AJ207" i="1"/>
  <c r="AK207" i="1"/>
  <c r="AL207" i="1"/>
  <c r="AO207" i="1"/>
  <c r="AW207" i="1" s="1"/>
  <c r="AP207" i="1"/>
  <c r="BD207" i="1"/>
  <c r="BF207" i="1"/>
  <c r="BH207" i="1"/>
  <c r="AD207" i="1" s="1"/>
  <c r="BI207" i="1"/>
  <c r="AE207" i="1" s="1"/>
  <c r="BJ207" i="1"/>
  <c r="L208" i="1"/>
  <c r="Z208" i="1"/>
  <c r="AB208" i="1"/>
  <c r="AC208" i="1"/>
  <c r="AF208" i="1"/>
  <c r="AG208" i="1"/>
  <c r="AH208" i="1"/>
  <c r="AJ208" i="1"/>
  <c r="AK208" i="1"/>
  <c r="AL208" i="1"/>
  <c r="AO208" i="1"/>
  <c r="AP208" i="1"/>
  <c r="BI208" i="1" s="1"/>
  <c r="AE208" i="1" s="1"/>
  <c r="BD208" i="1"/>
  <c r="BF208" i="1"/>
  <c r="BH208" i="1"/>
  <c r="AD208" i="1" s="1"/>
  <c r="BJ208" i="1"/>
  <c r="L209" i="1"/>
  <c r="Z209" i="1"/>
  <c r="AB209" i="1"/>
  <c r="AC209" i="1"/>
  <c r="AF209" i="1"/>
  <c r="AG209" i="1"/>
  <c r="AH209" i="1"/>
  <c r="AJ209" i="1"/>
  <c r="AK209" i="1"/>
  <c r="AL209" i="1"/>
  <c r="AO209" i="1"/>
  <c r="AP209" i="1"/>
  <c r="K209" i="1" s="1"/>
  <c r="BD209" i="1"/>
  <c r="BF209" i="1"/>
  <c r="BH209" i="1"/>
  <c r="AD209" i="1" s="1"/>
  <c r="BI209" i="1"/>
  <c r="AE209" i="1" s="1"/>
  <c r="BJ209" i="1"/>
  <c r="L210" i="1"/>
  <c r="Z210" i="1"/>
  <c r="AB210" i="1"/>
  <c r="AC210" i="1"/>
  <c r="AF210" i="1"/>
  <c r="AG210" i="1"/>
  <c r="AH210" i="1"/>
  <c r="AJ210" i="1"/>
  <c r="AK210" i="1"/>
  <c r="AL210" i="1"/>
  <c r="AO210" i="1"/>
  <c r="J210" i="1" s="1"/>
  <c r="AP210" i="1"/>
  <c r="K210" i="1" s="1"/>
  <c r="AX210" i="1"/>
  <c r="BD210" i="1"/>
  <c r="BF210" i="1"/>
  <c r="BH210" i="1"/>
  <c r="AD210" i="1" s="1"/>
  <c r="BI210" i="1"/>
  <c r="AE210" i="1" s="1"/>
  <c r="BJ210" i="1"/>
  <c r="K211" i="1"/>
  <c r="L211" i="1"/>
  <c r="AL211" i="1" s="1"/>
  <c r="Z211" i="1"/>
  <c r="AB211" i="1"/>
  <c r="AC211" i="1"/>
  <c r="AF211" i="1"/>
  <c r="AG211" i="1"/>
  <c r="AH211" i="1"/>
  <c r="AJ211" i="1"/>
  <c r="AK211" i="1"/>
  <c r="AO211" i="1"/>
  <c r="J211" i="1" s="1"/>
  <c r="AP211" i="1"/>
  <c r="AW211" i="1"/>
  <c r="AV211" i="1" s="1"/>
  <c r="AX211" i="1"/>
  <c r="BC211" i="1"/>
  <c r="BD211" i="1"/>
  <c r="BF211" i="1"/>
  <c r="BH211" i="1"/>
  <c r="AD211" i="1" s="1"/>
  <c r="BI211" i="1"/>
  <c r="AE211" i="1" s="1"/>
  <c r="BJ211" i="1"/>
  <c r="J212" i="1"/>
  <c r="K212" i="1"/>
  <c r="L212" i="1"/>
  <c r="AL212" i="1" s="1"/>
  <c r="Z212" i="1"/>
  <c r="AB212" i="1"/>
  <c r="AC212" i="1"/>
  <c r="AF212" i="1"/>
  <c r="AG212" i="1"/>
  <c r="AH212" i="1"/>
  <c r="AJ212" i="1"/>
  <c r="AK212" i="1"/>
  <c r="AO212" i="1"/>
  <c r="AP212" i="1"/>
  <c r="AW212" i="1"/>
  <c r="AX212" i="1"/>
  <c r="AV212" i="1" s="1"/>
  <c r="BC212" i="1"/>
  <c r="BD212" i="1"/>
  <c r="BF212" i="1"/>
  <c r="BH212" i="1"/>
  <c r="AD212" i="1" s="1"/>
  <c r="BI212" i="1"/>
  <c r="AE212" i="1" s="1"/>
  <c r="BJ212" i="1"/>
  <c r="J213" i="1"/>
  <c r="K213" i="1"/>
  <c r="L213" i="1"/>
  <c r="AL213" i="1" s="1"/>
  <c r="AB213" i="1"/>
  <c r="AC213" i="1"/>
  <c r="AD213" i="1"/>
  <c r="AE213" i="1"/>
  <c r="AF213" i="1"/>
  <c r="AG213" i="1"/>
  <c r="AH213" i="1"/>
  <c r="AJ213" i="1"/>
  <c r="AK213" i="1"/>
  <c r="AO213" i="1"/>
  <c r="AP213" i="1"/>
  <c r="AW213" i="1"/>
  <c r="AX213" i="1"/>
  <c r="BD213" i="1"/>
  <c r="BF213" i="1"/>
  <c r="BH213" i="1"/>
  <c r="BI213" i="1"/>
  <c r="BJ213" i="1"/>
  <c r="Z213" i="1" s="1"/>
  <c r="J215" i="1"/>
  <c r="K215" i="1"/>
  <c r="L215" i="1"/>
  <c r="Z215" i="1"/>
  <c r="AB215" i="1"/>
  <c r="AC215" i="1"/>
  <c r="AF215" i="1"/>
  <c r="AG215" i="1"/>
  <c r="AH215" i="1"/>
  <c r="AJ215" i="1"/>
  <c r="AK215" i="1"/>
  <c r="AO215" i="1"/>
  <c r="AP215" i="1"/>
  <c r="AW215" i="1"/>
  <c r="AX215" i="1"/>
  <c r="AV215" i="1" s="1"/>
  <c r="BC215" i="1"/>
  <c r="BD215" i="1"/>
  <c r="BF215" i="1"/>
  <c r="BH215" i="1"/>
  <c r="AD215" i="1" s="1"/>
  <c r="BI215" i="1"/>
  <c r="AE215" i="1" s="1"/>
  <c r="BJ215" i="1"/>
  <c r="J217" i="1"/>
  <c r="K217" i="1"/>
  <c r="L217" i="1"/>
  <c r="AL217" i="1" s="1"/>
  <c r="Z217" i="1"/>
  <c r="AB217" i="1"/>
  <c r="AC217" i="1"/>
  <c r="AF217" i="1"/>
  <c r="AG217" i="1"/>
  <c r="AH217" i="1"/>
  <c r="AJ217" i="1"/>
  <c r="AK217" i="1"/>
  <c r="AO217" i="1"/>
  <c r="AP217" i="1"/>
  <c r="AW217" i="1"/>
  <c r="AX217" i="1"/>
  <c r="BD217" i="1"/>
  <c r="BF217" i="1"/>
  <c r="BH217" i="1"/>
  <c r="AD217" i="1" s="1"/>
  <c r="BI217" i="1"/>
  <c r="AE217" i="1" s="1"/>
  <c r="BJ217" i="1"/>
  <c r="J218" i="1"/>
  <c r="K218" i="1"/>
  <c r="L218" i="1"/>
  <c r="AL218" i="1" s="1"/>
  <c r="Z218" i="1"/>
  <c r="AB218" i="1"/>
  <c r="AC218" i="1"/>
  <c r="AD218" i="1"/>
  <c r="AF218" i="1"/>
  <c r="AG218" i="1"/>
  <c r="AH218" i="1"/>
  <c r="AJ218" i="1"/>
  <c r="AK218" i="1"/>
  <c r="AO218" i="1"/>
  <c r="AP218" i="1"/>
  <c r="AV218" i="1"/>
  <c r="AW218" i="1"/>
  <c r="BC218" i="1" s="1"/>
  <c r="AX218" i="1"/>
  <c r="BD218" i="1"/>
  <c r="BF218" i="1"/>
  <c r="BH218" i="1"/>
  <c r="BI218" i="1"/>
  <c r="AE218" i="1" s="1"/>
  <c r="BJ218" i="1"/>
  <c r="J219" i="1"/>
  <c r="L219" i="1"/>
  <c r="Z219" i="1"/>
  <c r="AB219" i="1"/>
  <c r="AC219" i="1"/>
  <c r="AF219" i="1"/>
  <c r="AG219" i="1"/>
  <c r="AH219" i="1"/>
  <c r="AJ219" i="1"/>
  <c r="AK219" i="1"/>
  <c r="AL219" i="1"/>
  <c r="AO219" i="1"/>
  <c r="AP219" i="1"/>
  <c r="AX219" i="1" s="1"/>
  <c r="AV219" i="1"/>
  <c r="AW219" i="1"/>
  <c r="BC219" i="1"/>
  <c r="BD219" i="1"/>
  <c r="BF219" i="1"/>
  <c r="BH219" i="1"/>
  <c r="AD219" i="1" s="1"/>
  <c r="BJ219" i="1"/>
  <c r="J221" i="1"/>
  <c r="L221" i="1"/>
  <c r="Z221" i="1"/>
  <c r="AB221" i="1"/>
  <c r="AC221" i="1"/>
  <c r="AF221" i="1"/>
  <c r="AG221" i="1"/>
  <c r="AH221" i="1"/>
  <c r="AJ221" i="1"/>
  <c r="AK221" i="1"/>
  <c r="AL221" i="1"/>
  <c r="AO221" i="1"/>
  <c r="AW221" i="1" s="1"/>
  <c r="AP221" i="1"/>
  <c r="K221" i="1" s="1"/>
  <c r="AX221" i="1"/>
  <c r="AV221" i="1" s="1"/>
  <c r="BD221" i="1"/>
  <c r="BF221" i="1"/>
  <c r="BH221" i="1"/>
  <c r="AD221" i="1" s="1"/>
  <c r="BI221" i="1"/>
  <c r="AE221" i="1" s="1"/>
  <c r="BJ221" i="1"/>
  <c r="L222" i="1"/>
  <c r="Z222" i="1"/>
  <c r="AB222" i="1"/>
  <c r="AC222" i="1"/>
  <c r="AF222" i="1"/>
  <c r="AG222" i="1"/>
  <c r="AH222" i="1"/>
  <c r="AJ222" i="1"/>
  <c r="AK222" i="1"/>
  <c r="AL222" i="1"/>
  <c r="AO222" i="1"/>
  <c r="J222" i="1" s="1"/>
  <c r="AP222" i="1"/>
  <c r="AX222" i="1" s="1"/>
  <c r="BD222" i="1"/>
  <c r="BF222" i="1"/>
  <c r="BH222" i="1"/>
  <c r="AD222" i="1" s="1"/>
  <c r="BI222" i="1"/>
  <c r="AE222" i="1" s="1"/>
  <c r="BJ222" i="1"/>
  <c r="J223" i="1"/>
  <c r="L223" i="1"/>
  <c r="Z223" i="1"/>
  <c r="AB223" i="1"/>
  <c r="AC223" i="1"/>
  <c r="AF223" i="1"/>
  <c r="AG223" i="1"/>
  <c r="AH223" i="1"/>
  <c r="AJ223" i="1"/>
  <c r="AK223" i="1"/>
  <c r="AL223" i="1"/>
  <c r="AO223" i="1"/>
  <c r="AP223" i="1"/>
  <c r="AW223" i="1"/>
  <c r="BD223" i="1"/>
  <c r="BF223" i="1"/>
  <c r="BH223" i="1"/>
  <c r="AD223" i="1" s="1"/>
  <c r="BI223" i="1"/>
  <c r="AE223" i="1" s="1"/>
  <c r="BJ223" i="1"/>
  <c r="L224" i="1"/>
  <c r="Z224" i="1"/>
  <c r="AB224" i="1"/>
  <c r="AC224" i="1"/>
  <c r="AD224" i="1"/>
  <c r="AF224" i="1"/>
  <c r="AG224" i="1"/>
  <c r="AH224" i="1"/>
  <c r="AJ224" i="1"/>
  <c r="AK224" i="1"/>
  <c r="AL224" i="1"/>
  <c r="AO224" i="1"/>
  <c r="AP224" i="1"/>
  <c r="K224" i="1" s="1"/>
  <c r="BD224" i="1"/>
  <c r="BF224" i="1"/>
  <c r="BH224" i="1"/>
  <c r="BI224" i="1"/>
  <c r="AE224" i="1" s="1"/>
  <c r="BJ224" i="1"/>
  <c r="L226" i="1"/>
  <c r="Z226" i="1"/>
  <c r="AB226" i="1"/>
  <c r="AC226" i="1"/>
  <c r="AF226" i="1"/>
  <c r="AG226" i="1"/>
  <c r="AH226" i="1"/>
  <c r="AJ226" i="1"/>
  <c r="AK226" i="1"/>
  <c r="AL226" i="1"/>
  <c r="AO226" i="1"/>
  <c r="J226" i="1" s="1"/>
  <c r="AP226" i="1"/>
  <c r="K226" i="1" s="1"/>
  <c r="BD226" i="1"/>
  <c r="BF226" i="1"/>
  <c r="BH226" i="1"/>
  <c r="AD226" i="1" s="1"/>
  <c r="BI226" i="1"/>
  <c r="AE226" i="1" s="1"/>
  <c r="BJ226" i="1"/>
  <c r="K227" i="1"/>
  <c r="L227" i="1"/>
  <c r="AL227" i="1" s="1"/>
  <c r="Z227" i="1"/>
  <c r="AB227" i="1"/>
  <c r="AC227" i="1"/>
  <c r="AF227" i="1"/>
  <c r="AG227" i="1"/>
  <c r="AH227" i="1"/>
  <c r="AJ227" i="1"/>
  <c r="AK227" i="1"/>
  <c r="AO227" i="1"/>
  <c r="J227" i="1" s="1"/>
  <c r="AP227" i="1"/>
  <c r="AX227" i="1"/>
  <c r="BD227" i="1"/>
  <c r="BF227" i="1"/>
  <c r="BH227" i="1"/>
  <c r="AD227" i="1" s="1"/>
  <c r="BI227" i="1"/>
  <c r="AE227" i="1" s="1"/>
  <c r="BJ227" i="1"/>
  <c r="J228" i="1"/>
  <c r="K228" i="1"/>
  <c r="L228" i="1"/>
  <c r="Z228" i="1"/>
  <c r="AB228" i="1"/>
  <c r="AC228" i="1"/>
  <c r="AF228" i="1"/>
  <c r="AG228" i="1"/>
  <c r="AH228" i="1"/>
  <c r="AJ228" i="1"/>
  <c r="AK228" i="1"/>
  <c r="AL228" i="1"/>
  <c r="AO228" i="1"/>
  <c r="AP228" i="1"/>
  <c r="AW228" i="1"/>
  <c r="AV228" i="1" s="1"/>
  <c r="AX228" i="1"/>
  <c r="BC228" i="1"/>
  <c r="BD228" i="1"/>
  <c r="BF228" i="1"/>
  <c r="BH228" i="1"/>
  <c r="AD228" i="1" s="1"/>
  <c r="BI228" i="1"/>
  <c r="AE228" i="1" s="1"/>
  <c r="BJ228" i="1"/>
  <c r="J229" i="1"/>
  <c r="L229" i="1"/>
  <c r="AL229" i="1" s="1"/>
  <c r="Z229" i="1"/>
  <c r="AB229" i="1"/>
  <c r="AC229" i="1"/>
  <c r="AF229" i="1"/>
  <c r="AG229" i="1"/>
  <c r="AH229" i="1"/>
  <c r="AJ229" i="1"/>
  <c r="AK229" i="1"/>
  <c r="AO229" i="1"/>
  <c r="AP229" i="1"/>
  <c r="K229" i="1" s="1"/>
  <c r="AW229" i="1"/>
  <c r="AX229" i="1"/>
  <c r="BD229" i="1"/>
  <c r="BF229" i="1"/>
  <c r="BH229" i="1"/>
  <c r="AD229" i="1" s="1"/>
  <c r="BI229" i="1"/>
  <c r="AE229" i="1" s="1"/>
  <c r="BJ229" i="1"/>
  <c r="K230" i="1"/>
  <c r="L230" i="1"/>
  <c r="AL230" i="1" s="1"/>
  <c r="Z230" i="1"/>
  <c r="AB230" i="1"/>
  <c r="AC230" i="1"/>
  <c r="AF230" i="1"/>
  <c r="AG230" i="1"/>
  <c r="AH230" i="1"/>
  <c r="AJ230" i="1"/>
  <c r="AK230" i="1"/>
  <c r="AO230" i="1"/>
  <c r="J230" i="1" s="1"/>
  <c r="AP230" i="1"/>
  <c r="AX230" i="1" s="1"/>
  <c r="AW230" i="1"/>
  <c r="BD230" i="1"/>
  <c r="BF230" i="1"/>
  <c r="BH230" i="1"/>
  <c r="AD230" i="1" s="1"/>
  <c r="BI230" i="1"/>
  <c r="AE230" i="1" s="1"/>
  <c r="BJ230" i="1"/>
  <c r="J232" i="1"/>
  <c r="L232" i="1"/>
  <c r="AL232" i="1" s="1"/>
  <c r="Z232" i="1"/>
  <c r="AB232" i="1"/>
  <c r="AC232" i="1"/>
  <c r="AF232" i="1"/>
  <c r="AG232" i="1"/>
  <c r="AH232" i="1"/>
  <c r="AJ232" i="1"/>
  <c r="AK232" i="1"/>
  <c r="AO232" i="1"/>
  <c r="AW232" i="1" s="1"/>
  <c r="BC232" i="1" s="1"/>
  <c r="AP232" i="1"/>
  <c r="K232" i="1" s="1"/>
  <c r="AV232" i="1"/>
  <c r="AX232" i="1"/>
  <c r="BD232" i="1"/>
  <c r="BF232" i="1"/>
  <c r="BH232" i="1"/>
  <c r="AD232" i="1" s="1"/>
  <c r="BI232" i="1"/>
  <c r="AE232" i="1" s="1"/>
  <c r="BJ232" i="1"/>
  <c r="L234" i="1"/>
  <c r="Z234" i="1"/>
  <c r="AB234" i="1"/>
  <c r="AC234" i="1"/>
  <c r="AF234" i="1"/>
  <c r="AG234" i="1"/>
  <c r="AH234" i="1"/>
  <c r="AJ234" i="1"/>
  <c r="AK234" i="1"/>
  <c r="AL234" i="1"/>
  <c r="AO234" i="1"/>
  <c r="J234" i="1" s="1"/>
  <c r="AP234" i="1"/>
  <c r="AW234" i="1"/>
  <c r="BD234" i="1"/>
  <c r="BF234" i="1"/>
  <c r="BH234" i="1"/>
  <c r="AD234" i="1" s="1"/>
  <c r="BI234" i="1"/>
  <c r="AE234" i="1" s="1"/>
  <c r="BJ234" i="1"/>
  <c r="L236" i="1"/>
  <c r="Z236" i="1"/>
  <c r="AB236" i="1"/>
  <c r="AC236" i="1"/>
  <c r="AF236" i="1"/>
  <c r="AG236" i="1"/>
  <c r="AH236" i="1"/>
  <c r="AJ236" i="1"/>
  <c r="AK236" i="1"/>
  <c r="AL236" i="1"/>
  <c r="AO236" i="1"/>
  <c r="AP236" i="1"/>
  <c r="K236" i="1" s="1"/>
  <c r="BD236" i="1"/>
  <c r="BF236" i="1"/>
  <c r="BH236" i="1"/>
  <c r="AD236" i="1" s="1"/>
  <c r="BI236" i="1"/>
  <c r="AE236" i="1" s="1"/>
  <c r="BJ236" i="1"/>
  <c r="L238" i="1"/>
  <c r="Z238" i="1"/>
  <c r="AB238" i="1"/>
  <c r="AC238" i="1"/>
  <c r="AF238" i="1"/>
  <c r="AG238" i="1"/>
  <c r="AH238" i="1"/>
  <c r="AJ238" i="1"/>
  <c r="AK238" i="1"/>
  <c r="AL238" i="1"/>
  <c r="AO238" i="1"/>
  <c r="J238" i="1" s="1"/>
  <c r="AP238" i="1"/>
  <c r="K238" i="1" s="1"/>
  <c r="BD238" i="1"/>
  <c r="BF238" i="1"/>
  <c r="BH238" i="1"/>
  <c r="AD238" i="1" s="1"/>
  <c r="BI238" i="1"/>
  <c r="AE238" i="1" s="1"/>
  <c r="BJ238" i="1"/>
  <c r="K240" i="1"/>
  <c r="L240" i="1"/>
  <c r="AL240" i="1" s="1"/>
  <c r="Z240" i="1"/>
  <c r="AB240" i="1"/>
  <c r="AC240" i="1"/>
  <c r="AF240" i="1"/>
  <c r="AG240" i="1"/>
  <c r="AH240" i="1"/>
  <c r="AJ240" i="1"/>
  <c r="AK240" i="1"/>
  <c r="AO240" i="1"/>
  <c r="J240" i="1" s="1"/>
  <c r="AP240" i="1"/>
  <c r="AX240" i="1"/>
  <c r="BD240" i="1"/>
  <c r="BF240" i="1"/>
  <c r="BH240" i="1"/>
  <c r="AD240" i="1" s="1"/>
  <c r="BI240" i="1"/>
  <c r="AE240" i="1" s="1"/>
  <c r="BJ240" i="1"/>
  <c r="J242" i="1"/>
  <c r="K242" i="1"/>
  <c r="L242" i="1"/>
  <c r="Z242" i="1"/>
  <c r="AB242" i="1"/>
  <c r="AC242" i="1"/>
  <c r="AF242" i="1"/>
  <c r="AG242" i="1"/>
  <c r="AH242" i="1"/>
  <c r="AJ242" i="1"/>
  <c r="AK242" i="1"/>
  <c r="AL242" i="1"/>
  <c r="AO242" i="1"/>
  <c r="AP242" i="1"/>
  <c r="AW242" i="1"/>
  <c r="AV242" i="1" s="1"/>
  <c r="AX242" i="1"/>
  <c r="BC242" i="1"/>
  <c r="BD242" i="1"/>
  <c r="BF242" i="1"/>
  <c r="BH242" i="1"/>
  <c r="AD242" i="1" s="1"/>
  <c r="BI242" i="1"/>
  <c r="AE242" i="1" s="1"/>
  <c r="BJ242" i="1"/>
  <c r="J244" i="1"/>
  <c r="L244" i="1"/>
  <c r="AL244" i="1" s="1"/>
  <c r="Z244" i="1"/>
  <c r="AB244" i="1"/>
  <c r="AC244" i="1"/>
  <c r="AF244" i="1"/>
  <c r="AG244" i="1"/>
  <c r="AH244" i="1"/>
  <c r="AJ244" i="1"/>
  <c r="AK244" i="1"/>
  <c r="AO244" i="1"/>
  <c r="AP244" i="1"/>
  <c r="K244" i="1" s="1"/>
  <c r="AW244" i="1"/>
  <c r="AX244" i="1"/>
  <c r="BD244" i="1"/>
  <c r="BF244" i="1"/>
  <c r="BH244" i="1"/>
  <c r="AD244" i="1" s="1"/>
  <c r="BI244" i="1"/>
  <c r="AE244" i="1" s="1"/>
  <c r="BJ244" i="1"/>
  <c r="K246" i="1"/>
  <c r="L246" i="1"/>
  <c r="AL246" i="1" s="1"/>
  <c r="Z246" i="1"/>
  <c r="AB246" i="1"/>
  <c r="AC246" i="1"/>
  <c r="AF246" i="1"/>
  <c r="AG246" i="1"/>
  <c r="AH246" i="1"/>
  <c r="AJ246" i="1"/>
  <c r="AK246" i="1"/>
  <c r="AO246" i="1"/>
  <c r="J246" i="1" s="1"/>
  <c r="AP246" i="1"/>
  <c r="AX246" i="1" s="1"/>
  <c r="AW246" i="1"/>
  <c r="BD246" i="1"/>
  <c r="BF246" i="1"/>
  <c r="BH246" i="1"/>
  <c r="AD246" i="1" s="1"/>
  <c r="BI246" i="1"/>
  <c r="AE246" i="1" s="1"/>
  <c r="BJ246" i="1"/>
  <c r="J248" i="1"/>
  <c r="K248" i="1"/>
  <c r="L248" i="1"/>
  <c r="AL248" i="1" s="1"/>
  <c r="Z248" i="1"/>
  <c r="AB248" i="1"/>
  <c r="AC248" i="1"/>
  <c r="AF248" i="1"/>
  <c r="AG248" i="1"/>
  <c r="AH248" i="1"/>
  <c r="AJ248" i="1"/>
  <c r="AK248" i="1"/>
  <c r="AO248" i="1"/>
  <c r="AW248" i="1" s="1"/>
  <c r="BC248" i="1" s="1"/>
  <c r="AP248" i="1"/>
  <c r="AX248" i="1"/>
  <c r="BD248" i="1"/>
  <c r="BF248" i="1"/>
  <c r="BH248" i="1"/>
  <c r="AD248" i="1" s="1"/>
  <c r="BI248" i="1"/>
  <c r="AE248" i="1" s="1"/>
  <c r="BJ248" i="1"/>
  <c r="L250" i="1"/>
  <c r="Z250" i="1"/>
  <c r="AB250" i="1"/>
  <c r="AC250" i="1"/>
  <c r="AF250" i="1"/>
  <c r="AG250" i="1"/>
  <c r="AH250" i="1"/>
  <c r="AJ250" i="1"/>
  <c r="AK250" i="1"/>
  <c r="AL250" i="1"/>
  <c r="AO250" i="1"/>
  <c r="J250" i="1" s="1"/>
  <c r="AP250" i="1"/>
  <c r="AW250" i="1"/>
  <c r="BD250" i="1"/>
  <c r="BF250" i="1"/>
  <c r="BH250" i="1"/>
  <c r="AD250" i="1" s="1"/>
  <c r="BJ250" i="1"/>
  <c r="L252" i="1"/>
  <c r="Z252" i="1"/>
  <c r="AB252" i="1"/>
  <c r="AC252" i="1"/>
  <c r="AF252" i="1"/>
  <c r="AG252" i="1"/>
  <c r="AH252" i="1"/>
  <c r="AJ252" i="1"/>
  <c r="AK252" i="1"/>
  <c r="AL252" i="1"/>
  <c r="AO252" i="1"/>
  <c r="AP252" i="1"/>
  <c r="K252" i="1" s="1"/>
  <c r="BD252" i="1"/>
  <c r="BF252" i="1"/>
  <c r="BI252" i="1"/>
  <c r="AE252" i="1" s="1"/>
  <c r="BJ252" i="1"/>
  <c r="L254" i="1"/>
  <c r="Z254" i="1"/>
  <c r="AB254" i="1"/>
  <c r="AC254" i="1"/>
  <c r="AF254" i="1"/>
  <c r="AG254" i="1"/>
  <c r="AH254" i="1"/>
  <c r="AJ254" i="1"/>
  <c r="AK254" i="1"/>
  <c r="AL254" i="1"/>
  <c r="AO254" i="1"/>
  <c r="J254" i="1" s="1"/>
  <c r="AP254" i="1"/>
  <c r="K254" i="1" s="1"/>
  <c r="BD254" i="1"/>
  <c r="BF254" i="1"/>
  <c r="BH254" i="1"/>
  <c r="AD254" i="1" s="1"/>
  <c r="BI254" i="1"/>
  <c r="AE254" i="1" s="1"/>
  <c r="BJ254" i="1"/>
  <c r="K256" i="1"/>
  <c r="L256" i="1"/>
  <c r="AL256" i="1" s="1"/>
  <c r="Z256" i="1"/>
  <c r="AB256" i="1"/>
  <c r="AC256" i="1"/>
  <c r="AF256" i="1"/>
  <c r="AG256" i="1"/>
  <c r="AH256" i="1"/>
  <c r="AJ256" i="1"/>
  <c r="AK256" i="1"/>
  <c r="AO256" i="1"/>
  <c r="J256" i="1" s="1"/>
  <c r="AP256" i="1"/>
  <c r="AX256" i="1"/>
  <c r="BD256" i="1"/>
  <c r="BF256" i="1"/>
  <c r="BH256" i="1"/>
  <c r="AD256" i="1" s="1"/>
  <c r="BI256" i="1"/>
  <c r="AE256" i="1" s="1"/>
  <c r="BJ256" i="1"/>
  <c r="J258" i="1"/>
  <c r="K258" i="1"/>
  <c r="L258" i="1"/>
  <c r="Z258" i="1"/>
  <c r="AB258" i="1"/>
  <c r="AC258" i="1"/>
  <c r="AF258" i="1"/>
  <c r="AG258" i="1"/>
  <c r="AH258" i="1"/>
  <c r="AJ258" i="1"/>
  <c r="AK258" i="1"/>
  <c r="AL258" i="1"/>
  <c r="AO258" i="1"/>
  <c r="AP258" i="1"/>
  <c r="AW258" i="1"/>
  <c r="AV258" i="1" s="1"/>
  <c r="AX258" i="1"/>
  <c r="BC258" i="1"/>
  <c r="BD258" i="1"/>
  <c r="BF258" i="1"/>
  <c r="BH258" i="1"/>
  <c r="AD258" i="1" s="1"/>
  <c r="BI258" i="1"/>
  <c r="AE258" i="1" s="1"/>
  <c r="BJ258" i="1"/>
  <c r="J260" i="1"/>
  <c r="L260" i="1"/>
  <c r="AL260" i="1" s="1"/>
  <c r="Z260" i="1"/>
  <c r="AB260" i="1"/>
  <c r="AC260" i="1"/>
  <c r="AF260" i="1"/>
  <c r="AG260" i="1"/>
  <c r="AH260" i="1"/>
  <c r="AJ260" i="1"/>
  <c r="AK260" i="1"/>
  <c r="AO260" i="1"/>
  <c r="AP260" i="1"/>
  <c r="K260" i="1" s="1"/>
  <c r="AW260" i="1"/>
  <c r="AX260" i="1"/>
  <c r="BD260" i="1"/>
  <c r="BF260" i="1"/>
  <c r="BH260" i="1"/>
  <c r="AD260" i="1" s="1"/>
  <c r="BI260" i="1"/>
  <c r="AE260" i="1" s="1"/>
  <c r="BJ260" i="1"/>
  <c r="K262" i="1"/>
  <c r="L262" i="1"/>
  <c r="AL262" i="1" s="1"/>
  <c r="Z262" i="1"/>
  <c r="AB262" i="1"/>
  <c r="AC262" i="1"/>
  <c r="AF262" i="1"/>
  <c r="AG262" i="1"/>
  <c r="AH262" i="1"/>
  <c r="AJ262" i="1"/>
  <c r="AK262" i="1"/>
  <c r="AO262" i="1"/>
  <c r="J262" i="1" s="1"/>
  <c r="AP262" i="1"/>
  <c r="AX262" i="1" s="1"/>
  <c r="AW262" i="1"/>
  <c r="BD262" i="1"/>
  <c r="BF262" i="1"/>
  <c r="BH262" i="1"/>
  <c r="AD262" i="1" s="1"/>
  <c r="BI262" i="1"/>
  <c r="AE262" i="1" s="1"/>
  <c r="BJ262" i="1"/>
  <c r="J264" i="1"/>
  <c r="L264" i="1"/>
  <c r="AL264" i="1" s="1"/>
  <c r="Z264" i="1"/>
  <c r="AB264" i="1"/>
  <c r="AC264" i="1"/>
  <c r="AF264" i="1"/>
  <c r="AG264" i="1"/>
  <c r="AH264" i="1"/>
  <c r="AJ264" i="1"/>
  <c r="AK264" i="1"/>
  <c r="AO264" i="1"/>
  <c r="AW264" i="1" s="1"/>
  <c r="BC264" i="1" s="1"/>
  <c r="AP264" i="1"/>
  <c r="K264" i="1" s="1"/>
  <c r="AX264" i="1"/>
  <c r="BD264" i="1"/>
  <c r="BF264" i="1"/>
  <c r="BH264" i="1"/>
  <c r="AD264" i="1" s="1"/>
  <c r="BI264" i="1"/>
  <c r="AE264" i="1" s="1"/>
  <c r="BJ264" i="1"/>
  <c r="L266" i="1"/>
  <c r="Z266" i="1"/>
  <c r="AB266" i="1"/>
  <c r="AC266" i="1"/>
  <c r="AF266" i="1"/>
  <c r="AG266" i="1"/>
  <c r="AH266" i="1"/>
  <c r="AJ266" i="1"/>
  <c r="AK266" i="1"/>
  <c r="AL266" i="1"/>
  <c r="AO266" i="1"/>
  <c r="J266" i="1" s="1"/>
  <c r="AP266" i="1"/>
  <c r="AW266" i="1"/>
  <c r="BD266" i="1"/>
  <c r="BF266" i="1"/>
  <c r="BH266" i="1"/>
  <c r="AD266" i="1" s="1"/>
  <c r="BJ266" i="1"/>
  <c r="L268" i="1"/>
  <c r="Z268" i="1"/>
  <c r="AB268" i="1"/>
  <c r="AC268" i="1"/>
  <c r="AF268" i="1"/>
  <c r="AG268" i="1"/>
  <c r="AH268" i="1"/>
  <c r="AJ268" i="1"/>
  <c r="AK268" i="1"/>
  <c r="AL268" i="1"/>
  <c r="AO268" i="1"/>
  <c r="AP268" i="1"/>
  <c r="K268" i="1" s="1"/>
  <c r="BD268" i="1"/>
  <c r="BF268" i="1"/>
  <c r="BI268" i="1"/>
  <c r="AE268" i="1" s="1"/>
  <c r="BJ268" i="1"/>
  <c r="L269" i="1"/>
  <c r="Z269" i="1"/>
  <c r="AB269" i="1"/>
  <c r="AC269" i="1"/>
  <c r="AF269" i="1"/>
  <c r="AG269" i="1"/>
  <c r="AH269" i="1"/>
  <c r="AJ269" i="1"/>
  <c r="AK269" i="1"/>
  <c r="AL269" i="1"/>
  <c r="AO269" i="1"/>
  <c r="J269" i="1" s="1"/>
  <c r="AP269" i="1"/>
  <c r="K269" i="1" s="1"/>
  <c r="BD269" i="1"/>
  <c r="BF269" i="1"/>
  <c r="BH269" i="1"/>
  <c r="AD269" i="1" s="1"/>
  <c r="BI269" i="1"/>
  <c r="AE269" i="1" s="1"/>
  <c r="BJ269" i="1"/>
  <c r="L270" i="1"/>
  <c r="AL270" i="1" s="1"/>
  <c r="Z270" i="1"/>
  <c r="AB270" i="1"/>
  <c r="AC270" i="1"/>
  <c r="AF270" i="1"/>
  <c r="AG270" i="1"/>
  <c r="AH270" i="1"/>
  <c r="AJ270" i="1"/>
  <c r="AK270" i="1"/>
  <c r="AO270" i="1"/>
  <c r="J270" i="1" s="1"/>
  <c r="AP270" i="1"/>
  <c r="K270" i="1" s="1"/>
  <c r="AX270" i="1"/>
  <c r="BD270" i="1"/>
  <c r="BF270" i="1"/>
  <c r="BH270" i="1"/>
  <c r="AD270" i="1" s="1"/>
  <c r="BI270" i="1"/>
  <c r="AE270" i="1" s="1"/>
  <c r="BJ270" i="1"/>
  <c r="K271" i="1"/>
  <c r="L271" i="1"/>
  <c r="Z271" i="1"/>
  <c r="AB271" i="1"/>
  <c r="AC271" i="1"/>
  <c r="AF271" i="1"/>
  <c r="AG271" i="1"/>
  <c r="AH271" i="1"/>
  <c r="AJ271" i="1"/>
  <c r="AK271" i="1"/>
  <c r="AL271" i="1"/>
  <c r="AO271" i="1"/>
  <c r="J271" i="1" s="1"/>
  <c r="AP271" i="1"/>
  <c r="AW271" i="1"/>
  <c r="AV271" i="1" s="1"/>
  <c r="AX271" i="1"/>
  <c r="BC271" i="1"/>
  <c r="BD271" i="1"/>
  <c r="BF271" i="1"/>
  <c r="BH271" i="1"/>
  <c r="AD271" i="1" s="1"/>
  <c r="BI271" i="1"/>
  <c r="AE271" i="1" s="1"/>
  <c r="BJ271" i="1"/>
  <c r="J273" i="1"/>
  <c r="L273" i="1"/>
  <c r="AL273" i="1" s="1"/>
  <c r="Z273" i="1"/>
  <c r="AB273" i="1"/>
  <c r="AC273" i="1"/>
  <c r="AF273" i="1"/>
  <c r="AG273" i="1"/>
  <c r="AH273" i="1"/>
  <c r="AJ273" i="1"/>
  <c r="AK273" i="1"/>
  <c r="AO273" i="1"/>
  <c r="AP273" i="1"/>
  <c r="K273" i="1" s="1"/>
  <c r="AW273" i="1"/>
  <c r="BC273" i="1" s="1"/>
  <c r="AX273" i="1"/>
  <c r="AV273" i="1" s="1"/>
  <c r="BD273" i="1"/>
  <c r="BF273" i="1"/>
  <c r="BH273" i="1"/>
  <c r="AD273" i="1" s="1"/>
  <c r="BI273" i="1"/>
  <c r="AE273" i="1" s="1"/>
  <c r="BJ273" i="1"/>
  <c r="K274" i="1"/>
  <c r="L274" i="1"/>
  <c r="Z274" i="1"/>
  <c r="AB274" i="1"/>
  <c r="AC274" i="1"/>
  <c r="AF274" i="1"/>
  <c r="AG274" i="1"/>
  <c r="AH274" i="1"/>
  <c r="AJ274" i="1"/>
  <c r="AK274" i="1"/>
  <c r="AL274" i="1"/>
  <c r="AO274" i="1"/>
  <c r="J274" i="1" s="1"/>
  <c r="AP274" i="1"/>
  <c r="AX274" i="1" s="1"/>
  <c r="AW274" i="1"/>
  <c r="BD274" i="1"/>
  <c r="BF274" i="1"/>
  <c r="BH274" i="1"/>
  <c r="AD274" i="1" s="1"/>
  <c r="BI274" i="1"/>
  <c r="AE274" i="1" s="1"/>
  <c r="BJ274" i="1"/>
  <c r="J275" i="1"/>
  <c r="L275" i="1"/>
  <c r="AL275" i="1" s="1"/>
  <c r="Z275" i="1"/>
  <c r="AB275" i="1"/>
  <c r="AC275" i="1"/>
  <c r="AF275" i="1"/>
  <c r="AG275" i="1"/>
  <c r="AH275" i="1"/>
  <c r="AJ275" i="1"/>
  <c r="AK275" i="1"/>
  <c r="AO275" i="1"/>
  <c r="AW275" i="1" s="1"/>
  <c r="BC275" i="1" s="1"/>
  <c r="AP275" i="1"/>
  <c r="K275" i="1" s="1"/>
  <c r="AV275" i="1"/>
  <c r="AX275" i="1"/>
  <c r="BD275" i="1"/>
  <c r="BF275" i="1"/>
  <c r="BH275" i="1"/>
  <c r="AD275" i="1" s="1"/>
  <c r="BI275" i="1"/>
  <c r="AE275" i="1" s="1"/>
  <c r="BJ275" i="1"/>
  <c r="L276" i="1"/>
  <c r="Z276" i="1"/>
  <c r="AB276" i="1"/>
  <c r="AC276" i="1"/>
  <c r="AF276" i="1"/>
  <c r="AG276" i="1"/>
  <c r="AH276" i="1"/>
  <c r="AJ276" i="1"/>
  <c r="AK276" i="1"/>
  <c r="AL276" i="1"/>
  <c r="AO276" i="1"/>
  <c r="J276" i="1" s="1"/>
  <c r="AP276" i="1"/>
  <c r="AW276" i="1"/>
  <c r="BD276" i="1"/>
  <c r="BF276" i="1"/>
  <c r="BH276" i="1"/>
  <c r="AD276" i="1" s="1"/>
  <c r="BI276" i="1"/>
  <c r="AE276" i="1" s="1"/>
  <c r="BJ276" i="1"/>
  <c r="L277" i="1"/>
  <c r="Z277" i="1"/>
  <c r="AB277" i="1"/>
  <c r="AC277" i="1"/>
  <c r="AF277" i="1"/>
  <c r="AG277" i="1"/>
  <c r="AH277" i="1"/>
  <c r="AJ277" i="1"/>
  <c r="AK277" i="1"/>
  <c r="AL277" i="1"/>
  <c r="AO277" i="1"/>
  <c r="AP277" i="1"/>
  <c r="K277" i="1" s="1"/>
  <c r="AX277" i="1"/>
  <c r="BD277" i="1"/>
  <c r="BF277" i="1"/>
  <c r="BH277" i="1"/>
  <c r="AD277" i="1" s="1"/>
  <c r="BI277" i="1"/>
  <c r="AE277" i="1" s="1"/>
  <c r="BJ277" i="1"/>
  <c r="L278" i="1"/>
  <c r="Z278" i="1"/>
  <c r="AB278" i="1"/>
  <c r="AC278" i="1"/>
  <c r="AF278" i="1"/>
  <c r="AG278" i="1"/>
  <c r="AH278" i="1"/>
  <c r="AJ278" i="1"/>
  <c r="AK278" i="1"/>
  <c r="AL278" i="1"/>
  <c r="AO278" i="1"/>
  <c r="J278" i="1" s="1"/>
  <c r="AP278" i="1"/>
  <c r="K278" i="1" s="1"/>
  <c r="BD278" i="1"/>
  <c r="BF278" i="1"/>
  <c r="BH278" i="1"/>
  <c r="AD278" i="1" s="1"/>
  <c r="BI278" i="1"/>
  <c r="AE278" i="1" s="1"/>
  <c r="BJ278" i="1"/>
  <c r="L279" i="1"/>
  <c r="AL279" i="1" s="1"/>
  <c r="Z279" i="1"/>
  <c r="AB279" i="1"/>
  <c r="AC279" i="1"/>
  <c r="AF279" i="1"/>
  <c r="AG279" i="1"/>
  <c r="AH279" i="1"/>
  <c r="AJ279" i="1"/>
  <c r="AK279" i="1"/>
  <c r="AO279" i="1"/>
  <c r="J279" i="1" s="1"/>
  <c r="AP279" i="1"/>
  <c r="K279" i="1" s="1"/>
  <c r="AX279" i="1"/>
  <c r="BD279" i="1"/>
  <c r="BF279" i="1"/>
  <c r="BH279" i="1"/>
  <c r="AD279" i="1" s="1"/>
  <c r="BI279" i="1"/>
  <c r="AE279" i="1" s="1"/>
  <c r="BJ279" i="1"/>
  <c r="K280" i="1"/>
  <c r="L280" i="1"/>
  <c r="Z280" i="1"/>
  <c r="AB280" i="1"/>
  <c r="AC280" i="1"/>
  <c r="AF280" i="1"/>
  <c r="AG280" i="1"/>
  <c r="AH280" i="1"/>
  <c r="AJ280" i="1"/>
  <c r="AK280" i="1"/>
  <c r="AL280" i="1"/>
  <c r="AO280" i="1"/>
  <c r="J280" i="1" s="1"/>
  <c r="AP280" i="1"/>
  <c r="AW280" i="1"/>
  <c r="AV280" i="1" s="1"/>
  <c r="AX280" i="1"/>
  <c r="BC280" i="1"/>
  <c r="BD280" i="1"/>
  <c r="BF280" i="1"/>
  <c r="BH280" i="1"/>
  <c r="AD280" i="1" s="1"/>
  <c r="BI280" i="1"/>
  <c r="AE280" i="1" s="1"/>
  <c r="BJ280" i="1"/>
  <c r="J282" i="1"/>
  <c r="L282" i="1"/>
  <c r="AL282" i="1" s="1"/>
  <c r="Z282" i="1"/>
  <c r="AB282" i="1"/>
  <c r="AC282" i="1"/>
  <c r="AF282" i="1"/>
  <c r="AG282" i="1"/>
  <c r="AH282" i="1"/>
  <c r="AJ282" i="1"/>
  <c r="AK282" i="1"/>
  <c r="AO282" i="1"/>
  <c r="AP282" i="1"/>
  <c r="K282" i="1" s="1"/>
  <c r="AW282" i="1"/>
  <c r="BC282" i="1" s="1"/>
  <c r="AX282" i="1"/>
  <c r="AV282" i="1" s="1"/>
  <c r="BD282" i="1"/>
  <c r="BF282" i="1"/>
  <c r="BH282" i="1"/>
  <c r="AD282" i="1" s="1"/>
  <c r="BI282" i="1"/>
  <c r="AE282" i="1" s="1"/>
  <c r="BJ282" i="1"/>
  <c r="K283" i="1"/>
  <c r="L283" i="1"/>
  <c r="Z283" i="1"/>
  <c r="AB283" i="1"/>
  <c r="AC283" i="1"/>
  <c r="AF283" i="1"/>
  <c r="AG283" i="1"/>
  <c r="AH283" i="1"/>
  <c r="AJ283" i="1"/>
  <c r="AK283" i="1"/>
  <c r="AL283" i="1"/>
  <c r="AO283" i="1"/>
  <c r="J283" i="1" s="1"/>
  <c r="AP283" i="1"/>
  <c r="AX283" i="1" s="1"/>
  <c r="AW283" i="1"/>
  <c r="BD283" i="1"/>
  <c r="BF283" i="1"/>
  <c r="BH283" i="1"/>
  <c r="AD283" i="1" s="1"/>
  <c r="BI283" i="1"/>
  <c r="AE283" i="1" s="1"/>
  <c r="BJ283" i="1"/>
  <c r="J284" i="1"/>
  <c r="L284" i="1"/>
  <c r="AL284" i="1" s="1"/>
  <c r="Z284" i="1"/>
  <c r="AB284" i="1"/>
  <c r="AC284" i="1"/>
  <c r="AF284" i="1"/>
  <c r="AG284" i="1"/>
  <c r="AH284" i="1"/>
  <c r="AJ284" i="1"/>
  <c r="AK284" i="1"/>
  <c r="AO284" i="1"/>
  <c r="AW284" i="1" s="1"/>
  <c r="BC284" i="1" s="1"/>
  <c r="AP284" i="1"/>
  <c r="K284" i="1" s="1"/>
  <c r="AX284" i="1"/>
  <c r="BD284" i="1"/>
  <c r="BF284" i="1"/>
  <c r="BH284" i="1"/>
  <c r="AD284" i="1" s="1"/>
  <c r="BI284" i="1"/>
  <c r="AE284" i="1" s="1"/>
  <c r="BJ284" i="1"/>
  <c r="L285" i="1"/>
  <c r="Z285" i="1"/>
  <c r="AB285" i="1"/>
  <c r="AC285" i="1"/>
  <c r="AF285" i="1"/>
  <c r="AG285" i="1"/>
  <c r="AH285" i="1"/>
  <c r="AJ285" i="1"/>
  <c r="AK285" i="1"/>
  <c r="AL285" i="1"/>
  <c r="AO285" i="1"/>
  <c r="J285" i="1" s="1"/>
  <c r="AP285" i="1"/>
  <c r="AW285" i="1"/>
  <c r="BD285" i="1"/>
  <c r="BF285" i="1"/>
  <c r="BH285" i="1"/>
  <c r="AD285" i="1" s="1"/>
  <c r="BI285" i="1"/>
  <c r="AE285" i="1" s="1"/>
  <c r="BJ285" i="1"/>
  <c r="J286" i="1"/>
  <c r="L286" i="1"/>
  <c r="Z286" i="1"/>
  <c r="AB286" i="1"/>
  <c r="AC286" i="1"/>
  <c r="AF286" i="1"/>
  <c r="AG286" i="1"/>
  <c r="AH286" i="1"/>
  <c r="AJ286" i="1"/>
  <c r="AK286" i="1"/>
  <c r="AL286" i="1"/>
  <c r="AO286" i="1"/>
  <c r="AW286" i="1" s="1"/>
  <c r="BC286" i="1" s="1"/>
  <c r="AP286" i="1"/>
  <c r="K286" i="1" s="1"/>
  <c r="AX286" i="1"/>
  <c r="BD286" i="1"/>
  <c r="BF286" i="1"/>
  <c r="BH286" i="1"/>
  <c r="AD286" i="1" s="1"/>
  <c r="BI286" i="1"/>
  <c r="AE286" i="1" s="1"/>
  <c r="BJ286" i="1"/>
  <c r="L287" i="1"/>
  <c r="Z287" i="1"/>
  <c r="AB287" i="1"/>
  <c r="AC287" i="1"/>
  <c r="AF287" i="1"/>
  <c r="AG287" i="1"/>
  <c r="AH287" i="1"/>
  <c r="AJ287" i="1"/>
  <c r="AK287" i="1"/>
  <c r="AL287" i="1"/>
  <c r="AO287" i="1"/>
  <c r="J287" i="1" s="1"/>
  <c r="AP287" i="1"/>
  <c r="AW287" i="1"/>
  <c r="BD287" i="1"/>
  <c r="BF287" i="1"/>
  <c r="BH287" i="1"/>
  <c r="AD287" i="1" s="1"/>
  <c r="BI287" i="1"/>
  <c r="AE287" i="1" s="1"/>
  <c r="BJ287" i="1"/>
  <c r="L288" i="1"/>
  <c r="AL288" i="1" s="1"/>
  <c r="Z288" i="1"/>
  <c r="AB288" i="1"/>
  <c r="AC288" i="1"/>
  <c r="AF288" i="1"/>
  <c r="AG288" i="1"/>
  <c r="AH288" i="1"/>
  <c r="AJ288" i="1"/>
  <c r="AK288" i="1"/>
  <c r="AO288" i="1"/>
  <c r="AP288" i="1"/>
  <c r="K288" i="1" s="1"/>
  <c r="AX288" i="1"/>
  <c r="BD288" i="1"/>
  <c r="BF288" i="1"/>
  <c r="BH288" i="1"/>
  <c r="AD288" i="1" s="1"/>
  <c r="BI288" i="1"/>
  <c r="AE288" i="1" s="1"/>
  <c r="BJ288" i="1"/>
  <c r="L290" i="1"/>
  <c r="Z290" i="1"/>
  <c r="AB290" i="1"/>
  <c r="AC290" i="1"/>
  <c r="AF290" i="1"/>
  <c r="AG290" i="1"/>
  <c r="AH290" i="1"/>
  <c r="AJ290" i="1"/>
  <c r="AK290" i="1"/>
  <c r="AL290" i="1"/>
  <c r="AO290" i="1"/>
  <c r="J290" i="1" s="1"/>
  <c r="AP290" i="1"/>
  <c r="BD290" i="1"/>
  <c r="BF290" i="1"/>
  <c r="BH290" i="1"/>
  <c r="AD290" i="1" s="1"/>
  <c r="BJ290" i="1"/>
  <c r="L292" i="1"/>
  <c r="Z292" i="1"/>
  <c r="AB292" i="1"/>
  <c r="AC292" i="1"/>
  <c r="AF292" i="1"/>
  <c r="AG292" i="1"/>
  <c r="AH292" i="1"/>
  <c r="AJ292" i="1"/>
  <c r="AK292" i="1"/>
  <c r="AO292" i="1"/>
  <c r="AP292" i="1"/>
  <c r="K292" i="1" s="1"/>
  <c r="AX292" i="1"/>
  <c r="BD292" i="1"/>
  <c r="BF292" i="1"/>
  <c r="BI292" i="1"/>
  <c r="AE292" i="1" s="1"/>
  <c r="BJ292" i="1"/>
  <c r="K293" i="1"/>
  <c r="L293" i="1"/>
  <c r="Z293" i="1"/>
  <c r="AB293" i="1"/>
  <c r="AC293" i="1"/>
  <c r="AF293" i="1"/>
  <c r="AG293" i="1"/>
  <c r="AH293" i="1"/>
  <c r="AJ293" i="1"/>
  <c r="AK293" i="1"/>
  <c r="AL293" i="1"/>
  <c r="AO293" i="1"/>
  <c r="J293" i="1" s="1"/>
  <c r="AP293" i="1"/>
  <c r="AW293" i="1"/>
  <c r="AV293" i="1" s="1"/>
  <c r="AX293" i="1"/>
  <c r="BC293" i="1"/>
  <c r="BD293" i="1"/>
  <c r="BF293" i="1"/>
  <c r="BH293" i="1"/>
  <c r="AD293" i="1" s="1"/>
  <c r="BI293" i="1"/>
  <c r="AE293" i="1" s="1"/>
  <c r="BJ293" i="1"/>
  <c r="L294" i="1"/>
  <c r="AL294" i="1" s="1"/>
  <c r="Z294" i="1"/>
  <c r="AB294" i="1"/>
  <c r="AC294" i="1"/>
  <c r="AF294" i="1"/>
  <c r="AG294" i="1"/>
  <c r="AH294" i="1"/>
  <c r="AJ294" i="1"/>
  <c r="AK294" i="1"/>
  <c r="AO294" i="1"/>
  <c r="J294" i="1" s="1"/>
  <c r="AP294" i="1"/>
  <c r="K294" i="1" s="1"/>
  <c r="AW294" i="1"/>
  <c r="BC294" i="1" s="1"/>
  <c r="AX294" i="1"/>
  <c r="AV294" i="1" s="1"/>
  <c r="BD294" i="1"/>
  <c r="BF294" i="1"/>
  <c r="BH294" i="1"/>
  <c r="AD294" i="1" s="1"/>
  <c r="BI294" i="1"/>
  <c r="AE294" i="1" s="1"/>
  <c r="BJ294" i="1"/>
  <c r="K295" i="1"/>
  <c r="L295" i="1"/>
  <c r="Z295" i="1"/>
  <c r="AB295" i="1"/>
  <c r="AC295" i="1"/>
  <c r="AF295" i="1"/>
  <c r="AG295" i="1"/>
  <c r="AH295" i="1"/>
  <c r="AJ295" i="1"/>
  <c r="AK295" i="1"/>
  <c r="AL295" i="1"/>
  <c r="AO295" i="1"/>
  <c r="J295" i="1" s="1"/>
  <c r="AP295" i="1"/>
  <c r="AX295" i="1" s="1"/>
  <c r="AW295" i="1"/>
  <c r="AV295" i="1" s="1"/>
  <c r="BD295" i="1"/>
  <c r="BF295" i="1"/>
  <c r="BH295" i="1"/>
  <c r="AD295" i="1" s="1"/>
  <c r="BI295" i="1"/>
  <c r="AE295" i="1" s="1"/>
  <c r="BJ295" i="1"/>
  <c r="J296" i="1"/>
  <c r="L296" i="1"/>
  <c r="AL296" i="1" s="1"/>
  <c r="Z296" i="1"/>
  <c r="AB296" i="1"/>
  <c r="AC296" i="1"/>
  <c r="AF296" i="1"/>
  <c r="AG296" i="1"/>
  <c r="AH296" i="1"/>
  <c r="AJ296" i="1"/>
  <c r="AK296" i="1"/>
  <c r="AO296" i="1"/>
  <c r="AW296" i="1" s="1"/>
  <c r="AP296" i="1"/>
  <c r="K296" i="1" s="1"/>
  <c r="AX296" i="1"/>
  <c r="AV296" i="1" s="1"/>
  <c r="BD296" i="1"/>
  <c r="BF296" i="1"/>
  <c r="BH296" i="1"/>
  <c r="AD296" i="1" s="1"/>
  <c r="BI296" i="1"/>
  <c r="AE296" i="1" s="1"/>
  <c r="BJ296" i="1"/>
  <c r="K298" i="1"/>
  <c r="L298" i="1"/>
  <c r="Z298" i="1"/>
  <c r="AB298" i="1"/>
  <c r="AC298" i="1"/>
  <c r="AF298" i="1"/>
  <c r="AG298" i="1"/>
  <c r="AH298" i="1"/>
  <c r="AJ298" i="1"/>
  <c r="AK298" i="1"/>
  <c r="AL298" i="1"/>
  <c r="AO298" i="1"/>
  <c r="J298" i="1" s="1"/>
  <c r="AP298" i="1"/>
  <c r="AX298" i="1" s="1"/>
  <c r="AW298" i="1"/>
  <c r="BD298" i="1"/>
  <c r="BF298" i="1"/>
  <c r="BH298" i="1"/>
  <c r="AD298" i="1" s="1"/>
  <c r="BI298" i="1"/>
  <c r="AE298" i="1" s="1"/>
  <c r="BJ298" i="1"/>
  <c r="J299" i="1"/>
  <c r="L299" i="1"/>
  <c r="Z299" i="1"/>
  <c r="AB299" i="1"/>
  <c r="AC299" i="1"/>
  <c r="AD299" i="1"/>
  <c r="AF299" i="1"/>
  <c r="AG299" i="1"/>
  <c r="AH299" i="1"/>
  <c r="AJ299" i="1"/>
  <c r="AK299" i="1"/>
  <c r="AL299" i="1"/>
  <c r="AO299" i="1"/>
  <c r="AW299" i="1" s="1"/>
  <c r="BC299" i="1" s="1"/>
  <c r="AP299" i="1"/>
  <c r="K299" i="1" s="1"/>
  <c r="AV299" i="1"/>
  <c r="AX299" i="1"/>
  <c r="BD299" i="1"/>
  <c r="BF299" i="1"/>
  <c r="BH299" i="1"/>
  <c r="BI299" i="1"/>
  <c r="AE299" i="1" s="1"/>
  <c r="BJ299" i="1"/>
  <c r="L301" i="1"/>
  <c r="Z301" i="1"/>
  <c r="AB301" i="1"/>
  <c r="AC301" i="1"/>
  <c r="AF301" i="1"/>
  <c r="AG301" i="1"/>
  <c r="AH301" i="1"/>
  <c r="AJ301" i="1"/>
  <c r="AK301" i="1"/>
  <c r="AL301" i="1"/>
  <c r="AO301" i="1"/>
  <c r="J301" i="1" s="1"/>
  <c r="AP301" i="1"/>
  <c r="AW301" i="1"/>
  <c r="BD301" i="1"/>
  <c r="BF301" i="1"/>
  <c r="BH301" i="1"/>
  <c r="AD301" i="1" s="1"/>
  <c r="BI301" i="1"/>
  <c r="AE301" i="1" s="1"/>
  <c r="BJ301" i="1"/>
  <c r="L302" i="1"/>
  <c r="AL302" i="1" s="1"/>
  <c r="Z302" i="1"/>
  <c r="AB302" i="1"/>
  <c r="AC302" i="1"/>
  <c r="AF302" i="1"/>
  <c r="AG302" i="1"/>
  <c r="AH302" i="1"/>
  <c r="AJ302" i="1"/>
  <c r="AK302" i="1"/>
  <c r="AO302" i="1"/>
  <c r="BH302" i="1" s="1"/>
  <c r="AD302" i="1" s="1"/>
  <c r="AP302" i="1"/>
  <c r="K302" i="1" s="1"/>
  <c r="AX302" i="1"/>
  <c r="BD302" i="1"/>
  <c r="BF302" i="1"/>
  <c r="BI302" i="1"/>
  <c r="AE302" i="1" s="1"/>
  <c r="BJ302" i="1"/>
  <c r="L303" i="1"/>
  <c r="Z303" i="1"/>
  <c r="AB303" i="1"/>
  <c r="AC303" i="1"/>
  <c r="AF303" i="1"/>
  <c r="AG303" i="1"/>
  <c r="AH303" i="1"/>
  <c r="AJ303" i="1"/>
  <c r="AK303" i="1"/>
  <c r="AL303" i="1"/>
  <c r="AO303" i="1"/>
  <c r="J303" i="1" s="1"/>
  <c r="AP303" i="1"/>
  <c r="K303" i="1" s="1"/>
  <c r="AW303" i="1"/>
  <c r="AV303" i="1" s="1"/>
  <c r="AX303" i="1"/>
  <c r="BC303" i="1"/>
  <c r="BD303" i="1"/>
  <c r="BF303" i="1"/>
  <c r="BH303" i="1"/>
  <c r="AD303" i="1" s="1"/>
  <c r="BI303" i="1"/>
  <c r="AE303" i="1" s="1"/>
  <c r="BJ303" i="1"/>
  <c r="L304" i="1"/>
  <c r="AL304" i="1" s="1"/>
  <c r="Z304" i="1"/>
  <c r="AB304" i="1"/>
  <c r="AC304" i="1"/>
  <c r="AF304" i="1"/>
  <c r="AG304" i="1"/>
  <c r="AH304" i="1"/>
  <c r="AJ304" i="1"/>
  <c r="AK304" i="1"/>
  <c r="AO304" i="1"/>
  <c r="J304" i="1" s="1"/>
  <c r="AP304" i="1"/>
  <c r="K304" i="1" s="1"/>
  <c r="AW304" i="1"/>
  <c r="AX304" i="1"/>
  <c r="BD304" i="1"/>
  <c r="BF304" i="1"/>
  <c r="BH304" i="1"/>
  <c r="AD304" i="1" s="1"/>
  <c r="BI304" i="1"/>
  <c r="AE304" i="1" s="1"/>
  <c r="BJ304" i="1"/>
  <c r="K305" i="1"/>
  <c r="L305" i="1"/>
  <c r="Z305" i="1"/>
  <c r="AB305" i="1"/>
  <c r="AC305" i="1"/>
  <c r="AF305" i="1"/>
  <c r="AG305" i="1"/>
  <c r="AH305" i="1"/>
  <c r="AJ305" i="1"/>
  <c r="AK305" i="1"/>
  <c r="AL305" i="1"/>
  <c r="AO305" i="1"/>
  <c r="J305" i="1" s="1"/>
  <c r="AP305" i="1"/>
  <c r="AX305" i="1" s="1"/>
  <c r="AW305" i="1"/>
  <c r="AV305" i="1" s="1"/>
  <c r="BC305" i="1"/>
  <c r="BD305" i="1"/>
  <c r="BF305" i="1"/>
  <c r="BH305" i="1"/>
  <c r="AD305" i="1" s="1"/>
  <c r="BI305" i="1"/>
  <c r="AE305" i="1" s="1"/>
  <c r="BJ305" i="1"/>
  <c r="J307" i="1"/>
  <c r="L307" i="1"/>
  <c r="AL307" i="1" s="1"/>
  <c r="Z307" i="1"/>
  <c r="AB307" i="1"/>
  <c r="AC307" i="1"/>
  <c r="AF307" i="1"/>
  <c r="AG307" i="1"/>
  <c r="AH307" i="1"/>
  <c r="AJ307" i="1"/>
  <c r="AK307" i="1"/>
  <c r="AO307" i="1"/>
  <c r="AW307" i="1" s="1"/>
  <c r="AP307" i="1"/>
  <c r="K307" i="1" s="1"/>
  <c r="AX307" i="1"/>
  <c r="BD307" i="1"/>
  <c r="BF307" i="1"/>
  <c r="BH307" i="1"/>
  <c r="AD307" i="1" s="1"/>
  <c r="BI307" i="1"/>
  <c r="AE307" i="1" s="1"/>
  <c r="BJ307" i="1"/>
  <c r="L308" i="1"/>
  <c r="Z308" i="1"/>
  <c r="AB308" i="1"/>
  <c r="AC308" i="1"/>
  <c r="AF308" i="1"/>
  <c r="AG308" i="1"/>
  <c r="AH308" i="1"/>
  <c r="AJ308" i="1"/>
  <c r="AK308" i="1"/>
  <c r="AL308" i="1"/>
  <c r="AO308" i="1"/>
  <c r="J308" i="1" s="1"/>
  <c r="AP308" i="1"/>
  <c r="AX308" i="1" s="1"/>
  <c r="AW308" i="1"/>
  <c r="BD308" i="1"/>
  <c r="BF308" i="1"/>
  <c r="BH308" i="1"/>
  <c r="AD308" i="1" s="1"/>
  <c r="BJ308" i="1"/>
  <c r="J309" i="1"/>
  <c r="L309" i="1"/>
  <c r="Z309" i="1"/>
  <c r="AB309" i="1"/>
  <c r="AC309" i="1"/>
  <c r="AF309" i="1"/>
  <c r="AG309" i="1"/>
  <c r="AH309" i="1"/>
  <c r="AJ309" i="1"/>
  <c r="AK309" i="1"/>
  <c r="AL309" i="1"/>
  <c r="AO309" i="1"/>
  <c r="AW309" i="1" s="1"/>
  <c r="BC309" i="1" s="1"/>
  <c r="AP309" i="1"/>
  <c r="K309" i="1" s="1"/>
  <c r="AV309" i="1"/>
  <c r="AX309" i="1"/>
  <c r="BD309" i="1"/>
  <c r="BF309" i="1"/>
  <c r="BH309" i="1"/>
  <c r="AD309" i="1" s="1"/>
  <c r="BI309" i="1"/>
  <c r="AE309" i="1" s="1"/>
  <c r="BJ309" i="1"/>
  <c r="L311" i="1"/>
  <c r="Z311" i="1"/>
  <c r="AB311" i="1"/>
  <c r="AC311" i="1"/>
  <c r="AF311" i="1"/>
  <c r="AG311" i="1"/>
  <c r="AH311" i="1"/>
  <c r="AJ311" i="1"/>
  <c r="AK311" i="1"/>
  <c r="AL311" i="1"/>
  <c r="AO311" i="1"/>
  <c r="AP311" i="1"/>
  <c r="K311" i="1" s="1"/>
  <c r="AX311" i="1"/>
  <c r="BD311" i="1"/>
  <c r="BF311" i="1"/>
  <c r="BH311" i="1"/>
  <c r="AD311" i="1" s="1"/>
  <c r="BJ311" i="1"/>
  <c r="J313" i="1"/>
  <c r="K313" i="1"/>
  <c r="L313" i="1"/>
  <c r="Z313" i="1"/>
  <c r="AB313" i="1"/>
  <c r="AC313" i="1"/>
  <c r="AF313" i="1"/>
  <c r="AG313" i="1"/>
  <c r="AH313" i="1"/>
  <c r="AJ313" i="1"/>
  <c r="AK313" i="1"/>
  <c r="AL313" i="1"/>
  <c r="AO313" i="1"/>
  <c r="AP313" i="1"/>
  <c r="AX313" i="1" s="1"/>
  <c r="AW313" i="1"/>
  <c r="BC313" i="1" s="1"/>
  <c r="BD313" i="1"/>
  <c r="BF313" i="1"/>
  <c r="BH313" i="1"/>
  <c r="AD313" i="1" s="1"/>
  <c r="BI313" i="1"/>
  <c r="AE313" i="1" s="1"/>
  <c r="BJ313" i="1"/>
  <c r="J315" i="1"/>
  <c r="L315" i="1"/>
  <c r="AL315" i="1" s="1"/>
  <c r="Z315" i="1"/>
  <c r="AB315" i="1"/>
  <c r="AC315" i="1"/>
  <c r="AF315" i="1"/>
  <c r="AG315" i="1"/>
  <c r="AH315" i="1"/>
  <c r="AJ315" i="1"/>
  <c r="AK315" i="1"/>
  <c r="AO315" i="1"/>
  <c r="AW315" i="1" s="1"/>
  <c r="AP315" i="1"/>
  <c r="BD315" i="1"/>
  <c r="BF315" i="1"/>
  <c r="BH315" i="1"/>
  <c r="AD315" i="1" s="1"/>
  <c r="BJ315" i="1"/>
  <c r="L317" i="1"/>
  <c r="Z317" i="1"/>
  <c r="AB317" i="1"/>
  <c r="AC317" i="1"/>
  <c r="AF317" i="1"/>
  <c r="AG317" i="1"/>
  <c r="AH317" i="1"/>
  <c r="AJ317" i="1"/>
  <c r="AK317" i="1"/>
  <c r="AL317" i="1"/>
  <c r="AO317" i="1"/>
  <c r="AP317" i="1"/>
  <c r="BD317" i="1"/>
  <c r="BF317" i="1"/>
  <c r="BH317" i="1"/>
  <c r="AD317" i="1" s="1"/>
  <c r="BI317" i="1"/>
  <c r="AE317" i="1" s="1"/>
  <c r="BJ317" i="1"/>
  <c r="L319" i="1"/>
  <c r="Z319" i="1"/>
  <c r="AB319" i="1"/>
  <c r="AC319" i="1"/>
  <c r="AF319" i="1"/>
  <c r="AG319" i="1"/>
  <c r="AH319" i="1"/>
  <c r="AJ319" i="1"/>
  <c r="AK319" i="1"/>
  <c r="AL319" i="1"/>
  <c r="AO319" i="1"/>
  <c r="AP319" i="1"/>
  <c r="K319" i="1" s="1"/>
  <c r="AX319" i="1"/>
  <c r="BD319" i="1"/>
  <c r="BF319" i="1"/>
  <c r="BH319" i="1"/>
  <c r="AD319" i="1" s="1"/>
  <c r="BI319" i="1"/>
  <c r="AE319" i="1" s="1"/>
  <c r="BJ319" i="1"/>
  <c r="L321" i="1"/>
  <c r="Z321" i="1"/>
  <c r="AB321" i="1"/>
  <c r="AC321" i="1"/>
  <c r="AF321" i="1"/>
  <c r="AG321" i="1"/>
  <c r="AH321" i="1"/>
  <c r="AJ321" i="1"/>
  <c r="AK321" i="1"/>
  <c r="AL321" i="1"/>
  <c r="AO321" i="1"/>
  <c r="J321" i="1" s="1"/>
  <c r="AP321" i="1"/>
  <c r="K321" i="1" s="1"/>
  <c r="AW321" i="1"/>
  <c r="BD321" i="1"/>
  <c r="BF321" i="1"/>
  <c r="BH321" i="1"/>
  <c r="AD321" i="1" s="1"/>
  <c r="BI321" i="1"/>
  <c r="AE321" i="1" s="1"/>
  <c r="BJ321" i="1"/>
  <c r="L323" i="1"/>
  <c r="AL323" i="1" s="1"/>
  <c r="Z323" i="1"/>
  <c r="AB323" i="1"/>
  <c r="AC323" i="1"/>
  <c r="AF323" i="1"/>
  <c r="AG323" i="1"/>
  <c r="AH323" i="1"/>
  <c r="AJ323" i="1"/>
  <c r="AK323" i="1"/>
  <c r="AO323" i="1"/>
  <c r="J323" i="1" s="1"/>
  <c r="AP323" i="1"/>
  <c r="K323" i="1" s="1"/>
  <c r="AX323" i="1"/>
  <c r="BD323" i="1"/>
  <c r="BF323" i="1"/>
  <c r="BH323" i="1"/>
  <c r="AD323" i="1" s="1"/>
  <c r="BI323" i="1"/>
  <c r="AE323" i="1" s="1"/>
  <c r="BJ323" i="1"/>
  <c r="L325" i="1"/>
  <c r="AL325" i="1" s="1"/>
  <c r="Z325" i="1"/>
  <c r="AB325" i="1"/>
  <c r="AC325" i="1"/>
  <c r="AF325" i="1"/>
  <c r="AG325" i="1"/>
  <c r="AH325" i="1"/>
  <c r="AJ325" i="1"/>
  <c r="AK325" i="1"/>
  <c r="AO325" i="1"/>
  <c r="J325" i="1" s="1"/>
  <c r="AP325" i="1"/>
  <c r="K325" i="1" s="1"/>
  <c r="AW325" i="1"/>
  <c r="AV325" i="1" s="1"/>
  <c r="AX325" i="1"/>
  <c r="BC325" i="1"/>
  <c r="BD325" i="1"/>
  <c r="BF325" i="1"/>
  <c r="BH325" i="1"/>
  <c r="AD325" i="1" s="1"/>
  <c r="BI325" i="1"/>
  <c r="AE325" i="1" s="1"/>
  <c r="BJ325" i="1"/>
  <c r="K326" i="1"/>
  <c r="L326" i="1"/>
  <c r="AL326" i="1" s="1"/>
  <c r="Z326" i="1"/>
  <c r="AB326" i="1"/>
  <c r="AC326" i="1"/>
  <c r="AF326" i="1"/>
  <c r="AG326" i="1"/>
  <c r="AH326" i="1"/>
  <c r="AJ326" i="1"/>
  <c r="AK326" i="1"/>
  <c r="AO326" i="1"/>
  <c r="J326" i="1" s="1"/>
  <c r="AP326" i="1"/>
  <c r="AW326" i="1"/>
  <c r="AX326" i="1"/>
  <c r="BD326" i="1"/>
  <c r="BF326" i="1"/>
  <c r="BH326" i="1"/>
  <c r="AD326" i="1" s="1"/>
  <c r="BI326" i="1"/>
  <c r="AE326" i="1" s="1"/>
  <c r="BJ326" i="1"/>
  <c r="J327" i="1"/>
  <c r="K327" i="1"/>
  <c r="L327" i="1"/>
  <c r="Z327" i="1"/>
  <c r="AB327" i="1"/>
  <c r="AC327" i="1"/>
  <c r="AF327" i="1"/>
  <c r="AG327" i="1"/>
  <c r="AH327" i="1"/>
  <c r="AJ327" i="1"/>
  <c r="AK327" i="1"/>
  <c r="AL327" i="1"/>
  <c r="AO327" i="1"/>
  <c r="AP327" i="1"/>
  <c r="AX327" i="1" s="1"/>
  <c r="AW327" i="1"/>
  <c r="BC327" i="1" s="1"/>
  <c r="BD327" i="1"/>
  <c r="BF327" i="1"/>
  <c r="BH327" i="1"/>
  <c r="AD327" i="1" s="1"/>
  <c r="BI327" i="1"/>
  <c r="AE327" i="1" s="1"/>
  <c r="BJ327" i="1"/>
  <c r="J328" i="1"/>
  <c r="L328" i="1"/>
  <c r="AL328" i="1" s="1"/>
  <c r="Z328" i="1"/>
  <c r="AB328" i="1"/>
  <c r="AC328" i="1"/>
  <c r="AF328" i="1"/>
  <c r="AG328" i="1"/>
  <c r="AH328" i="1"/>
  <c r="AJ328" i="1"/>
  <c r="AK328" i="1"/>
  <c r="AO328" i="1"/>
  <c r="AW328" i="1" s="1"/>
  <c r="AP328" i="1"/>
  <c r="BD328" i="1"/>
  <c r="BF328" i="1"/>
  <c r="BH328" i="1"/>
  <c r="AD328" i="1" s="1"/>
  <c r="BJ328" i="1"/>
  <c r="L330" i="1"/>
  <c r="Z330" i="1"/>
  <c r="AB330" i="1"/>
  <c r="AC330" i="1"/>
  <c r="AF330" i="1"/>
  <c r="AG330" i="1"/>
  <c r="AH330" i="1"/>
  <c r="AJ330" i="1"/>
  <c r="AK330" i="1"/>
  <c r="AL330" i="1"/>
  <c r="AO330" i="1"/>
  <c r="AP330" i="1"/>
  <c r="BD330" i="1"/>
  <c r="BF330" i="1"/>
  <c r="BH330" i="1"/>
  <c r="AD330" i="1" s="1"/>
  <c r="BI330" i="1"/>
  <c r="AE330" i="1" s="1"/>
  <c r="BJ330" i="1"/>
  <c r="L332" i="1"/>
  <c r="Z332" i="1"/>
  <c r="AB332" i="1"/>
  <c r="AC332" i="1"/>
  <c r="AF332" i="1"/>
  <c r="AG332" i="1"/>
  <c r="AH332" i="1"/>
  <c r="AJ332" i="1"/>
  <c r="AK332" i="1"/>
  <c r="AL332" i="1"/>
  <c r="AO332" i="1"/>
  <c r="AP332" i="1"/>
  <c r="K332" i="1" s="1"/>
  <c r="AX332" i="1"/>
  <c r="BD332" i="1"/>
  <c r="BF332" i="1"/>
  <c r="BH332" i="1"/>
  <c r="AD332" i="1" s="1"/>
  <c r="BI332" i="1"/>
  <c r="AE332" i="1" s="1"/>
  <c r="BJ332" i="1"/>
  <c r="L334" i="1"/>
  <c r="Z334" i="1"/>
  <c r="AB334" i="1"/>
  <c r="AC334" i="1"/>
  <c r="AF334" i="1"/>
  <c r="AG334" i="1"/>
  <c r="AH334" i="1"/>
  <c r="AJ334" i="1"/>
  <c r="AK334" i="1"/>
  <c r="AL334" i="1"/>
  <c r="AO334" i="1"/>
  <c r="J334" i="1" s="1"/>
  <c r="AP334" i="1"/>
  <c r="K334" i="1" s="1"/>
  <c r="AW334" i="1"/>
  <c r="BD334" i="1"/>
  <c r="BF334" i="1"/>
  <c r="BH334" i="1"/>
  <c r="AD334" i="1" s="1"/>
  <c r="BI334" i="1"/>
  <c r="AE334" i="1" s="1"/>
  <c r="BJ334" i="1"/>
  <c r="L336" i="1"/>
  <c r="Z336" i="1"/>
  <c r="AB336" i="1"/>
  <c r="AC336" i="1"/>
  <c r="AF336" i="1"/>
  <c r="AG336" i="1"/>
  <c r="AH336" i="1"/>
  <c r="AJ336" i="1"/>
  <c r="AK336" i="1"/>
  <c r="AL336" i="1"/>
  <c r="AO336" i="1"/>
  <c r="J336" i="1" s="1"/>
  <c r="AP336" i="1"/>
  <c r="K336" i="1" s="1"/>
  <c r="AX336" i="1"/>
  <c r="BD336" i="1"/>
  <c r="BF336" i="1"/>
  <c r="BH336" i="1"/>
  <c r="AD336" i="1" s="1"/>
  <c r="BI336" i="1"/>
  <c r="AE336" i="1" s="1"/>
  <c r="BJ336" i="1"/>
  <c r="L337" i="1"/>
  <c r="AL337" i="1" s="1"/>
  <c r="Z337" i="1"/>
  <c r="AB337" i="1"/>
  <c r="AC337" i="1"/>
  <c r="AF337" i="1"/>
  <c r="AG337" i="1"/>
  <c r="AH337" i="1"/>
  <c r="AJ337" i="1"/>
  <c r="AK337" i="1"/>
  <c r="AO337" i="1"/>
  <c r="J337" i="1" s="1"/>
  <c r="AP337" i="1"/>
  <c r="K337" i="1" s="1"/>
  <c r="AW337" i="1"/>
  <c r="AX337" i="1"/>
  <c r="BC337" i="1" s="1"/>
  <c r="BD337" i="1"/>
  <c r="BF337" i="1"/>
  <c r="BH337" i="1"/>
  <c r="AD337" i="1" s="1"/>
  <c r="BI337" i="1"/>
  <c r="AE337" i="1" s="1"/>
  <c r="BJ337" i="1"/>
  <c r="K338" i="1"/>
  <c r="L338" i="1"/>
  <c r="AL338" i="1" s="1"/>
  <c r="Z338" i="1"/>
  <c r="AB338" i="1"/>
  <c r="AC338" i="1"/>
  <c r="AF338" i="1"/>
  <c r="AG338" i="1"/>
  <c r="AH338" i="1"/>
  <c r="AJ338" i="1"/>
  <c r="AK338" i="1"/>
  <c r="AO338" i="1"/>
  <c r="J338" i="1" s="1"/>
  <c r="AP338" i="1"/>
  <c r="AW338" i="1"/>
  <c r="AX338" i="1"/>
  <c r="BD338" i="1"/>
  <c r="BF338" i="1"/>
  <c r="BH338" i="1"/>
  <c r="AD338" i="1" s="1"/>
  <c r="BI338" i="1"/>
  <c r="AE338" i="1" s="1"/>
  <c r="BJ338" i="1"/>
  <c r="J339" i="1"/>
  <c r="K339" i="1"/>
  <c r="L339" i="1"/>
  <c r="Z339" i="1"/>
  <c r="AB339" i="1"/>
  <c r="AC339" i="1"/>
  <c r="AF339" i="1"/>
  <c r="AG339" i="1"/>
  <c r="AH339" i="1"/>
  <c r="AJ339" i="1"/>
  <c r="AK339" i="1"/>
  <c r="AL339" i="1"/>
  <c r="AO339" i="1"/>
  <c r="AP339" i="1"/>
  <c r="AV339" i="1"/>
  <c r="AW339" i="1"/>
  <c r="BC339" i="1" s="1"/>
  <c r="AX339" i="1"/>
  <c r="BD339" i="1"/>
  <c r="BF339" i="1"/>
  <c r="BH339" i="1"/>
  <c r="AD339" i="1" s="1"/>
  <c r="BI339" i="1"/>
  <c r="AE339" i="1" s="1"/>
  <c r="BJ339" i="1"/>
  <c r="J340" i="1"/>
  <c r="L340" i="1"/>
  <c r="AL340" i="1" s="1"/>
  <c r="Z340" i="1"/>
  <c r="AB340" i="1"/>
  <c r="AC340" i="1"/>
  <c r="AF340" i="1"/>
  <c r="AG340" i="1"/>
  <c r="AH340" i="1"/>
  <c r="AJ340" i="1"/>
  <c r="AK340" i="1"/>
  <c r="AO340" i="1"/>
  <c r="AW340" i="1" s="1"/>
  <c r="AP340" i="1"/>
  <c r="BD340" i="1"/>
  <c r="BF340" i="1"/>
  <c r="BH340" i="1"/>
  <c r="AD340" i="1" s="1"/>
  <c r="BJ340" i="1"/>
  <c r="L341" i="1"/>
  <c r="Z341" i="1"/>
  <c r="AB341" i="1"/>
  <c r="AC341" i="1"/>
  <c r="AF341" i="1"/>
  <c r="AG341" i="1"/>
  <c r="AH341" i="1"/>
  <c r="AJ341" i="1"/>
  <c r="AK341" i="1"/>
  <c r="AL341" i="1"/>
  <c r="AO341" i="1"/>
  <c r="BH341" i="1" s="1"/>
  <c r="AD341" i="1" s="1"/>
  <c r="AP341" i="1"/>
  <c r="BD341" i="1"/>
  <c r="BF341" i="1"/>
  <c r="BI341" i="1"/>
  <c r="AE341" i="1" s="1"/>
  <c r="BJ341" i="1"/>
  <c r="L342" i="1"/>
  <c r="Z342" i="1"/>
  <c r="AB342" i="1"/>
  <c r="AC342" i="1"/>
  <c r="AF342" i="1"/>
  <c r="AG342" i="1"/>
  <c r="AH342" i="1"/>
  <c r="AJ342" i="1"/>
  <c r="AK342" i="1"/>
  <c r="AL342" i="1"/>
  <c r="AO342" i="1"/>
  <c r="AP342" i="1"/>
  <c r="K342" i="1" s="1"/>
  <c r="BD342" i="1"/>
  <c r="BF342" i="1"/>
  <c r="BI342" i="1"/>
  <c r="AE342" i="1" s="1"/>
  <c r="BJ342" i="1"/>
  <c r="L343" i="1"/>
  <c r="Z343" i="1"/>
  <c r="AB343" i="1"/>
  <c r="AC343" i="1"/>
  <c r="AF343" i="1"/>
  <c r="AG343" i="1"/>
  <c r="AH343" i="1"/>
  <c r="AJ343" i="1"/>
  <c r="AK343" i="1"/>
  <c r="AL343" i="1"/>
  <c r="AO343" i="1"/>
  <c r="J343" i="1" s="1"/>
  <c r="AP343" i="1"/>
  <c r="K343" i="1" s="1"/>
  <c r="BD343" i="1"/>
  <c r="BF343" i="1"/>
  <c r="BH343" i="1"/>
  <c r="AD343" i="1" s="1"/>
  <c r="BI343" i="1"/>
  <c r="AE343" i="1" s="1"/>
  <c r="BJ343" i="1"/>
  <c r="L344" i="1"/>
  <c r="Z344" i="1"/>
  <c r="AB344" i="1"/>
  <c r="AC344" i="1"/>
  <c r="AF344" i="1"/>
  <c r="AG344" i="1"/>
  <c r="AH344" i="1"/>
  <c r="AJ344" i="1"/>
  <c r="AK344" i="1"/>
  <c r="AL344" i="1"/>
  <c r="AO344" i="1"/>
  <c r="J344" i="1" s="1"/>
  <c r="AP344" i="1"/>
  <c r="K344" i="1" s="1"/>
  <c r="AX344" i="1"/>
  <c r="BD344" i="1"/>
  <c r="BF344" i="1"/>
  <c r="BH344" i="1"/>
  <c r="AD344" i="1" s="1"/>
  <c r="BI344" i="1"/>
  <c r="AE344" i="1" s="1"/>
  <c r="BJ344" i="1"/>
  <c r="L345" i="1"/>
  <c r="AL345" i="1" s="1"/>
  <c r="Z345" i="1"/>
  <c r="AB345" i="1"/>
  <c r="AC345" i="1"/>
  <c r="AF345" i="1"/>
  <c r="AG345" i="1"/>
  <c r="AH345" i="1"/>
  <c r="AJ345" i="1"/>
  <c r="AK345" i="1"/>
  <c r="AO345" i="1"/>
  <c r="J345" i="1" s="1"/>
  <c r="AP345" i="1"/>
  <c r="K345" i="1" s="1"/>
  <c r="AW345" i="1"/>
  <c r="AX345" i="1"/>
  <c r="BC345" i="1" s="1"/>
  <c r="BD345" i="1"/>
  <c r="BF345" i="1"/>
  <c r="BH345" i="1"/>
  <c r="AD345" i="1" s="1"/>
  <c r="BI345" i="1"/>
  <c r="AE345" i="1" s="1"/>
  <c r="BJ345" i="1"/>
  <c r="K346" i="1"/>
  <c r="L346" i="1"/>
  <c r="AL346" i="1" s="1"/>
  <c r="Z346" i="1"/>
  <c r="AB346" i="1"/>
  <c r="AC346" i="1"/>
  <c r="AF346" i="1"/>
  <c r="AG346" i="1"/>
  <c r="AH346" i="1"/>
  <c r="AJ346" i="1"/>
  <c r="AK346" i="1"/>
  <c r="AO346" i="1"/>
  <c r="J346" i="1" s="1"/>
  <c r="AP346" i="1"/>
  <c r="AW346" i="1"/>
  <c r="AX346" i="1"/>
  <c r="BD346" i="1"/>
  <c r="BF346" i="1"/>
  <c r="BH346" i="1"/>
  <c r="AD346" i="1" s="1"/>
  <c r="BI346" i="1"/>
  <c r="AE346" i="1" s="1"/>
  <c r="BJ346" i="1"/>
  <c r="J347" i="1"/>
  <c r="K347" i="1"/>
  <c r="L347" i="1"/>
  <c r="Z347" i="1"/>
  <c r="AB347" i="1"/>
  <c r="AC347" i="1"/>
  <c r="AF347" i="1"/>
  <c r="AG347" i="1"/>
  <c r="AH347" i="1"/>
  <c r="AJ347" i="1"/>
  <c r="AK347" i="1"/>
  <c r="AL347" i="1"/>
  <c r="AO347" i="1"/>
  <c r="AP347" i="1"/>
  <c r="AX347" i="1" s="1"/>
  <c r="AV347" i="1"/>
  <c r="AW347" i="1"/>
  <c r="BC347" i="1" s="1"/>
  <c r="BD347" i="1"/>
  <c r="BF347" i="1"/>
  <c r="BH347" i="1"/>
  <c r="AD347" i="1" s="1"/>
  <c r="BI347" i="1"/>
  <c r="AE347" i="1" s="1"/>
  <c r="BJ347" i="1"/>
  <c r="J348" i="1"/>
  <c r="L348" i="1"/>
  <c r="AL348" i="1" s="1"/>
  <c r="Z348" i="1"/>
  <c r="AB348" i="1"/>
  <c r="AC348" i="1"/>
  <c r="AE348" i="1"/>
  <c r="AF348" i="1"/>
  <c r="AG348" i="1"/>
  <c r="AH348" i="1"/>
  <c r="AJ348" i="1"/>
  <c r="AK348" i="1"/>
  <c r="AO348" i="1"/>
  <c r="AW348" i="1" s="1"/>
  <c r="AP348" i="1"/>
  <c r="BD348" i="1"/>
  <c r="BF348" i="1"/>
  <c r="BH348" i="1"/>
  <c r="AD348" i="1" s="1"/>
  <c r="BI348" i="1"/>
  <c r="BJ348" i="1"/>
  <c r="L349" i="1"/>
  <c r="Z349" i="1"/>
  <c r="AB349" i="1"/>
  <c r="AC349" i="1"/>
  <c r="AF349" i="1"/>
  <c r="AG349" i="1"/>
  <c r="AH349" i="1"/>
  <c r="AJ349" i="1"/>
  <c r="AK349" i="1"/>
  <c r="AL349" i="1"/>
  <c r="AO349" i="1"/>
  <c r="AP349" i="1"/>
  <c r="BI349" i="1" s="1"/>
  <c r="AE349" i="1" s="1"/>
  <c r="BD349" i="1"/>
  <c r="BF349" i="1"/>
  <c r="BH349" i="1"/>
  <c r="AD349" i="1" s="1"/>
  <c r="BJ349" i="1"/>
  <c r="L350" i="1"/>
  <c r="Z350" i="1"/>
  <c r="AB350" i="1"/>
  <c r="AC350" i="1"/>
  <c r="AF350" i="1"/>
  <c r="AG350" i="1"/>
  <c r="AH350" i="1"/>
  <c r="AJ350" i="1"/>
  <c r="AK350" i="1"/>
  <c r="AL350" i="1"/>
  <c r="AO350" i="1"/>
  <c r="AP350" i="1"/>
  <c r="K350" i="1" s="1"/>
  <c r="BD350" i="1"/>
  <c r="BF350" i="1"/>
  <c r="BH350" i="1"/>
  <c r="AD350" i="1" s="1"/>
  <c r="BI350" i="1"/>
  <c r="AE350" i="1" s="1"/>
  <c r="BJ350" i="1"/>
  <c r="L351" i="1"/>
  <c r="Z351" i="1"/>
  <c r="AB351" i="1"/>
  <c r="AC351" i="1"/>
  <c r="AF351" i="1"/>
  <c r="AG351" i="1"/>
  <c r="AH351" i="1"/>
  <c r="AJ351" i="1"/>
  <c r="AK351" i="1"/>
  <c r="AL351" i="1"/>
  <c r="AO351" i="1"/>
  <c r="J351" i="1" s="1"/>
  <c r="AP351" i="1"/>
  <c r="K351" i="1" s="1"/>
  <c r="BD351" i="1"/>
  <c r="BF351" i="1"/>
  <c r="BH351" i="1"/>
  <c r="AD351" i="1" s="1"/>
  <c r="BI351" i="1"/>
  <c r="AE351" i="1" s="1"/>
  <c r="BJ351" i="1"/>
  <c r="L352" i="1"/>
  <c r="Z352" i="1"/>
  <c r="AB352" i="1"/>
  <c r="AC352" i="1"/>
  <c r="AF352" i="1"/>
  <c r="AG352" i="1"/>
  <c r="AH352" i="1"/>
  <c r="AJ352" i="1"/>
  <c r="AK352" i="1"/>
  <c r="AL352" i="1"/>
  <c r="AO352" i="1"/>
  <c r="J352" i="1" s="1"/>
  <c r="AP352" i="1"/>
  <c r="K352" i="1" s="1"/>
  <c r="AX352" i="1"/>
  <c r="BD352" i="1"/>
  <c r="BF352" i="1"/>
  <c r="BH352" i="1"/>
  <c r="AD352" i="1" s="1"/>
  <c r="BI352" i="1"/>
  <c r="AE352" i="1" s="1"/>
  <c r="BJ352" i="1"/>
  <c r="L353" i="1"/>
  <c r="AL353" i="1" s="1"/>
  <c r="Z353" i="1"/>
  <c r="AB353" i="1"/>
  <c r="AC353" i="1"/>
  <c r="AF353" i="1"/>
  <c r="AG353" i="1"/>
  <c r="AH353" i="1"/>
  <c r="AJ353" i="1"/>
  <c r="AK353" i="1"/>
  <c r="AO353" i="1"/>
  <c r="J353" i="1" s="1"/>
  <c r="AP353" i="1"/>
  <c r="K353" i="1" s="1"/>
  <c r="AW353" i="1"/>
  <c r="AV353" i="1" s="1"/>
  <c r="AX353" i="1"/>
  <c r="BC353" i="1"/>
  <c r="BD353" i="1"/>
  <c r="BF353" i="1"/>
  <c r="BH353" i="1"/>
  <c r="AD353" i="1" s="1"/>
  <c r="BI353" i="1"/>
  <c r="AE353" i="1" s="1"/>
  <c r="BJ353" i="1"/>
  <c r="K355" i="1"/>
  <c r="L355" i="1"/>
  <c r="AL355" i="1" s="1"/>
  <c r="Z355" i="1"/>
  <c r="AB355" i="1"/>
  <c r="AC355" i="1"/>
  <c r="AF355" i="1"/>
  <c r="AG355" i="1"/>
  <c r="AH355" i="1"/>
  <c r="AJ355" i="1"/>
  <c r="AK355" i="1"/>
  <c r="AO355" i="1"/>
  <c r="J355" i="1" s="1"/>
  <c r="AP355" i="1"/>
  <c r="AW355" i="1"/>
  <c r="AX355" i="1"/>
  <c r="BD355" i="1"/>
  <c r="BF355" i="1"/>
  <c r="BH355" i="1"/>
  <c r="AD355" i="1" s="1"/>
  <c r="BI355" i="1"/>
  <c r="AE355" i="1" s="1"/>
  <c r="BJ355" i="1"/>
  <c r="J357" i="1"/>
  <c r="K357" i="1"/>
  <c r="L357" i="1"/>
  <c r="AL357" i="1" s="1"/>
  <c r="Z357" i="1"/>
  <c r="AB357" i="1"/>
  <c r="AC357" i="1"/>
  <c r="AF357" i="1"/>
  <c r="AG357" i="1"/>
  <c r="AH357" i="1"/>
  <c r="AJ357" i="1"/>
  <c r="AK357" i="1"/>
  <c r="AO357" i="1"/>
  <c r="AP357" i="1"/>
  <c r="AV357" i="1"/>
  <c r="AW357" i="1"/>
  <c r="BC357" i="1" s="1"/>
  <c r="AX357" i="1"/>
  <c r="BD357" i="1"/>
  <c r="BF357" i="1"/>
  <c r="BH357" i="1"/>
  <c r="AD357" i="1" s="1"/>
  <c r="BI357" i="1"/>
  <c r="AE357" i="1" s="1"/>
  <c r="BJ357" i="1"/>
  <c r="J358" i="1"/>
  <c r="L358" i="1"/>
  <c r="Z358" i="1"/>
  <c r="AB358" i="1"/>
  <c r="AC358" i="1"/>
  <c r="AF358" i="1"/>
  <c r="AG358" i="1"/>
  <c r="AH358" i="1"/>
  <c r="AJ358" i="1"/>
  <c r="AK358" i="1"/>
  <c r="AL358" i="1"/>
  <c r="AO358" i="1"/>
  <c r="AW358" i="1" s="1"/>
  <c r="AP358" i="1"/>
  <c r="BD358" i="1"/>
  <c r="BF358" i="1"/>
  <c r="BH358" i="1"/>
  <c r="AD358" i="1" s="1"/>
  <c r="BI358" i="1"/>
  <c r="AE358" i="1" s="1"/>
  <c r="BJ358" i="1"/>
  <c r="L359" i="1"/>
  <c r="Z359" i="1"/>
  <c r="AB359" i="1"/>
  <c r="AC359" i="1"/>
  <c r="AF359" i="1"/>
  <c r="AG359" i="1"/>
  <c r="AH359" i="1"/>
  <c r="AJ359" i="1"/>
  <c r="AK359" i="1"/>
  <c r="AL359" i="1"/>
  <c r="AO359" i="1"/>
  <c r="AP359" i="1"/>
  <c r="BI359" i="1" s="1"/>
  <c r="AE359" i="1" s="1"/>
  <c r="BD359" i="1"/>
  <c r="BF359" i="1"/>
  <c r="BH359" i="1"/>
  <c r="AD359" i="1" s="1"/>
  <c r="BJ359" i="1"/>
  <c r="L360" i="1"/>
  <c r="Z360" i="1"/>
  <c r="AB360" i="1"/>
  <c r="AC360" i="1"/>
  <c r="AF360" i="1"/>
  <c r="AG360" i="1"/>
  <c r="AH360" i="1"/>
  <c r="AJ360" i="1"/>
  <c r="AK360" i="1"/>
  <c r="AL360" i="1"/>
  <c r="AO360" i="1"/>
  <c r="AP360" i="1"/>
  <c r="K360" i="1" s="1"/>
  <c r="AX360" i="1"/>
  <c r="BD360" i="1"/>
  <c r="BF360" i="1"/>
  <c r="BH360" i="1"/>
  <c r="AD360" i="1" s="1"/>
  <c r="BI360" i="1"/>
  <c r="AE360" i="1" s="1"/>
  <c r="BJ360" i="1"/>
  <c r="L361" i="1"/>
  <c r="Z361" i="1"/>
  <c r="AB361" i="1"/>
  <c r="AC361" i="1"/>
  <c r="AF361" i="1"/>
  <c r="AG361" i="1"/>
  <c r="AH361" i="1"/>
  <c r="AJ361" i="1"/>
  <c r="AK361" i="1"/>
  <c r="AL361" i="1"/>
  <c r="AO361" i="1"/>
  <c r="J361" i="1" s="1"/>
  <c r="AP361" i="1"/>
  <c r="K361" i="1" s="1"/>
  <c r="AW361" i="1"/>
  <c r="BD361" i="1"/>
  <c r="BF361" i="1"/>
  <c r="BH361" i="1"/>
  <c r="AD361" i="1" s="1"/>
  <c r="BI361" i="1"/>
  <c r="AE361" i="1" s="1"/>
  <c r="BJ361" i="1"/>
  <c r="L362" i="1"/>
  <c r="Z362" i="1"/>
  <c r="AB362" i="1"/>
  <c r="AC362" i="1"/>
  <c r="AF362" i="1"/>
  <c r="AG362" i="1"/>
  <c r="AH362" i="1"/>
  <c r="AJ362" i="1"/>
  <c r="AK362" i="1"/>
  <c r="AL362" i="1"/>
  <c r="AO362" i="1"/>
  <c r="J362" i="1" s="1"/>
  <c r="AP362" i="1"/>
  <c r="K362" i="1" s="1"/>
  <c r="AX362" i="1"/>
  <c r="BD362" i="1"/>
  <c r="BF362" i="1"/>
  <c r="BH362" i="1"/>
  <c r="AD362" i="1" s="1"/>
  <c r="BI362" i="1"/>
  <c r="AE362" i="1" s="1"/>
  <c r="BJ362" i="1"/>
  <c r="L363" i="1"/>
  <c r="AL363" i="1" s="1"/>
  <c r="Z363" i="1"/>
  <c r="AB363" i="1"/>
  <c r="AC363" i="1"/>
  <c r="AF363" i="1"/>
  <c r="AG363" i="1"/>
  <c r="AH363" i="1"/>
  <c r="AJ363" i="1"/>
  <c r="AK363" i="1"/>
  <c r="AO363" i="1"/>
  <c r="J363" i="1" s="1"/>
  <c r="AP363" i="1"/>
  <c r="K363" i="1" s="1"/>
  <c r="AX363" i="1"/>
  <c r="BD363" i="1"/>
  <c r="BF363" i="1"/>
  <c r="BH363" i="1"/>
  <c r="AD363" i="1" s="1"/>
  <c r="BI363" i="1"/>
  <c r="AE363" i="1" s="1"/>
  <c r="BJ363" i="1"/>
  <c r="K364" i="1"/>
  <c r="L364" i="1"/>
  <c r="AL364" i="1" s="1"/>
  <c r="Z364" i="1"/>
  <c r="AB364" i="1"/>
  <c r="AC364" i="1"/>
  <c r="AF364" i="1"/>
  <c r="AG364" i="1"/>
  <c r="AH364" i="1"/>
  <c r="AJ364" i="1"/>
  <c r="AK364" i="1"/>
  <c r="AO364" i="1"/>
  <c r="J364" i="1" s="1"/>
  <c r="AP364" i="1"/>
  <c r="AW364" i="1"/>
  <c r="AX364" i="1"/>
  <c r="BD364" i="1"/>
  <c r="BF364" i="1"/>
  <c r="BH364" i="1"/>
  <c r="AD364" i="1" s="1"/>
  <c r="BI364" i="1"/>
  <c r="AE364" i="1" s="1"/>
  <c r="BJ364" i="1"/>
  <c r="J365" i="1"/>
  <c r="K365" i="1"/>
  <c r="L365" i="1"/>
  <c r="Z365" i="1"/>
  <c r="AB365" i="1"/>
  <c r="AC365" i="1"/>
  <c r="AF365" i="1"/>
  <c r="AG365" i="1"/>
  <c r="AH365" i="1"/>
  <c r="AJ365" i="1"/>
  <c r="AK365" i="1"/>
  <c r="AL365" i="1"/>
  <c r="AO365" i="1"/>
  <c r="AP365" i="1"/>
  <c r="AX365" i="1" s="1"/>
  <c r="AV365" i="1"/>
  <c r="AW365" i="1"/>
  <c r="BC365" i="1" s="1"/>
  <c r="BD365" i="1"/>
  <c r="BF365" i="1"/>
  <c r="BH365" i="1"/>
  <c r="AD365" i="1" s="1"/>
  <c r="BI365" i="1"/>
  <c r="AE365" i="1" s="1"/>
  <c r="BJ365" i="1"/>
  <c r="J366" i="1"/>
  <c r="L366" i="1"/>
  <c r="AL366" i="1" s="1"/>
  <c r="Z366" i="1"/>
  <c r="AB366" i="1"/>
  <c r="AC366" i="1"/>
  <c r="AE366" i="1"/>
  <c r="AF366" i="1"/>
  <c r="AG366" i="1"/>
  <c r="AH366" i="1"/>
  <c r="AJ366" i="1"/>
  <c r="AK366" i="1"/>
  <c r="AO366" i="1"/>
  <c r="AW366" i="1" s="1"/>
  <c r="AP366" i="1"/>
  <c r="BD366" i="1"/>
  <c r="BF366" i="1"/>
  <c r="BH366" i="1"/>
  <c r="AD366" i="1" s="1"/>
  <c r="BI366" i="1"/>
  <c r="BJ366" i="1"/>
  <c r="L367" i="1"/>
  <c r="Z367" i="1"/>
  <c r="AB367" i="1"/>
  <c r="AC367" i="1"/>
  <c r="AF367" i="1"/>
  <c r="AG367" i="1"/>
  <c r="AH367" i="1"/>
  <c r="AJ367" i="1"/>
  <c r="AK367" i="1"/>
  <c r="AL367" i="1"/>
  <c r="AO367" i="1"/>
  <c r="AP367" i="1"/>
  <c r="BI367" i="1" s="1"/>
  <c r="AE367" i="1" s="1"/>
  <c r="BD367" i="1"/>
  <c r="BF367" i="1"/>
  <c r="BH367" i="1"/>
  <c r="AD367" i="1" s="1"/>
  <c r="BJ367" i="1"/>
  <c r="K368" i="1"/>
  <c r="L368" i="1"/>
  <c r="Z368" i="1"/>
  <c r="AB368" i="1"/>
  <c r="AC368" i="1"/>
  <c r="AF368" i="1"/>
  <c r="AG368" i="1"/>
  <c r="AH368" i="1"/>
  <c r="AJ368" i="1"/>
  <c r="AK368" i="1"/>
  <c r="AL368" i="1"/>
  <c r="AO368" i="1"/>
  <c r="AP368" i="1"/>
  <c r="AX368" i="1"/>
  <c r="BD368" i="1"/>
  <c r="BF368" i="1"/>
  <c r="BI368" i="1"/>
  <c r="AE368" i="1" s="1"/>
  <c r="BJ368" i="1"/>
  <c r="J370" i="1"/>
  <c r="K370" i="1"/>
  <c r="L370" i="1"/>
  <c r="Z370" i="1"/>
  <c r="AB370" i="1"/>
  <c r="AC370" i="1"/>
  <c r="AF370" i="1"/>
  <c r="AG370" i="1"/>
  <c r="AH370" i="1"/>
  <c r="AJ370" i="1"/>
  <c r="AK370" i="1"/>
  <c r="AL370" i="1"/>
  <c r="AO370" i="1"/>
  <c r="AP370" i="1"/>
  <c r="AX370" i="1" s="1"/>
  <c r="BC370" i="1" s="1"/>
  <c r="AW370" i="1"/>
  <c r="BD370" i="1"/>
  <c r="BF370" i="1"/>
  <c r="BH370" i="1"/>
  <c r="AD370" i="1" s="1"/>
  <c r="BI370" i="1"/>
  <c r="AE370" i="1" s="1"/>
  <c r="BJ370" i="1"/>
  <c r="L372" i="1"/>
  <c r="AL372" i="1" s="1"/>
  <c r="Z372" i="1"/>
  <c r="AB372" i="1"/>
  <c r="AC372" i="1"/>
  <c r="AF372" i="1"/>
  <c r="AG372" i="1"/>
  <c r="AH372" i="1"/>
  <c r="AJ372" i="1"/>
  <c r="AK372" i="1"/>
  <c r="AO372" i="1"/>
  <c r="J372" i="1" s="1"/>
  <c r="AP372" i="1"/>
  <c r="K372" i="1" s="1"/>
  <c r="AX372" i="1"/>
  <c r="BD372" i="1"/>
  <c r="BF372" i="1"/>
  <c r="BH372" i="1"/>
  <c r="AD372" i="1" s="1"/>
  <c r="BI372" i="1"/>
  <c r="AE372" i="1" s="1"/>
  <c r="BJ372" i="1"/>
  <c r="L373" i="1"/>
  <c r="AL373" i="1" s="1"/>
  <c r="Z373" i="1"/>
  <c r="AB373" i="1"/>
  <c r="AC373" i="1"/>
  <c r="AF373" i="1"/>
  <c r="AG373" i="1"/>
  <c r="AH373" i="1"/>
  <c r="AJ373" i="1"/>
  <c r="AK373" i="1"/>
  <c r="AO373" i="1"/>
  <c r="J373" i="1" s="1"/>
  <c r="AP373" i="1"/>
  <c r="K373" i="1" s="1"/>
  <c r="AW373" i="1"/>
  <c r="AV373" i="1" s="1"/>
  <c r="AX373" i="1"/>
  <c r="BC373" i="1"/>
  <c r="BD373" i="1"/>
  <c r="BF373" i="1"/>
  <c r="BH373" i="1"/>
  <c r="AD373" i="1" s="1"/>
  <c r="BI373" i="1"/>
  <c r="AE373" i="1" s="1"/>
  <c r="BJ373" i="1"/>
  <c r="K374" i="1"/>
  <c r="L374" i="1"/>
  <c r="AL374" i="1" s="1"/>
  <c r="Z374" i="1"/>
  <c r="AB374" i="1"/>
  <c r="AC374" i="1"/>
  <c r="AF374" i="1"/>
  <c r="AG374" i="1"/>
  <c r="AH374" i="1"/>
  <c r="AJ374" i="1"/>
  <c r="AK374" i="1"/>
  <c r="AO374" i="1"/>
  <c r="J374" i="1" s="1"/>
  <c r="AP374" i="1"/>
  <c r="AW374" i="1"/>
  <c r="AX374" i="1"/>
  <c r="BD374" i="1"/>
  <c r="BF374" i="1"/>
  <c r="BH374" i="1"/>
  <c r="AD374" i="1" s="1"/>
  <c r="BI374" i="1"/>
  <c r="AE374" i="1" s="1"/>
  <c r="BJ374" i="1"/>
  <c r="J376" i="1"/>
  <c r="K376" i="1"/>
  <c r="L376" i="1"/>
  <c r="Z376" i="1"/>
  <c r="AB376" i="1"/>
  <c r="AC376" i="1"/>
  <c r="AF376" i="1"/>
  <c r="AG376" i="1"/>
  <c r="AH376" i="1"/>
  <c r="AJ376" i="1"/>
  <c r="AK376" i="1"/>
  <c r="AL376" i="1"/>
  <c r="AO376" i="1"/>
  <c r="AP376" i="1"/>
  <c r="AX376" i="1" s="1"/>
  <c r="AW376" i="1"/>
  <c r="BD376" i="1"/>
  <c r="BF376" i="1"/>
  <c r="BH376" i="1"/>
  <c r="AD376" i="1" s="1"/>
  <c r="BI376" i="1"/>
  <c r="AE376" i="1" s="1"/>
  <c r="BJ376" i="1"/>
  <c r="J377" i="1"/>
  <c r="L377" i="1"/>
  <c r="Z377" i="1"/>
  <c r="AB377" i="1"/>
  <c r="AC377" i="1"/>
  <c r="AF377" i="1"/>
  <c r="AG377" i="1"/>
  <c r="AH377" i="1"/>
  <c r="AJ377" i="1"/>
  <c r="AK377" i="1"/>
  <c r="AL377" i="1"/>
  <c r="AO377" i="1"/>
  <c r="AW377" i="1" s="1"/>
  <c r="AP377" i="1"/>
  <c r="BD377" i="1"/>
  <c r="BF377" i="1"/>
  <c r="BH377" i="1"/>
  <c r="AD377" i="1" s="1"/>
  <c r="BI377" i="1"/>
  <c r="AE377" i="1" s="1"/>
  <c r="BJ377" i="1"/>
  <c r="L378" i="1"/>
  <c r="Z378" i="1"/>
  <c r="AB378" i="1"/>
  <c r="AC378" i="1"/>
  <c r="AF378" i="1"/>
  <c r="AG378" i="1"/>
  <c r="AH378" i="1"/>
  <c r="AJ378" i="1"/>
  <c r="AK378" i="1"/>
  <c r="AL378" i="1"/>
  <c r="AO378" i="1"/>
  <c r="AP378" i="1"/>
  <c r="BD378" i="1"/>
  <c r="BF378" i="1"/>
  <c r="BI378" i="1"/>
  <c r="AE378" i="1" s="1"/>
  <c r="BJ378" i="1"/>
  <c r="L379" i="1"/>
  <c r="Z379" i="1"/>
  <c r="AB379" i="1"/>
  <c r="AC379" i="1"/>
  <c r="AF379" i="1"/>
  <c r="AG379" i="1"/>
  <c r="AH379" i="1"/>
  <c r="AJ379" i="1"/>
  <c r="AK379" i="1"/>
  <c r="AL379" i="1"/>
  <c r="AO379" i="1"/>
  <c r="AP379" i="1"/>
  <c r="K379" i="1" s="1"/>
  <c r="AX379" i="1"/>
  <c r="BD379" i="1"/>
  <c r="BF379" i="1"/>
  <c r="BI379" i="1"/>
  <c r="AE379" i="1" s="1"/>
  <c r="BJ379" i="1"/>
  <c r="L380" i="1"/>
  <c r="Z380" i="1"/>
  <c r="AB380" i="1"/>
  <c r="AC380" i="1"/>
  <c r="AF380" i="1"/>
  <c r="AG380" i="1"/>
  <c r="AH380" i="1"/>
  <c r="AJ380" i="1"/>
  <c r="AK380" i="1"/>
  <c r="AL380" i="1"/>
  <c r="AO380" i="1"/>
  <c r="J380" i="1" s="1"/>
  <c r="AP380" i="1"/>
  <c r="K380" i="1" s="1"/>
  <c r="AW380" i="1"/>
  <c r="BD380" i="1"/>
  <c r="BF380" i="1"/>
  <c r="BH380" i="1"/>
  <c r="AD380" i="1" s="1"/>
  <c r="BI380" i="1"/>
  <c r="AE380" i="1" s="1"/>
  <c r="BJ380" i="1"/>
  <c r="L381" i="1"/>
  <c r="Z381" i="1"/>
  <c r="AB381" i="1"/>
  <c r="AC381" i="1"/>
  <c r="AF381" i="1"/>
  <c r="AG381" i="1"/>
  <c r="AH381" i="1"/>
  <c r="AJ381" i="1"/>
  <c r="AK381" i="1"/>
  <c r="AL381" i="1"/>
  <c r="AO381" i="1"/>
  <c r="J381" i="1" s="1"/>
  <c r="AP381" i="1"/>
  <c r="K381" i="1" s="1"/>
  <c r="BD381" i="1"/>
  <c r="BF381" i="1"/>
  <c r="BH381" i="1"/>
  <c r="AD381" i="1" s="1"/>
  <c r="BI381" i="1"/>
  <c r="AE381" i="1" s="1"/>
  <c r="BJ381" i="1"/>
  <c r="L383" i="1"/>
  <c r="AL383" i="1" s="1"/>
  <c r="Z383" i="1"/>
  <c r="AB383" i="1"/>
  <c r="AC383" i="1"/>
  <c r="AF383" i="1"/>
  <c r="AG383" i="1"/>
  <c r="AH383" i="1"/>
  <c r="AJ383" i="1"/>
  <c r="AK383" i="1"/>
  <c r="AO383" i="1"/>
  <c r="J383" i="1" s="1"/>
  <c r="AP383" i="1"/>
  <c r="K383" i="1" s="1"/>
  <c r="AX383" i="1"/>
  <c r="BD383" i="1"/>
  <c r="BF383" i="1"/>
  <c r="BH383" i="1"/>
  <c r="AD383" i="1" s="1"/>
  <c r="BI383" i="1"/>
  <c r="AE383" i="1" s="1"/>
  <c r="BJ383" i="1"/>
  <c r="K385" i="1"/>
  <c r="L385" i="1"/>
  <c r="AL385" i="1" s="1"/>
  <c r="Z385" i="1"/>
  <c r="AB385" i="1"/>
  <c r="AC385" i="1"/>
  <c r="AF385" i="1"/>
  <c r="AG385" i="1"/>
  <c r="AH385" i="1"/>
  <c r="AJ385" i="1"/>
  <c r="AK385" i="1"/>
  <c r="AO385" i="1"/>
  <c r="J385" i="1" s="1"/>
  <c r="AP385" i="1"/>
  <c r="AW385" i="1"/>
  <c r="AX385" i="1"/>
  <c r="BD385" i="1"/>
  <c r="BF385" i="1"/>
  <c r="BH385" i="1"/>
  <c r="AD385" i="1" s="1"/>
  <c r="BI385" i="1"/>
  <c r="AE385" i="1" s="1"/>
  <c r="BJ385" i="1"/>
  <c r="J387" i="1"/>
  <c r="K387" i="1"/>
  <c r="L387" i="1"/>
  <c r="Z387" i="1"/>
  <c r="AB387" i="1"/>
  <c r="AC387" i="1"/>
  <c r="AF387" i="1"/>
  <c r="AG387" i="1"/>
  <c r="AH387" i="1"/>
  <c r="AJ387" i="1"/>
  <c r="AK387" i="1"/>
  <c r="AL387" i="1"/>
  <c r="AO387" i="1"/>
  <c r="AP387" i="1"/>
  <c r="AX387" i="1" s="1"/>
  <c r="AW387" i="1"/>
  <c r="BD387" i="1"/>
  <c r="BF387" i="1"/>
  <c r="BH387" i="1"/>
  <c r="AD387" i="1" s="1"/>
  <c r="BI387" i="1"/>
  <c r="AE387" i="1" s="1"/>
  <c r="BJ387" i="1"/>
  <c r="J388" i="1"/>
  <c r="L388" i="1"/>
  <c r="AL388" i="1" s="1"/>
  <c r="Z388" i="1"/>
  <c r="AB388" i="1"/>
  <c r="AC388" i="1"/>
  <c r="AE388" i="1"/>
  <c r="AF388" i="1"/>
  <c r="AG388" i="1"/>
  <c r="AH388" i="1"/>
  <c r="AJ388" i="1"/>
  <c r="AK388" i="1"/>
  <c r="AO388" i="1"/>
  <c r="AW388" i="1" s="1"/>
  <c r="AP388" i="1"/>
  <c r="BD388" i="1"/>
  <c r="BF388" i="1"/>
  <c r="BH388" i="1"/>
  <c r="AD388" i="1" s="1"/>
  <c r="BI388" i="1"/>
  <c r="BJ388" i="1"/>
  <c r="L389" i="1"/>
  <c r="AL389" i="1" s="1"/>
  <c r="Z389" i="1"/>
  <c r="AB389" i="1"/>
  <c r="AC389" i="1"/>
  <c r="AF389" i="1"/>
  <c r="AG389" i="1"/>
  <c r="AH389" i="1"/>
  <c r="AJ389" i="1"/>
  <c r="AK389" i="1"/>
  <c r="AO389" i="1"/>
  <c r="AP389" i="1"/>
  <c r="BD389" i="1"/>
  <c r="BF389" i="1"/>
  <c r="BH389" i="1"/>
  <c r="AD389" i="1" s="1"/>
  <c r="BI389" i="1"/>
  <c r="AE389" i="1" s="1"/>
  <c r="BJ389" i="1"/>
  <c r="L390" i="1"/>
  <c r="Z390" i="1"/>
  <c r="AB390" i="1"/>
  <c r="AC390" i="1"/>
  <c r="AF390" i="1"/>
  <c r="AG390" i="1"/>
  <c r="AH390" i="1"/>
  <c r="AJ390" i="1"/>
  <c r="AK390" i="1"/>
  <c r="AL390" i="1"/>
  <c r="AO390" i="1"/>
  <c r="AP390" i="1"/>
  <c r="K390" i="1" s="1"/>
  <c r="AX390" i="1"/>
  <c r="BD390" i="1"/>
  <c r="BF390" i="1"/>
  <c r="BI390" i="1"/>
  <c r="AE390" i="1" s="1"/>
  <c r="BJ390" i="1"/>
  <c r="L391" i="1"/>
  <c r="Z391" i="1"/>
  <c r="AB391" i="1"/>
  <c r="AC391" i="1"/>
  <c r="AF391" i="1"/>
  <c r="AG391" i="1"/>
  <c r="AH391" i="1"/>
  <c r="AJ391" i="1"/>
  <c r="AK391" i="1"/>
  <c r="AL391" i="1"/>
  <c r="AO391" i="1"/>
  <c r="J391" i="1" s="1"/>
  <c r="AP391" i="1"/>
  <c r="K391" i="1" s="1"/>
  <c r="AW391" i="1"/>
  <c r="BD391" i="1"/>
  <c r="BF391" i="1"/>
  <c r="BH391" i="1"/>
  <c r="AD391" i="1" s="1"/>
  <c r="BI391" i="1"/>
  <c r="AE391" i="1" s="1"/>
  <c r="BJ391" i="1"/>
  <c r="L392" i="1"/>
  <c r="Z392" i="1"/>
  <c r="AB392" i="1"/>
  <c r="AC392" i="1"/>
  <c r="AF392" i="1"/>
  <c r="AG392" i="1"/>
  <c r="AH392" i="1"/>
  <c r="AJ392" i="1"/>
  <c r="AK392" i="1"/>
  <c r="AL392" i="1"/>
  <c r="AO392" i="1"/>
  <c r="J392" i="1" s="1"/>
  <c r="AP392" i="1"/>
  <c r="K392" i="1" s="1"/>
  <c r="BD392" i="1"/>
  <c r="BF392" i="1"/>
  <c r="BH392" i="1"/>
  <c r="AD392" i="1" s="1"/>
  <c r="BI392" i="1"/>
  <c r="AE392" i="1" s="1"/>
  <c r="BJ392" i="1"/>
  <c r="L393" i="1"/>
  <c r="AL393" i="1" s="1"/>
  <c r="Z393" i="1"/>
  <c r="AB393" i="1"/>
  <c r="AC393" i="1"/>
  <c r="AF393" i="1"/>
  <c r="AG393" i="1"/>
  <c r="AH393" i="1"/>
  <c r="AJ393" i="1"/>
  <c r="AK393" i="1"/>
  <c r="AO393" i="1"/>
  <c r="J393" i="1" s="1"/>
  <c r="AP393" i="1"/>
  <c r="K393" i="1" s="1"/>
  <c r="AX393" i="1"/>
  <c r="BD393" i="1"/>
  <c r="BF393" i="1"/>
  <c r="BH393" i="1"/>
  <c r="AD393" i="1" s="1"/>
  <c r="BI393" i="1"/>
  <c r="AE393" i="1" s="1"/>
  <c r="BJ393" i="1"/>
  <c r="K394" i="1"/>
  <c r="L394" i="1"/>
  <c r="AL394" i="1" s="1"/>
  <c r="Z394" i="1"/>
  <c r="AB394" i="1"/>
  <c r="AC394" i="1"/>
  <c r="AF394" i="1"/>
  <c r="AG394" i="1"/>
  <c r="AH394" i="1"/>
  <c r="AJ394" i="1"/>
  <c r="AK394" i="1"/>
  <c r="AO394" i="1"/>
  <c r="J394" i="1" s="1"/>
  <c r="AP394" i="1"/>
  <c r="AW394" i="1"/>
  <c r="AX394" i="1"/>
  <c r="BD394" i="1"/>
  <c r="BF394" i="1"/>
  <c r="BH394" i="1"/>
  <c r="AD394" i="1" s="1"/>
  <c r="BI394" i="1"/>
  <c r="AE394" i="1" s="1"/>
  <c r="BJ394" i="1"/>
  <c r="J395" i="1"/>
  <c r="K395" i="1"/>
  <c r="L395" i="1"/>
  <c r="Z395" i="1"/>
  <c r="AB395" i="1"/>
  <c r="AC395" i="1"/>
  <c r="AF395" i="1"/>
  <c r="AG395" i="1"/>
  <c r="AH395" i="1"/>
  <c r="AJ395" i="1"/>
  <c r="AK395" i="1"/>
  <c r="AL395" i="1"/>
  <c r="AO395" i="1"/>
  <c r="AP395" i="1"/>
  <c r="AW395" i="1"/>
  <c r="AX395" i="1"/>
  <c r="BD395" i="1"/>
  <c r="BF395" i="1"/>
  <c r="BH395" i="1"/>
  <c r="AD395" i="1" s="1"/>
  <c r="BI395" i="1"/>
  <c r="AE395" i="1" s="1"/>
  <c r="BJ395" i="1"/>
  <c r="J396" i="1"/>
  <c r="L396" i="1"/>
  <c r="AL396" i="1" s="1"/>
  <c r="Z396" i="1"/>
  <c r="AB396" i="1"/>
  <c r="AC396" i="1"/>
  <c r="AF396" i="1"/>
  <c r="AG396" i="1"/>
  <c r="AH396" i="1"/>
  <c r="AJ396" i="1"/>
  <c r="AK396" i="1"/>
  <c r="AO396" i="1"/>
  <c r="AP396" i="1"/>
  <c r="AW396" i="1"/>
  <c r="BD396" i="1"/>
  <c r="BF396" i="1"/>
  <c r="BH396" i="1"/>
  <c r="AD396" i="1" s="1"/>
  <c r="BJ396" i="1"/>
  <c r="L397" i="1"/>
  <c r="AL397" i="1" s="1"/>
  <c r="Z397" i="1"/>
  <c r="AB397" i="1"/>
  <c r="AC397" i="1"/>
  <c r="AF397" i="1"/>
  <c r="AG397" i="1"/>
  <c r="AH397" i="1"/>
  <c r="AJ397" i="1"/>
  <c r="AK397" i="1"/>
  <c r="AO397" i="1"/>
  <c r="AP397" i="1"/>
  <c r="BD397" i="1"/>
  <c r="BF397" i="1"/>
  <c r="BH397" i="1"/>
  <c r="AD397" i="1" s="1"/>
  <c r="BI397" i="1"/>
  <c r="AE397" i="1" s="1"/>
  <c r="BJ397" i="1"/>
  <c r="L398" i="1"/>
  <c r="Z398" i="1"/>
  <c r="AB398" i="1"/>
  <c r="AC398" i="1"/>
  <c r="AF398" i="1"/>
  <c r="AG398" i="1"/>
  <c r="AH398" i="1"/>
  <c r="AJ398" i="1"/>
  <c r="AK398" i="1"/>
  <c r="AL398" i="1"/>
  <c r="AO398" i="1"/>
  <c r="AP398" i="1"/>
  <c r="K398" i="1" s="1"/>
  <c r="AX398" i="1"/>
  <c r="BD398" i="1"/>
  <c r="BF398" i="1"/>
  <c r="BI398" i="1"/>
  <c r="AE398" i="1" s="1"/>
  <c r="BJ398" i="1"/>
  <c r="K399" i="1"/>
  <c r="L399" i="1"/>
  <c r="Z399" i="1"/>
  <c r="AB399" i="1"/>
  <c r="AC399" i="1"/>
  <c r="AF399" i="1"/>
  <c r="AG399" i="1"/>
  <c r="AH399" i="1"/>
  <c r="AJ399" i="1"/>
  <c r="AK399" i="1"/>
  <c r="AL399" i="1"/>
  <c r="AO399" i="1"/>
  <c r="J399" i="1" s="1"/>
  <c r="AP399" i="1"/>
  <c r="AX399" i="1" s="1"/>
  <c r="AW399" i="1"/>
  <c r="AV399" i="1" s="1"/>
  <c r="BD399" i="1"/>
  <c r="BF399" i="1"/>
  <c r="BH399" i="1"/>
  <c r="AD399" i="1" s="1"/>
  <c r="BI399" i="1"/>
  <c r="AE399" i="1" s="1"/>
  <c r="BJ399" i="1"/>
  <c r="L401" i="1"/>
  <c r="Z401" i="1"/>
  <c r="AB401" i="1"/>
  <c r="AC401" i="1"/>
  <c r="AF401" i="1"/>
  <c r="AG401" i="1"/>
  <c r="AH401" i="1"/>
  <c r="AJ401" i="1"/>
  <c r="AK401" i="1"/>
  <c r="AL401" i="1"/>
  <c r="AO401" i="1"/>
  <c r="AP401" i="1"/>
  <c r="K401" i="1" s="1"/>
  <c r="AX401" i="1"/>
  <c r="BD401" i="1"/>
  <c r="BF401" i="1"/>
  <c r="BI401" i="1"/>
  <c r="AE401" i="1" s="1"/>
  <c r="BJ401" i="1"/>
  <c r="K403" i="1"/>
  <c r="L403" i="1"/>
  <c r="Z403" i="1"/>
  <c r="AB403" i="1"/>
  <c r="AC403" i="1"/>
  <c r="AF403" i="1"/>
  <c r="AG403" i="1"/>
  <c r="AH403" i="1"/>
  <c r="AJ403" i="1"/>
  <c r="AK403" i="1"/>
  <c r="AL403" i="1"/>
  <c r="AO403" i="1"/>
  <c r="J403" i="1" s="1"/>
  <c r="AP403" i="1"/>
  <c r="AX403" i="1" s="1"/>
  <c r="AW403" i="1"/>
  <c r="AV403" i="1" s="1"/>
  <c r="BD403" i="1"/>
  <c r="BF403" i="1"/>
  <c r="BH403" i="1"/>
  <c r="AD403" i="1" s="1"/>
  <c r="BI403" i="1"/>
  <c r="AE403" i="1" s="1"/>
  <c r="BJ403" i="1"/>
  <c r="L404" i="1"/>
  <c r="Z404" i="1"/>
  <c r="AB404" i="1"/>
  <c r="AC404" i="1"/>
  <c r="AF404" i="1"/>
  <c r="AG404" i="1"/>
  <c r="AH404" i="1"/>
  <c r="AJ404" i="1"/>
  <c r="AK404" i="1"/>
  <c r="AL404" i="1"/>
  <c r="AO404" i="1"/>
  <c r="J404" i="1" s="1"/>
  <c r="AP404" i="1"/>
  <c r="K404" i="1" s="1"/>
  <c r="BD404" i="1"/>
  <c r="BF404" i="1"/>
  <c r="BH404" i="1"/>
  <c r="AD404" i="1" s="1"/>
  <c r="BI404" i="1"/>
  <c r="AE404" i="1" s="1"/>
  <c r="BJ404" i="1"/>
  <c r="L405" i="1"/>
  <c r="AL405" i="1" s="1"/>
  <c r="Z405" i="1"/>
  <c r="AB405" i="1"/>
  <c r="AC405" i="1"/>
  <c r="AF405" i="1"/>
  <c r="AG405" i="1"/>
  <c r="AH405" i="1"/>
  <c r="AJ405" i="1"/>
  <c r="AK405" i="1"/>
  <c r="AO405" i="1"/>
  <c r="J405" i="1" s="1"/>
  <c r="AP405" i="1"/>
  <c r="K405" i="1" s="1"/>
  <c r="AX405" i="1"/>
  <c r="BD405" i="1"/>
  <c r="BF405" i="1"/>
  <c r="BH405" i="1"/>
  <c r="AD405" i="1" s="1"/>
  <c r="BI405" i="1"/>
  <c r="AE405" i="1" s="1"/>
  <c r="BJ405" i="1"/>
  <c r="K406" i="1"/>
  <c r="L406" i="1"/>
  <c r="AL406" i="1" s="1"/>
  <c r="Z406" i="1"/>
  <c r="AB406" i="1"/>
  <c r="AC406" i="1"/>
  <c r="AF406" i="1"/>
  <c r="AG406" i="1"/>
  <c r="AH406" i="1"/>
  <c r="AJ406" i="1"/>
  <c r="AK406" i="1"/>
  <c r="AO406" i="1"/>
  <c r="J406" i="1" s="1"/>
  <c r="AP406" i="1"/>
  <c r="AW406" i="1"/>
  <c r="AX406" i="1"/>
  <c r="BD406" i="1"/>
  <c r="BF406" i="1"/>
  <c r="BH406" i="1"/>
  <c r="AD406" i="1" s="1"/>
  <c r="BI406" i="1"/>
  <c r="AE406" i="1" s="1"/>
  <c r="BJ406" i="1"/>
  <c r="J408" i="1"/>
  <c r="K408" i="1"/>
  <c r="L408" i="1"/>
  <c r="Z408" i="1"/>
  <c r="AB408" i="1"/>
  <c r="AC408" i="1"/>
  <c r="AF408" i="1"/>
  <c r="AG408" i="1"/>
  <c r="AH408" i="1"/>
  <c r="AJ408" i="1"/>
  <c r="AK408" i="1"/>
  <c r="AL408" i="1"/>
  <c r="AO408" i="1"/>
  <c r="AP408" i="1"/>
  <c r="AV408" i="1"/>
  <c r="AW408" i="1"/>
  <c r="BC408" i="1" s="1"/>
  <c r="AX408" i="1"/>
  <c r="BD408" i="1"/>
  <c r="BF408" i="1"/>
  <c r="BH408" i="1"/>
  <c r="AD408" i="1" s="1"/>
  <c r="BI408" i="1"/>
  <c r="AE408" i="1" s="1"/>
  <c r="BJ408" i="1"/>
  <c r="J409" i="1"/>
  <c r="L409" i="1"/>
  <c r="AL409" i="1" s="1"/>
  <c r="Z409" i="1"/>
  <c r="AB409" i="1"/>
  <c r="AC409" i="1"/>
  <c r="AF409" i="1"/>
  <c r="AG409" i="1"/>
  <c r="AH409" i="1"/>
  <c r="AJ409" i="1"/>
  <c r="AK409" i="1"/>
  <c r="AO409" i="1"/>
  <c r="AP409" i="1"/>
  <c r="AW409" i="1"/>
  <c r="BD409" i="1"/>
  <c r="BF409" i="1"/>
  <c r="BH409" i="1"/>
  <c r="AD409" i="1" s="1"/>
  <c r="BI409" i="1"/>
  <c r="AE409" i="1" s="1"/>
  <c r="BJ409" i="1"/>
  <c r="L410" i="1"/>
  <c r="AL410" i="1" s="1"/>
  <c r="Z410" i="1"/>
  <c r="AB410" i="1"/>
  <c r="AC410" i="1"/>
  <c r="AD410" i="1"/>
  <c r="AF410" i="1"/>
  <c r="AG410" i="1"/>
  <c r="AH410" i="1"/>
  <c r="AJ410" i="1"/>
  <c r="AK410" i="1"/>
  <c r="AO410" i="1"/>
  <c r="AP410" i="1"/>
  <c r="BD410" i="1"/>
  <c r="BF410" i="1"/>
  <c r="BH410" i="1"/>
  <c r="BJ410" i="1"/>
  <c r="L411" i="1"/>
  <c r="Z411" i="1"/>
  <c r="AB411" i="1"/>
  <c r="AC411" i="1"/>
  <c r="AD411" i="1"/>
  <c r="AF411" i="1"/>
  <c r="AG411" i="1"/>
  <c r="AH411" i="1"/>
  <c r="AJ411" i="1"/>
  <c r="AK411" i="1"/>
  <c r="AL411" i="1"/>
  <c r="AO411" i="1"/>
  <c r="AP411" i="1"/>
  <c r="K411" i="1" s="1"/>
  <c r="AX411" i="1"/>
  <c r="BD411" i="1"/>
  <c r="BF411" i="1"/>
  <c r="BH411" i="1"/>
  <c r="BI411" i="1"/>
  <c r="AE411" i="1" s="1"/>
  <c r="BJ411" i="1"/>
  <c r="K413" i="1"/>
  <c r="L413" i="1"/>
  <c r="Z413" i="1"/>
  <c r="AB413" i="1"/>
  <c r="AC413" i="1"/>
  <c r="AF413" i="1"/>
  <c r="AG413" i="1"/>
  <c r="AH413" i="1"/>
  <c r="AJ413" i="1"/>
  <c r="AK413" i="1"/>
  <c r="AL413" i="1"/>
  <c r="AO413" i="1"/>
  <c r="J413" i="1" s="1"/>
  <c r="AP413" i="1"/>
  <c r="AW413" i="1"/>
  <c r="AV413" i="1" s="1"/>
  <c r="AX413" i="1"/>
  <c r="BD413" i="1"/>
  <c r="BF413" i="1"/>
  <c r="BH413" i="1"/>
  <c r="AD413" i="1" s="1"/>
  <c r="BI413" i="1"/>
  <c r="AE413" i="1" s="1"/>
  <c r="BJ413" i="1"/>
  <c r="L414" i="1"/>
  <c r="Z414" i="1"/>
  <c r="AB414" i="1"/>
  <c r="AC414" i="1"/>
  <c r="AF414" i="1"/>
  <c r="AG414" i="1"/>
  <c r="AH414" i="1"/>
  <c r="AJ414" i="1"/>
  <c r="AK414" i="1"/>
  <c r="AL414" i="1"/>
  <c r="AO414" i="1"/>
  <c r="J414" i="1" s="1"/>
  <c r="AP414" i="1"/>
  <c r="K414" i="1" s="1"/>
  <c r="AW414" i="1"/>
  <c r="BD414" i="1"/>
  <c r="BF414" i="1"/>
  <c r="BH414" i="1"/>
  <c r="AD414" i="1" s="1"/>
  <c r="BI414" i="1"/>
  <c r="AE414" i="1" s="1"/>
  <c r="BJ414" i="1"/>
  <c r="L415" i="1"/>
  <c r="AL415" i="1" s="1"/>
  <c r="Z415" i="1"/>
  <c r="AB415" i="1"/>
  <c r="AC415" i="1"/>
  <c r="AF415" i="1"/>
  <c r="AG415" i="1"/>
  <c r="AH415" i="1"/>
  <c r="AJ415" i="1"/>
  <c r="AK415" i="1"/>
  <c r="AO415" i="1"/>
  <c r="AP415" i="1"/>
  <c r="K415" i="1" s="1"/>
  <c r="AX415" i="1"/>
  <c r="BD415" i="1"/>
  <c r="BF415" i="1"/>
  <c r="BI415" i="1"/>
  <c r="AE415" i="1" s="1"/>
  <c r="BJ415" i="1"/>
  <c r="L417" i="1"/>
  <c r="AL417" i="1" s="1"/>
  <c r="Z417" i="1"/>
  <c r="AB417" i="1"/>
  <c r="AC417" i="1"/>
  <c r="AF417" i="1"/>
  <c r="AG417" i="1"/>
  <c r="AH417" i="1"/>
  <c r="AJ417" i="1"/>
  <c r="AK417" i="1"/>
  <c r="AO417" i="1"/>
  <c r="AP417" i="1"/>
  <c r="BD417" i="1"/>
  <c r="BF417" i="1"/>
  <c r="BI417" i="1"/>
  <c r="AE417" i="1" s="1"/>
  <c r="BJ417" i="1"/>
  <c r="L418" i="1"/>
  <c r="AL418" i="1" s="1"/>
  <c r="Z418" i="1"/>
  <c r="AB418" i="1"/>
  <c r="AC418" i="1"/>
  <c r="AE418" i="1"/>
  <c r="AF418" i="1"/>
  <c r="AG418" i="1"/>
  <c r="AH418" i="1"/>
  <c r="AJ418" i="1"/>
  <c r="AK418" i="1"/>
  <c r="AO418" i="1"/>
  <c r="AP418" i="1"/>
  <c r="BD418" i="1"/>
  <c r="BF418" i="1"/>
  <c r="BH418" i="1"/>
  <c r="AD418" i="1" s="1"/>
  <c r="BI418" i="1"/>
  <c r="BJ418" i="1"/>
  <c r="K419" i="1"/>
  <c r="L419" i="1"/>
  <c r="Z419" i="1"/>
  <c r="AB419" i="1"/>
  <c r="AC419" i="1"/>
  <c r="AF419" i="1"/>
  <c r="AG419" i="1"/>
  <c r="AH419" i="1"/>
  <c r="AJ419" i="1"/>
  <c r="AK419" i="1"/>
  <c r="AL419" i="1"/>
  <c r="AO419" i="1"/>
  <c r="AP419" i="1"/>
  <c r="AX419" i="1"/>
  <c r="BD419" i="1"/>
  <c r="BF419" i="1"/>
  <c r="BI419" i="1"/>
  <c r="AE419" i="1" s="1"/>
  <c r="BJ419" i="1"/>
  <c r="J420" i="1"/>
  <c r="K420" i="1"/>
  <c r="L420" i="1"/>
  <c r="Z420" i="1"/>
  <c r="AB420" i="1"/>
  <c r="AC420" i="1"/>
  <c r="AF420" i="1"/>
  <c r="AG420" i="1"/>
  <c r="AH420" i="1"/>
  <c r="AJ420" i="1"/>
  <c r="AK420" i="1"/>
  <c r="AL420" i="1"/>
  <c r="AO420" i="1"/>
  <c r="AP420" i="1"/>
  <c r="AW420" i="1"/>
  <c r="AX420" i="1"/>
  <c r="AV420" i="1" s="1"/>
  <c r="BD420" i="1"/>
  <c r="BF420" i="1"/>
  <c r="BH420" i="1"/>
  <c r="AD420" i="1" s="1"/>
  <c r="BI420" i="1"/>
  <c r="AE420" i="1" s="1"/>
  <c r="BJ420" i="1"/>
  <c r="J421" i="1"/>
  <c r="K421" i="1"/>
  <c r="L421" i="1"/>
  <c r="AL421" i="1" s="1"/>
  <c r="Z421" i="1"/>
  <c r="AB421" i="1"/>
  <c r="AC421" i="1"/>
  <c r="AF421" i="1"/>
  <c r="AG421" i="1"/>
  <c r="AH421" i="1"/>
  <c r="AJ421" i="1"/>
  <c r="AK421" i="1"/>
  <c r="AO421" i="1"/>
  <c r="AP421" i="1"/>
  <c r="AX421" i="1" s="1"/>
  <c r="BC421" i="1" s="1"/>
  <c r="AW421" i="1"/>
  <c r="BD421" i="1"/>
  <c r="BF421" i="1"/>
  <c r="BH421" i="1"/>
  <c r="AD421" i="1" s="1"/>
  <c r="BI421" i="1"/>
  <c r="AE421" i="1" s="1"/>
  <c r="BJ421" i="1"/>
  <c r="J422" i="1"/>
  <c r="L422" i="1"/>
  <c r="AL422" i="1" s="1"/>
  <c r="Z422" i="1"/>
  <c r="AB422" i="1"/>
  <c r="AC422" i="1"/>
  <c r="AF422" i="1"/>
  <c r="AG422" i="1"/>
  <c r="AH422" i="1"/>
  <c r="AJ422" i="1"/>
  <c r="AK422" i="1"/>
  <c r="AO422" i="1"/>
  <c r="AW422" i="1" s="1"/>
  <c r="AP422" i="1"/>
  <c r="K422" i="1" s="1"/>
  <c r="AX422" i="1"/>
  <c r="AV422" i="1" s="1"/>
  <c r="BC422" i="1"/>
  <c r="BD422" i="1"/>
  <c r="BF422" i="1"/>
  <c r="BH422" i="1"/>
  <c r="AD422" i="1" s="1"/>
  <c r="BI422" i="1"/>
  <c r="AE422" i="1" s="1"/>
  <c r="BJ422" i="1"/>
  <c r="L423" i="1"/>
  <c r="AL423" i="1" s="1"/>
  <c r="Z423" i="1"/>
  <c r="AB423" i="1"/>
  <c r="AC423" i="1"/>
  <c r="AF423" i="1"/>
  <c r="AG423" i="1"/>
  <c r="AH423" i="1"/>
  <c r="AJ423" i="1"/>
  <c r="AK423" i="1"/>
  <c r="AO423" i="1"/>
  <c r="J423" i="1" s="1"/>
  <c r="AP423" i="1"/>
  <c r="AW423" i="1"/>
  <c r="BD423" i="1"/>
  <c r="BF423" i="1"/>
  <c r="BH423" i="1"/>
  <c r="AD423" i="1" s="1"/>
  <c r="BI423" i="1"/>
  <c r="AE423" i="1" s="1"/>
  <c r="BJ423" i="1"/>
  <c r="K424" i="1"/>
  <c r="L424" i="1"/>
  <c r="Z424" i="1"/>
  <c r="AB424" i="1"/>
  <c r="AC424" i="1"/>
  <c r="AF424" i="1"/>
  <c r="AG424" i="1"/>
  <c r="AH424" i="1"/>
  <c r="AJ424" i="1"/>
  <c r="AK424" i="1"/>
  <c r="AL424" i="1"/>
  <c r="AO424" i="1"/>
  <c r="AP424" i="1"/>
  <c r="AX424" i="1" s="1"/>
  <c r="BD424" i="1"/>
  <c r="BF424" i="1"/>
  <c r="BI424" i="1"/>
  <c r="AE424" i="1" s="1"/>
  <c r="BJ424" i="1"/>
  <c r="J425" i="1"/>
  <c r="L425" i="1"/>
  <c r="Z425" i="1"/>
  <c r="AB425" i="1"/>
  <c r="AC425" i="1"/>
  <c r="AF425" i="1"/>
  <c r="AG425" i="1"/>
  <c r="AH425" i="1"/>
  <c r="AJ425" i="1"/>
  <c r="AK425" i="1"/>
  <c r="AL425" i="1"/>
  <c r="AO425" i="1"/>
  <c r="AW425" i="1" s="1"/>
  <c r="AP425" i="1"/>
  <c r="BD425" i="1"/>
  <c r="BF425" i="1"/>
  <c r="BH425" i="1"/>
  <c r="AD425" i="1" s="1"/>
  <c r="BI425" i="1"/>
  <c r="AE425" i="1" s="1"/>
  <c r="BJ425" i="1"/>
  <c r="L426" i="1"/>
  <c r="AL426" i="1" s="1"/>
  <c r="Z426" i="1"/>
  <c r="AB426" i="1"/>
  <c r="AC426" i="1"/>
  <c r="AF426" i="1"/>
  <c r="AG426" i="1"/>
  <c r="AH426" i="1"/>
  <c r="AJ426" i="1"/>
  <c r="AK426" i="1"/>
  <c r="AO426" i="1"/>
  <c r="AP426" i="1"/>
  <c r="BD426" i="1"/>
  <c r="BF426" i="1"/>
  <c r="BJ426" i="1"/>
  <c r="K427" i="1"/>
  <c r="L427" i="1"/>
  <c r="Z427" i="1"/>
  <c r="AB427" i="1"/>
  <c r="AC427" i="1"/>
  <c r="AF427" i="1"/>
  <c r="AG427" i="1"/>
  <c r="AH427" i="1"/>
  <c r="AJ427" i="1"/>
  <c r="AK427" i="1"/>
  <c r="AL427" i="1"/>
  <c r="AO427" i="1"/>
  <c r="AP427" i="1"/>
  <c r="AX427" i="1"/>
  <c r="BD427" i="1"/>
  <c r="BF427" i="1"/>
  <c r="BH427" i="1"/>
  <c r="AD427" i="1" s="1"/>
  <c r="BI427" i="1"/>
  <c r="AE427" i="1" s="1"/>
  <c r="BJ427" i="1"/>
  <c r="J428" i="1"/>
  <c r="K428" i="1"/>
  <c r="L428" i="1"/>
  <c r="Z428" i="1"/>
  <c r="AB428" i="1"/>
  <c r="AC428" i="1"/>
  <c r="AF428" i="1"/>
  <c r="AG428" i="1"/>
  <c r="AH428" i="1"/>
  <c r="AJ428" i="1"/>
  <c r="AK428" i="1"/>
  <c r="AL428" i="1"/>
  <c r="AO428" i="1"/>
  <c r="AP428" i="1"/>
  <c r="AW428" i="1"/>
  <c r="AX428" i="1"/>
  <c r="AV428" i="1" s="1"/>
  <c r="BD428" i="1"/>
  <c r="BF428" i="1"/>
  <c r="BH428" i="1"/>
  <c r="AD428" i="1" s="1"/>
  <c r="BI428" i="1"/>
  <c r="AE428" i="1" s="1"/>
  <c r="BJ428" i="1"/>
  <c r="J430" i="1"/>
  <c r="K430" i="1"/>
  <c r="L430" i="1"/>
  <c r="AL430" i="1" s="1"/>
  <c r="Z430" i="1"/>
  <c r="AB430" i="1"/>
  <c r="AC430" i="1"/>
  <c r="AF430" i="1"/>
  <c r="AG430" i="1"/>
  <c r="AH430" i="1"/>
  <c r="AJ430" i="1"/>
  <c r="AK430" i="1"/>
  <c r="AO430" i="1"/>
  <c r="AP430" i="1"/>
  <c r="AX430" i="1" s="1"/>
  <c r="AW430" i="1"/>
  <c r="AV430" i="1" s="1"/>
  <c r="BC430" i="1"/>
  <c r="BD430" i="1"/>
  <c r="BF430" i="1"/>
  <c r="BH430" i="1"/>
  <c r="AD430" i="1" s="1"/>
  <c r="BI430" i="1"/>
  <c r="AE430" i="1" s="1"/>
  <c r="BJ430" i="1"/>
  <c r="J431" i="1"/>
  <c r="L431" i="1"/>
  <c r="AL431" i="1" s="1"/>
  <c r="Z431" i="1"/>
  <c r="AB431" i="1"/>
  <c r="AC431" i="1"/>
  <c r="AF431" i="1"/>
  <c r="AG431" i="1"/>
  <c r="AH431" i="1"/>
  <c r="AJ431" i="1"/>
  <c r="AK431" i="1"/>
  <c r="AO431" i="1"/>
  <c r="AW431" i="1" s="1"/>
  <c r="AP431" i="1"/>
  <c r="K431" i="1" s="1"/>
  <c r="AV431" i="1"/>
  <c r="AX431" i="1"/>
  <c r="BC431" i="1"/>
  <c r="BD431" i="1"/>
  <c r="BF431" i="1"/>
  <c r="BH431" i="1"/>
  <c r="AD431" i="1" s="1"/>
  <c r="BI431" i="1"/>
  <c r="AE431" i="1" s="1"/>
  <c r="BJ431" i="1"/>
  <c r="K432" i="1"/>
  <c r="L432" i="1"/>
  <c r="AL432" i="1" s="1"/>
  <c r="Z432" i="1"/>
  <c r="AB432" i="1"/>
  <c r="AC432" i="1"/>
  <c r="AF432" i="1"/>
  <c r="AG432" i="1"/>
  <c r="AH432" i="1"/>
  <c r="AJ432" i="1"/>
  <c r="AK432" i="1"/>
  <c r="AO432" i="1"/>
  <c r="J432" i="1" s="1"/>
  <c r="AP432" i="1"/>
  <c r="AX432" i="1" s="1"/>
  <c r="AW432" i="1"/>
  <c r="BD432" i="1"/>
  <c r="BF432" i="1"/>
  <c r="BH432" i="1"/>
  <c r="AD432" i="1" s="1"/>
  <c r="BI432" i="1"/>
  <c r="AE432" i="1" s="1"/>
  <c r="BJ432" i="1"/>
  <c r="K433" i="1"/>
  <c r="L433" i="1"/>
  <c r="Z433" i="1"/>
  <c r="AB433" i="1"/>
  <c r="AC433" i="1"/>
  <c r="AD433" i="1"/>
  <c r="AF433" i="1"/>
  <c r="AG433" i="1"/>
  <c r="AH433" i="1"/>
  <c r="AJ433" i="1"/>
  <c r="AK433" i="1"/>
  <c r="AL433" i="1"/>
  <c r="AO433" i="1"/>
  <c r="J433" i="1" s="1"/>
  <c r="AP433" i="1"/>
  <c r="AX433" i="1" s="1"/>
  <c r="BD433" i="1"/>
  <c r="BF433" i="1"/>
  <c r="BH433" i="1"/>
  <c r="BI433" i="1"/>
  <c r="AE433" i="1" s="1"/>
  <c r="BJ433" i="1"/>
  <c r="J434" i="1"/>
  <c r="L434" i="1"/>
  <c r="Z434" i="1"/>
  <c r="AB434" i="1"/>
  <c r="AC434" i="1"/>
  <c r="AF434" i="1"/>
  <c r="AG434" i="1"/>
  <c r="AH434" i="1"/>
  <c r="AJ434" i="1"/>
  <c r="AK434" i="1"/>
  <c r="AL434" i="1"/>
  <c r="AO434" i="1"/>
  <c r="AW434" i="1" s="1"/>
  <c r="AP434" i="1"/>
  <c r="BD434" i="1"/>
  <c r="BF434" i="1"/>
  <c r="BH434" i="1"/>
  <c r="AD434" i="1" s="1"/>
  <c r="BJ434" i="1"/>
  <c r="L435" i="1"/>
  <c r="AL435" i="1" s="1"/>
  <c r="Z435" i="1"/>
  <c r="AB435" i="1"/>
  <c r="AC435" i="1"/>
  <c r="AF435" i="1"/>
  <c r="AG435" i="1"/>
  <c r="AH435" i="1"/>
  <c r="AJ435" i="1"/>
  <c r="AK435" i="1"/>
  <c r="AO435" i="1"/>
  <c r="AP435" i="1"/>
  <c r="BD435" i="1"/>
  <c r="BF435" i="1"/>
  <c r="BJ435" i="1"/>
  <c r="K436" i="1"/>
  <c r="L436" i="1"/>
  <c r="Z436" i="1"/>
  <c r="AB436" i="1"/>
  <c r="AC436" i="1"/>
  <c r="AF436" i="1"/>
  <c r="AG436" i="1"/>
  <c r="AH436" i="1"/>
  <c r="AJ436" i="1"/>
  <c r="AK436" i="1"/>
  <c r="AL436" i="1"/>
  <c r="AO436" i="1"/>
  <c r="AP436" i="1"/>
  <c r="AX436" i="1"/>
  <c r="BD436" i="1"/>
  <c r="BF436" i="1"/>
  <c r="BH436" i="1"/>
  <c r="AD436" i="1" s="1"/>
  <c r="BI436" i="1"/>
  <c r="AE436" i="1" s="1"/>
  <c r="BJ436" i="1"/>
  <c r="J438" i="1"/>
  <c r="K438" i="1"/>
  <c r="L438" i="1"/>
  <c r="Z438" i="1"/>
  <c r="AB438" i="1"/>
  <c r="AC438" i="1"/>
  <c r="AF438" i="1"/>
  <c r="AG438" i="1"/>
  <c r="AH438" i="1"/>
  <c r="AJ438" i="1"/>
  <c r="AK438" i="1"/>
  <c r="AL438" i="1"/>
  <c r="AO438" i="1"/>
  <c r="AP438" i="1"/>
  <c r="AW438" i="1"/>
  <c r="AX438" i="1"/>
  <c r="AV438" i="1" s="1"/>
  <c r="BD438" i="1"/>
  <c r="BF438" i="1"/>
  <c r="BH438" i="1"/>
  <c r="AD438" i="1" s="1"/>
  <c r="BI438" i="1"/>
  <c r="AE438" i="1" s="1"/>
  <c r="BJ438" i="1"/>
  <c r="J440" i="1"/>
  <c r="K440" i="1"/>
  <c r="L440" i="1"/>
  <c r="AL440" i="1" s="1"/>
  <c r="Z440" i="1"/>
  <c r="AB440" i="1"/>
  <c r="AC440" i="1"/>
  <c r="AF440" i="1"/>
  <c r="AG440" i="1"/>
  <c r="AH440" i="1"/>
  <c r="AJ440" i="1"/>
  <c r="AK440" i="1"/>
  <c r="AO440" i="1"/>
  <c r="AP440" i="1"/>
  <c r="AX440" i="1" s="1"/>
  <c r="AW440" i="1"/>
  <c r="AV440" i="1" s="1"/>
  <c r="BC440" i="1"/>
  <c r="BD440" i="1"/>
  <c r="BF440" i="1"/>
  <c r="BH440" i="1"/>
  <c r="AD440" i="1" s="1"/>
  <c r="BI440" i="1"/>
  <c r="AE440" i="1" s="1"/>
  <c r="BJ440" i="1"/>
  <c r="J441" i="1"/>
  <c r="L441" i="1"/>
  <c r="AL441" i="1" s="1"/>
  <c r="Z441" i="1"/>
  <c r="AB441" i="1"/>
  <c r="AC441" i="1"/>
  <c r="AF441" i="1"/>
  <c r="AG441" i="1"/>
  <c r="AH441" i="1"/>
  <c r="AJ441" i="1"/>
  <c r="AK441" i="1"/>
  <c r="AO441" i="1"/>
  <c r="AW441" i="1" s="1"/>
  <c r="BC441" i="1" s="1"/>
  <c r="AP441" i="1"/>
  <c r="K441" i="1" s="1"/>
  <c r="AV441" i="1"/>
  <c r="AX441" i="1"/>
  <c r="BD441" i="1"/>
  <c r="BF441" i="1"/>
  <c r="BH441" i="1"/>
  <c r="AD441" i="1" s="1"/>
  <c r="BI441" i="1"/>
  <c r="AE441" i="1" s="1"/>
  <c r="BJ441" i="1"/>
  <c r="K442" i="1"/>
  <c r="L442" i="1"/>
  <c r="AL442" i="1" s="1"/>
  <c r="Z442" i="1"/>
  <c r="AB442" i="1"/>
  <c r="AC442" i="1"/>
  <c r="AE442" i="1"/>
  <c r="AF442" i="1"/>
  <c r="AG442" i="1"/>
  <c r="AH442" i="1"/>
  <c r="AJ442" i="1"/>
  <c r="AK442" i="1"/>
  <c r="AO442" i="1"/>
  <c r="J442" i="1" s="1"/>
  <c r="AP442" i="1"/>
  <c r="AW442" i="1"/>
  <c r="AX442" i="1"/>
  <c r="BD442" i="1"/>
  <c r="BF442" i="1"/>
  <c r="BH442" i="1"/>
  <c r="AD442" i="1" s="1"/>
  <c r="BI442" i="1"/>
  <c r="BJ442" i="1"/>
  <c r="J443" i="1"/>
  <c r="K443" i="1"/>
  <c r="L443" i="1"/>
  <c r="Z443" i="1"/>
  <c r="AB443" i="1"/>
  <c r="AC443" i="1"/>
  <c r="AF443" i="1"/>
  <c r="AG443" i="1"/>
  <c r="AH443" i="1"/>
  <c r="AJ443" i="1"/>
  <c r="AK443" i="1"/>
  <c r="AL443" i="1"/>
  <c r="AO443" i="1"/>
  <c r="AP443" i="1"/>
  <c r="AX443" i="1" s="1"/>
  <c r="AW443" i="1"/>
  <c r="BD443" i="1"/>
  <c r="BF443" i="1"/>
  <c r="BH443" i="1"/>
  <c r="AD443" i="1" s="1"/>
  <c r="BI443" i="1"/>
  <c r="AE443" i="1" s="1"/>
  <c r="BJ443" i="1"/>
  <c r="J444" i="1"/>
  <c r="L444" i="1"/>
  <c r="Z444" i="1"/>
  <c r="AB444" i="1"/>
  <c r="AC444" i="1"/>
  <c r="AF444" i="1"/>
  <c r="AG444" i="1"/>
  <c r="AH444" i="1"/>
  <c r="AJ444" i="1"/>
  <c r="AK444" i="1"/>
  <c r="AL444" i="1"/>
  <c r="AO444" i="1"/>
  <c r="AW444" i="1" s="1"/>
  <c r="AP444" i="1"/>
  <c r="BD444" i="1"/>
  <c r="BF444" i="1"/>
  <c r="BH444" i="1"/>
  <c r="AD444" i="1" s="1"/>
  <c r="BJ444" i="1"/>
  <c r="L445" i="1"/>
  <c r="AL445" i="1" s="1"/>
  <c r="Z445" i="1"/>
  <c r="AB445" i="1"/>
  <c r="AC445" i="1"/>
  <c r="AF445" i="1"/>
  <c r="AG445" i="1"/>
  <c r="AH445" i="1"/>
  <c r="AJ445" i="1"/>
  <c r="AK445" i="1"/>
  <c r="AO445" i="1"/>
  <c r="AP445" i="1"/>
  <c r="BD445" i="1"/>
  <c r="BF445" i="1"/>
  <c r="BH445" i="1"/>
  <c r="AD445" i="1" s="1"/>
  <c r="BI445" i="1"/>
  <c r="AE445" i="1" s="1"/>
  <c r="BJ445" i="1"/>
  <c r="K446" i="1"/>
  <c r="L446" i="1"/>
  <c r="Z446" i="1"/>
  <c r="AB446" i="1"/>
  <c r="AC446" i="1"/>
  <c r="AD446" i="1"/>
  <c r="AF446" i="1"/>
  <c r="AG446" i="1"/>
  <c r="AH446" i="1"/>
  <c r="AJ446" i="1"/>
  <c r="AK446" i="1"/>
  <c r="AL446" i="1"/>
  <c r="AO446" i="1"/>
  <c r="AP446" i="1"/>
  <c r="AX446" i="1"/>
  <c r="BD446" i="1"/>
  <c r="BF446" i="1"/>
  <c r="BH446" i="1"/>
  <c r="BI446" i="1"/>
  <c r="AE446" i="1" s="1"/>
  <c r="BJ446" i="1"/>
  <c r="J447" i="1"/>
  <c r="K447" i="1"/>
  <c r="L447" i="1"/>
  <c r="Z447" i="1"/>
  <c r="AB447" i="1"/>
  <c r="AC447" i="1"/>
  <c r="AF447" i="1"/>
  <c r="AG447" i="1"/>
  <c r="AH447" i="1"/>
  <c r="AJ447" i="1"/>
  <c r="AK447" i="1"/>
  <c r="AL447" i="1"/>
  <c r="AO447" i="1"/>
  <c r="AP447" i="1"/>
  <c r="AW447" i="1"/>
  <c r="AX447" i="1"/>
  <c r="AV447" i="1" s="1"/>
  <c r="BD447" i="1"/>
  <c r="BF447" i="1"/>
  <c r="BH447" i="1"/>
  <c r="AD447" i="1" s="1"/>
  <c r="BI447" i="1"/>
  <c r="AE447" i="1" s="1"/>
  <c r="BJ447" i="1"/>
  <c r="J448" i="1"/>
  <c r="K448" i="1"/>
  <c r="L448" i="1"/>
  <c r="AL448" i="1" s="1"/>
  <c r="Z448" i="1"/>
  <c r="AB448" i="1"/>
  <c r="AC448" i="1"/>
  <c r="AF448" i="1"/>
  <c r="AG448" i="1"/>
  <c r="AH448" i="1"/>
  <c r="AJ448" i="1"/>
  <c r="AK448" i="1"/>
  <c r="AO448" i="1"/>
  <c r="AP448" i="1"/>
  <c r="AX448" i="1" s="1"/>
  <c r="AW448" i="1"/>
  <c r="BC448" i="1"/>
  <c r="BD448" i="1"/>
  <c r="BF448" i="1"/>
  <c r="BH448" i="1"/>
  <c r="AD448" i="1" s="1"/>
  <c r="BI448" i="1"/>
  <c r="AE448" i="1" s="1"/>
  <c r="BJ448" i="1"/>
  <c r="J449" i="1"/>
  <c r="L449" i="1"/>
  <c r="AL449" i="1" s="1"/>
  <c r="Z449" i="1"/>
  <c r="AB449" i="1"/>
  <c r="AC449" i="1"/>
  <c r="AF449" i="1"/>
  <c r="AG449" i="1"/>
  <c r="AH449" i="1"/>
  <c r="AJ449" i="1"/>
  <c r="AK449" i="1"/>
  <c r="AO449" i="1"/>
  <c r="AW449" i="1" s="1"/>
  <c r="AP449" i="1"/>
  <c r="K449" i="1" s="1"/>
  <c r="AX449" i="1"/>
  <c r="BD449" i="1"/>
  <c r="BF449" i="1"/>
  <c r="BH449" i="1"/>
  <c r="AD449" i="1" s="1"/>
  <c r="BI449" i="1"/>
  <c r="AE449" i="1" s="1"/>
  <c r="BJ449" i="1"/>
  <c r="L450" i="1"/>
  <c r="AL450" i="1" s="1"/>
  <c r="Z450" i="1"/>
  <c r="AB450" i="1"/>
  <c r="AC450" i="1"/>
  <c r="AF450" i="1"/>
  <c r="AG450" i="1"/>
  <c r="AH450" i="1"/>
  <c r="AJ450" i="1"/>
  <c r="AK450" i="1"/>
  <c r="AO450" i="1"/>
  <c r="J450" i="1" s="1"/>
  <c r="AP450" i="1"/>
  <c r="AW450" i="1"/>
  <c r="AX450" i="1"/>
  <c r="BD450" i="1"/>
  <c r="BF450" i="1"/>
  <c r="BH450" i="1"/>
  <c r="AD450" i="1" s="1"/>
  <c r="BJ450" i="1"/>
  <c r="J451" i="1"/>
  <c r="K451" i="1"/>
  <c r="L451" i="1"/>
  <c r="Z451" i="1"/>
  <c r="AB451" i="1"/>
  <c r="AC451" i="1"/>
  <c r="AF451" i="1"/>
  <c r="AG451" i="1"/>
  <c r="AH451" i="1"/>
  <c r="AJ451" i="1"/>
  <c r="AK451" i="1"/>
  <c r="AL451" i="1"/>
  <c r="AO451" i="1"/>
  <c r="BH451" i="1" s="1"/>
  <c r="AD451" i="1" s="1"/>
  <c r="AP451" i="1"/>
  <c r="AX451" i="1" s="1"/>
  <c r="AW451" i="1"/>
  <c r="BC451" i="1" s="1"/>
  <c r="BD451" i="1"/>
  <c r="BF451" i="1"/>
  <c r="BI451" i="1"/>
  <c r="AE451" i="1" s="1"/>
  <c r="BJ451" i="1"/>
  <c r="J453" i="1"/>
  <c r="L453" i="1"/>
  <c r="Z453" i="1"/>
  <c r="AB453" i="1"/>
  <c r="AC453" i="1"/>
  <c r="AF453" i="1"/>
  <c r="AG453" i="1"/>
  <c r="AH453" i="1"/>
  <c r="AJ453" i="1"/>
  <c r="AK453" i="1"/>
  <c r="AL453" i="1"/>
  <c r="AO453" i="1"/>
  <c r="AW453" i="1" s="1"/>
  <c r="AP453" i="1"/>
  <c r="BD453" i="1"/>
  <c r="BF453" i="1"/>
  <c r="BH453" i="1"/>
  <c r="AD453" i="1" s="1"/>
  <c r="BI453" i="1"/>
  <c r="AE453" i="1" s="1"/>
  <c r="BJ453" i="1"/>
  <c r="L454" i="1"/>
  <c r="AL454" i="1" s="1"/>
  <c r="Z454" i="1"/>
  <c r="AB454" i="1"/>
  <c r="AC454" i="1"/>
  <c r="AF454" i="1"/>
  <c r="AG454" i="1"/>
  <c r="AH454" i="1"/>
  <c r="AJ454" i="1"/>
  <c r="AK454" i="1"/>
  <c r="AO454" i="1"/>
  <c r="AP454" i="1"/>
  <c r="BD454" i="1"/>
  <c r="BF454" i="1"/>
  <c r="BH454" i="1"/>
  <c r="AD454" i="1" s="1"/>
  <c r="BI454" i="1"/>
  <c r="AE454" i="1" s="1"/>
  <c r="BJ454" i="1"/>
  <c r="K455" i="1"/>
  <c r="L455" i="1"/>
  <c r="Z455" i="1"/>
  <c r="AB455" i="1"/>
  <c r="AC455" i="1"/>
  <c r="AF455" i="1"/>
  <c r="AG455" i="1"/>
  <c r="AH455" i="1"/>
  <c r="AJ455" i="1"/>
  <c r="AK455" i="1"/>
  <c r="AL455" i="1"/>
  <c r="AO455" i="1"/>
  <c r="AP455" i="1"/>
  <c r="AX455" i="1"/>
  <c r="BD455" i="1"/>
  <c r="BF455" i="1"/>
  <c r="BI455" i="1"/>
  <c r="AE455" i="1" s="1"/>
  <c r="BJ455" i="1"/>
  <c r="J456" i="1"/>
  <c r="K456" i="1"/>
  <c r="L456" i="1"/>
  <c r="Z456" i="1"/>
  <c r="AB456" i="1"/>
  <c r="AC456" i="1"/>
  <c r="AF456" i="1"/>
  <c r="AG456" i="1"/>
  <c r="AH456" i="1"/>
  <c r="AJ456" i="1"/>
  <c r="AK456" i="1"/>
  <c r="AL456" i="1"/>
  <c r="AO456" i="1"/>
  <c r="AP456" i="1"/>
  <c r="AW456" i="1"/>
  <c r="AX456" i="1"/>
  <c r="AV456" i="1" s="1"/>
  <c r="BD456" i="1"/>
  <c r="BF456" i="1"/>
  <c r="BH456" i="1"/>
  <c r="AD456" i="1" s="1"/>
  <c r="BI456" i="1"/>
  <c r="AE456" i="1" s="1"/>
  <c r="BJ456" i="1"/>
  <c r="J457" i="1"/>
  <c r="K457" i="1"/>
  <c r="L457" i="1"/>
  <c r="AL457" i="1" s="1"/>
  <c r="Z457" i="1"/>
  <c r="AB457" i="1"/>
  <c r="AC457" i="1"/>
  <c r="AF457" i="1"/>
  <c r="AG457" i="1"/>
  <c r="AH457" i="1"/>
  <c r="AJ457" i="1"/>
  <c r="AK457" i="1"/>
  <c r="AO457" i="1"/>
  <c r="AP457" i="1"/>
  <c r="AX457" i="1" s="1"/>
  <c r="BC457" i="1" s="1"/>
  <c r="AW457" i="1"/>
  <c r="BD457" i="1"/>
  <c r="BF457" i="1"/>
  <c r="BH457" i="1"/>
  <c r="AD457" i="1" s="1"/>
  <c r="BI457" i="1"/>
  <c r="AE457" i="1" s="1"/>
  <c r="BJ457" i="1"/>
  <c r="J458" i="1"/>
  <c r="L458" i="1"/>
  <c r="AL458" i="1" s="1"/>
  <c r="Z458" i="1"/>
  <c r="AB458" i="1"/>
  <c r="AC458" i="1"/>
  <c r="AF458" i="1"/>
  <c r="AG458" i="1"/>
  <c r="AH458" i="1"/>
  <c r="AJ458" i="1"/>
  <c r="AK458" i="1"/>
  <c r="AO458" i="1"/>
  <c r="AW458" i="1" s="1"/>
  <c r="AP458" i="1"/>
  <c r="K458" i="1" s="1"/>
  <c r="AX458" i="1"/>
  <c r="BC458" i="1"/>
  <c r="BD458" i="1"/>
  <c r="BF458" i="1"/>
  <c r="BH458" i="1"/>
  <c r="AD458" i="1" s="1"/>
  <c r="BI458" i="1"/>
  <c r="AE458" i="1" s="1"/>
  <c r="BJ458" i="1"/>
  <c r="L459" i="1"/>
  <c r="AL459" i="1" s="1"/>
  <c r="Z459" i="1"/>
  <c r="AB459" i="1"/>
  <c r="AC459" i="1"/>
  <c r="AF459" i="1"/>
  <c r="AG459" i="1"/>
  <c r="AH459" i="1"/>
  <c r="AJ459" i="1"/>
  <c r="AK459" i="1"/>
  <c r="AO459" i="1"/>
  <c r="J459" i="1" s="1"/>
  <c r="AP459" i="1"/>
  <c r="AW459" i="1"/>
  <c r="BD459" i="1"/>
  <c r="BF459" i="1"/>
  <c r="BH459" i="1"/>
  <c r="AD459" i="1" s="1"/>
  <c r="BJ459" i="1"/>
  <c r="J461" i="1"/>
  <c r="L461" i="1"/>
  <c r="Z461" i="1"/>
  <c r="AB461" i="1"/>
  <c r="AC461" i="1"/>
  <c r="AF461" i="1"/>
  <c r="AG461" i="1"/>
  <c r="AH461" i="1"/>
  <c r="AJ461" i="1"/>
  <c r="AK461" i="1"/>
  <c r="AO461" i="1"/>
  <c r="AW461" i="1" s="1"/>
  <c r="AP461" i="1"/>
  <c r="K461" i="1" s="1"/>
  <c r="AV461" i="1"/>
  <c r="AX461" i="1"/>
  <c r="BC461" i="1"/>
  <c r="BD461" i="1"/>
  <c r="BF461" i="1"/>
  <c r="BH461" i="1"/>
  <c r="AD461" i="1" s="1"/>
  <c r="BI461" i="1"/>
  <c r="AE461" i="1" s="1"/>
  <c r="BJ461" i="1"/>
  <c r="K463" i="1"/>
  <c r="L463" i="1"/>
  <c r="AL463" i="1" s="1"/>
  <c r="Z463" i="1"/>
  <c r="AB463" i="1"/>
  <c r="AC463" i="1"/>
  <c r="AF463" i="1"/>
  <c r="AG463" i="1"/>
  <c r="AH463" i="1"/>
  <c r="AJ463" i="1"/>
  <c r="AK463" i="1"/>
  <c r="AO463" i="1"/>
  <c r="J463" i="1" s="1"/>
  <c r="AP463" i="1"/>
  <c r="AX463" i="1" s="1"/>
  <c r="AW463" i="1"/>
  <c r="BD463" i="1"/>
  <c r="BF463" i="1"/>
  <c r="BH463" i="1"/>
  <c r="AD463" i="1" s="1"/>
  <c r="BI463" i="1"/>
  <c r="AE463" i="1" s="1"/>
  <c r="BJ463" i="1"/>
  <c r="K464" i="1"/>
  <c r="L464" i="1"/>
  <c r="Z464" i="1"/>
  <c r="AB464" i="1"/>
  <c r="AC464" i="1"/>
  <c r="AF464" i="1"/>
  <c r="AG464" i="1"/>
  <c r="AH464" i="1"/>
  <c r="AJ464" i="1"/>
  <c r="AK464" i="1"/>
  <c r="AL464" i="1"/>
  <c r="AO464" i="1"/>
  <c r="J464" i="1" s="1"/>
  <c r="AP464" i="1"/>
  <c r="AX464" i="1" s="1"/>
  <c r="BD464" i="1"/>
  <c r="BF464" i="1"/>
  <c r="BH464" i="1"/>
  <c r="AD464" i="1" s="1"/>
  <c r="BI464" i="1"/>
  <c r="AE464" i="1" s="1"/>
  <c r="BJ464" i="1"/>
  <c r="J465" i="1"/>
  <c r="L465" i="1"/>
  <c r="Z465" i="1"/>
  <c r="AB465" i="1"/>
  <c r="AC465" i="1"/>
  <c r="AF465" i="1"/>
  <c r="AG465" i="1"/>
  <c r="AH465" i="1"/>
  <c r="AJ465" i="1"/>
  <c r="AK465" i="1"/>
  <c r="AL465" i="1"/>
  <c r="AO465" i="1"/>
  <c r="AW465" i="1" s="1"/>
  <c r="AP465" i="1"/>
  <c r="BD465" i="1"/>
  <c r="BF465" i="1"/>
  <c r="BH465" i="1"/>
  <c r="AD465" i="1" s="1"/>
  <c r="BJ465" i="1"/>
  <c r="L467" i="1"/>
  <c r="AL467" i="1" s="1"/>
  <c r="Z467" i="1"/>
  <c r="AB467" i="1"/>
  <c r="AC467" i="1"/>
  <c r="AF467" i="1"/>
  <c r="AG467" i="1"/>
  <c r="AH467" i="1"/>
  <c r="AJ467" i="1"/>
  <c r="AK467" i="1"/>
  <c r="AO467" i="1"/>
  <c r="AP467" i="1"/>
  <c r="BD467" i="1"/>
  <c r="BF467" i="1"/>
  <c r="BJ467" i="1"/>
  <c r="K469" i="1"/>
  <c r="L469" i="1"/>
  <c r="Z469" i="1"/>
  <c r="AB469" i="1"/>
  <c r="AC469" i="1"/>
  <c r="AF469" i="1"/>
  <c r="AG469" i="1"/>
  <c r="AH469" i="1"/>
  <c r="AJ469" i="1"/>
  <c r="AK469" i="1"/>
  <c r="AL469" i="1"/>
  <c r="AO469" i="1"/>
  <c r="AP469" i="1"/>
  <c r="AX469" i="1"/>
  <c r="BD469" i="1"/>
  <c r="BF469" i="1"/>
  <c r="BH469" i="1"/>
  <c r="AD469" i="1" s="1"/>
  <c r="BI469" i="1"/>
  <c r="AE469" i="1" s="1"/>
  <c r="BJ469" i="1"/>
  <c r="J470" i="1"/>
  <c r="K470" i="1"/>
  <c r="L470" i="1"/>
  <c r="Z470" i="1"/>
  <c r="AB470" i="1"/>
  <c r="AC470" i="1"/>
  <c r="AF470" i="1"/>
  <c r="AG470" i="1"/>
  <c r="AH470" i="1"/>
  <c r="AJ470" i="1"/>
  <c r="AK470" i="1"/>
  <c r="AL470" i="1"/>
  <c r="AO470" i="1"/>
  <c r="AP470" i="1"/>
  <c r="AW470" i="1"/>
  <c r="AX470" i="1"/>
  <c r="AV470" i="1" s="1"/>
  <c r="BD470" i="1"/>
  <c r="BF470" i="1"/>
  <c r="BH470" i="1"/>
  <c r="AD470" i="1" s="1"/>
  <c r="BI470" i="1"/>
  <c r="AE470" i="1" s="1"/>
  <c r="BJ470" i="1"/>
  <c r="J472" i="1"/>
  <c r="K472" i="1"/>
  <c r="L472" i="1"/>
  <c r="AL472" i="1" s="1"/>
  <c r="Z472" i="1"/>
  <c r="AB472" i="1"/>
  <c r="AC472" i="1"/>
  <c r="AF472" i="1"/>
  <c r="AG472" i="1"/>
  <c r="AH472" i="1"/>
  <c r="AJ472" i="1"/>
  <c r="AK472" i="1"/>
  <c r="AO472" i="1"/>
  <c r="AP472" i="1"/>
  <c r="AX472" i="1" s="1"/>
  <c r="AW472" i="1"/>
  <c r="AV472" i="1" s="1"/>
  <c r="BC472" i="1"/>
  <c r="BD472" i="1"/>
  <c r="BF472" i="1"/>
  <c r="BH472" i="1"/>
  <c r="AD472" i="1" s="1"/>
  <c r="BI472" i="1"/>
  <c r="AE472" i="1" s="1"/>
  <c r="BJ472" i="1"/>
  <c r="J474" i="1"/>
  <c r="L474" i="1"/>
  <c r="AL474" i="1" s="1"/>
  <c r="Z474" i="1"/>
  <c r="AB474" i="1"/>
  <c r="AC474" i="1"/>
  <c r="AF474" i="1"/>
  <c r="AG474" i="1"/>
  <c r="AH474" i="1"/>
  <c r="AJ474" i="1"/>
  <c r="AK474" i="1"/>
  <c r="AO474" i="1"/>
  <c r="AW474" i="1" s="1"/>
  <c r="AP474" i="1"/>
  <c r="K474" i="1" s="1"/>
  <c r="AX474" i="1"/>
  <c r="BD474" i="1"/>
  <c r="BF474" i="1"/>
  <c r="BH474" i="1"/>
  <c r="AD474" i="1" s="1"/>
  <c r="BI474" i="1"/>
  <c r="AE474" i="1" s="1"/>
  <c r="BJ474" i="1"/>
  <c r="L475" i="1"/>
  <c r="Z475" i="1"/>
  <c r="AB475" i="1"/>
  <c r="AC475" i="1"/>
  <c r="AF475" i="1"/>
  <c r="AG475" i="1"/>
  <c r="AH475" i="1"/>
  <c r="AJ475" i="1"/>
  <c r="AK475" i="1"/>
  <c r="AL475" i="1"/>
  <c r="AO475" i="1"/>
  <c r="J475" i="1" s="1"/>
  <c r="AP475" i="1"/>
  <c r="AW475" i="1"/>
  <c r="BD475" i="1"/>
  <c r="BF475" i="1"/>
  <c r="BH475" i="1"/>
  <c r="AD475" i="1" s="1"/>
  <c r="BJ475" i="1"/>
  <c r="J476" i="1"/>
  <c r="K476" i="1"/>
  <c r="L476" i="1"/>
  <c r="Z476" i="1"/>
  <c r="AB476" i="1"/>
  <c r="AC476" i="1"/>
  <c r="AF476" i="1"/>
  <c r="AG476" i="1"/>
  <c r="AH476" i="1"/>
  <c r="AJ476" i="1"/>
  <c r="AK476" i="1"/>
  <c r="AL476" i="1"/>
  <c r="AO476" i="1"/>
  <c r="AP476" i="1"/>
  <c r="AX476" i="1" s="1"/>
  <c r="AW476" i="1"/>
  <c r="BD476" i="1"/>
  <c r="BF476" i="1"/>
  <c r="BH476" i="1"/>
  <c r="AD476" i="1" s="1"/>
  <c r="BI476" i="1"/>
  <c r="AE476" i="1" s="1"/>
  <c r="BJ476" i="1"/>
  <c r="J477" i="1"/>
  <c r="L477" i="1"/>
  <c r="Z477" i="1"/>
  <c r="AB477" i="1"/>
  <c r="AC477" i="1"/>
  <c r="AF477" i="1"/>
  <c r="AG477" i="1"/>
  <c r="AH477" i="1"/>
  <c r="AJ477" i="1"/>
  <c r="AK477" i="1"/>
  <c r="AL477" i="1"/>
  <c r="AO477" i="1"/>
  <c r="AW477" i="1" s="1"/>
  <c r="AP477" i="1"/>
  <c r="BD477" i="1"/>
  <c r="BF477" i="1"/>
  <c r="BH477" i="1"/>
  <c r="AD477" i="1" s="1"/>
  <c r="BJ477" i="1"/>
  <c r="L478" i="1"/>
  <c r="AL478" i="1" s="1"/>
  <c r="Z478" i="1"/>
  <c r="AB478" i="1"/>
  <c r="AC478" i="1"/>
  <c r="AF478" i="1"/>
  <c r="AG478" i="1"/>
  <c r="AH478" i="1"/>
  <c r="AJ478" i="1"/>
  <c r="AK478" i="1"/>
  <c r="AO478" i="1"/>
  <c r="AP478" i="1"/>
  <c r="K478" i="1" s="1"/>
  <c r="AX478" i="1"/>
  <c r="BD478" i="1"/>
  <c r="BF478" i="1"/>
  <c r="BH478" i="1"/>
  <c r="AD478" i="1" s="1"/>
  <c r="BJ478" i="1"/>
  <c r="K479" i="1"/>
  <c r="L479" i="1"/>
  <c r="Z479" i="1"/>
  <c r="AB479" i="1"/>
  <c r="AC479" i="1"/>
  <c r="AF479" i="1"/>
  <c r="AG479" i="1"/>
  <c r="AH479" i="1"/>
  <c r="AJ479" i="1"/>
  <c r="AK479" i="1"/>
  <c r="AL479" i="1"/>
  <c r="AO479" i="1"/>
  <c r="J479" i="1" s="1"/>
  <c r="AP479" i="1"/>
  <c r="AX479" i="1"/>
  <c r="BD479" i="1"/>
  <c r="BF479" i="1"/>
  <c r="BH479" i="1"/>
  <c r="AD479" i="1" s="1"/>
  <c r="BI479" i="1"/>
  <c r="AE479" i="1" s="1"/>
  <c r="BJ479" i="1"/>
  <c r="J480" i="1"/>
  <c r="K480" i="1"/>
  <c r="L480" i="1"/>
  <c r="Z480" i="1"/>
  <c r="AB480" i="1"/>
  <c r="AC480" i="1"/>
  <c r="AF480" i="1"/>
  <c r="AG480" i="1"/>
  <c r="AH480" i="1"/>
  <c r="AJ480" i="1"/>
  <c r="AK480" i="1"/>
  <c r="AL480" i="1"/>
  <c r="AO480" i="1"/>
  <c r="AP480" i="1"/>
  <c r="AV480" i="1"/>
  <c r="AW480" i="1"/>
  <c r="BC480" i="1" s="1"/>
  <c r="AX480" i="1"/>
  <c r="BD480" i="1"/>
  <c r="BF480" i="1"/>
  <c r="BH480" i="1"/>
  <c r="AD480" i="1" s="1"/>
  <c r="BI480" i="1"/>
  <c r="AE480" i="1" s="1"/>
  <c r="BJ480" i="1"/>
  <c r="J481" i="1"/>
  <c r="K481" i="1"/>
  <c r="L481" i="1"/>
  <c r="AL481" i="1" s="1"/>
  <c r="Z481" i="1"/>
  <c r="AB481" i="1"/>
  <c r="AC481" i="1"/>
  <c r="AE481" i="1"/>
  <c r="AF481" i="1"/>
  <c r="AG481" i="1"/>
  <c r="AH481" i="1"/>
  <c r="AJ481" i="1"/>
  <c r="AK481" i="1"/>
  <c r="AO481" i="1"/>
  <c r="AP481" i="1"/>
  <c r="AX481" i="1" s="1"/>
  <c r="AW481" i="1"/>
  <c r="AV481" i="1" s="1"/>
  <c r="BC481" i="1"/>
  <c r="BD481" i="1"/>
  <c r="BF481" i="1"/>
  <c r="BH481" i="1"/>
  <c r="AD481" i="1" s="1"/>
  <c r="BI481" i="1"/>
  <c r="BJ481" i="1"/>
  <c r="L482" i="1"/>
  <c r="AL482" i="1" s="1"/>
  <c r="Z482" i="1"/>
  <c r="AB482" i="1"/>
  <c r="AC482" i="1"/>
  <c r="AF482" i="1"/>
  <c r="AG482" i="1"/>
  <c r="AH482" i="1"/>
  <c r="AJ482" i="1"/>
  <c r="AK482" i="1"/>
  <c r="AO482" i="1"/>
  <c r="AW482" i="1" s="1"/>
  <c r="AP482" i="1"/>
  <c r="BD482" i="1"/>
  <c r="BF482" i="1"/>
  <c r="BH482" i="1"/>
  <c r="AD482" i="1" s="1"/>
  <c r="BJ482" i="1"/>
  <c r="L483" i="1"/>
  <c r="Z483" i="1"/>
  <c r="AB483" i="1"/>
  <c r="AC483" i="1"/>
  <c r="AF483" i="1"/>
  <c r="AG483" i="1"/>
  <c r="AH483" i="1"/>
  <c r="AJ483" i="1"/>
  <c r="AK483" i="1"/>
  <c r="AL483" i="1"/>
  <c r="AO483" i="1"/>
  <c r="AP483" i="1"/>
  <c r="K483" i="1" s="1"/>
  <c r="BD483" i="1"/>
  <c r="BF483" i="1"/>
  <c r="BI483" i="1"/>
  <c r="AE483" i="1" s="1"/>
  <c r="BJ483" i="1"/>
  <c r="J484" i="1"/>
  <c r="L484" i="1"/>
  <c r="Z484" i="1"/>
  <c r="AB484" i="1"/>
  <c r="AC484" i="1"/>
  <c r="AF484" i="1"/>
  <c r="AG484" i="1"/>
  <c r="AH484" i="1"/>
  <c r="AJ484" i="1"/>
  <c r="AK484" i="1"/>
  <c r="AL484" i="1"/>
  <c r="AO484" i="1"/>
  <c r="AW484" i="1" s="1"/>
  <c r="BC484" i="1" s="1"/>
  <c r="AP484" i="1"/>
  <c r="AX484" i="1" s="1"/>
  <c r="AV484" i="1"/>
  <c r="BD484" i="1"/>
  <c r="BF484" i="1"/>
  <c r="BH484" i="1"/>
  <c r="AD484" i="1" s="1"/>
  <c r="BI484" i="1"/>
  <c r="AE484" i="1" s="1"/>
  <c r="BJ484" i="1"/>
  <c r="L485" i="1"/>
  <c r="Z485" i="1"/>
  <c r="AB485" i="1"/>
  <c r="AC485" i="1"/>
  <c r="AF485" i="1"/>
  <c r="AG485" i="1"/>
  <c r="AH485" i="1"/>
  <c r="AJ485" i="1"/>
  <c r="AK485" i="1"/>
  <c r="AL485" i="1"/>
  <c r="AO485" i="1"/>
  <c r="AP485" i="1"/>
  <c r="AW485" i="1"/>
  <c r="BD485" i="1"/>
  <c r="BF485" i="1"/>
  <c r="BJ485" i="1"/>
  <c r="J486" i="1"/>
  <c r="L486" i="1"/>
  <c r="Z486" i="1"/>
  <c r="AB486" i="1"/>
  <c r="AC486" i="1"/>
  <c r="AF486" i="1"/>
  <c r="AG486" i="1"/>
  <c r="AH486" i="1"/>
  <c r="AJ486" i="1"/>
  <c r="AK486" i="1"/>
  <c r="AL486" i="1"/>
  <c r="AO486" i="1"/>
  <c r="AW486" i="1" s="1"/>
  <c r="AP486" i="1"/>
  <c r="K486" i="1" s="1"/>
  <c r="BD486" i="1"/>
  <c r="BF486" i="1"/>
  <c r="BH486" i="1"/>
  <c r="AD486" i="1" s="1"/>
  <c r="BI486" i="1"/>
  <c r="AE486" i="1" s="1"/>
  <c r="BJ486" i="1"/>
  <c r="L487" i="1"/>
  <c r="Z487" i="1"/>
  <c r="AB487" i="1"/>
  <c r="AC487" i="1"/>
  <c r="AF487" i="1"/>
  <c r="AG487" i="1"/>
  <c r="AH487" i="1"/>
  <c r="AJ487" i="1"/>
  <c r="AK487" i="1"/>
  <c r="AL487" i="1"/>
  <c r="AO487" i="1"/>
  <c r="J487" i="1" s="1"/>
  <c r="AP487" i="1"/>
  <c r="BD487" i="1"/>
  <c r="BF487" i="1"/>
  <c r="BH487" i="1"/>
  <c r="AD487" i="1" s="1"/>
  <c r="BJ487" i="1"/>
  <c r="L488" i="1"/>
  <c r="Z488" i="1"/>
  <c r="AB488" i="1"/>
  <c r="AC488" i="1"/>
  <c r="AF488" i="1"/>
  <c r="AG488" i="1"/>
  <c r="AH488" i="1"/>
  <c r="AJ488" i="1"/>
  <c r="AK488" i="1"/>
  <c r="AL488" i="1"/>
  <c r="AO488" i="1"/>
  <c r="AP488" i="1"/>
  <c r="K488" i="1" s="1"/>
  <c r="AX488" i="1"/>
  <c r="BD488" i="1"/>
  <c r="BF488" i="1"/>
  <c r="BI488" i="1"/>
  <c r="AE488" i="1" s="1"/>
  <c r="BJ488" i="1"/>
  <c r="L489" i="1"/>
  <c r="AL489" i="1" s="1"/>
  <c r="Z489" i="1"/>
  <c r="AB489" i="1"/>
  <c r="AC489" i="1"/>
  <c r="AF489" i="1"/>
  <c r="AG489" i="1"/>
  <c r="AH489" i="1"/>
  <c r="AJ489" i="1"/>
  <c r="AK489" i="1"/>
  <c r="AO489" i="1"/>
  <c r="J489" i="1" s="1"/>
  <c r="AP489" i="1"/>
  <c r="K489" i="1" s="1"/>
  <c r="AW489" i="1"/>
  <c r="AX489" i="1"/>
  <c r="BC489" i="1"/>
  <c r="BD489" i="1"/>
  <c r="BF489" i="1"/>
  <c r="BH489" i="1"/>
  <c r="AD489" i="1" s="1"/>
  <c r="BI489" i="1"/>
  <c r="AE489" i="1" s="1"/>
  <c r="BJ489" i="1"/>
  <c r="K491" i="1"/>
  <c r="L491" i="1"/>
  <c r="AL491" i="1" s="1"/>
  <c r="Z491" i="1"/>
  <c r="AB491" i="1"/>
  <c r="AC491" i="1"/>
  <c r="AF491" i="1"/>
  <c r="AG491" i="1"/>
  <c r="AH491" i="1"/>
  <c r="AJ491" i="1"/>
  <c r="AK491" i="1"/>
  <c r="AO491" i="1"/>
  <c r="J491" i="1" s="1"/>
  <c r="AP491" i="1"/>
  <c r="AW491" i="1"/>
  <c r="AX491" i="1"/>
  <c r="BD491" i="1"/>
  <c r="BF491" i="1"/>
  <c r="BH491" i="1"/>
  <c r="AD491" i="1" s="1"/>
  <c r="BI491" i="1"/>
  <c r="AE491" i="1" s="1"/>
  <c r="BJ491" i="1"/>
  <c r="J492" i="1"/>
  <c r="K492" i="1"/>
  <c r="L492" i="1"/>
  <c r="AL492" i="1" s="1"/>
  <c r="Z492" i="1"/>
  <c r="AB492" i="1"/>
  <c r="AC492" i="1"/>
  <c r="AF492" i="1"/>
  <c r="AG492" i="1"/>
  <c r="AH492" i="1"/>
  <c r="AJ492" i="1"/>
  <c r="AK492" i="1"/>
  <c r="AO492" i="1"/>
  <c r="AP492" i="1"/>
  <c r="AW492" i="1"/>
  <c r="AV492" i="1" s="1"/>
  <c r="AX492" i="1"/>
  <c r="BC492" i="1"/>
  <c r="BD492" i="1"/>
  <c r="BF492" i="1"/>
  <c r="BH492" i="1"/>
  <c r="AD492" i="1" s="1"/>
  <c r="BI492" i="1"/>
  <c r="AE492" i="1" s="1"/>
  <c r="BJ492" i="1"/>
  <c r="J493" i="1"/>
  <c r="L493" i="1"/>
  <c r="AL493" i="1" s="1"/>
  <c r="Z493" i="1"/>
  <c r="AB493" i="1"/>
  <c r="AC493" i="1"/>
  <c r="AF493" i="1"/>
  <c r="AG493" i="1"/>
  <c r="AH493" i="1"/>
  <c r="AJ493" i="1"/>
  <c r="AK493" i="1"/>
  <c r="AO493" i="1"/>
  <c r="AP493" i="1"/>
  <c r="K493" i="1" s="1"/>
  <c r="AW493" i="1"/>
  <c r="AX493" i="1"/>
  <c r="AV493" i="1" s="1"/>
  <c r="BD493" i="1"/>
  <c r="BF493" i="1"/>
  <c r="BH493" i="1"/>
  <c r="AD493" i="1" s="1"/>
  <c r="BI493" i="1"/>
  <c r="AE493" i="1" s="1"/>
  <c r="BJ493" i="1"/>
  <c r="L495" i="1"/>
  <c r="Z495" i="1"/>
  <c r="AB495" i="1"/>
  <c r="AC495" i="1"/>
  <c r="AF495" i="1"/>
  <c r="AG495" i="1"/>
  <c r="AH495" i="1"/>
  <c r="AJ495" i="1"/>
  <c r="AK495" i="1"/>
  <c r="AL495" i="1"/>
  <c r="AO495" i="1"/>
  <c r="AP495" i="1"/>
  <c r="BD495" i="1"/>
  <c r="BF495" i="1"/>
  <c r="BJ495" i="1"/>
  <c r="J496" i="1"/>
  <c r="L496" i="1"/>
  <c r="Z496" i="1"/>
  <c r="AB496" i="1"/>
  <c r="AC496" i="1"/>
  <c r="AF496" i="1"/>
  <c r="AG496" i="1"/>
  <c r="AH496" i="1"/>
  <c r="AJ496" i="1"/>
  <c r="AK496" i="1"/>
  <c r="AL496" i="1"/>
  <c r="AO496" i="1"/>
  <c r="AW496" i="1" s="1"/>
  <c r="AP496" i="1"/>
  <c r="K496" i="1" s="1"/>
  <c r="BD496" i="1"/>
  <c r="BF496" i="1"/>
  <c r="BH496" i="1"/>
  <c r="AD496" i="1" s="1"/>
  <c r="BI496" i="1"/>
  <c r="AE496" i="1" s="1"/>
  <c r="BJ496" i="1"/>
  <c r="L497" i="1"/>
  <c r="Z497" i="1"/>
  <c r="AB497" i="1"/>
  <c r="AC497" i="1"/>
  <c r="AF497" i="1"/>
  <c r="AG497" i="1"/>
  <c r="AH497" i="1"/>
  <c r="AJ497" i="1"/>
  <c r="AK497" i="1"/>
  <c r="AL497" i="1"/>
  <c r="AO497" i="1"/>
  <c r="J497" i="1" s="1"/>
  <c r="AP497" i="1"/>
  <c r="BD497" i="1"/>
  <c r="BF497" i="1"/>
  <c r="BH497" i="1"/>
  <c r="AD497" i="1" s="1"/>
  <c r="BJ497" i="1"/>
  <c r="K498" i="1"/>
  <c r="L498" i="1"/>
  <c r="Z498" i="1"/>
  <c r="AB498" i="1"/>
  <c r="AC498" i="1"/>
  <c r="AF498" i="1"/>
  <c r="AG498" i="1"/>
  <c r="AH498" i="1"/>
  <c r="AJ498" i="1"/>
  <c r="AK498" i="1"/>
  <c r="AL498" i="1"/>
  <c r="AO498" i="1"/>
  <c r="AP498" i="1"/>
  <c r="AX498" i="1"/>
  <c r="BD498" i="1"/>
  <c r="BF498" i="1"/>
  <c r="BH498" i="1"/>
  <c r="AD498" i="1" s="1"/>
  <c r="BI498" i="1"/>
  <c r="AE498" i="1" s="1"/>
  <c r="BJ498" i="1"/>
  <c r="K499" i="1"/>
  <c r="L499" i="1"/>
  <c r="Z499" i="1"/>
  <c r="AB499" i="1"/>
  <c r="AC499" i="1"/>
  <c r="AF499" i="1"/>
  <c r="AG499" i="1"/>
  <c r="AH499" i="1"/>
  <c r="AJ499" i="1"/>
  <c r="AK499" i="1"/>
  <c r="AL499" i="1"/>
  <c r="AO499" i="1"/>
  <c r="J499" i="1" s="1"/>
  <c r="AP499" i="1"/>
  <c r="AW499" i="1"/>
  <c r="AX499" i="1"/>
  <c r="BC499" i="1" s="1"/>
  <c r="BD499" i="1"/>
  <c r="BF499" i="1"/>
  <c r="BH499" i="1"/>
  <c r="AD499" i="1" s="1"/>
  <c r="BI499" i="1"/>
  <c r="AE499" i="1" s="1"/>
  <c r="BJ499" i="1"/>
  <c r="J500" i="1"/>
  <c r="K500" i="1"/>
  <c r="L500" i="1"/>
  <c r="AL500" i="1" s="1"/>
  <c r="Z500" i="1"/>
  <c r="AB500" i="1"/>
  <c r="AC500" i="1"/>
  <c r="AF500" i="1"/>
  <c r="AG500" i="1"/>
  <c r="AH500" i="1"/>
  <c r="AJ500" i="1"/>
  <c r="AK500" i="1"/>
  <c r="AO500" i="1"/>
  <c r="AP500" i="1"/>
  <c r="AW500" i="1"/>
  <c r="AX500" i="1"/>
  <c r="BD500" i="1"/>
  <c r="BF500" i="1"/>
  <c r="BH500" i="1"/>
  <c r="AD500" i="1" s="1"/>
  <c r="BI500" i="1"/>
  <c r="AE500" i="1" s="1"/>
  <c r="BJ500" i="1"/>
  <c r="J501" i="1"/>
  <c r="K501" i="1"/>
  <c r="L501" i="1"/>
  <c r="AL501" i="1" s="1"/>
  <c r="Z501" i="1"/>
  <c r="AB501" i="1"/>
  <c r="AC501" i="1"/>
  <c r="AF501" i="1"/>
  <c r="AG501" i="1"/>
  <c r="AH501" i="1"/>
  <c r="AJ501" i="1"/>
  <c r="AK501" i="1"/>
  <c r="AO501" i="1"/>
  <c r="AP501" i="1"/>
  <c r="AV501" i="1"/>
  <c r="AW501" i="1"/>
  <c r="AX501" i="1"/>
  <c r="BC501" i="1"/>
  <c r="BD501" i="1"/>
  <c r="BF501" i="1"/>
  <c r="BH501" i="1"/>
  <c r="AD501" i="1" s="1"/>
  <c r="BI501" i="1"/>
  <c r="AE501" i="1" s="1"/>
  <c r="BJ501" i="1"/>
  <c r="J502" i="1"/>
  <c r="L502" i="1"/>
  <c r="AL502" i="1" s="1"/>
  <c r="Z502" i="1"/>
  <c r="AB502" i="1"/>
  <c r="AC502" i="1"/>
  <c r="AF502" i="1"/>
  <c r="AG502" i="1"/>
  <c r="AH502" i="1"/>
  <c r="AJ502" i="1"/>
  <c r="AK502" i="1"/>
  <c r="AO502" i="1"/>
  <c r="AP502" i="1"/>
  <c r="K502" i="1" s="1"/>
  <c r="AW502" i="1"/>
  <c r="AX502" i="1"/>
  <c r="AV502" i="1" s="1"/>
  <c r="BD502" i="1"/>
  <c r="BF502" i="1"/>
  <c r="BH502" i="1"/>
  <c r="AD502" i="1" s="1"/>
  <c r="BJ502" i="1"/>
  <c r="K503" i="1"/>
  <c r="L503" i="1"/>
  <c r="Z503" i="1"/>
  <c r="AB503" i="1"/>
  <c r="AC503" i="1"/>
  <c r="AF503" i="1"/>
  <c r="AG503" i="1"/>
  <c r="AH503" i="1"/>
  <c r="AJ503" i="1"/>
  <c r="AK503" i="1"/>
  <c r="AL503" i="1"/>
  <c r="AO503" i="1"/>
  <c r="J503" i="1" s="1"/>
  <c r="AP503" i="1"/>
  <c r="AX503" i="1" s="1"/>
  <c r="AW503" i="1"/>
  <c r="BD503" i="1"/>
  <c r="BF503" i="1"/>
  <c r="BH503" i="1"/>
  <c r="AD503" i="1" s="1"/>
  <c r="BJ503" i="1"/>
  <c r="L504" i="1"/>
  <c r="Z504" i="1"/>
  <c r="AB504" i="1"/>
  <c r="AC504" i="1"/>
  <c r="AF504" i="1"/>
  <c r="AG504" i="1"/>
  <c r="AH504" i="1"/>
  <c r="AJ504" i="1"/>
  <c r="AK504" i="1"/>
  <c r="AL504" i="1"/>
  <c r="AO504" i="1"/>
  <c r="AP504" i="1"/>
  <c r="K504" i="1" s="1"/>
  <c r="BD504" i="1"/>
  <c r="BF504" i="1"/>
  <c r="BI504" i="1"/>
  <c r="AE504" i="1" s="1"/>
  <c r="BJ504" i="1"/>
  <c r="L505" i="1"/>
  <c r="Z505" i="1"/>
  <c r="AB505" i="1"/>
  <c r="AC505" i="1"/>
  <c r="AF505" i="1"/>
  <c r="AG505" i="1"/>
  <c r="AH505" i="1"/>
  <c r="AJ505" i="1"/>
  <c r="AK505" i="1"/>
  <c r="AL505" i="1"/>
  <c r="AO505" i="1"/>
  <c r="J505" i="1" s="1"/>
  <c r="AP505" i="1"/>
  <c r="BD505" i="1"/>
  <c r="BF505" i="1"/>
  <c r="BH505" i="1"/>
  <c r="AD505" i="1" s="1"/>
  <c r="BI505" i="1"/>
  <c r="AE505" i="1" s="1"/>
  <c r="BJ505" i="1"/>
  <c r="L506" i="1"/>
  <c r="Z506" i="1"/>
  <c r="AB506" i="1"/>
  <c r="AC506" i="1"/>
  <c r="AF506" i="1"/>
  <c r="AG506" i="1"/>
  <c r="AH506" i="1"/>
  <c r="AJ506" i="1"/>
  <c r="AK506" i="1"/>
  <c r="AL506" i="1"/>
  <c r="AO506" i="1"/>
  <c r="AP506" i="1"/>
  <c r="K506" i="1" s="1"/>
  <c r="AX506" i="1"/>
  <c r="BD506" i="1"/>
  <c r="BF506" i="1"/>
  <c r="BI506" i="1"/>
  <c r="AE506" i="1" s="1"/>
  <c r="BJ506" i="1"/>
  <c r="K507" i="1"/>
  <c r="L507" i="1"/>
  <c r="Z507" i="1"/>
  <c r="AB507" i="1"/>
  <c r="AC507" i="1"/>
  <c r="AF507" i="1"/>
  <c r="AG507" i="1"/>
  <c r="AH507" i="1"/>
  <c r="AJ507" i="1"/>
  <c r="AK507" i="1"/>
  <c r="AL507" i="1"/>
  <c r="AO507" i="1"/>
  <c r="J507" i="1" s="1"/>
  <c r="AP507" i="1"/>
  <c r="AW507" i="1"/>
  <c r="AX507" i="1"/>
  <c r="BC507" i="1"/>
  <c r="BD507" i="1"/>
  <c r="BF507" i="1"/>
  <c r="BH507" i="1"/>
  <c r="AD507" i="1" s="1"/>
  <c r="BI507" i="1"/>
  <c r="AE507" i="1" s="1"/>
  <c r="BJ507" i="1"/>
  <c r="J509" i="1"/>
  <c r="K509" i="1"/>
  <c r="L509" i="1"/>
  <c r="AL509" i="1" s="1"/>
  <c r="Z509" i="1"/>
  <c r="AB509" i="1"/>
  <c r="AC509" i="1"/>
  <c r="AF509" i="1"/>
  <c r="AG509" i="1"/>
  <c r="AH509" i="1"/>
  <c r="AJ509" i="1"/>
  <c r="AK509" i="1"/>
  <c r="AO509" i="1"/>
  <c r="AP509" i="1"/>
  <c r="AW509" i="1"/>
  <c r="AX509" i="1"/>
  <c r="BD509" i="1"/>
  <c r="BF509" i="1"/>
  <c r="BH509" i="1"/>
  <c r="AD509" i="1" s="1"/>
  <c r="BI509" i="1"/>
  <c r="AE509" i="1" s="1"/>
  <c r="BJ509" i="1"/>
  <c r="J510" i="1"/>
  <c r="K510" i="1"/>
  <c r="L510" i="1"/>
  <c r="AL510" i="1" s="1"/>
  <c r="Z510" i="1"/>
  <c r="AB510" i="1"/>
  <c r="AC510" i="1"/>
  <c r="AF510" i="1"/>
  <c r="AG510" i="1"/>
  <c r="AH510" i="1"/>
  <c r="AJ510" i="1"/>
  <c r="AK510" i="1"/>
  <c r="AO510" i="1"/>
  <c r="AP510" i="1"/>
  <c r="AW510" i="1"/>
  <c r="AV510" i="1" s="1"/>
  <c r="AX510" i="1"/>
  <c r="BC510" i="1"/>
  <c r="BD510" i="1"/>
  <c r="BF510" i="1"/>
  <c r="BH510" i="1"/>
  <c r="AD510" i="1" s="1"/>
  <c r="BI510" i="1"/>
  <c r="AE510" i="1" s="1"/>
  <c r="BJ510" i="1"/>
  <c r="J511" i="1"/>
  <c r="L511" i="1"/>
  <c r="AL511" i="1" s="1"/>
  <c r="Z511" i="1"/>
  <c r="AB511" i="1"/>
  <c r="AC511" i="1"/>
  <c r="AF511" i="1"/>
  <c r="AG511" i="1"/>
  <c r="AH511" i="1"/>
  <c r="AJ511" i="1"/>
  <c r="AK511" i="1"/>
  <c r="AO511" i="1"/>
  <c r="AP511" i="1"/>
  <c r="AW511" i="1"/>
  <c r="BD511" i="1"/>
  <c r="BF511" i="1"/>
  <c r="BH511" i="1"/>
  <c r="AD511" i="1" s="1"/>
  <c r="BI511" i="1"/>
  <c r="AE511" i="1" s="1"/>
  <c r="BJ511" i="1"/>
  <c r="L512" i="1"/>
  <c r="Z512" i="1"/>
  <c r="AB512" i="1"/>
  <c r="AC512" i="1"/>
  <c r="AF512" i="1"/>
  <c r="AG512" i="1"/>
  <c r="AH512" i="1"/>
  <c r="AJ512" i="1"/>
  <c r="AK512" i="1"/>
  <c r="AL512" i="1"/>
  <c r="AO512" i="1"/>
  <c r="AP512" i="1"/>
  <c r="AW512" i="1"/>
  <c r="BD512" i="1"/>
  <c r="BF512" i="1"/>
  <c r="BJ512" i="1"/>
  <c r="J513" i="1"/>
  <c r="L513" i="1"/>
  <c r="Z513" i="1"/>
  <c r="AB513" i="1"/>
  <c r="AC513" i="1"/>
  <c r="AF513" i="1"/>
  <c r="AG513" i="1"/>
  <c r="AH513" i="1"/>
  <c r="AJ513" i="1"/>
  <c r="AK513" i="1"/>
  <c r="AL513" i="1"/>
  <c r="AO513" i="1"/>
  <c r="AW513" i="1" s="1"/>
  <c r="AP513" i="1"/>
  <c r="K513" i="1" s="1"/>
  <c r="BD513" i="1"/>
  <c r="BF513" i="1"/>
  <c r="BH513" i="1"/>
  <c r="AD513" i="1" s="1"/>
  <c r="BI513" i="1"/>
  <c r="AE513" i="1" s="1"/>
  <c r="BJ513" i="1"/>
  <c r="L514" i="1"/>
  <c r="Z514" i="1"/>
  <c r="AB514" i="1"/>
  <c r="AC514" i="1"/>
  <c r="AF514" i="1"/>
  <c r="AG514" i="1"/>
  <c r="AH514" i="1"/>
  <c r="AJ514" i="1"/>
  <c r="AK514" i="1"/>
  <c r="AL514" i="1"/>
  <c r="AO514" i="1"/>
  <c r="J514" i="1" s="1"/>
  <c r="AP514" i="1"/>
  <c r="BD514" i="1"/>
  <c r="BF514" i="1"/>
  <c r="BH514" i="1"/>
  <c r="AD514" i="1" s="1"/>
  <c r="BJ514" i="1"/>
  <c r="L515" i="1"/>
  <c r="Z515" i="1"/>
  <c r="AB515" i="1"/>
  <c r="AC515" i="1"/>
  <c r="AF515" i="1"/>
  <c r="AG515" i="1"/>
  <c r="AH515" i="1"/>
  <c r="AJ515" i="1"/>
  <c r="AK515" i="1"/>
  <c r="AL515" i="1"/>
  <c r="AO515" i="1"/>
  <c r="AP515" i="1"/>
  <c r="K515" i="1" s="1"/>
  <c r="AX515" i="1"/>
  <c r="BD515" i="1"/>
  <c r="BF515" i="1"/>
  <c r="BI515" i="1"/>
  <c r="AE515" i="1" s="1"/>
  <c r="BJ515" i="1"/>
  <c r="K516" i="1"/>
  <c r="L516" i="1"/>
  <c r="Z516" i="1"/>
  <c r="AB516" i="1"/>
  <c r="AC516" i="1"/>
  <c r="AF516" i="1"/>
  <c r="AG516" i="1"/>
  <c r="AH516" i="1"/>
  <c r="AJ516" i="1"/>
  <c r="AK516" i="1"/>
  <c r="AL516" i="1"/>
  <c r="AO516" i="1"/>
  <c r="J516" i="1" s="1"/>
  <c r="AP516" i="1"/>
  <c r="AW516" i="1"/>
  <c r="AX516" i="1"/>
  <c r="BC516" i="1"/>
  <c r="BD516" i="1"/>
  <c r="BF516" i="1"/>
  <c r="BH516" i="1"/>
  <c r="AD516" i="1" s="1"/>
  <c r="BI516" i="1"/>
  <c r="AE516" i="1" s="1"/>
  <c r="BJ516" i="1"/>
  <c r="J517" i="1"/>
  <c r="K517" i="1"/>
  <c r="L517" i="1"/>
  <c r="AL517" i="1" s="1"/>
  <c r="Z517" i="1"/>
  <c r="AB517" i="1"/>
  <c r="AC517" i="1"/>
  <c r="AF517" i="1"/>
  <c r="AG517" i="1"/>
  <c r="AH517" i="1"/>
  <c r="AJ517" i="1"/>
  <c r="AK517" i="1"/>
  <c r="AO517" i="1"/>
  <c r="AP517" i="1"/>
  <c r="AW517" i="1"/>
  <c r="AX517" i="1"/>
  <c r="BD517" i="1"/>
  <c r="BF517" i="1"/>
  <c r="BH517" i="1"/>
  <c r="AD517" i="1" s="1"/>
  <c r="BI517" i="1"/>
  <c r="AE517" i="1" s="1"/>
  <c r="BJ517" i="1"/>
  <c r="J518" i="1"/>
  <c r="K518" i="1"/>
  <c r="L518" i="1"/>
  <c r="AL518" i="1" s="1"/>
  <c r="Z518" i="1"/>
  <c r="AB518" i="1"/>
  <c r="AC518" i="1"/>
  <c r="AF518" i="1"/>
  <c r="AG518" i="1"/>
  <c r="AH518" i="1"/>
  <c r="AJ518" i="1"/>
  <c r="AK518" i="1"/>
  <c r="AO518" i="1"/>
  <c r="AP518" i="1"/>
  <c r="AW518" i="1"/>
  <c r="AX518" i="1"/>
  <c r="BD518" i="1"/>
  <c r="BF518" i="1"/>
  <c r="BH518" i="1"/>
  <c r="AD518" i="1" s="1"/>
  <c r="BI518" i="1"/>
  <c r="AE518" i="1" s="1"/>
  <c r="BJ518" i="1"/>
  <c r="J519" i="1"/>
  <c r="L519" i="1"/>
  <c r="AL519" i="1" s="1"/>
  <c r="Z519" i="1"/>
  <c r="AB519" i="1"/>
  <c r="AC519" i="1"/>
  <c r="AF519" i="1"/>
  <c r="AG519" i="1"/>
  <c r="AH519" i="1"/>
  <c r="AJ519" i="1"/>
  <c r="AK519" i="1"/>
  <c r="AO519" i="1"/>
  <c r="AP519" i="1"/>
  <c r="K519" i="1" s="1"/>
  <c r="AW519" i="1"/>
  <c r="AX519" i="1"/>
  <c r="AV519" i="1" s="1"/>
  <c r="BD519" i="1"/>
  <c r="BF519" i="1"/>
  <c r="BH519" i="1"/>
  <c r="AD519" i="1" s="1"/>
  <c r="BJ519" i="1"/>
  <c r="K520" i="1"/>
  <c r="L520" i="1"/>
  <c r="Z520" i="1"/>
  <c r="AB520" i="1"/>
  <c r="AC520" i="1"/>
  <c r="AF520" i="1"/>
  <c r="AG520" i="1"/>
  <c r="AH520" i="1"/>
  <c r="AJ520" i="1"/>
  <c r="AK520" i="1"/>
  <c r="AL520" i="1"/>
  <c r="AO520" i="1"/>
  <c r="J520" i="1" s="1"/>
  <c r="AP520" i="1"/>
  <c r="AX520" i="1" s="1"/>
  <c r="AW520" i="1"/>
  <c r="BD520" i="1"/>
  <c r="BF520" i="1"/>
  <c r="BH520" i="1"/>
  <c r="AD520" i="1" s="1"/>
  <c r="BI520" i="1"/>
  <c r="AE520" i="1" s="1"/>
  <c r="BJ520" i="1"/>
  <c r="L521" i="1"/>
  <c r="Z521" i="1"/>
  <c r="AB521" i="1"/>
  <c r="AC521" i="1"/>
  <c r="AF521" i="1"/>
  <c r="AG521" i="1"/>
  <c r="AH521" i="1"/>
  <c r="AJ521" i="1"/>
  <c r="AK521" i="1"/>
  <c r="AL521" i="1"/>
  <c r="AO521" i="1"/>
  <c r="AW521" i="1" s="1"/>
  <c r="AP521" i="1"/>
  <c r="K521" i="1" s="1"/>
  <c r="BD521" i="1"/>
  <c r="BF521" i="1"/>
  <c r="BI521" i="1"/>
  <c r="AE521" i="1" s="1"/>
  <c r="BJ521" i="1"/>
  <c r="L522" i="1"/>
  <c r="Z522" i="1"/>
  <c r="AB522" i="1"/>
  <c r="AC522" i="1"/>
  <c r="AF522" i="1"/>
  <c r="AG522" i="1"/>
  <c r="AH522" i="1"/>
  <c r="AJ522" i="1"/>
  <c r="AK522" i="1"/>
  <c r="AL522" i="1"/>
  <c r="AO522" i="1"/>
  <c r="J522" i="1" s="1"/>
  <c r="AP522" i="1"/>
  <c r="BD522" i="1"/>
  <c r="BF522" i="1"/>
  <c r="BH522" i="1"/>
  <c r="AD522" i="1" s="1"/>
  <c r="BI522" i="1"/>
  <c r="AE522" i="1" s="1"/>
  <c r="BJ522" i="1"/>
  <c r="L523" i="1"/>
  <c r="Z523" i="1"/>
  <c r="AB523" i="1"/>
  <c r="AC523" i="1"/>
  <c r="AF523" i="1"/>
  <c r="AG523" i="1"/>
  <c r="AH523" i="1"/>
  <c r="AJ523" i="1"/>
  <c r="AK523" i="1"/>
  <c r="AL523" i="1"/>
  <c r="AO523" i="1"/>
  <c r="AP523" i="1"/>
  <c r="K523" i="1" s="1"/>
  <c r="AX523" i="1"/>
  <c r="BD523" i="1"/>
  <c r="BF523" i="1"/>
  <c r="BH523" i="1"/>
  <c r="AD523" i="1" s="1"/>
  <c r="BI523" i="1"/>
  <c r="AE523" i="1" s="1"/>
  <c r="BJ523" i="1"/>
  <c r="K524" i="1"/>
  <c r="L524" i="1"/>
  <c r="Z524" i="1"/>
  <c r="AB524" i="1"/>
  <c r="AC524" i="1"/>
  <c r="AF524" i="1"/>
  <c r="AG524" i="1"/>
  <c r="AH524" i="1"/>
  <c r="AJ524" i="1"/>
  <c r="AK524" i="1"/>
  <c r="AL524" i="1"/>
  <c r="AO524" i="1"/>
  <c r="J524" i="1" s="1"/>
  <c r="AP524" i="1"/>
  <c r="AW524" i="1"/>
  <c r="AV524" i="1" s="1"/>
  <c r="AX524" i="1"/>
  <c r="BC524" i="1"/>
  <c r="BD524" i="1"/>
  <c r="BF524" i="1"/>
  <c r="BH524" i="1"/>
  <c r="AD524" i="1" s="1"/>
  <c r="BI524" i="1"/>
  <c r="AE524" i="1" s="1"/>
  <c r="BJ524" i="1"/>
  <c r="L526" i="1"/>
  <c r="Z526" i="1"/>
  <c r="AB526" i="1"/>
  <c r="AC526" i="1"/>
  <c r="AF526" i="1"/>
  <c r="AG526" i="1"/>
  <c r="AH526" i="1"/>
  <c r="AJ526" i="1"/>
  <c r="AS525" i="1" s="1"/>
  <c r="AK526" i="1"/>
  <c r="AT525" i="1" s="1"/>
  <c r="AL526" i="1"/>
  <c r="AO526" i="1"/>
  <c r="AP526" i="1"/>
  <c r="K526" i="1" s="1"/>
  <c r="K525" i="1" s="1"/>
  <c r="AX526" i="1"/>
  <c r="BD526" i="1"/>
  <c r="BF526" i="1"/>
  <c r="BI526" i="1"/>
  <c r="AE526" i="1" s="1"/>
  <c r="BJ526" i="1"/>
  <c r="K527" i="1"/>
  <c r="L527" i="1"/>
  <c r="Z527" i="1"/>
  <c r="AB527" i="1"/>
  <c r="AC527" i="1"/>
  <c r="AF527" i="1"/>
  <c r="AG527" i="1"/>
  <c r="AH527" i="1"/>
  <c r="AJ527" i="1"/>
  <c r="AK527" i="1"/>
  <c r="AL527" i="1"/>
  <c r="AO527" i="1"/>
  <c r="J527" i="1" s="1"/>
  <c r="AP527" i="1"/>
  <c r="AW527" i="1"/>
  <c r="AX527" i="1"/>
  <c r="BC527" i="1"/>
  <c r="BD527" i="1"/>
  <c r="BF527" i="1"/>
  <c r="BH527" i="1"/>
  <c r="AD527" i="1" s="1"/>
  <c r="BI527" i="1"/>
  <c r="AE527" i="1" s="1"/>
  <c r="BJ527" i="1"/>
  <c r="J528" i="1"/>
  <c r="K528" i="1"/>
  <c r="L528" i="1"/>
  <c r="AL528" i="1" s="1"/>
  <c r="Z528" i="1"/>
  <c r="AB528" i="1"/>
  <c r="AC528" i="1"/>
  <c r="AD528" i="1"/>
  <c r="AE528" i="1"/>
  <c r="AF528" i="1"/>
  <c r="AG528" i="1"/>
  <c r="AH528" i="1"/>
  <c r="AJ528" i="1"/>
  <c r="AK528" i="1"/>
  <c r="AO528" i="1"/>
  <c r="AP528" i="1"/>
  <c r="AW528" i="1"/>
  <c r="AX528" i="1"/>
  <c r="BC528" i="1"/>
  <c r="BD528" i="1"/>
  <c r="BF528" i="1"/>
  <c r="BH528" i="1"/>
  <c r="BI528" i="1"/>
  <c r="BJ528" i="1"/>
  <c r="K530" i="1"/>
  <c r="L530" i="1"/>
  <c r="Z530" i="1"/>
  <c r="AB530" i="1"/>
  <c r="AC530" i="1"/>
  <c r="AF530" i="1"/>
  <c r="AG530" i="1"/>
  <c r="AH530" i="1"/>
  <c r="AJ530" i="1"/>
  <c r="AK530" i="1"/>
  <c r="AL530" i="1"/>
  <c r="AO530" i="1"/>
  <c r="J530" i="1" s="1"/>
  <c r="AP530" i="1"/>
  <c r="AW530" i="1"/>
  <c r="AX530" i="1"/>
  <c r="BC530" i="1"/>
  <c r="BD530" i="1"/>
  <c r="BF530" i="1"/>
  <c r="BH530" i="1"/>
  <c r="AD530" i="1" s="1"/>
  <c r="BI530" i="1"/>
  <c r="AE530" i="1" s="1"/>
  <c r="BJ530" i="1"/>
  <c r="J531" i="1"/>
  <c r="K531" i="1"/>
  <c r="L531" i="1"/>
  <c r="AL531" i="1" s="1"/>
  <c r="Z531" i="1"/>
  <c r="AB531" i="1"/>
  <c r="AC531" i="1"/>
  <c r="AF531" i="1"/>
  <c r="AG531" i="1"/>
  <c r="AH531" i="1"/>
  <c r="AJ531" i="1"/>
  <c r="AK531" i="1"/>
  <c r="AO531" i="1"/>
  <c r="AP531" i="1"/>
  <c r="AW531" i="1"/>
  <c r="AX531" i="1"/>
  <c r="BC531" i="1"/>
  <c r="BD531" i="1"/>
  <c r="BF531" i="1"/>
  <c r="BH531" i="1"/>
  <c r="AD531" i="1" s="1"/>
  <c r="BI531" i="1"/>
  <c r="AE531" i="1" s="1"/>
  <c r="BJ531" i="1"/>
  <c r="J533" i="1"/>
  <c r="K533" i="1"/>
  <c r="L533" i="1"/>
  <c r="AL533" i="1" s="1"/>
  <c r="Z533" i="1"/>
  <c r="AB533" i="1"/>
  <c r="AC533" i="1"/>
  <c r="AF533" i="1"/>
  <c r="AG533" i="1"/>
  <c r="AH533" i="1"/>
  <c r="AJ533" i="1"/>
  <c r="AK533" i="1"/>
  <c r="AO533" i="1"/>
  <c r="AP533" i="1"/>
  <c r="AW533" i="1"/>
  <c r="BC533" i="1" s="1"/>
  <c r="AX533" i="1"/>
  <c r="BD533" i="1"/>
  <c r="BF533" i="1"/>
  <c r="BH533" i="1"/>
  <c r="AD533" i="1" s="1"/>
  <c r="BI533" i="1"/>
  <c r="AE533" i="1" s="1"/>
  <c r="BJ533" i="1"/>
  <c r="J534" i="1"/>
  <c r="L534" i="1"/>
  <c r="AL534" i="1" s="1"/>
  <c r="Z534" i="1"/>
  <c r="AB534" i="1"/>
  <c r="AC534" i="1"/>
  <c r="AF534" i="1"/>
  <c r="AG534" i="1"/>
  <c r="AH534" i="1"/>
  <c r="AJ534" i="1"/>
  <c r="AK534" i="1"/>
  <c r="AO534" i="1"/>
  <c r="AP534" i="1"/>
  <c r="K534" i="1" s="1"/>
  <c r="AW534" i="1"/>
  <c r="AX534" i="1"/>
  <c r="BD534" i="1"/>
  <c r="BF534" i="1"/>
  <c r="BH534" i="1"/>
  <c r="AD534" i="1" s="1"/>
  <c r="BJ534" i="1"/>
  <c r="J535" i="1"/>
  <c r="K535" i="1"/>
  <c r="L535" i="1"/>
  <c r="Z535" i="1"/>
  <c r="AB535" i="1"/>
  <c r="AC535" i="1"/>
  <c r="AF535" i="1"/>
  <c r="AG535" i="1"/>
  <c r="AH535" i="1"/>
  <c r="AJ535" i="1"/>
  <c r="AK535" i="1"/>
  <c r="AL535" i="1"/>
  <c r="AO535" i="1"/>
  <c r="BH535" i="1" s="1"/>
  <c r="AD535" i="1" s="1"/>
  <c r="AP535" i="1"/>
  <c r="AX535" i="1" s="1"/>
  <c r="AV535" i="1"/>
  <c r="AW535" i="1"/>
  <c r="BC535" i="1" s="1"/>
  <c r="BD535" i="1"/>
  <c r="BF535" i="1"/>
  <c r="BJ535" i="1"/>
  <c r="J536" i="1"/>
  <c r="L536" i="1"/>
  <c r="Z536" i="1"/>
  <c r="AB536" i="1"/>
  <c r="AC536" i="1"/>
  <c r="AF536" i="1"/>
  <c r="AG536" i="1"/>
  <c r="AH536" i="1"/>
  <c r="AJ536" i="1"/>
  <c r="AK536" i="1"/>
  <c r="AL536" i="1"/>
  <c r="AO536" i="1"/>
  <c r="AW536" i="1" s="1"/>
  <c r="AP536" i="1"/>
  <c r="BD536" i="1"/>
  <c r="BF536" i="1"/>
  <c r="BH536" i="1"/>
  <c r="AD536" i="1" s="1"/>
  <c r="BI536" i="1"/>
  <c r="AE536" i="1" s="1"/>
  <c r="BJ536" i="1"/>
  <c r="L537" i="1"/>
  <c r="Z537" i="1"/>
  <c r="AB537" i="1"/>
  <c r="AC537" i="1"/>
  <c r="AF537" i="1"/>
  <c r="AG537" i="1"/>
  <c r="AH537" i="1"/>
  <c r="AJ537" i="1"/>
  <c r="AK537" i="1"/>
  <c r="AL537" i="1"/>
  <c r="AO537" i="1"/>
  <c r="AP537" i="1"/>
  <c r="BD537" i="1"/>
  <c r="BF537" i="1"/>
  <c r="BJ537" i="1"/>
  <c r="L538" i="1"/>
  <c r="Z538" i="1"/>
  <c r="AB538" i="1"/>
  <c r="AC538" i="1"/>
  <c r="AF538" i="1"/>
  <c r="AG538" i="1"/>
  <c r="AH538" i="1"/>
  <c r="AJ538" i="1"/>
  <c r="AK538" i="1"/>
  <c r="AL538" i="1"/>
  <c r="AO538" i="1"/>
  <c r="AP538" i="1"/>
  <c r="K538" i="1" s="1"/>
  <c r="AX538" i="1"/>
  <c r="BD538" i="1"/>
  <c r="BF538" i="1"/>
  <c r="BI538" i="1"/>
  <c r="AE538" i="1" s="1"/>
  <c r="BJ538" i="1"/>
  <c r="K539" i="1"/>
  <c r="L539" i="1"/>
  <c r="Z539" i="1"/>
  <c r="AB539" i="1"/>
  <c r="AC539" i="1"/>
  <c r="AF539" i="1"/>
  <c r="AG539" i="1"/>
  <c r="AH539" i="1"/>
  <c r="AJ539" i="1"/>
  <c r="AK539" i="1"/>
  <c r="AL539" i="1"/>
  <c r="AO539" i="1"/>
  <c r="J539" i="1" s="1"/>
  <c r="AP539" i="1"/>
  <c r="AW539" i="1"/>
  <c r="AX539" i="1"/>
  <c r="BC539" i="1" s="1"/>
  <c r="BD539" i="1"/>
  <c r="BF539" i="1"/>
  <c r="BH539" i="1"/>
  <c r="AD539" i="1" s="1"/>
  <c r="BI539" i="1"/>
  <c r="AE539" i="1" s="1"/>
  <c r="BJ539" i="1"/>
  <c r="J540" i="1"/>
  <c r="K540" i="1"/>
  <c r="L540" i="1"/>
  <c r="AL540" i="1" s="1"/>
  <c r="Z540" i="1"/>
  <c r="AB540" i="1"/>
  <c r="AC540" i="1"/>
  <c r="AF540" i="1"/>
  <c r="AG540" i="1"/>
  <c r="AH540" i="1"/>
  <c r="AJ540" i="1"/>
  <c r="AK540" i="1"/>
  <c r="AO540" i="1"/>
  <c r="AP540" i="1"/>
  <c r="AW540" i="1"/>
  <c r="AX540" i="1"/>
  <c r="BC540" i="1"/>
  <c r="BD540" i="1"/>
  <c r="BF540" i="1"/>
  <c r="BH540" i="1"/>
  <c r="AD540" i="1" s="1"/>
  <c r="BI540" i="1"/>
  <c r="AE540" i="1" s="1"/>
  <c r="BJ540" i="1"/>
  <c r="J541" i="1"/>
  <c r="K541" i="1"/>
  <c r="L541" i="1"/>
  <c r="AL541" i="1" s="1"/>
  <c r="Z541" i="1"/>
  <c r="AB541" i="1"/>
  <c r="AC541" i="1"/>
  <c r="AF541" i="1"/>
  <c r="AG541" i="1"/>
  <c r="AH541" i="1"/>
  <c r="AJ541" i="1"/>
  <c r="AK541" i="1"/>
  <c r="AO541" i="1"/>
  <c r="AP541" i="1"/>
  <c r="AV541" i="1"/>
  <c r="AW541" i="1"/>
  <c r="AX541" i="1"/>
  <c r="BC541" i="1"/>
  <c r="BD541" i="1"/>
  <c r="BF541" i="1"/>
  <c r="BH541" i="1"/>
  <c r="AD541" i="1" s="1"/>
  <c r="BI541" i="1"/>
  <c r="AE541" i="1" s="1"/>
  <c r="BJ541" i="1"/>
  <c r="J542" i="1"/>
  <c r="L542" i="1"/>
  <c r="AL542" i="1" s="1"/>
  <c r="Z542" i="1"/>
  <c r="AB542" i="1"/>
  <c r="AC542" i="1"/>
  <c r="AF542" i="1"/>
  <c r="AG542" i="1"/>
  <c r="AH542" i="1"/>
  <c r="AJ542" i="1"/>
  <c r="AK542" i="1"/>
  <c r="AO542" i="1"/>
  <c r="AP542" i="1"/>
  <c r="AW542" i="1"/>
  <c r="BD542" i="1"/>
  <c r="BF542" i="1"/>
  <c r="BH542" i="1"/>
  <c r="AD542" i="1" s="1"/>
  <c r="BJ542" i="1"/>
  <c r="J543" i="1"/>
  <c r="L543" i="1"/>
  <c r="Z543" i="1"/>
  <c r="AB543" i="1"/>
  <c r="AC543" i="1"/>
  <c r="AF543" i="1"/>
  <c r="AG543" i="1"/>
  <c r="AH543" i="1"/>
  <c r="AJ543" i="1"/>
  <c r="AK543" i="1"/>
  <c r="AL543" i="1"/>
  <c r="AO543" i="1"/>
  <c r="BH543" i="1" s="1"/>
  <c r="AD543" i="1" s="1"/>
  <c r="AP543" i="1"/>
  <c r="AW543" i="1"/>
  <c r="BD543" i="1"/>
  <c r="BF543" i="1"/>
  <c r="BJ543" i="1"/>
  <c r="J544" i="1"/>
  <c r="L544" i="1"/>
  <c r="Z544" i="1"/>
  <c r="AB544" i="1"/>
  <c r="AC544" i="1"/>
  <c r="AF544" i="1"/>
  <c r="AG544" i="1"/>
  <c r="AH544" i="1"/>
  <c r="AJ544" i="1"/>
  <c r="AK544" i="1"/>
  <c r="AL544" i="1"/>
  <c r="AO544" i="1"/>
  <c r="AW544" i="1" s="1"/>
  <c r="AP544" i="1"/>
  <c r="BD544" i="1"/>
  <c r="BF544" i="1"/>
  <c r="BH544" i="1"/>
  <c r="AD544" i="1" s="1"/>
  <c r="BJ544" i="1"/>
  <c r="L545" i="1"/>
  <c r="Z545" i="1"/>
  <c r="AB545" i="1"/>
  <c r="AC545" i="1"/>
  <c r="AF545" i="1"/>
  <c r="AG545" i="1"/>
  <c r="AH545" i="1"/>
  <c r="AJ545" i="1"/>
  <c r="AK545" i="1"/>
  <c r="AL545" i="1"/>
  <c r="AO545" i="1"/>
  <c r="AP545" i="1"/>
  <c r="BD545" i="1"/>
  <c r="BF545" i="1"/>
  <c r="BJ545" i="1"/>
  <c r="K546" i="1"/>
  <c r="L546" i="1"/>
  <c r="Z546" i="1"/>
  <c r="AB546" i="1"/>
  <c r="AC546" i="1"/>
  <c r="AF546" i="1"/>
  <c r="AG546" i="1"/>
  <c r="AH546" i="1"/>
  <c r="AJ546" i="1"/>
  <c r="AK546" i="1"/>
  <c r="AL546" i="1"/>
  <c r="AO546" i="1"/>
  <c r="AP546" i="1"/>
  <c r="AX546" i="1"/>
  <c r="BD546" i="1"/>
  <c r="BF546" i="1"/>
  <c r="BH546" i="1"/>
  <c r="AD546" i="1" s="1"/>
  <c r="BI546" i="1"/>
  <c r="AE546" i="1" s="1"/>
  <c r="BJ546" i="1"/>
  <c r="J547" i="1"/>
  <c r="K547" i="1"/>
  <c r="L547" i="1"/>
  <c r="Z547" i="1"/>
  <c r="AB547" i="1"/>
  <c r="AC547" i="1"/>
  <c r="AF547" i="1"/>
  <c r="AG547" i="1"/>
  <c r="AH547" i="1"/>
  <c r="AJ547" i="1"/>
  <c r="AK547" i="1"/>
  <c r="AL547" i="1"/>
  <c r="AO547" i="1"/>
  <c r="AP547" i="1"/>
  <c r="AW547" i="1"/>
  <c r="AX547" i="1"/>
  <c r="BC547" i="1"/>
  <c r="BD547" i="1"/>
  <c r="BF547" i="1"/>
  <c r="BH547" i="1"/>
  <c r="AD547" i="1" s="1"/>
  <c r="BI547" i="1"/>
  <c r="AE547" i="1" s="1"/>
  <c r="BJ547" i="1"/>
  <c r="J548" i="1"/>
  <c r="K548" i="1"/>
  <c r="L548" i="1"/>
  <c r="AL548" i="1" s="1"/>
  <c r="Z548" i="1"/>
  <c r="AB548" i="1"/>
  <c r="AC548" i="1"/>
  <c r="AF548" i="1"/>
  <c r="AG548" i="1"/>
  <c r="AH548" i="1"/>
  <c r="AJ548" i="1"/>
  <c r="AK548" i="1"/>
  <c r="AO548" i="1"/>
  <c r="AP548" i="1"/>
  <c r="AW548" i="1"/>
  <c r="AX548" i="1"/>
  <c r="BC548" i="1" s="1"/>
  <c r="BD548" i="1"/>
  <c r="BF548" i="1"/>
  <c r="BH548" i="1"/>
  <c r="AD548" i="1" s="1"/>
  <c r="BI548" i="1"/>
  <c r="AE548" i="1" s="1"/>
  <c r="BJ548" i="1"/>
  <c r="J549" i="1"/>
  <c r="K549" i="1"/>
  <c r="L549" i="1"/>
  <c r="AL549" i="1" s="1"/>
  <c r="Z549" i="1"/>
  <c r="AB549" i="1"/>
  <c r="AC549" i="1"/>
  <c r="AF549" i="1"/>
  <c r="AG549" i="1"/>
  <c r="AH549" i="1"/>
  <c r="AJ549" i="1"/>
  <c r="AK549" i="1"/>
  <c r="AO549" i="1"/>
  <c r="AP549" i="1"/>
  <c r="AW549" i="1"/>
  <c r="AV549" i="1" s="1"/>
  <c r="AX549" i="1"/>
  <c r="BC549" i="1"/>
  <c r="BD549" i="1"/>
  <c r="BF549" i="1"/>
  <c r="BH549" i="1"/>
  <c r="AD549" i="1" s="1"/>
  <c r="BI549" i="1"/>
  <c r="AE549" i="1" s="1"/>
  <c r="BJ549" i="1"/>
  <c r="J550" i="1"/>
  <c r="K550" i="1"/>
  <c r="L550" i="1"/>
  <c r="AL550" i="1" s="1"/>
  <c r="Z550" i="1"/>
  <c r="AB550" i="1"/>
  <c r="AC550" i="1"/>
  <c r="AF550" i="1"/>
  <c r="AG550" i="1"/>
  <c r="AH550" i="1"/>
  <c r="AJ550" i="1"/>
  <c r="AK550" i="1"/>
  <c r="AO550" i="1"/>
  <c r="AP550" i="1"/>
  <c r="AW550" i="1"/>
  <c r="AX550" i="1"/>
  <c r="BD550" i="1"/>
  <c r="BF550" i="1"/>
  <c r="BH550" i="1"/>
  <c r="AD550" i="1" s="1"/>
  <c r="BI550" i="1"/>
  <c r="AE550" i="1" s="1"/>
  <c r="BJ550" i="1"/>
  <c r="K551" i="1"/>
  <c r="L551" i="1"/>
  <c r="Z551" i="1"/>
  <c r="AB551" i="1"/>
  <c r="AC551" i="1"/>
  <c r="AF551" i="1"/>
  <c r="AG551" i="1"/>
  <c r="AH551" i="1"/>
  <c r="AJ551" i="1"/>
  <c r="AK551" i="1"/>
  <c r="AL551" i="1"/>
  <c r="AO551" i="1"/>
  <c r="AP551" i="1"/>
  <c r="AX551" i="1" s="1"/>
  <c r="BD551" i="1"/>
  <c r="BF551" i="1"/>
  <c r="BH551" i="1"/>
  <c r="AD551" i="1" s="1"/>
  <c r="BI551" i="1"/>
  <c r="AE551" i="1" s="1"/>
  <c r="BJ551" i="1"/>
  <c r="L552" i="1"/>
  <c r="Z552" i="1"/>
  <c r="AB552" i="1"/>
  <c r="AC552" i="1"/>
  <c r="AF552" i="1"/>
  <c r="AG552" i="1"/>
  <c r="AH552" i="1"/>
  <c r="AJ552" i="1"/>
  <c r="AK552" i="1"/>
  <c r="AL552" i="1"/>
  <c r="AO552" i="1"/>
  <c r="AP552" i="1"/>
  <c r="BD552" i="1"/>
  <c r="BF552" i="1"/>
  <c r="BJ552" i="1"/>
  <c r="L553" i="1"/>
  <c r="Z553" i="1"/>
  <c r="AB553" i="1"/>
  <c r="AC553" i="1"/>
  <c r="AF553" i="1"/>
  <c r="AG553" i="1"/>
  <c r="AH553" i="1"/>
  <c r="AJ553" i="1"/>
  <c r="AK553" i="1"/>
  <c r="AL553" i="1"/>
  <c r="AO553" i="1"/>
  <c r="AP553" i="1"/>
  <c r="BD553" i="1"/>
  <c r="BF553" i="1"/>
  <c r="BH553" i="1"/>
  <c r="AD553" i="1" s="1"/>
  <c r="BI553" i="1"/>
  <c r="AE553" i="1" s="1"/>
  <c r="BJ553" i="1"/>
  <c r="K554" i="1"/>
  <c r="L554" i="1"/>
  <c r="Z554" i="1"/>
  <c r="AB554" i="1"/>
  <c r="AC554" i="1"/>
  <c r="AF554" i="1"/>
  <c r="AG554" i="1"/>
  <c r="AH554" i="1"/>
  <c r="AJ554" i="1"/>
  <c r="AK554" i="1"/>
  <c r="AL554" i="1"/>
  <c r="AO554" i="1"/>
  <c r="AP554" i="1"/>
  <c r="AX554" i="1"/>
  <c r="BD554" i="1"/>
  <c r="BF554" i="1"/>
  <c r="BI554" i="1"/>
  <c r="AE554" i="1" s="1"/>
  <c r="BJ554" i="1"/>
  <c r="J555" i="1"/>
  <c r="K555" i="1"/>
  <c r="L555" i="1"/>
  <c r="AL555" i="1" s="1"/>
  <c r="Z555" i="1"/>
  <c r="AB555" i="1"/>
  <c r="AC555" i="1"/>
  <c r="AF555" i="1"/>
  <c r="AG555" i="1"/>
  <c r="AH555" i="1"/>
  <c r="AJ555" i="1"/>
  <c r="AK555" i="1"/>
  <c r="AO555" i="1"/>
  <c r="AP555" i="1"/>
  <c r="AW555" i="1"/>
  <c r="AX555" i="1"/>
  <c r="BC555" i="1"/>
  <c r="BD555" i="1"/>
  <c r="BF555" i="1"/>
  <c r="BH555" i="1"/>
  <c r="AD555" i="1" s="1"/>
  <c r="BI555" i="1"/>
  <c r="AE555" i="1" s="1"/>
  <c r="BJ555" i="1"/>
  <c r="J556" i="1"/>
  <c r="K556" i="1"/>
  <c r="L556" i="1"/>
  <c r="AL556" i="1" s="1"/>
  <c r="Z556" i="1"/>
  <c r="AB556" i="1"/>
  <c r="AC556" i="1"/>
  <c r="AF556" i="1"/>
  <c r="AG556" i="1"/>
  <c r="AH556" i="1"/>
  <c r="AJ556" i="1"/>
  <c r="AK556" i="1"/>
  <c r="AO556" i="1"/>
  <c r="AP556" i="1"/>
  <c r="AW556" i="1"/>
  <c r="AX556" i="1"/>
  <c r="BC556" i="1"/>
  <c r="BD556" i="1"/>
  <c r="BF556" i="1"/>
  <c r="BH556" i="1"/>
  <c r="AD556" i="1" s="1"/>
  <c r="BI556" i="1"/>
  <c r="AE556" i="1" s="1"/>
  <c r="BJ556" i="1"/>
  <c r="J557" i="1"/>
  <c r="K557" i="1"/>
  <c r="L557" i="1"/>
  <c r="AL557" i="1" s="1"/>
  <c r="AB557" i="1"/>
  <c r="AC557" i="1"/>
  <c r="AD557" i="1"/>
  <c r="AE557" i="1"/>
  <c r="AF557" i="1"/>
  <c r="AG557" i="1"/>
  <c r="AH557" i="1"/>
  <c r="AJ557" i="1"/>
  <c r="AK557" i="1"/>
  <c r="AO557" i="1"/>
  <c r="AP557" i="1"/>
  <c r="AV557" i="1"/>
  <c r="AW557" i="1"/>
  <c r="AX557" i="1"/>
  <c r="BC557" i="1"/>
  <c r="BD557" i="1"/>
  <c r="BF557" i="1"/>
  <c r="BH557" i="1"/>
  <c r="BI557" i="1"/>
  <c r="BJ557" i="1"/>
  <c r="Z557" i="1" s="1"/>
  <c r="J559" i="1"/>
  <c r="K559" i="1"/>
  <c r="L559" i="1"/>
  <c r="Z559" i="1"/>
  <c r="AB559" i="1"/>
  <c r="AC559" i="1"/>
  <c r="AF559" i="1"/>
  <c r="AG559" i="1"/>
  <c r="AH559" i="1"/>
  <c r="AJ559" i="1"/>
  <c r="AK559" i="1"/>
  <c r="AO559" i="1"/>
  <c r="AP559" i="1"/>
  <c r="AW559" i="1"/>
  <c r="AX559" i="1"/>
  <c r="BC559" i="1"/>
  <c r="BD559" i="1"/>
  <c r="BF559" i="1"/>
  <c r="BH559" i="1"/>
  <c r="AD559" i="1" s="1"/>
  <c r="BI559" i="1"/>
  <c r="AE559" i="1" s="1"/>
  <c r="BJ559" i="1"/>
  <c r="J560" i="1"/>
  <c r="K560" i="1"/>
  <c r="L560" i="1"/>
  <c r="AL560" i="1" s="1"/>
  <c r="Z560" i="1"/>
  <c r="AB560" i="1"/>
  <c r="AC560" i="1"/>
  <c r="AF560" i="1"/>
  <c r="AG560" i="1"/>
  <c r="AH560" i="1"/>
  <c r="AJ560" i="1"/>
  <c r="AK560" i="1"/>
  <c r="AO560" i="1"/>
  <c r="AP560" i="1"/>
  <c r="AW560" i="1"/>
  <c r="AX560" i="1"/>
  <c r="BD560" i="1"/>
  <c r="BF560" i="1"/>
  <c r="BH560" i="1"/>
  <c r="AD560" i="1" s="1"/>
  <c r="BI560" i="1"/>
  <c r="AE560" i="1" s="1"/>
  <c r="BJ560" i="1"/>
  <c r="J561" i="1"/>
  <c r="K561" i="1"/>
  <c r="L561" i="1"/>
  <c r="AL561" i="1" s="1"/>
  <c r="Z561" i="1"/>
  <c r="AB561" i="1"/>
  <c r="AC561" i="1"/>
  <c r="AF561" i="1"/>
  <c r="AG561" i="1"/>
  <c r="AH561" i="1"/>
  <c r="AJ561" i="1"/>
  <c r="AK561" i="1"/>
  <c r="AO561" i="1"/>
  <c r="AP561" i="1"/>
  <c r="BI561" i="1" s="1"/>
  <c r="AE561" i="1" s="1"/>
  <c r="AW561" i="1"/>
  <c r="AX561" i="1"/>
  <c r="BD561" i="1"/>
  <c r="BF561" i="1"/>
  <c r="BH561" i="1"/>
  <c r="AD561" i="1" s="1"/>
  <c r="BJ561" i="1"/>
  <c r="J562" i="1"/>
  <c r="K562" i="1"/>
  <c r="L562" i="1"/>
  <c r="Z562" i="1"/>
  <c r="AB562" i="1"/>
  <c r="AC562" i="1"/>
  <c r="AF562" i="1"/>
  <c r="AG562" i="1"/>
  <c r="AH562" i="1"/>
  <c r="AJ562" i="1"/>
  <c r="AK562" i="1"/>
  <c r="AL562" i="1"/>
  <c r="AO562" i="1"/>
  <c r="BH562" i="1" s="1"/>
  <c r="AD562" i="1" s="1"/>
  <c r="AP562" i="1"/>
  <c r="AX562" i="1" s="1"/>
  <c r="AW562" i="1"/>
  <c r="BD562" i="1"/>
  <c r="BF562" i="1"/>
  <c r="BJ562" i="1"/>
  <c r="J563" i="1"/>
  <c r="L563" i="1"/>
  <c r="Z563" i="1"/>
  <c r="AB563" i="1"/>
  <c r="AC563" i="1"/>
  <c r="AF563" i="1"/>
  <c r="AG563" i="1"/>
  <c r="AH563" i="1"/>
  <c r="AJ563" i="1"/>
  <c r="AK563" i="1"/>
  <c r="AL563" i="1"/>
  <c r="AO563" i="1"/>
  <c r="AW563" i="1" s="1"/>
  <c r="AP563" i="1"/>
  <c r="BD563" i="1"/>
  <c r="BF563" i="1"/>
  <c r="BH563" i="1"/>
  <c r="AD563" i="1" s="1"/>
  <c r="BI563" i="1"/>
  <c r="AE563" i="1" s="1"/>
  <c r="BJ563" i="1"/>
  <c r="L564" i="1"/>
  <c r="Z564" i="1"/>
  <c r="AB564" i="1"/>
  <c r="AC564" i="1"/>
  <c r="AF564" i="1"/>
  <c r="AG564" i="1"/>
  <c r="AH564" i="1"/>
  <c r="AJ564" i="1"/>
  <c r="AK564" i="1"/>
  <c r="AL564" i="1"/>
  <c r="AO564" i="1"/>
  <c r="AP564" i="1"/>
  <c r="BD564" i="1"/>
  <c r="BF564" i="1"/>
  <c r="BJ564" i="1"/>
  <c r="K565" i="1"/>
  <c r="L565" i="1"/>
  <c r="Z565" i="1"/>
  <c r="AB565" i="1"/>
  <c r="AC565" i="1"/>
  <c r="AF565" i="1"/>
  <c r="AG565" i="1"/>
  <c r="AH565" i="1"/>
  <c r="AJ565" i="1"/>
  <c r="AK565" i="1"/>
  <c r="AL565" i="1"/>
  <c r="AO565" i="1"/>
  <c r="AP565" i="1"/>
  <c r="AX565" i="1"/>
  <c r="BD565" i="1"/>
  <c r="BF565" i="1"/>
  <c r="BI565" i="1"/>
  <c r="AE565" i="1" s="1"/>
  <c r="BJ565" i="1"/>
  <c r="J566" i="1"/>
  <c r="K566" i="1"/>
  <c r="L566" i="1"/>
  <c r="Z566" i="1"/>
  <c r="AB566" i="1"/>
  <c r="AC566" i="1"/>
  <c r="AF566" i="1"/>
  <c r="AG566" i="1"/>
  <c r="AH566" i="1"/>
  <c r="AJ566" i="1"/>
  <c r="AK566" i="1"/>
  <c r="AL566" i="1"/>
  <c r="AO566" i="1"/>
  <c r="AP566" i="1"/>
  <c r="AW566" i="1"/>
  <c r="AX566" i="1"/>
  <c r="BC566" i="1" s="1"/>
  <c r="BD566" i="1"/>
  <c r="BF566" i="1"/>
  <c r="BH566" i="1"/>
  <c r="AD566" i="1" s="1"/>
  <c r="BI566" i="1"/>
  <c r="AE566" i="1" s="1"/>
  <c r="BJ566" i="1"/>
  <c r="J567" i="1"/>
  <c r="K567" i="1"/>
  <c r="L567" i="1"/>
  <c r="AL567" i="1" s="1"/>
  <c r="Z567" i="1"/>
  <c r="AB567" i="1"/>
  <c r="AC567" i="1"/>
  <c r="AF567" i="1"/>
  <c r="AG567" i="1"/>
  <c r="AH567" i="1"/>
  <c r="AJ567" i="1"/>
  <c r="AK567" i="1"/>
  <c r="AO567" i="1"/>
  <c r="AP567" i="1"/>
  <c r="AW567" i="1"/>
  <c r="AX567" i="1"/>
  <c r="BC567" i="1"/>
  <c r="BD567" i="1"/>
  <c r="BF567" i="1"/>
  <c r="BH567" i="1"/>
  <c r="AD567" i="1" s="1"/>
  <c r="BI567" i="1"/>
  <c r="AE567" i="1" s="1"/>
  <c r="BJ567" i="1"/>
  <c r="J568" i="1"/>
  <c r="K568" i="1"/>
  <c r="L568" i="1"/>
  <c r="AL568" i="1" s="1"/>
  <c r="Z568" i="1"/>
  <c r="AB568" i="1"/>
  <c r="AC568" i="1"/>
  <c r="AF568" i="1"/>
  <c r="AG568" i="1"/>
  <c r="AH568" i="1"/>
  <c r="AJ568" i="1"/>
  <c r="AK568" i="1"/>
  <c r="AO568" i="1"/>
  <c r="AP568" i="1"/>
  <c r="AW568" i="1"/>
  <c r="AV568" i="1" s="1"/>
  <c r="AX568" i="1"/>
  <c r="BC568" i="1"/>
  <c r="BD568" i="1"/>
  <c r="BF568" i="1"/>
  <c r="BH568" i="1"/>
  <c r="AD568" i="1" s="1"/>
  <c r="BI568" i="1"/>
  <c r="AE568" i="1" s="1"/>
  <c r="BJ568" i="1"/>
  <c r="J569" i="1"/>
  <c r="L569" i="1"/>
  <c r="AL569" i="1" s="1"/>
  <c r="Z569" i="1"/>
  <c r="AB569" i="1"/>
  <c r="AC569" i="1"/>
  <c r="AF569" i="1"/>
  <c r="AG569" i="1"/>
  <c r="AH569" i="1"/>
  <c r="AJ569" i="1"/>
  <c r="AK569" i="1"/>
  <c r="AO569" i="1"/>
  <c r="AP569" i="1"/>
  <c r="AW569" i="1"/>
  <c r="BD569" i="1"/>
  <c r="BF569" i="1"/>
  <c r="BH569" i="1"/>
  <c r="AD569" i="1" s="1"/>
  <c r="BJ569" i="1"/>
  <c r="J570" i="1"/>
  <c r="L570" i="1"/>
  <c r="Z570" i="1"/>
  <c r="AB570" i="1"/>
  <c r="AC570" i="1"/>
  <c r="AF570" i="1"/>
  <c r="AG570" i="1"/>
  <c r="AH570" i="1"/>
  <c r="AJ570" i="1"/>
  <c r="AK570" i="1"/>
  <c r="AL570" i="1"/>
  <c r="AO570" i="1"/>
  <c r="AP570" i="1"/>
  <c r="BD570" i="1"/>
  <c r="BF570" i="1"/>
  <c r="BJ570" i="1"/>
  <c r="J571" i="1"/>
  <c r="L571" i="1"/>
  <c r="Z571" i="1"/>
  <c r="AB571" i="1"/>
  <c r="AC571" i="1"/>
  <c r="AF571" i="1"/>
  <c r="AG571" i="1"/>
  <c r="AH571" i="1"/>
  <c r="AJ571" i="1"/>
  <c r="AK571" i="1"/>
  <c r="AL571" i="1"/>
  <c r="AO571" i="1"/>
  <c r="AW571" i="1" s="1"/>
  <c r="AP571" i="1"/>
  <c r="BD571" i="1"/>
  <c r="BF571" i="1"/>
  <c r="BJ571" i="1"/>
  <c r="L572" i="1"/>
  <c r="Z572" i="1"/>
  <c r="AB572" i="1"/>
  <c r="AC572" i="1"/>
  <c r="AF572" i="1"/>
  <c r="AG572" i="1"/>
  <c r="AH572" i="1"/>
  <c r="AJ572" i="1"/>
  <c r="AK572" i="1"/>
  <c r="AL572" i="1"/>
  <c r="AO572" i="1"/>
  <c r="AP572" i="1"/>
  <c r="BD572" i="1"/>
  <c r="BF572" i="1"/>
  <c r="BI572" i="1"/>
  <c r="AE572" i="1" s="1"/>
  <c r="BJ572" i="1"/>
  <c r="K573" i="1"/>
  <c r="L573" i="1"/>
  <c r="Z573" i="1"/>
  <c r="AB573" i="1"/>
  <c r="AC573" i="1"/>
  <c r="AF573" i="1"/>
  <c r="AG573" i="1"/>
  <c r="AH573" i="1"/>
  <c r="AJ573" i="1"/>
  <c r="AK573" i="1"/>
  <c r="AL573" i="1"/>
  <c r="AO573" i="1"/>
  <c r="AP573" i="1"/>
  <c r="AX573" i="1"/>
  <c r="BD573" i="1"/>
  <c r="BF573" i="1"/>
  <c r="BI573" i="1"/>
  <c r="AE573" i="1" s="1"/>
  <c r="BJ573" i="1"/>
  <c r="J574" i="1"/>
  <c r="K574" i="1"/>
  <c r="L574" i="1"/>
  <c r="Z574" i="1"/>
  <c r="AB574" i="1"/>
  <c r="AC574" i="1"/>
  <c r="AF574" i="1"/>
  <c r="AG574" i="1"/>
  <c r="AH574" i="1"/>
  <c r="AJ574" i="1"/>
  <c r="AK574" i="1"/>
  <c r="AL574" i="1"/>
  <c r="AO574" i="1"/>
  <c r="AP574" i="1"/>
  <c r="AW574" i="1"/>
  <c r="AX574" i="1"/>
  <c r="BC574" i="1"/>
  <c r="BD574" i="1"/>
  <c r="BF574" i="1"/>
  <c r="BH574" i="1"/>
  <c r="AD574" i="1" s="1"/>
  <c r="BI574" i="1"/>
  <c r="AE574" i="1" s="1"/>
  <c r="BJ574" i="1"/>
  <c r="J575" i="1"/>
  <c r="K575" i="1"/>
  <c r="L575" i="1"/>
  <c r="AL575" i="1" s="1"/>
  <c r="Z575" i="1"/>
  <c r="AB575" i="1"/>
  <c r="AC575" i="1"/>
  <c r="AF575" i="1"/>
  <c r="AG575" i="1"/>
  <c r="AH575" i="1"/>
  <c r="AJ575" i="1"/>
  <c r="AK575" i="1"/>
  <c r="AO575" i="1"/>
  <c r="AP575" i="1"/>
  <c r="AV575" i="1"/>
  <c r="AW575" i="1"/>
  <c r="AX575" i="1"/>
  <c r="BC575" i="1"/>
  <c r="BD575" i="1"/>
  <c r="BF575" i="1"/>
  <c r="BH575" i="1"/>
  <c r="AD575" i="1" s="1"/>
  <c r="BI575" i="1"/>
  <c r="AE575" i="1" s="1"/>
  <c r="BJ575" i="1"/>
  <c r="J576" i="1"/>
  <c r="L576" i="1"/>
  <c r="AL576" i="1" s="1"/>
  <c r="AB576" i="1"/>
  <c r="AC576" i="1"/>
  <c r="AD576" i="1"/>
  <c r="AE576" i="1"/>
  <c r="AF576" i="1"/>
  <c r="AG576" i="1"/>
  <c r="AH576" i="1"/>
  <c r="AJ576" i="1"/>
  <c r="AK576" i="1"/>
  <c r="AO576" i="1"/>
  <c r="AP576" i="1"/>
  <c r="AW576" i="1"/>
  <c r="BD576" i="1"/>
  <c r="BF576" i="1"/>
  <c r="BH576" i="1"/>
  <c r="BJ576" i="1"/>
  <c r="Z576" i="1" s="1"/>
  <c r="J578" i="1"/>
  <c r="K578" i="1"/>
  <c r="L578" i="1"/>
  <c r="Z578" i="1"/>
  <c r="AB578" i="1"/>
  <c r="AC578" i="1"/>
  <c r="AF578" i="1"/>
  <c r="AG578" i="1"/>
  <c r="AH578" i="1"/>
  <c r="AJ578" i="1"/>
  <c r="AK578" i="1"/>
  <c r="AO578" i="1"/>
  <c r="AP578" i="1"/>
  <c r="AW578" i="1"/>
  <c r="AV578" i="1" s="1"/>
  <c r="AX578" i="1"/>
  <c r="BC578" i="1"/>
  <c r="BD578" i="1"/>
  <c r="BF578" i="1"/>
  <c r="BH578" i="1"/>
  <c r="AD578" i="1" s="1"/>
  <c r="BI578" i="1"/>
  <c r="AE578" i="1" s="1"/>
  <c r="BJ578" i="1"/>
  <c r="J579" i="1"/>
  <c r="L579" i="1"/>
  <c r="AL579" i="1" s="1"/>
  <c r="Z579" i="1"/>
  <c r="AB579" i="1"/>
  <c r="AC579" i="1"/>
  <c r="AF579" i="1"/>
  <c r="AG579" i="1"/>
  <c r="AH579" i="1"/>
  <c r="AJ579" i="1"/>
  <c r="AK579" i="1"/>
  <c r="AO579" i="1"/>
  <c r="AP579" i="1"/>
  <c r="AW579" i="1"/>
  <c r="BD579" i="1"/>
  <c r="BF579" i="1"/>
  <c r="BH579" i="1"/>
  <c r="AD579" i="1" s="1"/>
  <c r="BI579" i="1"/>
  <c r="AE579" i="1" s="1"/>
  <c r="BJ579" i="1"/>
  <c r="L580" i="1"/>
  <c r="AL580" i="1" s="1"/>
  <c r="Z580" i="1"/>
  <c r="AB580" i="1"/>
  <c r="AC580" i="1"/>
  <c r="AF580" i="1"/>
  <c r="AG580" i="1"/>
  <c r="AH580" i="1"/>
  <c r="AJ580" i="1"/>
  <c r="AK580" i="1"/>
  <c r="AO580" i="1"/>
  <c r="AP580" i="1"/>
  <c r="BD580" i="1"/>
  <c r="BF580" i="1"/>
  <c r="BJ580" i="1"/>
  <c r="L581" i="1"/>
  <c r="Z581" i="1"/>
  <c r="AB581" i="1"/>
  <c r="AC581" i="1"/>
  <c r="AF581" i="1"/>
  <c r="AG581" i="1"/>
  <c r="AH581" i="1"/>
  <c r="AJ581" i="1"/>
  <c r="AK581" i="1"/>
  <c r="AL581" i="1"/>
  <c r="AO581" i="1"/>
  <c r="AP581" i="1"/>
  <c r="BD581" i="1"/>
  <c r="BF581" i="1"/>
  <c r="BJ581" i="1"/>
  <c r="J582" i="1"/>
  <c r="L582" i="1"/>
  <c r="Z582" i="1"/>
  <c r="AB582" i="1"/>
  <c r="AC582" i="1"/>
  <c r="AF582" i="1"/>
  <c r="AG582" i="1"/>
  <c r="AH582" i="1"/>
  <c r="AJ582" i="1"/>
  <c r="AK582" i="1"/>
  <c r="AL582" i="1"/>
  <c r="AO582" i="1"/>
  <c r="AW582" i="1" s="1"/>
  <c r="AP582" i="1"/>
  <c r="BD582" i="1"/>
  <c r="BF582" i="1"/>
  <c r="BJ582" i="1"/>
  <c r="L583" i="1"/>
  <c r="Z583" i="1"/>
  <c r="AB583" i="1"/>
  <c r="AC583" i="1"/>
  <c r="AF583" i="1"/>
  <c r="AG583" i="1"/>
  <c r="AH583" i="1"/>
  <c r="AJ583" i="1"/>
  <c r="AK583" i="1"/>
  <c r="AL583" i="1"/>
  <c r="AO583" i="1"/>
  <c r="AP583" i="1"/>
  <c r="BD583" i="1"/>
  <c r="BF583" i="1"/>
  <c r="BI583" i="1"/>
  <c r="AE583" i="1" s="1"/>
  <c r="BJ583" i="1"/>
  <c r="L584" i="1"/>
  <c r="AL584" i="1" s="1"/>
  <c r="Z584" i="1"/>
  <c r="AB584" i="1"/>
  <c r="AC584" i="1"/>
  <c r="AF584" i="1"/>
  <c r="AG584" i="1"/>
  <c r="AH584" i="1"/>
  <c r="AJ584" i="1"/>
  <c r="AK584" i="1"/>
  <c r="AO584" i="1"/>
  <c r="AP584" i="1"/>
  <c r="K584" i="1" s="1"/>
  <c r="AX584" i="1"/>
  <c r="BD584" i="1"/>
  <c r="BF584" i="1"/>
  <c r="BI584" i="1"/>
  <c r="AE584" i="1" s="1"/>
  <c r="BJ584" i="1"/>
  <c r="K585" i="1"/>
  <c r="L585" i="1"/>
  <c r="Z585" i="1"/>
  <c r="AB585" i="1"/>
  <c r="AC585" i="1"/>
  <c r="AF585" i="1"/>
  <c r="AG585" i="1"/>
  <c r="AH585" i="1"/>
  <c r="AJ585" i="1"/>
  <c r="AK585" i="1"/>
  <c r="AL585" i="1"/>
  <c r="AO585" i="1"/>
  <c r="J585" i="1" s="1"/>
  <c r="AP585" i="1"/>
  <c r="AW585" i="1"/>
  <c r="AX585" i="1"/>
  <c r="BC585" i="1"/>
  <c r="BD585" i="1"/>
  <c r="BF585" i="1"/>
  <c r="BH585" i="1"/>
  <c r="AD585" i="1" s="1"/>
  <c r="BI585" i="1"/>
  <c r="AE585" i="1" s="1"/>
  <c r="BJ585" i="1"/>
  <c r="K586" i="1"/>
  <c r="L586" i="1"/>
  <c r="AL586" i="1" s="1"/>
  <c r="Z586" i="1"/>
  <c r="AB586" i="1"/>
  <c r="AC586" i="1"/>
  <c r="AD586" i="1"/>
  <c r="AF586" i="1"/>
  <c r="AG586" i="1"/>
  <c r="AH586" i="1"/>
  <c r="AJ586" i="1"/>
  <c r="AK586" i="1"/>
  <c r="AO586" i="1"/>
  <c r="J586" i="1" s="1"/>
  <c r="AP586" i="1"/>
  <c r="AW586" i="1"/>
  <c r="AX586" i="1"/>
  <c r="BD586" i="1"/>
  <c r="BF586" i="1"/>
  <c r="BH586" i="1"/>
  <c r="BI586" i="1"/>
  <c r="AE586" i="1" s="1"/>
  <c r="BJ586" i="1"/>
  <c r="J587" i="1"/>
  <c r="L587" i="1"/>
  <c r="Z587" i="1"/>
  <c r="AB587" i="1"/>
  <c r="AC587" i="1"/>
  <c r="AF587" i="1"/>
  <c r="AG587" i="1"/>
  <c r="AH587" i="1"/>
  <c r="AJ587" i="1"/>
  <c r="AK587" i="1"/>
  <c r="AL587" i="1"/>
  <c r="AO587" i="1"/>
  <c r="AP587" i="1"/>
  <c r="AW587" i="1"/>
  <c r="BD587" i="1"/>
  <c r="BF587" i="1"/>
  <c r="BH587" i="1"/>
  <c r="AD587" i="1" s="1"/>
  <c r="BJ587" i="1"/>
  <c r="J588" i="1"/>
  <c r="L588" i="1"/>
  <c r="AL588" i="1" s="1"/>
  <c r="Z588" i="1"/>
  <c r="AB588" i="1"/>
  <c r="AC588" i="1"/>
  <c r="AF588" i="1"/>
  <c r="AG588" i="1"/>
  <c r="AH588" i="1"/>
  <c r="AJ588" i="1"/>
  <c r="AK588" i="1"/>
  <c r="AO588" i="1"/>
  <c r="BH588" i="1" s="1"/>
  <c r="AD588" i="1" s="1"/>
  <c r="AP588" i="1"/>
  <c r="AW588" i="1"/>
  <c r="BD588" i="1"/>
  <c r="BF588" i="1"/>
  <c r="BJ588" i="1"/>
  <c r="J589" i="1"/>
  <c r="K589" i="1"/>
  <c r="L589" i="1"/>
  <c r="AB589" i="1"/>
  <c r="AC589" i="1"/>
  <c r="AD589" i="1"/>
  <c r="AE589" i="1"/>
  <c r="AF589" i="1"/>
  <c r="AG589" i="1"/>
  <c r="AH589" i="1"/>
  <c r="AJ589" i="1"/>
  <c r="AK589" i="1"/>
  <c r="AL589" i="1"/>
  <c r="AO589" i="1"/>
  <c r="BH589" i="1" s="1"/>
  <c r="AP589" i="1"/>
  <c r="AW589" i="1"/>
  <c r="BD589" i="1"/>
  <c r="BF589" i="1"/>
  <c r="BJ589" i="1"/>
  <c r="Z589" i="1" s="1"/>
  <c r="L590" i="1"/>
  <c r="K591" i="1"/>
  <c r="L591" i="1"/>
  <c r="AL591" i="1" s="1"/>
  <c r="Z591" i="1"/>
  <c r="AB591" i="1"/>
  <c r="AC591" i="1"/>
  <c r="AF591" i="1"/>
  <c r="AG591" i="1"/>
  <c r="AH591" i="1"/>
  <c r="AJ591" i="1"/>
  <c r="AK591" i="1"/>
  <c r="AO591" i="1"/>
  <c r="AP591" i="1"/>
  <c r="AX591" i="1"/>
  <c r="BD591" i="1"/>
  <c r="BF591" i="1"/>
  <c r="BH591" i="1"/>
  <c r="AD591" i="1" s="1"/>
  <c r="BI591" i="1"/>
  <c r="AE591" i="1" s="1"/>
  <c r="BJ591" i="1"/>
  <c r="K592" i="1"/>
  <c r="L592" i="1"/>
  <c r="Z592" i="1"/>
  <c r="AB592" i="1"/>
  <c r="AC592" i="1"/>
  <c r="AF592" i="1"/>
  <c r="AG592" i="1"/>
  <c r="AH592" i="1"/>
  <c r="AJ592" i="1"/>
  <c r="AK592" i="1"/>
  <c r="AL592" i="1"/>
  <c r="AO592" i="1"/>
  <c r="AP592" i="1"/>
  <c r="AX592" i="1" s="1"/>
  <c r="BD592" i="1"/>
  <c r="BF592" i="1"/>
  <c r="BI592" i="1"/>
  <c r="AE592" i="1" s="1"/>
  <c r="BJ592" i="1"/>
  <c r="L593" i="1"/>
  <c r="Z593" i="1"/>
  <c r="AB593" i="1"/>
  <c r="AC593" i="1"/>
  <c r="AF593" i="1"/>
  <c r="AG593" i="1"/>
  <c r="AH593" i="1"/>
  <c r="AJ593" i="1"/>
  <c r="AK593" i="1"/>
  <c r="AL593" i="1"/>
  <c r="AO593" i="1"/>
  <c r="AP593" i="1"/>
  <c r="BD593" i="1"/>
  <c r="BF593" i="1"/>
  <c r="BI593" i="1"/>
  <c r="AE593" i="1" s="1"/>
  <c r="BJ593" i="1"/>
  <c r="K594" i="1"/>
  <c r="L594" i="1"/>
  <c r="Z594" i="1"/>
  <c r="AB594" i="1"/>
  <c r="AC594" i="1"/>
  <c r="AF594" i="1"/>
  <c r="AG594" i="1"/>
  <c r="AH594" i="1"/>
  <c r="AJ594" i="1"/>
  <c r="AK594" i="1"/>
  <c r="AL594" i="1"/>
  <c r="AO594" i="1"/>
  <c r="J594" i="1" s="1"/>
  <c r="AP594" i="1"/>
  <c r="AW594" i="1"/>
  <c r="BD594" i="1"/>
  <c r="BF594" i="1"/>
  <c r="BJ594" i="1"/>
  <c r="J595" i="1"/>
  <c r="K595" i="1"/>
  <c r="L595" i="1"/>
  <c r="AL595" i="1" s="1"/>
  <c r="Z595" i="1"/>
  <c r="AB595" i="1"/>
  <c r="AC595" i="1"/>
  <c r="AD595" i="1"/>
  <c r="AF595" i="1"/>
  <c r="AG595" i="1"/>
  <c r="AH595" i="1"/>
  <c r="AJ595" i="1"/>
  <c r="AK595" i="1"/>
  <c r="AO595" i="1"/>
  <c r="AW595" i="1" s="1"/>
  <c r="AP595" i="1"/>
  <c r="AX595" i="1"/>
  <c r="AV595" i="1" s="1"/>
  <c r="BC595" i="1"/>
  <c r="BD595" i="1"/>
  <c r="BF595" i="1"/>
  <c r="BH595" i="1"/>
  <c r="BI595" i="1"/>
  <c r="AE595" i="1" s="1"/>
  <c r="BJ595" i="1"/>
  <c r="K596" i="1"/>
  <c r="L596" i="1"/>
  <c r="Z596" i="1"/>
  <c r="AB596" i="1"/>
  <c r="AC596" i="1"/>
  <c r="AF596" i="1"/>
  <c r="AG596" i="1"/>
  <c r="AH596" i="1"/>
  <c r="AJ596" i="1"/>
  <c r="AK596" i="1"/>
  <c r="AL596" i="1"/>
  <c r="AO596" i="1"/>
  <c r="J596" i="1" s="1"/>
  <c r="AP596" i="1"/>
  <c r="BI596" i="1" s="1"/>
  <c r="AE596" i="1" s="1"/>
  <c r="AW596" i="1"/>
  <c r="AX596" i="1"/>
  <c r="BC596" i="1"/>
  <c r="BD596" i="1"/>
  <c r="BF596" i="1"/>
  <c r="BH596" i="1"/>
  <c r="AD596" i="1" s="1"/>
  <c r="BJ596" i="1"/>
  <c r="K597" i="1"/>
  <c r="L597" i="1"/>
  <c r="AL597" i="1" s="1"/>
  <c r="Z597" i="1"/>
  <c r="AB597" i="1"/>
  <c r="AC597" i="1"/>
  <c r="AD597" i="1"/>
  <c r="AE597" i="1"/>
  <c r="AF597" i="1"/>
  <c r="AG597" i="1"/>
  <c r="AH597" i="1"/>
  <c r="AJ597" i="1"/>
  <c r="AK597" i="1"/>
  <c r="AO597" i="1"/>
  <c r="AP597" i="1"/>
  <c r="AX597" i="1"/>
  <c r="BD597" i="1"/>
  <c r="BF597" i="1"/>
  <c r="BI597" i="1"/>
  <c r="BJ597" i="1"/>
  <c r="K599" i="1"/>
  <c r="L599" i="1"/>
  <c r="Z599" i="1"/>
  <c r="AB599" i="1"/>
  <c r="AC599" i="1"/>
  <c r="AF599" i="1"/>
  <c r="AG599" i="1"/>
  <c r="AH599" i="1"/>
  <c r="AJ599" i="1"/>
  <c r="AK599" i="1"/>
  <c r="AL599" i="1"/>
  <c r="AO599" i="1"/>
  <c r="J599" i="1" s="1"/>
  <c r="AP599" i="1"/>
  <c r="BI599" i="1" s="1"/>
  <c r="AE599" i="1" s="1"/>
  <c r="AW599" i="1"/>
  <c r="AX599" i="1"/>
  <c r="BD599" i="1"/>
  <c r="BF599" i="1"/>
  <c r="BH599" i="1"/>
  <c r="AD599" i="1" s="1"/>
  <c r="BJ599" i="1"/>
  <c r="J600" i="1"/>
  <c r="K600" i="1"/>
  <c r="L600" i="1"/>
  <c r="Z600" i="1"/>
  <c r="AB600" i="1"/>
  <c r="AC600" i="1"/>
  <c r="AD600" i="1"/>
  <c r="AF600" i="1"/>
  <c r="AG600" i="1"/>
  <c r="AH600" i="1"/>
  <c r="AJ600" i="1"/>
  <c r="AS598" i="1" s="1"/>
  <c r="AK600" i="1"/>
  <c r="AO600" i="1"/>
  <c r="AP600" i="1"/>
  <c r="AW600" i="1"/>
  <c r="AV600" i="1" s="1"/>
  <c r="AX600" i="1"/>
  <c r="BC600" i="1"/>
  <c r="BD600" i="1"/>
  <c r="BF600" i="1"/>
  <c r="BH600" i="1"/>
  <c r="BI600" i="1"/>
  <c r="AE600" i="1" s="1"/>
  <c r="BJ600" i="1"/>
  <c r="J601" i="1"/>
  <c r="K601" i="1"/>
  <c r="L601" i="1"/>
  <c r="AL601" i="1" s="1"/>
  <c r="Z601" i="1"/>
  <c r="AB601" i="1"/>
  <c r="AC601" i="1"/>
  <c r="AF601" i="1"/>
  <c r="AG601" i="1"/>
  <c r="AH601" i="1"/>
  <c r="AJ601" i="1"/>
  <c r="AK601" i="1"/>
  <c r="AO601" i="1"/>
  <c r="AP601" i="1"/>
  <c r="AW601" i="1"/>
  <c r="AX601" i="1"/>
  <c r="BC601" i="1"/>
  <c r="BD601" i="1"/>
  <c r="BF601" i="1"/>
  <c r="BH601" i="1"/>
  <c r="AD601" i="1" s="1"/>
  <c r="BI601" i="1"/>
  <c r="AE601" i="1" s="1"/>
  <c r="BJ601" i="1"/>
  <c r="J602" i="1"/>
  <c r="K602" i="1"/>
  <c r="L602" i="1"/>
  <c r="AL602" i="1" s="1"/>
  <c r="Z602" i="1"/>
  <c r="AB602" i="1"/>
  <c r="AC602" i="1"/>
  <c r="AE602" i="1"/>
  <c r="AF602" i="1"/>
  <c r="AG602" i="1"/>
  <c r="AH602" i="1"/>
  <c r="AJ602" i="1"/>
  <c r="AK602" i="1"/>
  <c r="AO602" i="1"/>
  <c r="BH602" i="1" s="1"/>
  <c r="AD602" i="1" s="1"/>
  <c r="AP602" i="1"/>
  <c r="AW602" i="1"/>
  <c r="AX602" i="1"/>
  <c r="BD602" i="1"/>
  <c r="BF602" i="1"/>
  <c r="BI602" i="1"/>
  <c r="BJ602" i="1"/>
  <c r="J603" i="1"/>
  <c r="K603" i="1"/>
  <c r="L603" i="1"/>
  <c r="Z603" i="1"/>
  <c r="AB603" i="1"/>
  <c r="AC603" i="1"/>
  <c r="AF603" i="1"/>
  <c r="AG603" i="1"/>
  <c r="AH603" i="1"/>
  <c r="AJ603" i="1"/>
  <c r="AK603" i="1"/>
  <c r="AL603" i="1"/>
  <c r="AO603" i="1"/>
  <c r="BH603" i="1" s="1"/>
  <c r="AD603" i="1" s="1"/>
  <c r="AP603" i="1"/>
  <c r="AX603" i="1" s="1"/>
  <c r="AW603" i="1"/>
  <c r="AV603" i="1" s="1"/>
  <c r="BC603" i="1"/>
  <c r="BD603" i="1"/>
  <c r="BF603" i="1"/>
  <c r="BI603" i="1"/>
  <c r="AE603" i="1" s="1"/>
  <c r="BJ603" i="1"/>
  <c r="J604" i="1"/>
  <c r="L604" i="1"/>
  <c r="Z604" i="1"/>
  <c r="AB604" i="1"/>
  <c r="AC604" i="1"/>
  <c r="AF604" i="1"/>
  <c r="AG604" i="1"/>
  <c r="AH604" i="1"/>
  <c r="AJ604" i="1"/>
  <c r="AK604" i="1"/>
  <c r="AL604" i="1"/>
  <c r="AO604" i="1"/>
  <c r="AW604" i="1" s="1"/>
  <c r="AP604" i="1"/>
  <c r="K604" i="1" s="1"/>
  <c r="AX604" i="1"/>
  <c r="AV604" i="1" s="1"/>
  <c r="BD604" i="1"/>
  <c r="BF604" i="1"/>
  <c r="BH604" i="1"/>
  <c r="AD604" i="1" s="1"/>
  <c r="BI604" i="1"/>
  <c r="AE604" i="1" s="1"/>
  <c r="BJ604" i="1"/>
  <c r="L605" i="1"/>
  <c r="Z605" i="1"/>
  <c r="AB605" i="1"/>
  <c r="AC605" i="1"/>
  <c r="AF605" i="1"/>
  <c r="AG605" i="1"/>
  <c r="AH605" i="1"/>
  <c r="AJ605" i="1"/>
  <c r="AK605" i="1"/>
  <c r="AL605" i="1"/>
  <c r="AO605" i="1"/>
  <c r="AP605" i="1"/>
  <c r="BD605" i="1"/>
  <c r="BF605" i="1"/>
  <c r="BI605" i="1"/>
  <c r="AE605" i="1" s="1"/>
  <c r="BJ605" i="1"/>
  <c r="J606" i="1"/>
  <c r="L606" i="1"/>
  <c r="Z606" i="1"/>
  <c r="AB606" i="1"/>
  <c r="AC606" i="1"/>
  <c r="AF606" i="1"/>
  <c r="AG606" i="1"/>
  <c r="AH606" i="1"/>
  <c r="AJ606" i="1"/>
  <c r="AK606" i="1"/>
  <c r="AL606" i="1"/>
  <c r="AO606" i="1"/>
  <c r="AW606" i="1" s="1"/>
  <c r="AP606" i="1"/>
  <c r="K606" i="1" s="1"/>
  <c r="AX606" i="1"/>
  <c r="BD606" i="1"/>
  <c r="BF606" i="1"/>
  <c r="BI606" i="1"/>
  <c r="AE606" i="1" s="1"/>
  <c r="BJ606" i="1"/>
  <c r="K607" i="1"/>
  <c r="L607" i="1"/>
  <c r="AL607" i="1" s="1"/>
  <c r="Z607" i="1"/>
  <c r="AB607" i="1"/>
  <c r="AC607" i="1"/>
  <c r="AF607" i="1"/>
  <c r="AG607" i="1"/>
  <c r="AH607" i="1"/>
  <c r="AJ607" i="1"/>
  <c r="AK607" i="1"/>
  <c r="AO607" i="1"/>
  <c r="J607" i="1" s="1"/>
  <c r="AP607" i="1"/>
  <c r="AW607" i="1"/>
  <c r="AX607" i="1"/>
  <c r="BC607" i="1"/>
  <c r="BD607" i="1"/>
  <c r="BF607" i="1"/>
  <c r="BH607" i="1"/>
  <c r="AD607" i="1" s="1"/>
  <c r="BI607" i="1"/>
  <c r="AE607" i="1" s="1"/>
  <c r="BJ607" i="1"/>
  <c r="K608" i="1"/>
  <c r="L608" i="1"/>
  <c r="AL608" i="1" s="1"/>
  <c r="Z608" i="1"/>
  <c r="AB608" i="1"/>
  <c r="AC608" i="1"/>
  <c r="AF608" i="1"/>
  <c r="AG608" i="1"/>
  <c r="AH608" i="1"/>
  <c r="AJ608" i="1"/>
  <c r="AK608" i="1"/>
  <c r="AO608" i="1"/>
  <c r="AP608" i="1"/>
  <c r="AX608" i="1"/>
  <c r="BD608" i="1"/>
  <c r="BF608" i="1"/>
  <c r="BI608" i="1"/>
  <c r="AE608" i="1" s="1"/>
  <c r="BJ608" i="1"/>
  <c r="J609" i="1"/>
  <c r="K609" i="1"/>
  <c r="L609" i="1"/>
  <c r="Z609" i="1"/>
  <c r="AB609" i="1"/>
  <c r="AC609" i="1"/>
  <c r="AF609" i="1"/>
  <c r="AG609" i="1"/>
  <c r="AH609" i="1"/>
  <c r="AJ609" i="1"/>
  <c r="AK609" i="1"/>
  <c r="AL609" i="1"/>
  <c r="AO609" i="1"/>
  <c r="AP609" i="1"/>
  <c r="AW609" i="1"/>
  <c r="AX609" i="1"/>
  <c r="AV609" i="1" s="1"/>
  <c r="BC609" i="1"/>
  <c r="BD609" i="1"/>
  <c r="BF609" i="1"/>
  <c r="BH609" i="1"/>
  <c r="AD609" i="1" s="1"/>
  <c r="BI609" i="1"/>
  <c r="AE609" i="1" s="1"/>
  <c r="BJ609" i="1"/>
  <c r="K610" i="1"/>
  <c r="L610" i="1"/>
  <c r="AL610" i="1" s="1"/>
  <c r="Z610" i="1"/>
  <c r="AB610" i="1"/>
  <c r="AC610" i="1"/>
  <c r="AF610" i="1"/>
  <c r="AG610" i="1"/>
  <c r="AH610" i="1"/>
  <c r="AJ610" i="1"/>
  <c r="AK610" i="1"/>
  <c r="AO610" i="1"/>
  <c r="AP610" i="1"/>
  <c r="AX610" i="1"/>
  <c r="BD610" i="1"/>
  <c r="BF610" i="1"/>
  <c r="BI610" i="1"/>
  <c r="AE610" i="1" s="1"/>
  <c r="BJ610" i="1"/>
  <c r="K611" i="1"/>
  <c r="L611" i="1"/>
  <c r="Z611" i="1"/>
  <c r="AB611" i="1"/>
  <c r="AC611" i="1"/>
  <c r="AF611" i="1"/>
  <c r="AG611" i="1"/>
  <c r="AH611" i="1"/>
  <c r="AJ611" i="1"/>
  <c r="AK611" i="1"/>
  <c r="AL611" i="1"/>
  <c r="AO611" i="1"/>
  <c r="AP611" i="1"/>
  <c r="AX611" i="1" s="1"/>
  <c r="BD611" i="1"/>
  <c r="BF611" i="1"/>
  <c r="BH611" i="1"/>
  <c r="AD611" i="1" s="1"/>
  <c r="BI611" i="1"/>
  <c r="AE611" i="1" s="1"/>
  <c r="BJ611" i="1"/>
  <c r="L612" i="1"/>
  <c r="Z612" i="1"/>
  <c r="AB612" i="1"/>
  <c r="AC612" i="1"/>
  <c r="AF612" i="1"/>
  <c r="AG612" i="1"/>
  <c r="AH612" i="1"/>
  <c r="AJ612" i="1"/>
  <c r="AK612" i="1"/>
  <c r="AL612" i="1"/>
  <c r="AO612" i="1"/>
  <c r="AP612" i="1"/>
  <c r="BD612" i="1"/>
  <c r="BF612" i="1"/>
  <c r="BI612" i="1"/>
  <c r="AE612" i="1" s="1"/>
  <c r="BJ612" i="1"/>
  <c r="L613" i="1"/>
  <c r="Z613" i="1"/>
  <c r="AB613" i="1"/>
  <c r="AC613" i="1"/>
  <c r="AF613" i="1"/>
  <c r="AG613" i="1"/>
  <c r="AH613" i="1"/>
  <c r="AJ613" i="1"/>
  <c r="AK613" i="1"/>
  <c r="AL613" i="1"/>
  <c r="AO613" i="1"/>
  <c r="AP613" i="1"/>
  <c r="BD613" i="1"/>
  <c r="BF613" i="1"/>
  <c r="BH613" i="1"/>
  <c r="AD613" i="1" s="1"/>
  <c r="BI613" i="1"/>
  <c r="AE613" i="1" s="1"/>
  <c r="BJ613" i="1"/>
  <c r="L614" i="1"/>
  <c r="Z614" i="1"/>
  <c r="AB614" i="1"/>
  <c r="AC614" i="1"/>
  <c r="AF614" i="1"/>
  <c r="AG614" i="1"/>
  <c r="AH614" i="1"/>
  <c r="AJ614" i="1"/>
  <c r="AK614" i="1"/>
  <c r="AL614" i="1"/>
  <c r="AO614" i="1"/>
  <c r="AP614" i="1"/>
  <c r="BD614" i="1"/>
  <c r="BF614" i="1"/>
  <c r="BJ614" i="1"/>
  <c r="K615" i="1"/>
  <c r="L615" i="1"/>
  <c r="Z615" i="1"/>
  <c r="AB615" i="1"/>
  <c r="AC615" i="1"/>
  <c r="AF615" i="1"/>
  <c r="AG615" i="1"/>
  <c r="AH615" i="1"/>
  <c r="AJ615" i="1"/>
  <c r="AK615" i="1"/>
  <c r="AL615" i="1"/>
  <c r="AO615" i="1"/>
  <c r="AP615" i="1"/>
  <c r="AX615" i="1"/>
  <c r="BD615" i="1"/>
  <c r="BF615" i="1"/>
  <c r="BH615" i="1"/>
  <c r="AD615" i="1" s="1"/>
  <c r="BI615" i="1"/>
  <c r="AE615" i="1" s="1"/>
  <c r="BJ615" i="1"/>
  <c r="J616" i="1"/>
  <c r="K616" i="1"/>
  <c r="L616" i="1"/>
  <c r="Z616" i="1"/>
  <c r="AB616" i="1"/>
  <c r="AC616" i="1"/>
  <c r="AF616" i="1"/>
  <c r="AG616" i="1"/>
  <c r="AH616" i="1"/>
  <c r="AJ616" i="1"/>
  <c r="AK616" i="1"/>
  <c r="AL616" i="1"/>
  <c r="AO616" i="1"/>
  <c r="AP616" i="1"/>
  <c r="AW616" i="1"/>
  <c r="AV616" i="1" s="1"/>
  <c r="AX616" i="1"/>
  <c r="BC616" i="1"/>
  <c r="BD616" i="1"/>
  <c r="BF616" i="1"/>
  <c r="BH616" i="1"/>
  <c r="AD616" i="1" s="1"/>
  <c r="BI616" i="1"/>
  <c r="AE616" i="1" s="1"/>
  <c r="BJ616" i="1"/>
  <c r="J617" i="1"/>
  <c r="K617" i="1"/>
  <c r="L617" i="1"/>
  <c r="AL617" i="1" s="1"/>
  <c r="Z617" i="1"/>
  <c r="AB617" i="1"/>
  <c r="AC617" i="1"/>
  <c r="AF617" i="1"/>
  <c r="AG617" i="1"/>
  <c r="AH617" i="1"/>
  <c r="AJ617" i="1"/>
  <c r="AK617" i="1"/>
  <c r="AO617" i="1"/>
  <c r="AP617" i="1"/>
  <c r="AW617" i="1"/>
  <c r="AV617" i="1" s="1"/>
  <c r="AX617" i="1"/>
  <c r="BC617" i="1"/>
  <c r="BD617" i="1"/>
  <c r="BF617" i="1"/>
  <c r="BH617" i="1"/>
  <c r="AD617" i="1" s="1"/>
  <c r="BI617" i="1"/>
  <c r="AE617" i="1" s="1"/>
  <c r="BJ617" i="1"/>
  <c r="J618" i="1"/>
  <c r="K618" i="1"/>
  <c r="L618" i="1"/>
  <c r="AL618" i="1" s="1"/>
  <c r="Z618" i="1"/>
  <c r="AB618" i="1"/>
  <c r="AC618" i="1"/>
  <c r="AF618" i="1"/>
  <c r="AG618" i="1"/>
  <c r="AH618" i="1"/>
  <c r="AJ618" i="1"/>
  <c r="AK618" i="1"/>
  <c r="AO618" i="1"/>
  <c r="AP618" i="1"/>
  <c r="AW618" i="1"/>
  <c r="AX618" i="1"/>
  <c r="BC618" i="1"/>
  <c r="BD618" i="1"/>
  <c r="BF618" i="1"/>
  <c r="BH618" i="1"/>
  <c r="AD618" i="1" s="1"/>
  <c r="BI618" i="1"/>
  <c r="AE618" i="1" s="1"/>
  <c r="BJ618" i="1"/>
  <c r="J619" i="1"/>
  <c r="K619" i="1"/>
  <c r="L619" i="1"/>
  <c r="AL619" i="1" s="1"/>
  <c r="Z619" i="1"/>
  <c r="AB619" i="1"/>
  <c r="AC619" i="1"/>
  <c r="AF619" i="1"/>
  <c r="AG619" i="1"/>
  <c r="AH619" i="1"/>
  <c r="AJ619" i="1"/>
  <c r="AK619" i="1"/>
  <c r="AO619" i="1"/>
  <c r="AP619" i="1"/>
  <c r="AW619" i="1"/>
  <c r="AX619" i="1"/>
  <c r="AV619" i="1" s="1"/>
  <c r="BD619" i="1"/>
  <c r="BF619" i="1"/>
  <c r="BH619" i="1"/>
  <c r="AD619" i="1" s="1"/>
  <c r="BI619" i="1"/>
  <c r="AE619" i="1" s="1"/>
  <c r="BJ619" i="1"/>
  <c r="J620" i="1"/>
  <c r="L620" i="1"/>
  <c r="AB620" i="1"/>
  <c r="AC620" i="1"/>
  <c r="AD620" i="1"/>
  <c r="AE620" i="1"/>
  <c r="AF620" i="1"/>
  <c r="AG620" i="1"/>
  <c r="AH620" i="1"/>
  <c r="AJ620" i="1"/>
  <c r="AK620" i="1"/>
  <c r="AL620" i="1"/>
  <c r="AO620" i="1"/>
  <c r="AP620" i="1"/>
  <c r="AW620" i="1"/>
  <c r="BD620" i="1"/>
  <c r="BF620" i="1"/>
  <c r="BH620" i="1"/>
  <c r="BJ620" i="1"/>
  <c r="Z620" i="1" s="1"/>
  <c r="J622" i="1"/>
  <c r="K622" i="1"/>
  <c r="L622" i="1"/>
  <c r="Z622" i="1"/>
  <c r="AB622" i="1"/>
  <c r="AC622" i="1"/>
  <c r="AF622" i="1"/>
  <c r="AG622" i="1"/>
  <c r="AH622" i="1"/>
  <c r="AJ622" i="1"/>
  <c r="AK622" i="1"/>
  <c r="AO622" i="1"/>
  <c r="AP622" i="1"/>
  <c r="AW622" i="1"/>
  <c r="AX622" i="1"/>
  <c r="BD622" i="1"/>
  <c r="BF622" i="1"/>
  <c r="BH622" i="1"/>
  <c r="AD622" i="1" s="1"/>
  <c r="BI622" i="1"/>
  <c r="AE622" i="1" s="1"/>
  <c r="BJ622" i="1"/>
  <c r="J623" i="1"/>
  <c r="L623" i="1"/>
  <c r="Z623" i="1"/>
  <c r="AB623" i="1"/>
  <c r="AC623" i="1"/>
  <c r="AF623" i="1"/>
  <c r="AG623" i="1"/>
  <c r="AH623" i="1"/>
  <c r="AJ623" i="1"/>
  <c r="AS621" i="1" s="1"/>
  <c r="AK623" i="1"/>
  <c r="AL623" i="1"/>
  <c r="AO623" i="1"/>
  <c r="AP623" i="1"/>
  <c r="AW623" i="1"/>
  <c r="BD623" i="1"/>
  <c r="BF623" i="1"/>
  <c r="BH623" i="1"/>
  <c r="AD623" i="1" s="1"/>
  <c r="BJ623" i="1"/>
  <c r="J624" i="1"/>
  <c r="L624" i="1"/>
  <c r="Z624" i="1"/>
  <c r="AB624" i="1"/>
  <c r="AC624" i="1"/>
  <c r="AF624" i="1"/>
  <c r="AG624" i="1"/>
  <c r="AH624" i="1"/>
  <c r="AJ624" i="1"/>
  <c r="AK624" i="1"/>
  <c r="AT621" i="1" s="1"/>
  <c r="AL624" i="1"/>
  <c r="AO624" i="1"/>
  <c r="AW624" i="1" s="1"/>
  <c r="AP624" i="1"/>
  <c r="BD624" i="1"/>
  <c r="BF624" i="1"/>
  <c r="BH624" i="1"/>
  <c r="AD624" i="1" s="1"/>
  <c r="BJ624" i="1"/>
  <c r="L625" i="1"/>
  <c r="Z625" i="1"/>
  <c r="AB625" i="1"/>
  <c r="AC625" i="1"/>
  <c r="AF625" i="1"/>
  <c r="AG625" i="1"/>
  <c r="AH625" i="1"/>
  <c r="AJ625" i="1"/>
  <c r="AK625" i="1"/>
  <c r="AL625" i="1"/>
  <c r="AO625" i="1"/>
  <c r="AP625" i="1"/>
  <c r="BD625" i="1"/>
  <c r="BF625" i="1"/>
  <c r="BH625" i="1"/>
  <c r="AD625" i="1" s="1"/>
  <c r="BI625" i="1"/>
  <c r="AE625" i="1" s="1"/>
  <c r="BJ625" i="1"/>
  <c r="L626" i="1"/>
  <c r="Z626" i="1"/>
  <c r="AB626" i="1"/>
  <c r="AC626" i="1"/>
  <c r="AD626" i="1"/>
  <c r="AF626" i="1"/>
  <c r="AG626" i="1"/>
  <c r="AH626" i="1"/>
  <c r="AJ626" i="1"/>
  <c r="AK626" i="1"/>
  <c r="AL626" i="1"/>
  <c r="AO626" i="1"/>
  <c r="AP626" i="1"/>
  <c r="K626" i="1" s="1"/>
  <c r="AX626" i="1"/>
  <c r="BD626" i="1"/>
  <c r="BF626" i="1"/>
  <c r="BH626" i="1"/>
  <c r="BI626" i="1"/>
  <c r="AE626" i="1" s="1"/>
  <c r="BJ626" i="1"/>
  <c r="L627" i="1"/>
  <c r="AS627" i="1"/>
  <c r="AU627" i="1"/>
  <c r="L628" i="1"/>
  <c r="Z628" i="1"/>
  <c r="AB628" i="1"/>
  <c r="AC628" i="1"/>
  <c r="AF628" i="1"/>
  <c r="AG628" i="1"/>
  <c r="AH628" i="1"/>
  <c r="AJ628" i="1"/>
  <c r="AK628" i="1"/>
  <c r="AL628" i="1"/>
  <c r="AO628" i="1"/>
  <c r="AP628" i="1"/>
  <c r="BI628" i="1" s="1"/>
  <c r="AE628" i="1" s="1"/>
  <c r="BD628" i="1"/>
  <c r="BF628" i="1"/>
  <c r="BH628" i="1"/>
  <c r="AD628" i="1" s="1"/>
  <c r="BJ628" i="1"/>
  <c r="L629" i="1"/>
  <c r="Z629" i="1"/>
  <c r="AB629" i="1"/>
  <c r="AC629" i="1"/>
  <c r="AD629" i="1"/>
  <c r="AE629" i="1"/>
  <c r="AF629" i="1"/>
  <c r="AG629" i="1"/>
  <c r="AH629" i="1"/>
  <c r="AJ629" i="1"/>
  <c r="AK629" i="1"/>
  <c r="AT627" i="1" s="1"/>
  <c r="AL629" i="1"/>
  <c r="AO629" i="1"/>
  <c r="AP629" i="1"/>
  <c r="K629" i="1" s="1"/>
  <c r="AX629" i="1"/>
  <c r="BD629" i="1"/>
  <c r="BF629" i="1"/>
  <c r="BI629" i="1"/>
  <c r="BJ629" i="1"/>
  <c r="L631" i="1"/>
  <c r="Z631" i="1"/>
  <c r="AB631" i="1"/>
  <c r="AC631" i="1"/>
  <c r="AF631" i="1"/>
  <c r="AG631" i="1"/>
  <c r="AH631" i="1"/>
  <c r="AJ631" i="1"/>
  <c r="AK631" i="1"/>
  <c r="AL631" i="1"/>
  <c r="AU630" i="1" s="1"/>
  <c r="AO631" i="1"/>
  <c r="AP631" i="1"/>
  <c r="BD631" i="1"/>
  <c r="BF631" i="1"/>
  <c r="BJ631" i="1"/>
  <c r="L632" i="1"/>
  <c r="Z632" i="1"/>
  <c r="AB632" i="1"/>
  <c r="AC632" i="1"/>
  <c r="AD632" i="1"/>
  <c r="AF632" i="1"/>
  <c r="AG632" i="1"/>
  <c r="AH632" i="1"/>
  <c r="AJ632" i="1"/>
  <c r="AK632" i="1"/>
  <c r="AL632" i="1"/>
  <c r="AO632" i="1"/>
  <c r="AP632" i="1"/>
  <c r="K632" i="1" s="1"/>
  <c r="AX632" i="1"/>
  <c r="BD632" i="1"/>
  <c r="BF632" i="1"/>
  <c r="BH632" i="1"/>
  <c r="BI632" i="1"/>
  <c r="AE632" i="1" s="1"/>
  <c r="BJ632" i="1"/>
  <c r="K633" i="1"/>
  <c r="L633" i="1"/>
  <c r="L630" i="1" s="1"/>
  <c r="Z633" i="1"/>
  <c r="AB633" i="1"/>
  <c r="AC633" i="1"/>
  <c r="AF633" i="1"/>
  <c r="AG633" i="1"/>
  <c r="AH633" i="1"/>
  <c r="AJ633" i="1"/>
  <c r="AK633" i="1"/>
  <c r="AT630" i="1" s="1"/>
  <c r="AL633" i="1"/>
  <c r="AO633" i="1"/>
  <c r="J633" i="1" s="1"/>
  <c r="AP633" i="1"/>
  <c r="AW633" i="1"/>
  <c r="AV633" i="1" s="1"/>
  <c r="AX633" i="1"/>
  <c r="BC633" i="1"/>
  <c r="BD633" i="1"/>
  <c r="BF633" i="1"/>
  <c r="BH633" i="1"/>
  <c r="AD633" i="1" s="1"/>
  <c r="BI633" i="1"/>
  <c r="AE633" i="1" s="1"/>
  <c r="BJ633" i="1"/>
  <c r="K634" i="1"/>
  <c r="L634" i="1"/>
  <c r="AL634" i="1" s="1"/>
  <c r="Z634" i="1"/>
  <c r="AB634" i="1"/>
  <c r="AC634" i="1"/>
  <c r="AF634" i="1"/>
  <c r="AG634" i="1"/>
  <c r="AH634" i="1"/>
  <c r="AJ634" i="1"/>
  <c r="AS630" i="1" s="1"/>
  <c r="AK634" i="1"/>
  <c r="AO634" i="1"/>
  <c r="J634" i="1" s="1"/>
  <c r="AP634" i="1"/>
  <c r="AW634" i="1"/>
  <c r="AV634" i="1" s="1"/>
  <c r="AX634" i="1"/>
  <c r="BC634" i="1"/>
  <c r="BD634" i="1"/>
  <c r="BF634" i="1"/>
  <c r="BH634" i="1"/>
  <c r="AD634" i="1" s="1"/>
  <c r="BI634" i="1"/>
  <c r="AE634" i="1" s="1"/>
  <c r="BJ634" i="1"/>
  <c r="J635" i="1"/>
  <c r="K635" i="1"/>
  <c r="L635" i="1"/>
  <c r="AL635" i="1" s="1"/>
  <c r="Z635" i="1"/>
  <c r="AB635" i="1"/>
  <c r="AC635" i="1"/>
  <c r="AF635" i="1"/>
  <c r="AG635" i="1"/>
  <c r="AH635" i="1"/>
  <c r="AJ635" i="1"/>
  <c r="AK635" i="1"/>
  <c r="AO635" i="1"/>
  <c r="AP635" i="1"/>
  <c r="AW635" i="1"/>
  <c r="AX635" i="1"/>
  <c r="BC635" i="1" s="1"/>
  <c r="BD635" i="1"/>
  <c r="BF635" i="1"/>
  <c r="BH635" i="1"/>
  <c r="AD635" i="1" s="1"/>
  <c r="BI635" i="1"/>
  <c r="AE635" i="1" s="1"/>
  <c r="BJ635" i="1"/>
  <c r="J636" i="1"/>
  <c r="K636" i="1"/>
  <c r="L636" i="1"/>
  <c r="AL636" i="1" s="1"/>
  <c r="Z636" i="1"/>
  <c r="AB636" i="1"/>
  <c r="AC636" i="1"/>
  <c r="AF636" i="1"/>
  <c r="AG636" i="1"/>
  <c r="AH636" i="1"/>
  <c r="AJ636" i="1"/>
  <c r="AK636" i="1"/>
  <c r="AO636" i="1"/>
  <c r="AP636" i="1"/>
  <c r="AW636" i="1"/>
  <c r="AX636" i="1"/>
  <c r="BD636" i="1"/>
  <c r="BF636" i="1"/>
  <c r="BH636" i="1"/>
  <c r="AD636" i="1" s="1"/>
  <c r="BI636" i="1"/>
  <c r="AE636" i="1" s="1"/>
  <c r="BJ636" i="1"/>
  <c r="J638" i="1"/>
  <c r="L638" i="1"/>
  <c r="Z638" i="1"/>
  <c r="AB638" i="1"/>
  <c r="AC638" i="1"/>
  <c r="AF638" i="1"/>
  <c r="AG638" i="1"/>
  <c r="AH638" i="1"/>
  <c r="AJ638" i="1"/>
  <c r="AK638" i="1"/>
  <c r="AL638" i="1"/>
  <c r="AO638" i="1"/>
  <c r="AP638" i="1"/>
  <c r="AW638" i="1"/>
  <c r="BD638" i="1"/>
  <c r="BF638" i="1"/>
  <c r="BH638" i="1"/>
  <c r="AD638" i="1" s="1"/>
  <c r="BJ638" i="1"/>
  <c r="J639" i="1"/>
  <c r="L639" i="1"/>
  <c r="Z639" i="1"/>
  <c r="AB639" i="1"/>
  <c r="AC639" i="1"/>
  <c r="AF639" i="1"/>
  <c r="AG639" i="1"/>
  <c r="AH639" i="1"/>
  <c r="AJ639" i="1"/>
  <c r="AK639" i="1"/>
  <c r="AL639" i="1"/>
  <c r="AO639" i="1"/>
  <c r="AW639" i="1" s="1"/>
  <c r="AP639" i="1"/>
  <c r="BD639" i="1"/>
  <c r="BF639" i="1"/>
  <c r="BJ639" i="1"/>
  <c r="L640" i="1"/>
  <c r="Z640" i="1"/>
  <c r="AB640" i="1"/>
  <c r="AC640" i="1"/>
  <c r="AF640" i="1"/>
  <c r="AG640" i="1"/>
  <c r="AH640" i="1"/>
  <c r="AJ640" i="1"/>
  <c r="AK640" i="1"/>
  <c r="AL640" i="1"/>
  <c r="AO640" i="1"/>
  <c r="AP640" i="1"/>
  <c r="BD640" i="1"/>
  <c r="BF640" i="1"/>
  <c r="BH640" i="1"/>
  <c r="AD640" i="1" s="1"/>
  <c r="BI640" i="1"/>
  <c r="AE640" i="1" s="1"/>
  <c r="BJ640" i="1"/>
  <c r="L641" i="1"/>
  <c r="Z641" i="1"/>
  <c r="AB641" i="1"/>
  <c r="AC641" i="1"/>
  <c r="AD641" i="1"/>
  <c r="AF641" i="1"/>
  <c r="AG641" i="1"/>
  <c r="AH641" i="1"/>
  <c r="AJ641" i="1"/>
  <c r="AK641" i="1"/>
  <c r="AL641" i="1"/>
  <c r="AO641" i="1"/>
  <c r="AP641" i="1"/>
  <c r="K641" i="1" s="1"/>
  <c r="AX641" i="1"/>
  <c r="BD641" i="1"/>
  <c r="BF641" i="1"/>
  <c r="BH641" i="1"/>
  <c r="BI641" i="1"/>
  <c r="AE641" i="1" s="1"/>
  <c r="BJ641" i="1"/>
  <c r="L643" i="1"/>
  <c r="Z643" i="1"/>
  <c r="AC643" i="1"/>
  <c r="AD643" i="1"/>
  <c r="AE643" i="1"/>
  <c r="AF643" i="1"/>
  <c r="AG643" i="1"/>
  <c r="AH643" i="1"/>
  <c r="AJ643" i="1"/>
  <c r="AK643" i="1"/>
  <c r="AL643" i="1"/>
  <c r="AO643" i="1"/>
  <c r="AP643" i="1"/>
  <c r="BD643" i="1"/>
  <c r="BF643" i="1"/>
  <c r="BH643" i="1"/>
  <c r="AB643" i="1" s="1"/>
  <c r="BI643" i="1"/>
  <c r="BJ643" i="1"/>
  <c r="L644" i="1"/>
  <c r="Z644" i="1"/>
  <c r="AC644" i="1"/>
  <c r="AD644" i="1"/>
  <c r="AE644" i="1"/>
  <c r="AF644" i="1"/>
  <c r="AG644" i="1"/>
  <c r="AH644" i="1"/>
  <c r="AJ644" i="1"/>
  <c r="AK644" i="1"/>
  <c r="AL644" i="1"/>
  <c r="AO644" i="1"/>
  <c r="AP644" i="1"/>
  <c r="K644" i="1" s="1"/>
  <c r="AX644" i="1"/>
  <c r="BD644" i="1"/>
  <c r="BF644" i="1"/>
  <c r="BI644" i="1"/>
  <c r="BJ644" i="1"/>
  <c r="L645" i="1"/>
  <c r="Z645" i="1"/>
  <c r="AB645" i="1"/>
  <c r="AC645" i="1"/>
  <c r="AD645" i="1"/>
  <c r="AE645" i="1"/>
  <c r="AF645" i="1"/>
  <c r="AG645" i="1"/>
  <c r="AH645" i="1"/>
  <c r="AJ645" i="1"/>
  <c r="AK645" i="1"/>
  <c r="AL645" i="1"/>
  <c r="AO645" i="1"/>
  <c r="J645" i="1" s="1"/>
  <c r="AP645" i="1"/>
  <c r="K645" i="1" s="1"/>
  <c r="AW645" i="1"/>
  <c r="BD645" i="1"/>
  <c r="BF645" i="1"/>
  <c r="BH645" i="1"/>
  <c r="BI645" i="1"/>
  <c r="BJ645" i="1"/>
  <c r="L646" i="1"/>
  <c r="AL646" i="1" s="1"/>
  <c r="Z646" i="1"/>
  <c r="AB646" i="1"/>
  <c r="AD646" i="1"/>
  <c r="AE646" i="1"/>
  <c r="AF646" i="1"/>
  <c r="AG646" i="1"/>
  <c r="AH646" i="1"/>
  <c r="AJ646" i="1"/>
  <c r="AK646" i="1"/>
  <c r="AO646" i="1"/>
  <c r="J646" i="1" s="1"/>
  <c r="AP646" i="1"/>
  <c r="K646" i="1" s="1"/>
  <c r="AW646" i="1"/>
  <c r="AX646" i="1"/>
  <c r="BC646" i="1" s="1"/>
  <c r="BD646" i="1"/>
  <c r="BF646" i="1"/>
  <c r="BH646" i="1"/>
  <c r="BI646" i="1"/>
  <c r="AC646" i="1" s="1"/>
  <c r="BJ646" i="1"/>
  <c r="K647" i="1"/>
  <c r="L647" i="1"/>
  <c r="AL647" i="1" s="1"/>
  <c r="Z647" i="1"/>
  <c r="AD647" i="1"/>
  <c r="AE647" i="1"/>
  <c r="AF647" i="1"/>
  <c r="AG647" i="1"/>
  <c r="AH647" i="1"/>
  <c r="AJ647" i="1"/>
  <c r="AK647" i="1"/>
  <c r="AO647" i="1"/>
  <c r="J647" i="1" s="1"/>
  <c r="AP647" i="1"/>
  <c r="AW647" i="1"/>
  <c r="AX647" i="1"/>
  <c r="BC647" i="1"/>
  <c r="BD647" i="1"/>
  <c r="BF647" i="1"/>
  <c r="BH647" i="1"/>
  <c r="AB647" i="1" s="1"/>
  <c r="BI647" i="1"/>
  <c r="AC647" i="1" s="1"/>
  <c r="BJ647" i="1"/>
  <c r="J648" i="1"/>
  <c r="K648" i="1"/>
  <c r="L648" i="1"/>
  <c r="AL648" i="1" s="1"/>
  <c r="Z648" i="1"/>
  <c r="AD648" i="1"/>
  <c r="AE648" i="1"/>
  <c r="AF648" i="1"/>
  <c r="AG648" i="1"/>
  <c r="AH648" i="1"/>
  <c r="AJ648" i="1"/>
  <c r="AK648" i="1"/>
  <c r="AO648" i="1"/>
  <c r="AP648" i="1"/>
  <c r="AW648" i="1"/>
  <c r="AX648" i="1"/>
  <c r="AV648" i="1" s="1"/>
  <c r="BD648" i="1"/>
  <c r="BF648" i="1"/>
  <c r="BH648" i="1"/>
  <c r="AB648" i="1" s="1"/>
  <c r="BI648" i="1"/>
  <c r="AC648" i="1" s="1"/>
  <c r="BJ648" i="1"/>
  <c r="J649" i="1"/>
  <c r="K649" i="1"/>
  <c r="L649" i="1"/>
  <c r="Z649" i="1"/>
  <c r="AD649" i="1"/>
  <c r="AE649" i="1"/>
  <c r="AF649" i="1"/>
  <c r="AG649" i="1"/>
  <c r="AH649" i="1"/>
  <c r="AJ649" i="1"/>
  <c r="AK649" i="1"/>
  <c r="AL649" i="1"/>
  <c r="AO649" i="1"/>
  <c r="AP649" i="1"/>
  <c r="AX649" i="1" s="1"/>
  <c r="AV649" i="1"/>
  <c r="AW649" i="1"/>
  <c r="BD649" i="1"/>
  <c r="BF649" i="1"/>
  <c r="BH649" i="1"/>
  <c r="AB649" i="1" s="1"/>
  <c r="BJ649" i="1"/>
  <c r="L650" i="1"/>
  <c r="Z650" i="1"/>
  <c r="AD650" i="1"/>
  <c r="AE650" i="1"/>
  <c r="AF650" i="1"/>
  <c r="AG650" i="1"/>
  <c r="AH650" i="1"/>
  <c r="AJ650" i="1"/>
  <c r="AK650" i="1"/>
  <c r="AL650" i="1"/>
  <c r="AO650" i="1"/>
  <c r="AW650" i="1" s="1"/>
  <c r="AP650" i="1"/>
  <c r="BD650" i="1"/>
  <c r="BF650" i="1"/>
  <c r="BI650" i="1"/>
  <c r="AC650" i="1" s="1"/>
  <c r="BJ650" i="1"/>
  <c r="L651" i="1"/>
  <c r="Z651" i="1"/>
  <c r="AC651" i="1"/>
  <c r="AD651" i="1"/>
  <c r="AE651" i="1"/>
  <c r="AF651" i="1"/>
  <c r="AG651" i="1"/>
  <c r="AH651" i="1"/>
  <c r="AJ651" i="1"/>
  <c r="AK651" i="1"/>
  <c r="AL651" i="1"/>
  <c r="AO651" i="1"/>
  <c r="BH651" i="1" s="1"/>
  <c r="AB651" i="1" s="1"/>
  <c r="AP651" i="1"/>
  <c r="BD651" i="1"/>
  <c r="BF651" i="1"/>
  <c r="BI651" i="1"/>
  <c r="BJ651" i="1"/>
  <c r="L652" i="1"/>
  <c r="Z652" i="1"/>
  <c r="AC652" i="1"/>
  <c r="AD652" i="1"/>
  <c r="AE652" i="1"/>
  <c r="AF652" i="1"/>
  <c r="AG652" i="1"/>
  <c r="AH652" i="1"/>
  <c r="AJ652" i="1"/>
  <c r="AK652" i="1"/>
  <c r="AL652" i="1"/>
  <c r="AO652" i="1"/>
  <c r="AP652" i="1"/>
  <c r="K652" i="1" s="1"/>
  <c r="BD652" i="1"/>
  <c r="BF652" i="1"/>
  <c r="BH652" i="1"/>
  <c r="AB652" i="1" s="1"/>
  <c r="BI652" i="1"/>
  <c r="BJ652" i="1"/>
  <c r="L653" i="1"/>
  <c r="Z653" i="1"/>
  <c r="AB653" i="1"/>
  <c r="AC653" i="1"/>
  <c r="AD653" i="1"/>
  <c r="AE653" i="1"/>
  <c r="AF653" i="1"/>
  <c r="AG653" i="1"/>
  <c r="AH653" i="1"/>
  <c r="AJ653" i="1"/>
  <c r="AK653" i="1"/>
  <c r="AL653" i="1"/>
  <c r="AO653" i="1"/>
  <c r="J653" i="1" s="1"/>
  <c r="AP653" i="1"/>
  <c r="K653" i="1" s="1"/>
  <c r="AW653" i="1"/>
  <c r="AV653" i="1" s="1"/>
  <c r="AX653" i="1"/>
  <c r="BC653" i="1"/>
  <c r="BD653" i="1"/>
  <c r="BF653" i="1"/>
  <c r="BH653" i="1"/>
  <c r="BI653" i="1"/>
  <c r="BJ653" i="1"/>
  <c r="L654" i="1"/>
  <c r="AL654" i="1" s="1"/>
  <c r="Z654" i="1"/>
  <c r="AB654" i="1"/>
  <c r="AD654" i="1"/>
  <c r="AE654" i="1"/>
  <c r="AF654" i="1"/>
  <c r="AG654" i="1"/>
  <c r="AH654" i="1"/>
  <c r="AJ654" i="1"/>
  <c r="AK654" i="1"/>
  <c r="AO654" i="1"/>
  <c r="J654" i="1" s="1"/>
  <c r="AP654" i="1"/>
  <c r="K654" i="1" s="1"/>
  <c r="AW654" i="1"/>
  <c r="AX654" i="1"/>
  <c r="BC654" i="1" s="1"/>
  <c r="BD654" i="1"/>
  <c r="BF654" i="1"/>
  <c r="BH654" i="1"/>
  <c r="BI654" i="1"/>
  <c r="AC654" i="1" s="1"/>
  <c r="BJ654" i="1"/>
  <c r="K655" i="1"/>
  <c r="L655" i="1"/>
  <c r="AL655" i="1" s="1"/>
  <c r="Z655" i="1"/>
  <c r="AD655" i="1"/>
  <c r="AE655" i="1"/>
  <c r="AF655" i="1"/>
  <c r="AG655" i="1"/>
  <c r="AH655" i="1"/>
  <c r="AJ655" i="1"/>
  <c r="AK655" i="1"/>
  <c r="AO655" i="1"/>
  <c r="J655" i="1" s="1"/>
  <c r="AP655" i="1"/>
  <c r="AW655" i="1"/>
  <c r="AV655" i="1" s="1"/>
  <c r="AX655" i="1"/>
  <c r="BC655" i="1"/>
  <c r="BD655" i="1"/>
  <c r="BF655" i="1"/>
  <c r="BH655" i="1"/>
  <c r="AB655" i="1" s="1"/>
  <c r="BI655" i="1"/>
  <c r="AC655" i="1" s="1"/>
  <c r="BJ655" i="1"/>
  <c r="J656" i="1"/>
  <c r="K656" i="1"/>
  <c r="L656" i="1"/>
  <c r="AL656" i="1" s="1"/>
  <c r="Z656" i="1"/>
  <c r="AD656" i="1"/>
  <c r="AE656" i="1"/>
  <c r="AF656" i="1"/>
  <c r="AG656" i="1"/>
  <c r="AH656" i="1"/>
  <c r="AJ656" i="1"/>
  <c r="AK656" i="1"/>
  <c r="AO656" i="1"/>
  <c r="AP656" i="1"/>
  <c r="AW656" i="1"/>
  <c r="AX656" i="1"/>
  <c r="AV656" i="1" s="1"/>
  <c r="BD656" i="1"/>
  <c r="BF656" i="1"/>
  <c r="BH656" i="1"/>
  <c r="AB656" i="1" s="1"/>
  <c r="BI656" i="1"/>
  <c r="AC656" i="1" s="1"/>
  <c r="BJ656" i="1"/>
  <c r="J657" i="1"/>
  <c r="K657" i="1"/>
  <c r="L657" i="1"/>
  <c r="Z657" i="1"/>
  <c r="AD657" i="1"/>
  <c r="AE657" i="1"/>
  <c r="AF657" i="1"/>
  <c r="AG657" i="1"/>
  <c r="AH657" i="1"/>
  <c r="AJ657" i="1"/>
  <c r="AK657" i="1"/>
  <c r="AL657" i="1"/>
  <c r="AO657" i="1"/>
  <c r="AP657" i="1"/>
  <c r="AX657" i="1" s="1"/>
  <c r="AV657" i="1"/>
  <c r="AW657" i="1"/>
  <c r="BD657" i="1"/>
  <c r="BF657" i="1"/>
  <c r="BH657" i="1"/>
  <c r="AB657" i="1" s="1"/>
  <c r="BJ657" i="1"/>
  <c r="L658" i="1"/>
  <c r="Z658" i="1"/>
  <c r="AD658" i="1"/>
  <c r="AE658" i="1"/>
  <c r="AF658" i="1"/>
  <c r="AG658" i="1"/>
  <c r="AH658" i="1"/>
  <c r="AJ658" i="1"/>
  <c r="AK658" i="1"/>
  <c r="AL658" i="1"/>
  <c r="AO658" i="1"/>
  <c r="AW658" i="1" s="1"/>
  <c r="AP658" i="1"/>
  <c r="BD658" i="1"/>
  <c r="BF658" i="1"/>
  <c r="BI658" i="1"/>
  <c r="AC658" i="1" s="1"/>
  <c r="BJ658" i="1"/>
  <c r="L659" i="1"/>
  <c r="Z659" i="1"/>
  <c r="AC659" i="1"/>
  <c r="AD659" i="1"/>
  <c r="AE659" i="1"/>
  <c r="AF659" i="1"/>
  <c r="AG659" i="1"/>
  <c r="AH659" i="1"/>
  <c r="AJ659" i="1"/>
  <c r="AK659" i="1"/>
  <c r="AL659" i="1"/>
  <c r="AO659" i="1"/>
  <c r="BH659" i="1" s="1"/>
  <c r="AB659" i="1" s="1"/>
  <c r="AP659" i="1"/>
  <c r="BD659" i="1"/>
  <c r="BF659" i="1"/>
  <c r="BI659" i="1"/>
  <c r="BJ659" i="1"/>
  <c r="L660" i="1"/>
  <c r="Z660" i="1"/>
  <c r="AC660" i="1"/>
  <c r="AD660" i="1"/>
  <c r="AE660" i="1"/>
  <c r="AF660" i="1"/>
  <c r="AG660" i="1"/>
  <c r="AH660" i="1"/>
  <c r="AJ660" i="1"/>
  <c r="AK660" i="1"/>
  <c r="AL660" i="1"/>
  <c r="AO660" i="1"/>
  <c r="AP660" i="1"/>
  <c r="K660" i="1" s="1"/>
  <c r="BD660" i="1"/>
  <c r="BF660" i="1"/>
  <c r="BI660" i="1"/>
  <c r="BJ660" i="1"/>
  <c r="L661" i="1"/>
  <c r="Z661" i="1"/>
  <c r="AB661" i="1"/>
  <c r="AC661" i="1"/>
  <c r="AD661" i="1"/>
  <c r="AE661" i="1"/>
  <c r="AF661" i="1"/>
  <c r="AG661" i="1"/>
  <c r="AH661" i="1"/>
  <c r="AJ661" i="1"/>
  <c r="AK661" i="1"/>
  <c r="AL661" i="1"/>
  <c r="AO661" i="1"/>
  <c r="J661" i="1" s="1"/>
  <c r="AP661" i="1"/>
  <c r="K661" i="1" s="1"/>
  <c r="AW661" i="1"/>
  <c r="AV661" i="1" s="1"/>
  <c r="AX661" i="1"/>
  <c r="BC661" i="1"/>
  <c r="BD661" i="1"/>
  <c r="BF661" i="1"/>
  <c r="BH661" i="1"/>
  <c r="BI661" i="1"/>
  <c r="BJ661" i="1"/>
  <c r="L662" i="1"/>
  <c r="AL662" i="1" s="1"/>
  <c r="Z662" i="1"/>
  <c r="AB662" i="1"/>
  <c r="AD662" i="1"/>
  <c r="AE662" i="1"/>
  <c r="AF662" i="1"/>
  <c r="AG662" i="1"/>
  <c r="AH662" i="1"/>
  <c r="AJ662" i="1"/>
  <c r="AK662" i="1"/>
  <c r="AO662" i="1"/>
  <c r="J662" i="1" s="1"/>
  <c r="AP662" i="1"/>
  <c r="K662" i="1" s="1"/>
  <c r="AW662" i="1"/>
  <c r="AX662" i="1"/>
  <c r="BC662" i="1" s="1"/>
  <c r="BD662" i="1"/>
  <c r="BF662" i="1"/>
  <c r="BH662" i="1"/>
  <c r="BI662" i="1"/>
  <c r="AC662" i="1" s="1"/>
  <c r="BJ662" i="1"/>
  <c r="K663" i="1"/>
  <c r="L663" i="1"/>
  <c r="AL663" i="1" s="1"/>
  <c r="Z663" i="1"/>
  <c r="AD663" i="1"/>
  <c r="AE663" i="1"/>
  <c r="AF663" i="1"/>
  <c r="AG663" i="1"/>
  <c r="AH663" i="1"/>
  <c r="AJ663" i="1"/>
  <c r="AK663" i="1"/>
  <c r="AO663" i="1"/>
  <c r="J663" i="1" s="1"/>
  <c r="AP663" i="1"/>
  <c r="AW663" i="1"/>
  <c r="AX663" i="1"/>
  <c r="BC663" i="1"/>
  <c r="BD663" i="1"/>
  <c r="BF663" i="1"/>
  <c r="BH663" i="1"/>
  <c r="AB663" i="1" s="1"/>
  <c r="BI663" i="1"/>
  <c r="AC663" i="1" s="1"/>
  <c r="BJ663" i="1"/>
  <c r="K664" i="1"/>
  <c r="L664" i="1"/>
  <c r="AL664" i="1" s="1"/>
  <c r="Z664" i="1"/>
  <c r="AC664" i="1"/>
  <c r="AD664" i="1"/>
  <c r="AE664" i="1"/>
  <c r="AF664" i="1"/>
  <c r="AG664" i="1"/>
  <c r="AH664" i="1"/>
  <c r="AJ664" i="1"/>
  <c r="AK664" i="1"/>
  <c r="AO664" i="1"/>
  <c r="AP664" i="1"/>
  <c r="AX664" i="1"/>
  <c r="BD664" i="1"/>
  <c r="BF664" i="1"/>
  <c r="BI664" i="1"/>
  <c r="BJ664" i="1"/>
  <c r="J665" i="1"/>
  <c r="K665" i="1"/>
  <c r="L665" i="1"/>
  <c r="Z665" i="1"/>
  <c r="AB665" i="1"/>
  <c r="AC665" i="1"/>
  <c r="AD665" i="1"/>
  <c r="AE665" i="1"/>
  <c r="AF665" i="1"/>
  <c r="AG665" i="1"/>
  <c r="AH665" i="1"/>
  <c r="AJ665" i="1"/>
  <c r="AK665" i="1"/>
  <c r="AL665" i="1"/>
  <c r="AO665" i="1"/>
  <c r="AP665" i="1"/>
  <c r="AX665" i="1" s="1"/>
  <c r="AW665" i="1"/>
  <c r="BD665" i="1"/>
  <c r="BF665" i="1"/>
  <c r="BH665" i="1"/>
  <c r="BI665" i="1"/>
  <c r="BJ665" i="1"/>
  <c r="J666" i="1"/>
  <c r="L666" i="1"/>
  <c r="AL666" i="1" s="1"/>
  <c r="Z666" i="1"/>
  <c r="AB666" i="1"/>
  <c r="AD666" i="1"/>
  <c r="AE666" i="1"/>
  <c r="AF666" i="1"/>
  <c r="AG666" i="1"/>
  <c r="AH666" i="1"/>
  <c r="AJ666" i="1"/>
  <c r="AK666" i="1"/>
  <c r="AO666" i="1"/>
  <c r="AW666" i="1" s="1"/>
  <c r="AP666" i="1"/>
  <c r="K666" i="1" s="1"/>
  <c r="AX666" i="1"/>
  <c r="BD666" i="1"/>
  <c r="BF666" i="1"/>
  <c r="BH666" i="1"/>
  <c r="BI666" i="1"/>
  <c r="AC666" i="1" s="1"/>
  <c r="BJ666" i="1"/>
  <c r="L667" i="1"/>
  <c r="AL667" i="1" s="1"/>
  <c r="Z667" i="1"/>
  <c r="AD667" i="1"/>
  <c r="AE667" i="1"/>
  <c r="AF667" i="1"/>
  <c r="AG667" i="1"/>
  <c r="AH667" i="1"/>
  <c r="AJ667" i="1"/>
  <c r="AK667" i="1"/>
  <c r="AO667" i="1"/>
  <c r="J667" i="1" s="1"/>
  <c r="AP667" i="1"/>
  <c r="AW667" i="1"/>
  <c r="BD667" i="1"/>
  <c r="BF667" i="1"/>
  <c r="BH667" i="1"/>
  <c r="AB667" i="1" s="1"/>
  <c r="BI667" i="1"/>
  <c r="AC667" i="1" s="1"/>
  <c r="BJ667" i="1"/>
  <c r="K668" i="1"/>
  <c r="L668" i="1"/>
  <c r="AL668" i="1" s="1"/>
  <c r="Z668" i="1"/>
  <c r="AC668" i="1"/>
  <c r="AD668" i="1"/>
  <c r="AE668" i="1"/>
  <c r="AF668" i="1"/>
  <c r="AG668" i="1"/>
  <c r="AH668" i="1"/>
  <c r="AJ668" i="1"/>
  <c r="AK668" i="1"/>
  <c r="AO668" i="1"/>
  <c r="AP668" i="1"/>
  <c r="AX668" i="1"/>
  <c r="BD668" i="1"/>
  <c r="BF668" i="1"/>
  <c r="BH668" i="1"/>
  <c r="AB668" i="1" s="1"/>
  <c r="BI668" i="1"/>
  <c r="BJ668" i="1"/>
  <c r="J669" i="1"/>
  <c r="K669" i="1"/>
  <c r="L669" i="1"/>
  <c r="Z669" i="1"/>
  <c r="AB669" i="1"/>
  <c r="AC669" i="1"/>
  <c r="AD669" i="1"/>
  <c r="AE669" i="1"/>
  <c r="AF669" i="1"/>
  <c r="AG669" i="1"/>
  <c r="AH669" i="1"/>
  <c r="AJ669" i="1"/>
  <c r="AK669" i="1"/>
  <c r="AL669" i="1"/>
  <c r="AO669" i="1"/>
  <c r="AP669" i="1"/>
  <c r="AX669" i="1" s="1"/>
  <c r="AW669" i="1"/>
  <c r="BD669" i="1"/>
  <c r="BF669" i="1"/>
  <c r="BH669" i="1"/>
  <c r="BI669" i="1"/>
  <c r="BJ669" i="1"/>
  <c r="J670" i="1"/>
  <c r="L670" i="1"/>
  <c r="Z670" i="1"/>
  <c r="AB670" i="1"/>
  <c r="AD670" i="1"/>
  <c r="AE670" i="1"/>
  <c r="AF670" i="1"/>
  <c r="AG670" i="1"/>
  <c r="AH670" i="1"/>
  <c r="AJ670" i="1"/>
  <c r="AK670" i="1"/>
  <c r="AL670" i="1"/>
  <c r="AO670" i="1"/>
  <c r="AW670" i="1" s="1"/>
  <c r="AP670" i="1"/>
  <c r="K670" i="1" s="1"/>
  <c r="BD670" i="1"/>
  <c r="BF670" i="1"/>
  <c r="BH670" i="1"/>
  <c r="BI670" i="1"/>
  <c r="AC670" i="1" s="1"/>
  <c r="BJ670" i="1"/>
  <c r="L671" i="1"/>
  <c r="Z671" i="1"/>
  <c r="AD671" i="1"/>
  <c r="AE671" i="1"/>
  <c r="AF671" i="1"/>
  <c r="AG671" i="1"/>
  <c r="AH671" i="1"/>
  <c r="AJ671" i="1"/>
  <c r="AK671" i="1"/>
  <c r="AL671" i="1"/>
  <c r="AO671" i="1"/>
  <c r="J671" i="1" s="1"/>
  <c r="AP671" i="1"/>
  <c r="BD671" i="1"/>
  <c r="BF671" i="1"/>
  <c r="BH671" i="1"/>
  <c r="AB671" i="1" s="1"/>
  <c r="BI671" i="1"/>
  <c r="AC671" i="1" s="1"/>
  <c r="BJ671" i="1"/>
  <c r="K672" i="1"/>
  <c r="L672" i="1"/>
  <c r="AL672" i="1" s="1"/>
  <c r="Z672" i="1"/>
  <c r="AC672" i="1"/>
  <c r="AD672" i="1"/>
  <c r="AE672" i="1"/>
  <c r="AF672" i="1"/>
  <c r="AG672" i="1"/>
  <c r="AH672" i="1"/>
  <c r="AJ672" i="1"/>
  <c r="AK672" i="1"/>
  <c r="AO672" i="1"/>
  <c r="BH672" i="1" s="1"/>
  <c r="AB672" i="1" s="1"/>
  <c r="AP672" i="1"/>
  <c r="AX672" i="1"/>
  <c r="BD672" i="1"/>
  <c r="BF672" i="1"/>
  <c r="BI672" i="1"/>
  <c r="BJ672" i="1"/>
  <c r="J673" i="1"/>
  <c r="K673" i="1"/>
  <c r="L673" i="1"/>
  <c r="Z673" i="1"/>
  <c r="AB673" i="1"/>
  <c r="AC673" i="1"/>
  <c r="AD673" i="1"/>
  <c r="AE673" i="1"/>
  <c r="AF673" i="1"/>
  <c r="AG673" i="1"/>
  <c r="AH673" i="1"/>
  <c r="AJ673" i="1"/>
  <c r="AK673" i="1"/>
  <c r="AL673" i="1"/>
  <c r="AO673" i="1"/>
  <c r="AP673" i="1"/>
  <c r="AX673" i="1" s="1"/>
  <c r="AW673" i="1"/>
  <c r="BD673" i="1"/>
  <c r="BF673" i="1"/>
  <c r="BH673" i="1"/>
  <c r="BI673" i="1"/>
  <c r="BJ673" i="1"/>
  <c r="J674" i="1"/>
  <c r="L674" i="1"/>
  <c r="AL674" i="1" s="1"/>
  <c r="Z674" i="1"/>
  <c r="AB674" i="1"/>
  <c r="AD674" i="1"/>
  <c r="AE674" i="1"/>
  <c r="AF674" i="1"/>
  <c r="AG674" i="1"/>
  <c r="AH674" i="1"/>
  <c r="AJ674" i="1"/>
  <c r="AK674" i="1"/>
  <c r="AO674" i="1"/>
  <c r="AW674" i="1" s="1"/>
  <c r="BC674" i="1" s="1"/>
  <c r="AP674" i="1"/>
  <c r="K674" i="1" s="1"/>
  <c r="AV674" i="1"/>
  <c r="AX674" i="1"/>
  <c r="BD674" i="1"/>
  <c r="BF674" i="1"/>
  <c r="BH674" i="1"/>
  <c r="BI674" i="1"/>
  <c r="AC674" i="1" s="1"/>
  <c r="BJ674" i="1"/>
  <c r="L675" i="1"/>
  <c r="AL675" i="1" s="1"/>
  <c r="Z675" i="1"/>
  <c r="AD675" i="1"/>
  <c r="AE675" i="1"/>
  <c r="AF675" i="1"/>
  <c r="AG675" i="1"/>
  <c r="AH675" i="1"/>
  <c r="AJ675" i="1"/>
  <c r="AK675" i="1"/>
  <c r="AO675" i="1"/>
  <c r="J675" i="1" s="1"/>
  <c r="AP675" i="1"/>
  <c r="AW675" i="1"/>
  <c r="BD675" i="1"/>
  <c r="BF675" i="1"/>
  <c r="BH675" i="1"/>
  <c r="AB675" i="1" s="1"/>
  <c r="BJ675" i="1"/>
  <c r="K676" i="1"/>
  <c r="L676" i="1"/>
  <c r="AL676" i="1" s="1"/>
  <c r="Z676" i="1"/>
  <c r="AC676" i="1"/>
  <c r="AD676" i="1"/>
  <c r="AE676" i="1"/>
  <c r="AF676" i="1"/>
  <c r="AG676" i="1"/>
  <c r="AH676" i="1"/>
  <c r="AJ676" i="1"/>
  <c r="AK676" i="1"/>
  <c r="AO676" i="1"/>
  <c r="AP676" i="1"/>
  <c r="AX676" i="1"/>
  <c r="BD676" i="1"/>
  <c r="BF676" i="1"/>
  <c r="BH676" i="1"/>
  <c r="AB676" i="1" s="1"/>
  <c r="BI676" i="1"/>
  <c r="BJ676" i="1"/>
  <c r="J677" i="1"/>
  <c r="K677" i="1"/>
  <c r="L677" i="1"/>
  <c r="Z677" i="1"/>
  <c r="AB677" i="1"/>
  <c r="AC677" i="1"/>
  <c r="AD677" i="1"/>
  <c r="AE677" i="1"/>
  <c r="AF677" i="1"/>
  <c r="AG677" i="1"/>
  <c r="AH677" i="1"/>
  <c r="AJ677" i="1"/>
  <c r="AK677" i="1"/>
  <c r="AL677" i="1"/>
  <c r="AO677" i="1"/>
  <c r="AP677" i="1"/>
  <c r="AX677" i="1" s="1"/>
  <c r="AW677" i="1"/>
  <c r="BD677" i="1"/>
  <c r="BF677" i="1"/>
  <c r="BH677" i="1"/>
  <c r="BI677" i="1"/>
  <c r="BJ677" i="1"/>
  <c r="J678" i="1"/>
  <c r="L678" i="1"/>
  <c r="Z678" i="1"/>
  <c r="AB678" i="1"/>
  <c r="AD678" i="1"/>
  <c r="AE678" i="1"/>
  <c r="AF678" i="1"/>
  <c r="AG678" i="1"/>
  <c r="AH678" i="1"/>
  <c r="AJ678" i="1"/>
  <c r="AK678" i="1"/>
  <c r="AL678" i="1"/>
  <c r="AO678" i="1"/>
  <c r="AW678" i="1" s="1"/>
  <c r="AP678" i="1"/>
  <c r="K678" i="1" s="1"/>
  <c r="BD678" i="1"/>
  <c r="BF678" i="1"/>
  <c r="BH678" i="1"/>
  <c r="BI678" i="1"/>
  <c r="AC678" i="1" s="1"/>
  <c r="BJ678" i="1"/>
  <c r="L679" i="1"/>
  <c r="Z679" i="1"/>
  <c r="AD679" i="1"/>
  <c r="AE679" i="1"/>
  <c r="AF679" i="1"/>
  <c r="AG679" i="1"/>
  <c r="AH679" i="1"/>
  <c r="AJ679" i="1"/>
  <c r="AK679" i="1"/>
  <c r="AL679" i="1"/>
  <c r="AO679" i="1"/>
  <c r="J679" i="1" s="1"/>
  <c r="AP679" i="1"/>
  <c r="BD679" i="1"/>
  <c r="BF679" i="1"/>
  <c r="BH679" i="1"/>
  <c r="AB679" i="1" s="1"/>
  <c r="BJ679" i="1"/>
  <c r="K680" i="1"/>
  <c r="L680" i="1"/>
  <c r="AL680" i="1" s="1"/>
  <c r="Z680" i="1"/>
  <c r="AC680" i="1"/>
  <c r="AD680" i="1"/>
  <c r="AE680" i="1"/>
  <c r="AF680" i="1"/>
  <c r="AG680" i="1"/>
  <c r="AH680" i="1"/>
  <c r="AJ680" i="1"/>
  <c r="AK680" i="1"/>
  <c r="AO680" i="1"/>
  <c r="AP680" i="1"/>
  <c r="AX680" i="1"/>
  <c r="BD680" i="1"/>
  <c r="BF680" i="1"/>
  <c r="BH680" i="1"/>
  <c r="AB680" i="1" s="1"/>
  <c r="BI680" i="1"/>
  <c r="BJ680" i="1"/>
  <c r="J681" i="1"/>
  <c r="K681" i="1"/>
  <c r="L681" i="1"/>
  <c r="Z681" i="1"/>
  <c r="AB681" i="1"/>
  <c r="AC681" i="1"/>
  <c r="AD681" i="1"/>
  <c r="AE681" i="1"/>
  <c r="AF681" i="1"/>
  <c r="AG681" i="1"/>
  <c r="AH681" i="1"/>
  <c r="AJ681" i="1"/>
  <c r="AK681" i="1"/>
  <c r="AL681" i="1"/>
  <c r="AO681" i="1"/>
  <c r="AP681" i="1"/>
  <c r="AX681" i="1" s="1"/>
  <c r="AW681" i="1"/>
  <c r="BD681" i="1"/>
  <c r="BF681" i="1"/>
  <c r="BH681" i="1"/>
  <c r="BI681" i="1"/>
  <c r="BJ681" i="1"/>
  <c r="J682" i="1"/>
  <c r="L682" i="1"/>
  <c r="AL682" i="1" s="1"/>
  <c r="Z682" i="1"/>
  <c r="AB682" i="1"/>
  <c r="AD682" i="1"/>
  <c r="AE682" i="1"/>
  <c r="AF682" i="1"/>
  <c r="AG682" i="1"/>
  <c r="AH682" i="1"/>
  <c r="AJ682" i="1"/>
  <c r="AK682" i="1"/>
  <c r="AO682" i="1"/>
  <c r="AP682" i="1"/>
  <c r="K682" i="1" s="1"/>
  <c r="AV682" i="1"/>
  <c r="AW682" i="1"/>
  <c r="AX682" i="1"/>
  <c r="BC682" i="1" s="1"/>
  <c r="BD682" i="1"/>
  <c r="BF682" i="1"/>
  <c r="BH682" i="1"/>
  <c r="BI682" i="1"/>
  <c r="AC682" i="1" s="1"/>
  <c r="BJ682" i="1"/>
  <c r="L683" i="1"/>
  <c r="AL683" i="1" s="1"/>
  <c r="Z683" i="1"/>
  <c r="AD683" i="1"/>
  <c r="AE683" i="1"/>
  <c r="AF683" i="1"/>
  <c r="AG683" i="1"/>
  <c r="AH683" i="1"/>
  <c r="AJ683" i="1"/>
  <c r="AK683" i="1"/>
  <c r="AO683" i="1"/>
  <c r="J683" i="1" s="1"/>
  <c r="AP683" i="1"/>
  <c r="AW683" i="1"/>
  <c r="BD683" i="1"/>
  <c r="BF683" i="1"/>
  <c r="BH683" i="1"/>
  <c r="AB683" i="1" s="1"/>
  <c r="BJ683" i="1"/>
  <c r="K684" i="1"/>
  <c r="L684" i="1"/>
  <c r="AL684" i="1" s="1"/>
  <c r="Z684" i="1"/>
  <c r="AC684" i="1"/>
  <c r="AD684" i="1"/>
  <c r="AE684" i="1"/>
  <c r="AF684" i="1"/>
  <c r="AG684" i="1"/>
  <c r="AH684" i="1"/>
  <c r="AJ684" i="1"/>
  <c r="AK684" i="1"/>
  <c r="AO684" i="1"/>
  <c r="AP684" i="1"/>
  <c r="AX684" i="1"/>
  <c r="BD684" i="1"/>
  <c r="BF684" i="1"/>
  <c r="BH684" i="1"/>
  <c r="AB684" i="1" s="1"/>
  <c r="BI684" i="1"/>
  <c r="BJ684" i="1"/>
  <c r="J685" i="1"/>
  <c r="K685" i="1"/>
  <c r="L685" i="1"/>
  <c r="Z685" i="1"/>
  <c r="AB685" i="1"/>
  <c r="AC685" i="1"/>
  <c r="AD685" i="1"/>
  <c r="AE685" i="1"/>
  <c r="AF685" i="1"/>
  <c r="AG685" i="1"/>
  <c r="AH685" i="1"/>
  <c r="AJ685" i="1"/>
  <c r="AK685" i="1"/>
  <c r="AL685" i="1"/>
  <c r="AO685" i="1"/>
  <c r="AP685" i="1"/>
  <c r="AX685" i="1" s="1"/>
  <c r="AW685" i="1"/>
  <c r="BD685" i="1"/>
  <c r="BF685" i="1"/>
  <c r="BH685" i="1"/>
  <c r="BI685" i="1"/>
  <c r="BJ685" i="1"/>
  <c r="J686" i="1"/>
  <c r="L686" i="1"/>
  <c r="Z686" i="1"/>
  <c r="AB686" i="1"/>
  <c r="AD686" i="1"/>
  <c r="AE686" i="1"/>
  <c r="AF686" i="1"/>
  <c r="AG686" i="1"/>
  <c r="AH686" i="1"/>
  <c r="AJ686" i="1"/>
  <c r="AK686" i="1"/>
  <c r="AL686" i="1"/>
  <c r="AO686" i="1"/>
  <c r="AW686" i="1" s="1"/>
  <c r="AP686" i="1"/>
  <c r="K686" i="1" s="1"/>
  <c r="BD686" i="1"/>
  <c r="BF686" i="1"/>
  <c r="BH686" i="1"/>
  <c r="BI686" i="1"/>
  <c r="AC686" i="1" s="1"/>
  <c r="BJ686" i="1"/>
  <c r="L687" i="1"/>
  <c r="Z687" i="1"/>
  <c r="AD687" i="1"/>
  <c r="AE687" i="1"/>
  <c r="AF687" i="1"/>
  <c r="AG687" i="1"/>
  <c r="AH687" i="1"/>
  <c r="AJ687" i="1"/>
  <c r="AK687" i="1"/>
  <c r="AL687" i="1"/>
  <c r="AO687" i="1"/>
  <c r="J687" i="1" s="1"/>
  <c r="AP687" i="1"/>
  <c r="BD687" i="1"/>
  <c r="BF687" i="1"/>
  <c r="BH687" i="1"/>
  <c r="AB687" i="1" s="1"/>
  <c r="BJ687" i="1"/>
  <c r="K688" i="1"/>
  <c r="L688" i="1"/>
  <c r="AL688" i="1" s="1"/>
  <c r="Z688" i="1"/>
  <c r="AC688" i="1"/>
  <c r="AD688" i="1"/>
  <c r="AE688" i="1"/>
  <c r="AF688" i="1"/>
  <c r="AG688" i="1"/>
  <c r="AH688" i="1"/>
  <c r="AJ688" i="1"/>
  <c r="AK688" i="1"/>
  <c r="AO688" i="1"/>
  <c r="AP688" i="1"/>
  <c r="AX688" i="1"/>
  <c r="BD688" i="1"/>
  <c r="BF688" i="1"/>
  <c r="BH688" i="1"/>
  <c r="AB688" i="1" s="1"/>
  <c r="BI688" i="1"/>
  <c r="BJ688" i="1"/>
  <c r="J689" i="1"/>
  <c r="K689" i="1"/>
  <c r="L689" i="1"/>
  <c r="Z689" i="1"/>
  <c r="AB689" i="1"/>
  <c r="AC689" i="1"/>
  <c r="AD689" i="1"/>
  <c r="AE689" i="1"/>
  <c r="AF689" i="1"/>
  <c r="AG689" i="1"/>
  <c r="AH689" i="1"/>
  <c r="AJ689" i="1"/>
  <c r="AK689" i="1"/>
  <c r="AL689" i="1"/>
  <c r="AO689" i="1"/>
  <c r="AP689" i="1"/>
  <c r="AW689" i="1"/>
  <c r="AX689" i="1"/>
  <c r="BD689" i="1"/>
  <c r="BF689" i="1"/>
  <c r="BH689" i="1"/>
  <c r="BI689" i="1"/>
  <c r="BJ689" i="1"/>
  <c r="J690" i="1"/>
  <c r="L690" i="1"/>
  <c r="AL690" i="1" s="1"/>
  <c r="Z690" i="1"/>
  <c r="AB690" i="1"/>
  <c r="AD690" i="1"/>
  <c r="AE690" i="1"/>
  <c r="AF690" i="1"/>
  <c r="AG690" i="1"/>
  <c r="AH690" i="1"/>
  <c r="AJ690" i="1"/>
  <c r="AK690" i="1"/>
  <c r="AO690" i="1"/>
  <c r="AP690" i="1"/>
  <c r="K690" i="1" s="1"/>
  <c r="AV690" i="1"/>
  <c r="AW690" i="1"/>
  <c r="AX690" i="1"/>
  <c r="BC690" i="1" s="1"/>
  <c r="BD690" i="1"/>
  <c r="BF690" i="1"/>
  <c r="BH690" i="1"/>
  <c r="BI690" i="1"/>
  <c r="AC690" i="1" s="1"/>
  <c r="BJ690" i="1"/>
  <c r="L691" i="1"/>
  <c r="AL691" i="1" s="1"/>
  <c r="Z691" i="1"/>
  <c r="AD691" i="1"/>
  <c r="AE691" i="1"/>
  <c r="AF691" i="1"/>
  <c r="AG691" i="1"/>
  <c r="AH691" i="1"/>
  <c r="AJ691" i="1"/>
  <c r="AK691" i="1"/>
  <c r="AO691" i="1"/>
  <c r="J691" i="1" s="1"/>
  <c r="AP691" i="1"/>
  <c r="AW691" i="1"/>
  <c r="BD691" i="1"/>
  <c r="BF691" i="1"/>
  <c r="BH691" i="1"/>
  <c r="AB691" i="1" s="1"/>
  <c r="BJ691" i="1"/>
  <c r="K692" i="1"/>
  <c r="L692" i="1"/>
  <c r="AL692" i="1" s="1"/>
  <c r="Z692" i="1"/>
  <c r="AC692" i="1"/>
  <c r="AD692" i="1"/>
  <c r="AE692" i="1"/>
  <c r="AF692" i="1"/>
  <c r="AG692" i="1"/>
  <c r="AH692" i="1"/>
  <c r="AJ692" i="1"/>
  <c r="AK692" i="1"/>
  <c r="AO692" i="1"/>
  <c r="AP692" i="1"/>
  <c r="AX692" i="1"/>
  <c r="BD692" i="1"/>
  <c r="BF692" i="1"/>
  <c r="BH692" i="1"/>
  <c r="AB692" i="1" s="1"/>
  <c r="BI692" i="1"/>
  <c r="BJ692" i="1"/>
  <c r="J693" i="1"/>
  <c r="K693" i="1"/>
  <c r="L693" i="1"/>
  <c r="Z693" i="1"/>
  <c r="AB693" i="1"/>
  <c r="AC693" i="1"/>
  <c r="AD693" i="1"/>
  <c r="AE693" i="1"/>
  <c r="AF693" i="1"/>
  <c r="AG693" i="1"/>
  <c r="AH693" i="1"/>
  <c r="AJ693" i="1"/>
  <c r="AK693" i="1"/>
  <c r="AL693" i="1"/>
  <c r="AO693" i="1"/>
  <c r="AP693" i="1"/>
  <c r="AX693" i="1" s="1"/>
  <c r="AW693" i="1"/>
  <c r="BD693" i="1"/>
  <c r="BF693" i="1"/>
  <c r="BH693" i="1"/>
  <c r="BI693" i="1"/>
  <c r="BJ693" i="1"/>
  <c r="J694" i="1"/>
  <c r="L694" i="1"/>
  <c r="Z694" i="1"/>
  <c r="AB694" i="1"/>
  <c r="AD694" i="1"/>
  <c r="AE694" i="1"/>
  <c r="AF694" i="1"/>
  <c r="AG694" i="1"/>
  <c r="AH694" i="1"/>
  <c r="AJ694" i="1"/>
  <c r="AK694" i="1"/>
  <c r="AL694" i="1"/>
  <c r="AO694" i="1"/>
  <c r="AW694" i="1" s="1"/>
  <c r="AP694" i="1"/>
  <c r="K694" i="1" s="1"/>
  <c r="BD694" i="1"/>
  <c r="BF694" i="1"/>
  <c r="BH694" i="1"/>
  <c r="BI694" i="1"/>
  <c r="AC694" i="1" s="1"/>
  <c r="BJ694" i="1"/>
  <c r="L695" i="1"/>
  <c r="Z695" i="1"/>
  <c r="AD695" i="1"/>
  <c r="AE695" i="1"/>
  <c r="AF695" i="1"/>
  <c r="AG695" i="1"/>
  <c r="AH695" i="1"/>
  <c r="AJ695" i="1"/>
  <c r="AK695" i="1"/>
  <c r="AL695" i="1"/>
  <c r="AO695" i="1"/>
  <c r="J695" i="1" s="1"/>
  <c r="AP695" i="1"/>
  <c r="BD695" i="1"/>
  <c r="BF695" i="1"/>
  <c r="BH695" i="1"/>
  <c r="AB695" i="1" s="1"/>
  <c r="BJ695" i="1"/>
  <c r="K696" i="1"/>
  <c r="L696" i="1"/>
  <c r="AL696" i="1" s="1"/>
  <c r="Z696" i="1"/>
  <c r="AC696" i="1"/>
  <c r="AD696" i="1"/>
  <c r="AE696" i="1"/>
  <c r="AF696" i="1"/>
  <c r="AG696" i="1"/>
  <c r="AH696" i="1"/>
  <c r="AJ696" i="1"/>
  <c r="AK696" i="1"/>
  <c r="AO696" i="1"/>
  <c r="AP696" i="1"/>
  <c r="AX696" i="1"/>
  <c r="BD696" i="1"/>
  <c r="BF696" i="1"/>
  <c r="BH696" i="1"/>
  <c r="AB696" i="1" s="1"/>
  <c r="BI696" i="1"/>
  <c r="BJ696" i="1"/>
  <c r="J697" i="1"/>
  <c r="K697" i="1"/>
  <c r="L697" i="1"/>
  <c r="Z697" i="1"/>
  <c r="AB697" i="1"/>
  <c r="AC697" i="1"/>
  <c r="AD697" i="1"/>
  <c r="AE697" i="1"/>
  <c r="AF697" i="1"/>
  <c r="AG697" i="1"/>
  <c r="AH697" i="1"/>
  <c r="AJ697" i="1"/>
  <c r="AK697" i="1"/>
  <c r="AL697" i="1"/>
  <c r="AO697" i="1"/>
  <c r="AP697" i="1"/>
  <c r="AW697" i="1"/>
  <c r="AX697" i="1"/>
  <c r="BD697" i="1"/>
  <c r="BF697" i="1"/>
  <c r="BH697" i="1"/>
  <c r="BI697" i="1"/>
  <c r="BJ697" i="1"/>
  <c r="J698" i="1"/>
  <c r="L698" i="1"/>
  <c r="AL698" i="1" s="1"/>
  <c r="Z698" i="1"/>
  <c r="AB698" i="1"/>
  <c r="AD698" i="1"/>
  <c r="AE698" i="1"/>
  <c r="AF698" i="1"/>
  <c r="AG698" i="1"/>
  <c r="AH698" i="1"/>
  <c r="AJ698" i="1"/>
  <c r="AK698" i="1"/>
  <c r="AO698" i="1"/>
  <c r="AP698" i="1"/>
  <c r="K698" i="1" s="1"/>
  <c r="AV698" i="1"/>
  <c r="AW698" i="1"/>
  <c r="AX698" i="1"/>
  <c r="BC698" i="1" s="1"/>
  <c r="BD698" i="1"/>
  <c r="BF698" i="1"/>
  <c r="BH698" i="1"/>
  <c r="BI698" i="1"/>
  <c r="AC698" i="1" s="1"/>
  <c r="BJ698" i="1"/>
  <c r="L699" i="1"/>
  <c r="AL699" i="1" s="1"/>
  <c r="Z699" i="1"/>
  <c r="AD699" i="1"/>
  <c r="AE699" i="1"/>
  <c r="AF699" i="1"/>
  <c r="AG699" i="1"/>
  <c r="AH699" i="1"/>
  <c r="AJ699" i="1"/>
  <c r="AK699" i="1"/>
  <c r="AO699" i="1"/>
  <c r="J699" i="1" s="1"/>
  <c r="AP699" i="1"/>
  <c r="AW699" i="1"/>
  <c r="BD699" i="1"/>
  <c r="BF699" i="1"/>
  <c r="BH699" i="1"/>
  <c r="AB699" i="1" s="1"/>
  <c r="BJ699" i="1"/>
  <c r="K700" i="1"/>
  <c r="L700" i="1"/>
  <c r="AL700" i="1" s="1"/>
  <c r="Z700" i="1"/>
  <c r="AC700" i="1"/>
  <c r="AD700" i="1"/>
  <c r="AE700" i="1"/>
  <c r="AF700" i="1"/>
  <c r="AG700" i="1"/>
  <c r="AH700" i="1"/>
  <c r="AJ700" i="1"/>
  <c r="AK700" i="1"/>
  <c r="AO700" i="1"/>
  <c r="AP700" i="1"/>
  <c r="AX700" i="1"/>
  <c r="BD700" i="1"/>
  <c r="BF700" i="1"/>
  <c r="BH700" i="1"/>
  <c r="AB700" i="1" s="1"/>
  <c r="BI700" i="1"/>
  <c r="BJ700" i="1"/>
  <c r="J701" i="1"/>
  <c r="K701" i="1"/>
  <c r="L701" i="1"/>
  <c r="Z701" i="1"/>
  <c r="AB701" i="1"/>
  <c r="AC701" i="1"/>
  <c r="AD701" i="1"/>
  <c r="AE701" i="1"/>
  <c r="AF701" i="1"/>
  <c r="AG701" i="1"/>
  <c r="AH701" i="1"/>
  <c r="AJ701" i="1"/>
  <c r="AK701" i="1"/>
  <c r="AL701" i="1"/>
  <c r="AO701" i="1"/>
  <c r="AP701" i="1"/>
  <c r="AX701" i="1" s="1"/>
  <c r="AW701" i="1"/>
  <c r="BD701" i="1"/>
  <c r="BF701" i="1"/>
  <c r="BH701" i="1"/>
  <c r="BI701" i="1"/>
  <c r="BJ701" i="1"/>
  <c r="J702" i="1"/>
  <c r="L702" i="1"/>
  <c r="Z702" i="1"/>
  <c r="AB702" i="1"/>
  <c r="AD702" i="1"/>
  <c r="AE702" i="1"/>
  <c r="AF702" i="1"/>
  <c r="AG702" i="1"/>
  <c r="AH702" i="1"/>
  <c r="AJ702" i="1"/>
  <c r="AK702" i="1"/>
  <c r="AL702" i="1"/>
  <c r="AO702" i="1"/>
  <c r="AW702" i="1" s="1"/>
  <c r="AP702" i="1"/>
  <c r="K702" i="1" s="1"/>
  <c r="BD702" i="1"/>
  <c r="BF702" i="1"/>
  <c r="BH702" i="1"/>
  <c r="BI702" i="1"/>
  <c r="AC702" i="1" s="1"/>
  <c r="BJ702" i="1"/>
  <c r="L703" i="1"/>
  <c r="Z703" i="1"/>
  <c r="AD703" i="1"/>
  <c r="AE703" i="1"/>
  <c r="AF703" i="1"/>
  <c r="AG703" i="1"/>
  <c r="AH703" i="1"/>
  <c r="AJ703" i="1"/>
  <c r="AK703" i="1"/>
  <c r="AL703" i="1"/>
  <c r="AO703" i="1"/>
  <c r="J703" i="1" s="1"/>
  <c r="AP703" i="1"/>
  <c r="BD703" i="1"/>
  <c r="BF703" i="1"/>
  <c r="BH703" i="1"/>
  <c r="AB703" i="1" s="1"/>
  <c r="BJ703" i="1"/>
  <c r="K704" i="1"/>
  <c r="L704" i="1"/>
  <c r="AL704" i="1" s="1"/>
  <c r="Z704" i="1"/>
  <c r="AC704" i="1"/>
  <c r="AD704" i="1"/>
  <c r="AE704" i="1"/>
  <c r="AF704" i="1"/>
  <c r="AG704" i="1"/>
  <c r="AH704" i="1"/>
  <c r="AJ704" i="1"/>
  <c r="AK704" i="1"/>
  <c r="AO704" i="1"/>
  <c r="AP704" i="1"/>
  <c r="AX704" i="1"/>
  <c r="BD704" i="1"/>
  <c r="BF704" i="1"/>
  <c r="BH704" i="1"/>
  <c r="AB704" i="1" s="1"/>
  <c r="BI704" i="1"/>
  <c r="BJ704" i="1"/>
  <c r="J705" i="1"/>
  <c r="K705" i="1"/>
  <c r="L705" i="1"/>
  <c r="Z705" i="1"/>
  <c r="AB705" i="1"/>
  <c r="AC705" i="1"/>
  <c r="AD705" i="1"/>
  <c r="AE705" i="1"/>
  <c r="AF705" i="1"/>
  <c r="AG705" i="1"/>
  <c r="AH705" i="1"/>
  <c r="AJ705" i="1"/>
  <c r="AK705" i="1"/>
  <c r="AL705" i="1"/>
  <c r="AO705" i="1"/>
  <c r="AP705" i="1"/>
  <c r="AW705" i="1"/>
  <c r="AX705" i="1"/>
  <c r="BD705" i="1"/>
  <c r="BF705" i="1"/>
  <c r="BH705" i="1"/>
  <c r="BI705" i="1"/>
  <c r="BJ705" i="1"/>
  <c r="J706" i="1"/>
  <c r="L706" i="1"/>
  <c r="AL706" i="1" s="1"/>
  <c r="Z706" i="1"/>
  <c r="AB706" i="1"/>
  <c r="AD706" i="1"/>
  <c r="AE706" i="1"/>
  <c r="AF706" i="1"/>
  <c r="AG706" i="1"/>
  <c r="AH706" i="1"/>
  <c r="AJ706" i="1"/>
  <c r="AK706" i="1"/>
  <c r="AO706" i="1"/>
  <c r="AP706" i="1"/>
  <c r="K706" i="1" s="1"/>
  <c r="AV706" i="1"/>
  <c r="AW706" i="1"/>
  <c r="AX706" i="1"/>
  <c r="BC706" i="1" s="1"/>
  <c r="BD706" i="1"/>
  <c r="BF706" i="1"/>
  <c r="BH706" i="1"/>
  <c r="BI706" i="1"/>
  <c r="AC706" i="1" s="1"/>
  <c r="BJ706" i="1"/>
  <c r="L707" i="1"/>
  <c r="AL707" i="1" s="1"/>
  <c r="Z707" i="1"/>
  <c r="AD707" i="1"/>
  <c r="AE707" i="1"/>
  <c r="AF707" i="1"/>
  <c r="AG707" i="1"/>
  <c r="AH707" i="1"/>
  <c r="AJ707" i="1"/>
  <c r="AK707" i="1"/>
  <c r="AO707" i="1"/>
  <c r="J707" i="1" s="1"/>
  <c r="AP707" i="1"/>
  <c r="AW707" i="1"/>
  <c r="BD707" i="1"/>
  <c r="BF707" i="1"/>
  <c r="BH707" i="1"/>
  <c r="AB707" i="1" s="1"/>
  <c r="BJ707" i="1"/>
  <c r="K708" i="1"/>
  <c r="L708" i="1"/>
  <c r="AL708" i="1" s="1"/>
  <c r="Z708" i="1"/>
  <c r="AC708" i="1"/>
  <c r="AD708" i="1"/>
  <c r="AE708" i="1"/>
  <c r="AF708" i="1"/>
  <c r="AG708" i="1"/>
  <c r="AH708" i="1"/>
  <c r="AJ708" i="1"/>
  <c r="AK708" i="1"/>
  <c r="AO708" i="1"/>
  <c r="AP708" i="1"/>
  <c r="AX708" i="1"/>
  <c r="BD708" i="1"/>
  <c r="BF708" i="1"/>
  <c r="BH708" i="1"/>
  <c r="AB708" i="1" s="1"/>
  <c r="BI708" i="1"/>
  <c r="BJ708" i="1"/>
  <c r="J709" i="1"/>
  <c r="K709" i="1"/>
  <c r="L709" i="1"/>
  <c r="Z709" i="1"/>
  <c r="AB709" i="1"/>
  <c r="AC709" i="1"/>
  <c r="AD709" i="1"/>
  <c r="AE709" i="1"/>
  <c r="AF709" i="1"/>
  <c r="AG709" i="1"/>
  <c r="AH709" i="1"/>
  <c r="AJ709" i="1"/>
  <c r="AK709" i="1"/>
  <c r="AL709" i="1"/>
  <c r="AO709" i="1"/>
  <c r="AP709" i="1"/>
  <c r="AX709" i="1" s="1"/>
  <c r="AW709" i="1"/>
  <c r="BD709" i="1"/>
  <c r="BF709" i="1"/>
  <c r="BH709" i="1"/>
  <c r="BI709" i="1"/>
  <c r="BJ709" i="1"/>
  <c r="J710" i="1"/>
  <c r="L710" i="1"/>
  <c r="Z710" i="1"/>
  <c r="AB710" i="1"/>
  <c r="AD710" i="1"/>
  <c r="AE710" i="1"/>
  <c r="AF710" i="1"/>
  <c r="AG710" i="1"/>
  <c r="AH710" i="1"/>
  <c r="AJ710" i="1"/>
  <c r="AK710" i="1"/>
  <c r="AL710" i="1"/>
  <c r="AO710" i="1"/>
  <c r="AW710" i="1" s="1"/>
  <c r="AP710" i="1"/>
  <c r="K710" i="1" s="1"/>
  <c r="BD710" i="1"/>
  <c r="BF710" i="1"/>
  <c r="BH710" i="1"/>
  <c r="BI710" i="1"/>
  <c r="AC710" i="1" s="1"/>
  <c r="BJ710" i="1"/>
  <c r="L711" i="1"/>
  <c r="Z711" i="1"/>
  <c r="AD711" i="1"/>
  <c r="AE711" i="1"/>
  <c r="AF711" i="1"/>
  <c r="AG711" i="1"/>
  <c r="AH711" i="1"/>
  <c r="AJ711" i="1"/>
  <c r="AK711" i="1"/>
  <c r="AL711" i="1"/>
  <c r="AO711" i="1"/>
  <c r="J711" i="1" s="1"/>
  <c r="AP711" i="1"/>
  <c r="BD711" i="1"/>
  <c r="BF711" i="1"/>
  <c r="BH711" i="1"/>
  <c r="AB711" i="1" s="1"/>
  <c r="BJ711" i="1"/>
  <c r="K712" i="1"/>
  <c r="L712" i="1"/>
  <c r="AL712" i="1" s="1"/>
  <c r="Z712" i="1"/>
  <c r="AC712" i="1"/>
  <c r="AD712" i="1"/>
  <c r="AE712" i="1"/>
  <c r="AF712" i="1"/>
  <c r="AG712" i="1"/>
  <c r="AH712" i="1"/>
  <c r="AJ712" i="1"/>
  <c r="AK712" i="1"/>
  <c r="AO712" i="1"/>
  <c r="AP712" i="1"/>
  <c r="AX712" i="1"/>
  <c r="BD712" i="1"/>
  <c r="BF712" i="1"/>
  <c r="BH712" i="1"/>
  <c r="AB712" i="1" s="1"/>
  <c r="BI712" i="1"/>
  <c r="BJ712" i="1"/>
  <c r="J713" i="1"/>
  <c r="K713" i="1"/>
  <c r="L713" i="1"/>
  <c r="Z713" i="1"/>
  <c r="AB713" i="1"/>
  <c r="AC713" i="1"/>
  <c r="AD713" i="1"/>
  <c r="AE713" i="1"/>
  <c r="AF713" i="1"/>
  <c r="AG713" i="1"/>
  <c r="AH713" i="1"/>
  <c r="AJ713" i="1"/>
  <c r="AK713" i="1"/>
  <c r="AL713" i="1"/>
  <c r="AO713" i="1"/>
  <c r="AP713" i="1"/>
  <c r="AX713" i="1" s="1"/>
  <c r="AW713" i="1"/>
  <c r="BD713" i="1"/>
  <c r="BF713" i="1"/>
  <c r="BH713" i="1"/>
  <c r="BI713" i="1"/>
  <c r="BJ713" i="1"/>
  <c r="J714" i="1"/>
  <c r="L714" i="1"/>
  <c r="AL714" i="1" s="1"/>
  <c r="Z714" i="1"/>
  <c r="AB714" i="1"/>
  <c r="AD714" i="1"/>
  <c r="AE714" i="1"/>
  <c r="AF714" i="1"/>
  <c r="AG714" i="1"/>
  <c r="AH714" i="1"/>
  <c r="AJ714" i="1"/>
  <c r="AK714" i="1"/>
  <c r="AO714" i="1"/>
  <c r="AP714" i="1"/>
  <c r="K714" i="1" s="1"/>
  <c r="AV714" i="1"/>
  <c r="AW714" i="1"/>
  <c r="AX714" i="1"/>
  <c r="BC714" i="1" s="1"/>
  <c r="BD714" i="1"/>
  <c r="BF714" i="1"/>
  <c r="BH714" i="1"/>
  <c r="BI714" i="1"/>
  <c r="AC714" i="1" s="1"/>
  <c r="BJ714" i="1"/>
  <c r="L715" i="1"/>
  <c r="AL715" i="1" s="1"/>
  <c r="Z715" i="1"/>
  <c r="AD715" i="1"/>
  <c r="AE715" i="1"/>
  <c r="AF715" i="1"/>
  <c r="AG715" i="1"/>
  <c r="AH715" i="1"/>
  <c r="AJ715" i="1"/>
  <c r="AK715" i="1"/>
  <c r="AO715" i="1"/>
  <c r="J715" i="1" s="1"/>
  <c r="AP715" i="1"/>
  <c r="AW715" i="1"/>
  <c r="BD715" i="1"/>
  <c r="BF715" i="1"/>
  <c r="BH715" i="1"/>
  <c r="AB715" i="1" s="1"/>
  <c r="BJ715" i="1"/>
  <c r="K716" i="1"/>
  <c r="L716" i="1"/>
  <c r="AL716" i="1" s="1"/>
  <c r="Z716" i="1"/>
  <c r="AC716" i="1"/>
  <c r="AD716" i="1"/>
  <c r="AE716" i="1"/>
  <c r="AF716" i="1"/>
  <c r="AG716" i="1"/>
  <c r="AH716" i="1"/>
  <c r="AJ716" i="1"/>
  <c r="AK716" i="1"/>
  <c r="AO716" i="1"/>
  <c r="AP716" i="1"/>
  <c r="AX716" i="1"/>
  <c r="BD716" i="1"/>
  <c r="BF716" i="1"/>
  <c r="BH716" i="1"/>
  <c r="AB716" i="1" s="1"/>
  <c r="BI716" i="1"/>
  <c r="BJ716" i="1"/>
  <c r="J717" i="1"/>
  <c r="K717" i="1"/>
  <c r="L717" i="1"/>
  <c r="Z717" i="1"/>
  <c r="AB717" i="1"/>
  <c r="AC717" i="1"/>
  <c r="AD717" i="1"/>
  <c r="AE717" i="1"/>
  <c r="AF717" i="1"/>
  <c r="AG717" i="1"/>
  <c r="AH717" i="1"/>
  <c r="AJ717" i="1"/>
  <c r="AK717" i="1"/>
  <c r="AL717" i="1"/>
  <c r="AO717" i="1"/>
  <c r="AP717" i="1"/>
  <c r="AX717" i="1" s="1"/>
  <c r="AW717" i="1"/>
  <c r="BD717" i="1"/>
  <c r="BF717" i="1"/>
  <c r="BH717" i="1"/>
  <c r="BI717" i="1"/>
  <c r="BJ717" i="1"/>
  <c r="J718" i="1"/>
  <c r="L718" i="1"/>
  <c r="Z718" i="1"/>
  <c r="AB718" i="1"/>
  <c r="AD718" i="1"/>
  <c r="AE718" i="1"/>
  <c r="AF718" i="1"/>
  <c r="AG718" i="1"/>
  <c r="AH718" i="1"/>
  <c r="AJ718" i="1"/>
  <c r="AK718" i="1"/>
  <c r="AL718" i="1"/>
  <c r="AO718" i="1"/>
  <c r="AW718" i="1" s="1"/>
  <c r="AP718" i="1"/>
  <c r="K718" i="1" s="1"/>
  <c r="BD718" i="1"/>
  <c r="BF718" i="1"/>
  <c r="BH718" i="1"/>
  <c r="BI718" i="1"/>
  <c r="AC718" i="1" s="1"/>
  <c r="BJ718" i="1"/>
  <c r="L719" i="1"/>
  <c r="Z719" i="1"/>
  <c r="AD719" i="1"/>
  <c r="AE719" i="1"/>
  <c r="AF719" i="1"/>
  <c r="AG719" i="1"/>
  <c r="AH719" i="1"/>
  <c r="AJ719" i="1"/>
  <c r="AK719" i="1"/>
  <c r="AL719" i="1"/>
  <c r="AO719" i="1"/>
  <c r="J719" i="1" s="1"/>
  <c r="AP719" i="1"/>
  <c r="BD719" i="1"/>
  <c r="BF719" i="1"/>
  <c r="BH719" i="1"/>
  <c r="AB719" i="1" s="1"/>
  <c r="BJ719" i="1"/>
  <c r="L720" i="1"/>
  <c r="AL720" i="1" s="1"/>
  <c r="Z720" i="1"/>
  <c r="AC720" i="1"/>
  <c r="AD720" i="1"/>
  <c r="AE720" i="1"/>
  <c r="AF720" i="1"/>
  <c r="AG720" i="1"/>
  <c r="AH720" i="1"/>
  <c r="AJ720" i="1"/>
  <c r="AK720" i="1"/>
  <c r="AO720" i="1"/>
  <c r="AP720" i="1"/>
  <c r="K720" i="1" s="1"/>
  <c r="AX720" i="1"/>
  <c r="BD720" i="1"/>
  <c r="BF720" i="1"/>
  <c r="BI720" i="1"/>
  <c r="BJ720" i="1"/>
  <c r="K721" i="1"/>
  <c r="L721" i="1"/>
  <c r="Z721" i="1"/>
  <c r="AB721" i="1"/>
  <c r="AC721" i="1"/>
  <c r="AD721" i="1"/>
  <c r="AE721" i="1"/>
  <c r="AF721" i="1"/>
  <c r="AG721" i="1"/>
  <c r="AH721" i="1"/>
  <c r="AJ721" i="1"/>
  <c r="AK721" i="1"/>
  <c r="AL721" i="1"/>
  <c r="AO721" i="1"/>
  <c r="J721" i="1" s="1"/>
  <c r="AP721" i="1"/>
  <c r="AW721" i="1"/>
  <c r="AX721" i="1"/>
  <c r="BD721" i="1"/>
  <c r="BF721" i="1"/>
  <c r="BH721" i="1"/>
  <c r="BI721" i="1"/>
  <c r="BJ721" i="1"/>
  <c r="J722" i="1"/>
  <c r="L722" i="1"/>
  <c r="AL722" i="1" s="1"/>
  <c r="Z722" i="1"/>
  <c r="AB722" i="1"/>
  <c r="AD722" i="1"/>
  <c r="AE722" i="1"/>
  <c r="AF722" i="1"/>
  <c r="AG722" i="1"/>
  <c r="AH722" i="1"/>
  <c r="AJ722" i="1"/>
  <c r="AK722" i="1"/>
  <c r="AO722" i="1"/>
  <c r="AP722" i="1"/>
  <c r="K722" i="1" s="1"/>
  <c r="AV722" i="1"/>
  <c r="AW722" i="1"/>
  <c r="AX722" i="1"/>
  <c r="BC722" i="1" s="1"/>
  <c r="BD722" i="1"/>
  <c r="BF722" i="1"/>
  <c r="BH722" i="1"/>
  <c r="BI722" i="1"/>
  <c r="AC722" i="1" s="1"/>
  <c r="BJ722" i="1"/>
  <c r="L723" i="1"/>
  <c r="AL723" i="1" s="1"/>
  <c r="Z723" i="1"/>
  <c r="AD723" i="1"/>
  <c r="AE723" i="1"/>
  <c r="AF723" i="1"/>
  <c r="AG723" i="1"/>
  <c r="AH723" i="1"/>
  <c r="AJ723" i="1"/>
  <c r="AK723" i="1"/>
  <c r="AO723" i="1"/>
  <c r="J723" i="1" s="1"/>
  <c r="AP723" i="1"/>
  <c r="K723" i="1" s="1"/>
  <c r="AW723" i="1"/>
  <c r="AX723" i="1"/>
  <c r="BC723" i="1"/>
  <c r="BD723" i="1"/>
  <c r="BF723" i="1"/>
  <c r="BH723" i="1"/>
  <c r="AB723" i="1" s="1"/>
  <c r="BI723" i="1"/>
  <c r="AC723" i="1" s="1"/>
  <c r="BJ723" i="1"/>
  <c r="K724" i="1"/>
  <c r="L724" i="1"/>
  <c r="AL724" i="1" s="1"/>
  <c r="Z724" i="1"/>
  <c r="AD724" i="1"/>
  <c r="AE724" i="1"/>
  <c r="AF724" i="1"/>
  <c r="AG724" i="1"/>
  <c r="AH724" i="1"/>
  <c r="AJ724" i="1"/>
  <c r="AK724" i="1"/>
  <c r="AO724" i="1"/>
  <c r="AP724" i="1"/>
  <c r="AX724" i="1"/>
  <c r="BD724" i="1"/>
  <c r="BF724" i="1"/>
  <c r="BH724" i="1"/>
  <c r="AB724" i="1" s="1"/>
  <c r="BI724" i="1"/>
  <c r="AC724" i="1" s="1"/>
  <c r="BJ724" i="1"/>
  <c r="J725" i="1"/>
  <c r="L725" i="1"/>
  <c r="Z725" i="1"/>
  <c r="AD725" i="1"/>
  <c r="AE725" i="1"/>
  <c r="AF725" i="1"/>
  <c r="AG725" i="1"/>
  <c r="AH725" i="1"/>
  <c r="AJ725" i="1"/>
  <c r="AK725" i="1"/>
  <c r="AL725" i="1"/>
  <c r="AO725" i="1"/>
  <c r="AP725" i="1"/>
  <c r="AW725" i="1"/>
  <c r="BD725" i="1"/>
  <c r="BF725" i="1"/>
  <c r="BH725" i="1"/>
  <c r="AB725" i="1" s="1"/>
  <c r="BJ725" i="1"/>
  <c r="J726" i="1"/>
  <c r="L726" i="1"/>
  <c r="Z726" i="1"/>
  <c r="AD726" i="1"/>
  <c r="AE726" i="1"/>
  <c r="AF726" i="1"/>
  <c r="AG726" i="1"/>
  <c r="AH726" i="1"/>
  <c r="AJ726" i="1"/>
  <c r="AK726" i="1"/>
  <c r="AL726" i="1"/>
  <c r="AO726" i="1"/>
  <c r="AW726" i="1" s="1"/>
  <c r="AP726" i="1"/>
  <c r="BD726" i="1"/>
  <c r="BF726" i="1"/>
  <c r="BI726" i="1"/>
  <c r="AC726" i="1" s="1"/>
  <c r="BJ726" i="1"/>
  <c r="L727" i="1"/>
  <c r="Z727" i="1"/>
  <c r="AD727" i="1"/>
  <c r="AE727" i="1"/>
  <c r="AF727" i="1"/>
  <c r="AG727" i="1"/>
  <c r="AH727" i="1"/>
  <c r="AJ727" i="1"/>
  <c r="AK727" i="1"/>
  <c r="AL727" i="1"/>
  <c r="AO727" i="1"/>
  <c r="AP727" i="1"/>
  <c r="BD727" i="1"/>
  <c r="BF727" i="1"/>
  <c r="BJ727" i="1"/>
  <c r="L728" i="1"/>
  <c r="AL728" i="1" s="1"/>
  <c r="Z728" i="1"/>
  <c r="AC728" i="1"/>
  <c r="AD728" i="1"/>
  <c r="AE728" i="1"/>
  <c r="AF728" i="1"/>
  <c r="AG728" i="1"/>
  <c r="AH728" i="1"/>
  <c r="AJ728" i="1"/>
  <c r="AK728" i="1"/>
  <c r="AO728" i="1"/>
  <c r="AP728" i="1"/>
  <c r="K728" i="1" s="1"/>
  <c r="AX728" i="1"/>
  <c r="BD728" i="1"/>
  <c r="BF728" i="1"/>
  <c r="BH728" i="1"/>
  <c r="AB728" i="1" s="1"/>
  <c r="BI728" i="1"/>
  <c r="BJ728" i="1"/>
  <c r="K729" i="1"/>
  <c r="L729" i="1"/>
  <c r="Z729" i="1"/>
  <c r="AB729" i="1"/>
  <c r="AC729" i="1"/>
  <c r="AD729" i="1"/>
  <c r="AE729" i="1"/>
  <c r="AF729" i="1"/>
  <c r="AG729" i="1"/>
  <c r="AH729" i="1"/>
  <c r="AJ729" i="1"/>
  <c r="AK729" i="1"/>
  <c r="AL729" i="1"/>
  <c r="AO729" i="1"/>
  <c r="J729" i="1" s="1"/>
  <c r="AP729" i="1"/>
  <c r="AW729" i="1"/>
  <c r="AV729" i="1" s="1"/>
  <c r="AX729" i="1"/>
  <c r="BD729" i="1"/>
  <c r="BF729" i="1"/>
  <c r="BH729" i="1"/>
  <c r="BI729" i="1"/>
  <c r="BJ729" i="1"/>
  <c r="J730" i="1"/>
  <c r="L730" i="1"/>
  <c r="AL730" i="1" s="1"/>
  <c r="Z730" i="1"/>
  <c r="AB730" i="1"/>
  <c r="AD730" i="1"/>
  <c r="AE730" i="1"/>
  <c r="AF730" i="1"/>
  <c r="AG730" i="1"/>
  <c r="AH730" i="1"/>
  <c r="AJ730" i="1"/>
  <c r="AK730" i="1"/>
  <c r="AO730" i="1"/>
  <c r="AP730" i="1"/>
  <c r="K730" i="1" s="1"/>
  <c r="AV730" i="1"/>
  <c r="AW730" i="1"/>
  <c r="AX730" i="1"/>
  <c r="BC730" i="1"/>
  <c r="BD730" i="1"/>
  <c r="BF730" i="1"/>
  <c r="BH730" i="1"/>
  <c r="BI730" i="1"/>
  <c r="AC730" i="1" s="1"/>
  <c r="BJ730" i="1"/>
  <c r="K731" i="1"/>
  <c r="L731" i="1"/>
  <c r="AL731" i="1" s="1"/>
  <c r="Z731" i="1"/>
  <c r="AD731" i="1"/>
  <c r="AE731" i="1"/>
  <c r="AF731" i="1"/>
  <c r="AG731" i="1"/>
  <c r="AH731" i="1"/>
  <c r="AJ731" i="1"/>
  <c r="AK731" i="1"/>
  <c r="AO731" i="1"/>
  <c r="J731" i="1" s="1"/>
  <c r="AP731" i="1"/>
  <c r="AX731" i="1" s="1"/>
  <c r="BC731" i="1" s="1"/>
  <c r="AW731" i="1"/>
  <c r="BD731" i="1"/>
  <c r="BF731" i="1"/>
  <c r="BH731" i="1"/>
  <c r="AB731" i="1" s="1"/>
  <c r="BJ731" i="1"/>
  <c r="K732" i="1"/>
  <c r="L732" i="1"/>
  <c r="AL732" i="1" s="1"/>
  <c r="Z732" i="1"/>
  <c r="AD732" i="1"/>
  <c r="AE732" i="1"/>
  <c r="AF732" i="1"/>
  <c r="AG732" i="1"/>
  <c r="AH732" i="1"/>
  <c r="AJ732" i="1"/>
  <c r="AK732" i="1"/>
  <c r="AO732" i="1"/>
  <c r="AP732" i="1"/>
  <c r="AX732" i="1"/>
  <c r="BD732" i="1"/>
  <c r="BF732" i="1"/>
  <c r="BI732" i="1"/>
  <c r="AC732" i="1" s="1"/>
  <c r="BJ732" i="1"/>
  <c r="J733" i="1"/>
  <c r="L733" i="1"/>
  <c r="Z733" i="1"/>
  <c r="AD733" i="1"/>
  <c r="AE733" i="1"/>
  <c r="AF733" i="1"/>
  <c r="AG733" i="1"/>
  <c r="AH733" i="1"/>
  <c r="AJ733" i="1"/>
  <c r="AK733" i="1"/>
  <c r="AL733" i="1"/>
  <c r="AO733" i="1"/>
  <c r="AP733" i="1"/>
  <c r="AW733" i="1"/>
  <c r="BD733" i="1"/>
  <c r="BF733" i="1"/>
  <c r="BH733" i="1"/>
  <c r="AB733" i="1" s="1"/>
  <c r="BJ733" i="1"/>
  <c r="J734" i="1"/>
  <c r="L734" i="1"/>
  <c r="Z734" i="1"/>
  <c r="AD734" i="1"/>
  <c r="AE734" i="1"/>
  <c r="AF734" i="1"/>
  <c r="AG734" i="1"/>
  <c r="AH734" i="1"/>
  <c r="AJ734" i="1"/>
  <c r="AK734" i="1"/>
  <c r="AL734" i="1"/>
  <c r="AO734" i="1"/>
  <c r="AW734" i="1" s="1"/>
  <c r="AP734" i="1"/>
  <c r="BI734" i="1" s="1"/>
  <c r="AC734" i="1" s="1"/>
  <c r="BD734" i="1"/>
  <c r="BF734" i="1"/>
  <c r="BH734" i="1"/>
  <c r="AB734" i="1" s="1"/>
  <c r="BJ734" i="1"/>
  <c r="L735" i="1"/>
  <c r="Z735" i="1"/>
  <c r="AD735" i="1"/>
  <c r="AE735" i="1"/>
  <c r="AF735" i="1"/>
  <c r="AG735" i="1"/>
  <c r="AH735" i="1"/>
  <c r="AJ735" i="1"/>
  <c r="AK735" i="1"/>
  <c r="AL735" i="1"/>
  <c r="AO735" i="1"/>
  <c r="AP735" i="1"/>
  <c r="BD735" i="1"/>
  <c r="BF735" i="1"/>
  <c r="BH735" i="1"/>
  <c r="AB735" i="1" s="1"/>
  <c r="BJ735" i="1"/>
  <c r="L736" i="1"/>
  <c r="AL736" i="1" s="1"/>
  <c r="Z736" i="1"/>
  <c r="AB736" i="1"/>
  <c r="AC736" i="1"/>
  <c r="AD736" i="1"/>
  <c r="AE736" i="1"/>
  <c r="AF736" i="1"/>
  <c r="AG736" i="1"/>
  <c r="AH736" i="1"/>
  <c r="AJ736" i="1"/>
  <c r="AK736" i="1"/>
  <c r="AO736" i="1"/>
  <c r="AP736" i="1"/>
  <c r="K736" i="1" s="1"/>
  <c r="AX736" i="1"/>
  <c r="BD736" i="1"/>
  <c r="BF736" i="1"/>
  <c r="BH736" i="1"/>
  <c r="BI736" i="1"/>
  <c r="BJ736" i="1"/>
  <c r="K737" i="1"/>
  <c r="L737" i="1"/>
  <c r="Z737" i="1"/>
  <c r="AD737" i="1"/>
  <c r="AE737" i="1"/>
  <c r="AF737" i="1"/>
  <c r="AG737" i="1"/>
  <c r="AH737" i="1"/>
  <c r="AJ737" i="1"/>
  <c r="AK737" i="1"/>
  <c r="AL737" i="1"/>
  <c r="AO737" i="1"/>
  <c r="J737" i="1" s="1"/>
  <c r="AP737" i="1"/>
  <c r="AW737" i="1"/>
  <c r="AX737" i="1"/>
  <c r="BC737" i="1"/>
  <c r="BD737" i="1"/>
  <c r="BF737" i="1"/>
  <c r="BH737" i="1"/>
  <c r="AB737" i="1" s="1"/>
  <c r="BI737" i="1"/>
  <c r="AC737" i="1" s="1"/>
  <c r="BJ737" i="1"/>
  <c r="L738" i="1"/>
  <c r="Z738" i="1"/>
  <c r="AD738" i="1"/>
  <c r="AE738" i="1"/>
  <c r="AF738" i="1"/>
  <c r="AG738" i="1"/>
  <c r="AH738" i="1"/>
  <c r="AJ738" i="1"/>
  <c r="AK738" i="1"/>
  <c r="AL738" i="1"/>
  <c r="AO738" i="1"/>
  <c r="AP738" i="1"/>
  <c r="BD738" i="1"/>
  <c r="BF738" i="1"/>
  <c r="BH738" i="1"/>
  <c r="AB738" i="1" s="1"/>
  <c r="BJ738" i="1"/>
  <c r="K739" i="1"/>
  <c r="L739" i="1"/>
  <c r="Z739" i="1"/>
  <c r="AC739" i="1"/>
  <c r="AD739" i="1"/>
  <c r="AE739" i="1"/>
  <c r="AF739" i="1"/>
  <c r="AG739" i="1"/>
  <c r="AH739" i="1"/>
  <c r="AJ739" i="1"/>
  <c r="AK739" i="1"/>
  <c r="AL739" i="1"/>
  <c r="AO739" i="1"/>
  <c r="AP739" i="1"/>
  <c r="AX739" i="1"/>
  <c r="BD739" i="1"/>
  <c r="BF739" i="1"/>
  <c r="BH739" i="1"/>
  <c r="AB739" i="1" s="1"/>
  <c r="BI739" i="1"/>
  <c r="BJ739" i="1"/>
  <c r="J740" i="1"/>
  <c r="L740" i="1"/>
  <c r="Z740" i="1"/>
  <c r="AB740" i="1"/>
  <c r="AC740" i="1"/>
  <c r="AD740" i="1"/>
  <c r="AE740" i="1"/>
  <c r="AF740" i="1"/>
  <c r="AG740" i="1"/>
  <c r="AH740" i="1"/>
  <c r="AJ740" i="1"/>
  <c r="AK740" i="1"/>
  <c r="AL740" i="1"/>
  <c r="AO740" i="1"/>
  <c r="AP740" i="1"/>
  <c r="K740" i="1" s="1"/>
  <c r="AW740" i="1"/>
  <c r="BD740" i="1"/>
  <c r="BF740" i="1"/>
  <c r="BH740" i="1"/>
  <c r="BI740" i="1"/>
  <c r="BJ740" i="1"/>
  <c r="L741" i="1"/>
  <c r="AL741" i="1" s="1"/>
  <c r="Z741" i="1"/>
  <c r="AB741" i="1"/>
  <c r="AD741" i="1"/>
  <c r="AE741" i="1"/>
  <c r="AF741" i="1"/>
  <c r="AG741" i="1"/>
  <c r="AH741" i="1"/>
  <c r="AJ741" i="1"/>
  <c r="AK741" i="1"/>
  <c r="AO741" i="1"/>
  <c r="J741" i="1" s="1"/>
  <c r="AP741" i="1"/>
  <c r="K741" i="1" s="1"/>
  <c r="AX741" i="1"/>
  <c r="BD741" i="1"/>
  <c r="BF741" i="1"/>
  <c r="BH741" i="1"/>
  <c r="BI741" i="1"/>
  <c r="AC741" i="1" s="1"/>
  <c r="BJ741" i="1"/>
  <c r="K742" i="1"/>
  <c r="L742" i="1"/>
  <c r="AL742" i="1" s="1"/>
  <c r="Z742" i="1"/>
  <c r="AC742" i="1"/>
  <c r="AD742" i="1"/>
  <c r="AE742" i="1"/>
  <c r="AF742" i="1"/>
  <c r="AG742" i="1"/>
  <c r="AH742" i="1"/>
  <c r="AJ742" i="1"/>
  <c r="AK742" i="1"/>
  <c r="AO742" i="1"/>
  <c r="J742" i="1" s="1"/>
  <c r="AP742" i="1"/>
  <c r="AW742" i="1"/>
  <c r="AX742" i="1"/>
  <c r="BC742" i="1"/>
  <c r="BD742" i="1"/>
  <c r="BF742" i="1"/>
  <c r="BH742" i="1"/>
  <c r="AB742" i="1" s="1"/>
  <c r="BI742" i="1"/>
  <c r="BJ742" i="1"/>
  <c r="J743" i="1"/>
  <c r="K743" i="1"/>
  <c r="L743" i="1"/>
  <c r="AL743" i="1" s="1"/>
  <c r="Z743" i="1"/>
  <c r="AB743" i="1"/>
  <c r="AC743" i="1"/>
  <c r="AD743" i="1"/>
  <c r="AE743" i="1"/>
  <c r="AF743" i="1"/>
  <c r="AG743" i="1"/>
  <c r="AH743" i="1"/>
  <c r="AJ743" i="1"/>
  <c r="AK743" i="1"/>
  <c r="AO743" i="1"/>
  <c r="AP743" i="1"/>
  <c r="AW743" i="1"/>
  <c r="AX743" i="1"/>
  <c r="BD743" i="1"/>
  <c r="BF743" i="1"/>
  <c r="BH743" i="1"/>
  <c r="BI743" i="1"/>
  <c r="BJ743" i="1"/>
  <c r="J744" i="1"/>
  <c r="K744" i="1"/>
  <c r="L744" i="1"/>
  <c r="Z744" i="1"/>
  <c r="AB744" i="1"/>
  <c r="AD744" i="1"/>
  <c r="AE744" i="1"/>
  <c r="AF744" i="1"/>
  <c r="AG744" i="1"/>
  <c r="AH744" i="1"/>
  <c r="AJ744" i="1"/>
  <c r="AK744" i="1"/>
  <c r="AL744" i="1"/>
  <c r="AO744" i="1"/>
  <c r="AP744" i="1"/>
  <c r="AX744" i="1" s="1"/>
  <c r="AV744" i="1" s="1"/>
  <c r="AW744" i="1"/>
  <c r="BD744" i="1"/>
  <c r="BF744" i="1"/>
  <c r="BH744" i="1"/>
  <c r="BI744" i="1"/>
  <c r="AC744" i="1" s="1"/>
  <c r="BJ744" i="1"/>
  <c r="J745" i="1"/>
  <c r="L745" i="1"/>
  <c r="AL745" i="1" s="1"/>
  <c r="Z745" i="1"/>
  <c r="AD745" i="1"/>
  <c r="AE745" i="1"/>
  <c r="AF745" i="1"/>
  <c r="AG745" i="1"/>
  <c r="AH745" i="1"/>
  <c r="AJ745" i="1"/>
  <c r="AK745" i="1"/>
  <c r="AO745" i="1"/>
  <c r="AW745" i="1" s="1"/>
  <c r="AP745" i="1"/>
  <c r="BD745" i="1"/>
  <c r="BF745" i="1"/>
  <c r="BH745" i="1"/>
  <c r="AB745" i="1" s="1"/>
  <c r="BI745" i="1"/>
  <c r="AC745" i="1" s="1"/>
  <c r="BJ745" i="1"/>
  <c r="L746" i="1"/>
  <c r="Z746" i="1"/>
  <c r="AD746" i="1"/>
  <c r="AE746" i="1"/>
  <c r="AF746" i="1"/>
  <c r="AG746" i="1"/>
  <c r="AH746" i="1"/>
  <c r="AJ746" i="1"/>
  <c r="AK746" i="1"/>
  <c r="AL746" i="1"/>
  <c r="AO746" i="1"/>
  <c r="AP746" i="1"/>
  <c r="BD746" i="1"/>
  <c r="BF746" i="1"/>
  <c r="BH746" i="1"/>
  <c r="AB746" i="1" s="1"/>
  <c r="BJ746" i="1"/>
  <c r="K747" i="1"/>
  <c r="L747" i="1"/>
  <c r="Z747" i="1"/>
  <c r="AC747" i="1"/>
  <c r="AD747" i="1"/>
  <c r="AE747" i="1"/>
  <c r="AF747" i="1"/>
  <c r="AG747" i="1"/>
  <c r="AH747" i="1"/>
  <c r="AJ747" i="1"/>
  <c r="AK747" i="1"/>
  <c r="AL747" i="1"/>
  <c r="AO747" i="1"/>
  <c r="AP747" i="1"/>
  <c r="AX747" i="1"/>
  <c r="BD747" i="1"/>
  <c r="BF747" i="1"/>
  <c r="BH747" i="1"/>
  <c r="AB747" i="1" s="1"/>
  <c r="BI747" i="1"/>
  <c r="BJ747" i="1"/>
  <c r="J748" i="1"/>
  <c r="L748" i="1"/>
  <c r="Z748" i="1"/>
  <c r="AB748" i="1"/>
  <c r="AC748" i="1"/>
  <c r="AD748" i="1"/>
  <c r="AE748" i="1"/>
  <c r="AF748" i="1"/>
  <c r="AG748" i="1"/>
  <c r="AH748" i="1"/>
  <c r="AJ748" i="1"/>
  <c r="AK748" i="1"/>
  <c r="AL748" i="1"/>
  <c r="AO748" i="1"/>
  <c r="AP748" i="1"/>
  <c r="K748" i="1" s="1"/>
  <c r="AW748" i="1"/>
  <c r="BD748" i="1"/>
  <c r="BF748" i="1"/>
  <c r="BH748" i="1"/>
  <c r="BI748" i="1"/>
  <c r="BJ748" i="1"/>
  <c r="L749" i="1"/>
  <c r="AL749" i="1" s="1"/>
  <c r="Z749" i="1"/>
  <c r="AB749" i="1"/>
  <c r="AD749" i="1"/>
  <c r="AE749" i="1"/>
  <c r="AF749" i="1"/>
  <c r="AG749" i="1"/>
  <c r="AH749" i="1"/>
  <c r="AJ749" i="1"/>
  <c r="AK749" i="1"/>
  <c r="AO749" i="1"/>
  <c r="J749" i="1" s="1"/>
  <c r="AP749" i="1"/>
  <c r="K749" i="1" s="1"/>
  <c r="AX749" i="1"/>
  <c r="BD749" i="1"/>
  <c r="BF749" i="1"/>
  <c r="BH749" i="1"/>
  <c r="BI749" i="1"/>
  <c r="AC749" i="1" s="1"/>
  <c r="BJ749" i="1"/>
  <c r="K750" i="1"/>
  <c r="L750" i="1"/>
  <c r="AL750" i="1" s="1"/>
  <c r="Z750" i="1"/>
  <c r="AC750" i="1"/>
  <c r="AD750" i="1"/>
  <c r="AE750" i="1"/>
  <c r="AF750" i="1"/>
  <c r="AG750" i="1"/>
  <c r="AH750" i="1"/>
  <c r="AJ750" i="1"/>
  <c r="AK750" i="1"/>
  <c r="AO750" i="1"/>
  <c r="J750" i="1" s="1"/>
  <c r="AP750" i="1"/>
  <c r="AW750" i="1"/>
  <c r="AX750" i="1"/>
  <c r="BC750" i="1"/>
  <c r="BD750" i="1"/>
  <c r="BF750" i="1"/>
  <c r="BH750" i="1"/>
  <c r="AB750" i="1" s="1"/>
  <c r="BI750" i="1"/>
  <c r="BJ750" i="1"/>
  <c r="J751" i="1"/>
  <c r="K751" i="1"/>
  <c r="L751" i="1"/>
  <c r="AL751" i="1" s="1"/>
  <c r="Z751" i="1"/>
  <c r="AB751" i="1"/>
  <c r="AC751" i="1"/>
  <c r="AD751" i="1"/>
  <c r="AE751" i="1"/>
  <c r="AF751" i="1"/>
  <c r="AG751" i="1"/>
  <c r="AH751" i="1"/>
  <c r="AJ751" i="1"/>
  <c r="AK751" i="1"/>
  <c r="AO751" i="1"/>
  <c r="AP751" i="1"/>
  <c r="AW751" i="1"/>
  <c r="AX751" i="1"/>
  <c r="BD751" i="1"/>
  <c r="BF751" i="1"/>
  <c r="BH751" i="1"/>
  <c r="BI751" i="1"/>
  <c r="BJ751" i="1"/>
  <c r="J752" i="1"/>
  <c r="K752" i="1"/>
  <c r="L752" i="1"/>
  <c r="Z752" i="1"/>
  <c r="AB752" i="1"/>
  <c r="AD752" i="1"/>
  <c r="AE752" i="1"/>
  <c r="AF752" i="1"/>
  <c r="AG752" i="1"/>
  <c r="AH752" i="1"/>
  <c r="AJ752" i="1"/>
  <c r="AK752" i="1"/>
  <c r="AL752" i="1"/>
  <c r="AO752" i="1"/>
  <c r="AP752" i="1"/>
  <c r="AX752" i="1" s="1"/>
  <c r="AV752" i="1" s="1"/>
  <c r="AW752" i="1"/>
  <c r="BD752" i="1"/>
  <c r="BF752" i="1"/>
  <c r="BH752" i="1"/>
  <c r="BI752" i="1"/>
  <c r="AC752" i="1" s="1"/>
  <c r="BJ752" i="1"/>
  <c r="J753" i="1"/>
  <c r="L753" i="1"/>
  <c r="Z753" i="1"/>
  <c r="AD753" i="1"/>
  <c r="AE753" i="1"/>
  <c r="AF753" i="1"/>
  <c r="AG753" i="1"/>
  <c r="AH753" i="1"/>
  <c r="AJ753" i="1"/>
  <c r="AK753" i="1"/>
  <c r="AL753" i="1"/>
  <c r="AO753" i="1"/>
  <c r="AW753" i="1" s="1"/>
  <c r="AP753" i="1"/>
  <c r="BD753" i="1"/>
  <c r="BF753" i="1"/>
  <c r="BH753" i="1"/>
  <c r="AB753" i="1" s="1"/>
  <c r="BJ753" i="1"/>
  <c r="L754" i="1"/>
  <c r="Z754" i="1"/>
  <c r="AD754" i="1"/>
  <c r="AE754" i="1"/>
  <c r="AF754" i="1"/>
  <c r="AG754" i="1"/>
  <c r="AH754" i="1"/>
  <c r="AJ754" i="1"/>
  <c r="AK754" i="1"/>
  <c r="AL754" i="1"/>
  <c r="AO754" i="1"/>
  <c r="AP754" i="1"/>
  <c r="BD754" i="1"/>
  <c r="BF754" i="1"/>
  <c r="BJ754" i="1"/>
  <c r="K755" i="1"/>
  <c r="L755" i="1"/>
  <c r="Z755" i="1"/>
  <c r="AC755" i="1"/>
  <c r="AD755" i="1"/>
  <c r="AE755" i="1"/>
  <c r="AF755" i="1"/>
  <c r="AG755" i="1"/>
  <c r="AH755" i="1"/>
  <c r="AJ755" i="1"/>
  <c r="AK755" i="1"/>
  <c r="AL755" i="1"/>
  <c r="AO755" i="1"/>
  <c r="AP755" i="1"/>
  <c r="AX755" i="1"/>
  <c r="BD755" i="1"/>
  <c r="BF755" i="1"/>
  <c r="BI755" i="1"/>
  <c r="BJ755" i="1"/>
  <c r="J756" i="1"/>
  <c r="L756" i="1"/>
  <c r="Z756" i="1"/>
  <c r="AB756" i="1"/>
  <c r="AC756" i="1"/>
  <c r="AD756" i="1"/>
  <c r="AE756" i="1"/>
  <c r="AF756" i="1"/>
  <c r="AG756" i="1"/>
  <c r="AH756" i="1"/>
  <c r="AJ756" i="1"/>
  <c r="AK756" i="1"/>
  <c r="AL756" i="1"/>
  <c r="AO756" i="1"/>
  <c r="AP756" i="1"/>
  <c r="K756" i="1" s="1"/>
  <c r="AV756" i="1"/>
  <c r="AW756" i="1"/>
  <c r="AX756" i="1"/>
  <c r="BC756" i="1"/>
  <c r="BD756" i="1"/>
  <c r="BF756" i="1"/>
  <c r="BH756" i="1"/>
  <c r="BI756" i="1"/>
  <c r="BJ756" i="1"/>
  <c r="L757" i="1"/>
  <c r="AL757" i="1" s="1"/>
  <c r="Z757" i="1"/>
  <c r="AB757" i="1"/>
  <c r="AD757" i="1"/>
  <c r="AE757" i="1"/>
  <c r="AF757" i="1"/>
  <c r="AG757" i="1"/>
  <c r="AH757" i="1"/>
  <c r="AJ757" i="1"/>
  <c r="AK757" i="1"/>
  <c r="AO757" i="1"/>
  <c r="J757" i="1" s="1"/>
  <c r="AP757" i="1"/>
  <c r="K757" i="1" s="1"/>
  <c r="AX757" i="1"/>
  <c r="BD757" i="1"/>
  <c r="BF757" i="1"/>
  <c r="BH757" i="1"/>
  <c r="BI757" i="1"/>
  <c r="AC757" i="1" s="1"/>
  <c r="BJ757" i="1"/>
  <c r="K758" i="1"/>
  <c r="L758" i="1"/>
  <c r="AL758" i="1" s="1"/>
  <c r="Z758" i="1"/>
  <c r="AD758" i="1"/>
  <c r="AE758" i="1"/>
  <c r="AF758" i="1"/>
  <c r="AG758" i="1"/>
  <c r="AH758" i="1"/>
  <c r="AJ758" i="1"/>
  <c r="AK758" i="1"/>
  <c r="AO758" i="1"/>
  <c r="J758" i="1" s="1"/>
  <c r="AP758" i="1"/>
  <c r="AW758" i="1"/>
  <c r="AX758" i="1"/>
  <c r="BC758" i="1" s="1"/>
  <c r="BD758" i="1"/>
  <c r="BF758" i="1"/>
  <c r="BH758" i="1"/>
  <c r="AB758" i="1" s="1"/>
  <c r="BI758" i="1"/>
  <c r="AC758" i="1" s="1"/>
  <c r="BJ758" i="1"/>
  <c r="J759" i="1"/>
  <c r="K759" i="1"/>
  <c r="L759" i="1"/>
  <c r="AL759" i="1" s="1"/>
  <c r="Z759" i="1"/>
  <c r="AC759" i="1"/>
  <c r="AD759" i="1"/>
  <c r="AE759" i="1"/>
  <c r="AF759" i="1"/>
  <c r="AG759" i="1"/>
  <c r="AH759" i="1"/>
  <c r="AJ759" i="1"/>
  <c r="AK759" i="1"/>
  <c r="AO759" i="1"/>
  <c r="AP759" i="1"/>
  <c r="AW759" i="1"/>
  <c r="AX759" i="1"/>
  <c r="BD759" i="1"/>
  <c r="BF759" i="1"/>
  <c r="BH759" i="1"/>
  <c r="AB759" i="1" s="1"/>
  <c r="BI759" i="1"/>
  <c r="BJ759" i="1"/>
  <c r="J760" i="1"/>
  <c r="K760" i="1"/>
  <c r="L760" i="1"/>
  <c r="Z760" i="1"/>
  <c r="AB760" i="1"/>
  <c r="AD760" i="1"/>
  <c r="AE760" i="1"/>
  <c r="AF760" i="1"/>
  <c r="AG760" i="1"/>
  <c r="AH760" i="1"/>
  <c r="AJ760" i="1"/>
  <c r="AK760" i="1"/>
  <c r="AL760" i="1"/>
  <c r="AO760" i="1"/>
  <c r="AP760" i="1"/>
  <c r="AX760" i="1" s="1"/>
  <c r="AW760" i="1"/>
  <c r="BC760" i="1" s="1"/>
  <c r="BD760" i="1"/>
  <c r="BF760" i="1"/>
  <c r="BH760" i="1"/>
  <c r="BI760" i="1"/>
  <c r="AC760" i="1" s="1"/>
  <c r="BJ760" i="1"/>
  <c r="J761" i="1"/>
  <c r="L761" i="1"/>
  <c r="Z761" i="1"/>
  <c r="AD761" i="1"/>
  <c r="AE761" i="1"/>
  <c r="AF761" i="1"/>
  <c r="AG761" i="1"/>
  <c r="AH761" i="1"/>
  <c r="AJ761" i="1"/>
  <c r="AK761" i="1"/>
  <c r="AL761" i="1"/>
  <c r="AO761" i="1"/>
  <c r="AW761" i="1" s="1"/>
  <c r="AP761" i="1"/>
  <c r="BD761" i="1"/>
  <c r="BF761" i="1"/>
  <c r="BH761" i="1"/>
  <c r="AB761" i="1" s="1"/>
  <c r="BJ761" i="1"/>
  <c r="L762" i="1"/>
  <c r="Z762" i="1"/>
  <c r="AD762" i="1"/>
  <c r="AE762" i="1"/>
  <c r="AF762" i="1"/>
  <c r="AG762" i="1"/>
  <c r="AH762" i="1"/>
  <c r="AJ762" i="1"/>
  <c r="AK762" i="1"/>
  <c r="AL762" i="1"/>
  <c r="AO762" i="1"/>
  <c r="AP762" i="1"/>
  <c r="BD762" i="1"/>
  <c r="BF762" i="1"/>
  <c r="BJ762" i="1"/>
  <c r="K763" i="1"/>
  <c r="L763" i="1"/>
  <c r="Z763" i="1"/>
  <c r="AC763" i="1"/>
  <c r="AD763" i="1"/>
  <c r="AE763" i="1"/>
  <c r="AF763" i="1"/>
  <c r="AG763" i="1"/>
  <c r="AH763" i="1"/>
  <c r="AJ763" i="1"/>
  <c r="AK763" i="1"/>
  <c r="AL763" i="1"/>
  <c r="AO763" i="1"/>
  <c r="BH763" i="1" s="1"/>
  <c r="AB763" i="1" s="1"/>
  <c r="AP763" i="1"/>
  <c r="AX763" i="1"/>
  <c r="BD763" i="1"/>
  <c r="BF763" i="1"/>
  <c r="BI763" i="1"/>
  <c r="BJ763" i="1"/>
  <c r="J764" i="1"/>
  <c r="L764" i="1"/>
  <c r="Z764" i="1"/>
  <c r="AB764" i="1"/>
  <c r="AC764" i="1"/>
  <c r="AD764" i="1"/>
  <c r="AE764" i="1"/>
  <c r="AF764" i="1"/>
  <c r="AG764" i="1"/>
  <c r="AH764" i="1"/>
  <c r="AJ764" i="1"/>
  <c r="AK764" i="1"/>
  <c r="AL764" i="1"/>
  <c r="AO764" i="1"/>
  <c r="AP764" i="1"/>
  <c r="K764" i="1" s="1"/>
  <c r="AW764" i="1"/>
  <c r="BD764" i="1"/>
  <c r="BF764" i="1"/>
  <c r="BH764" i="1"/>
  <c r="BI764" i="1"/>
  <c r="BJ764" i="1"/>
  <c r="L765" i="1"/>
  <c r="AL765" i="1" s="1"/>
  <c r="Z765" i="1"/>
  <c r="AB765" i="1"/>
  <c r="AD765" i="1"/>
  <c r="AE765" i="1"/>
  <c r="AF765" i="1"/>
  <c r="AG765" i="1"/>
  <c r="AH765" i="1"/>
  <c r="AJ765" i="1"/>
  <c r="AK765" i="1"/>
  <c r="AO765" i="1"/>
  <c r="J765" i="1" s="1"/>
  <c r="AP765" i="1"/>
  <c r="K765" i="1" s="1"/>
  <c r="AW765" i="1"/>
  <c r="AV765" i="1" s="1"/>
  <c r="AX765" i="1"/>
  <c r="BC765" i="1"/>
  <c r="BD765" i="1"/>
  <c r="BF765" i="1"/>
  <c r="BH765" i="1"/>
  <c r="BI765" i="1"/>
  <c r="AC765" i="1" s="1"/>
  <c r="BJ765" i="1"/>
  <c r="K766" i="1"/>
  <c r="L766" i="1"/>
  <c r="AL766" i="1" s="1"/>
  <c r="Z766" i="1"/>
  <c r="AD766" i="1"/>
  <c r="AE766" i="1"/>
  <c r="AF766" i="1"/>
  <c r="AG766" i="1"/>
  <c r="AH766" i="1"/>
  <c r="AJ766" i="1"/>
  <c r="AK766" i="1"/>
  <c r="AO766" i="1"/>
  <c r="J766" i="1" s="1"/>
  <c r="AP766" i="1"/>
  <c r="AW766" i="1"/>
  <c r="AX766" i="1"/>
  <c r="BC766" i="1" s="1"/>
  <c r="BD766" i="1"/>
  <c r="BF766" i="1"/>
  <c r="BH766" i="1"/>
  <c r="AB766" i="1" s="1"/>
  <c r="BI766" i="1"/>
  <c r="AC766" i="1" s="1"/>
  <c r="BJ766" i="1"/>
  <c r="J767" i="1"/>
  <c r="K767" i="1"/>
  <c r="L767" i="1"/>
  <c r="AL767" i="1" s="1"/>
  <c r="Z767" i="1"/>
  <c r="AC767" i="1"/>
  <c r="AD767" i="1"/>
  <c r="AE767" i="1"/>
  <c r="AF767" i="1"/>
  <c r="AG767" i="1"/>
  <c r="AH767" i="1"/>
  <c r="AJ767" i="1"/>
  <c r="AK767" i="1"/>
  <c r="AO767" i="1"/>
  <c r="AP767" i="1"/>
  <c r="AW767" i="1"/>
  <c r="AX767" i="1"/>
  <c r="BD767" i="1"/>
  <c r="BF767" i="1"/>
  <c r="BH767" i="1"/>
  <c r="AB767" i="1" s="1"/>
  <c r="BI767" i="1"/>
  <c r="BJ767" i="1"/>
  <c r="J768" i="1"/>
  <c r="K768" i="1"/>
  <c r="L768" i="1"/>
  <c r="Z768" i="1"/>
  <c r="AB768" i="1"/>
  <c r="AD768" i="1"/>
  <c r="AE768" i="1"/>
  <c r="AF768" i="1"/>
  <c r="AG768" i="1"/>
  <c r="AH768" i="1"/>
  <c r="AJ768" i="1"/>
  <c r="AK768" i="1"/>
  <c r="AL768" i="1"/>
  <c r="AO768" i="1"/>
  <c r="AP768" i="1"/>
  <c r="AX768" i="1" s="1"/>
  <c r="AW768" i="1"/>
  <c r="BC768" i="1" s="1"/>
  <c r="BD768" i="1"/>
  <c r="BF768" i="1"/>
  <c r="BH768" i="1"/>
  <c r="BI768" i="1"/>
  <c r="AC768" i="1" s="1"/>
  <c r="BJ768" i="1"/>
  <c r="J769" i="1"/>
  <c r="L769" i="1"/>
  <c r="Z769" i="1"/>
  <c r="AD769" i="1"/>
  <c r="AE769" i="1"/>
  <c r="AF769" i="1"/>
  <c r="AG769" i="1"/>
  <c r="AH769" i="1"/>
  <c r="AJ769" i="1"/>
  <c r="AK769" i="1"/>
  <c r="AL769" i="1"/>
  <c r="AO769" i="1"/>
  <c r="AW769" i="1" s="1"/>
  <c r="AP769" i="1"/>
  <c r="BD769" i="1"/>
  <c r="BF769" i="1"/>
  <c r="BH769" i="1"/>
  <c r="AB769" i="1" s="1"/>
  <c r="BJ769" i="1"/>
  <c r="L770" i="1"/>
  <c r="Z770" i="1"/>
  <c r="AD770" i="1"/>
  <c r="AE770" i="1"/>
  <c r="AF770" i="1"/>
  <c r="AG770" i="1"/>
  <c r="AH770" i="1"/>
  <c r="AJ770" i="1"/>
  <c r="AK770" i="1"/>
  <c r="AL770" i="1"/>
  <c r="AO770" i="1"/>
  <c r="AP770" i="1"/>
  <c r="BD770" i="1"/>
  <c r="BF770" i="1"/>
  <c r="BJ770" i="1"/>
  <c r="K771" i="1"/>
  <c r="L771" i="1"/>
  <c r="Z771" i="1"/>
  <c r="AC771" i="1"/>
  <c r="AD771" i="1"/>
  <c r="AE771" i="1"/>
  <c r="AF771" i="1"/>
  <c r="AG771" i="1"/>
  <c r="AH771" i="1"/>
  <c r="AJ771" i="1"/>
  <c r="AK771" i="1"/>
  <c r="AL771" i="1"/>
  <c r="AO771" i="1"/>
  <c r="BH771" i="1" s="1"/>
  <c r="AB771" i="1" s="1"/>
  <c r="AP771" i="1"/>
  <c r="AX771" i="1"/>
  <c r="BD771" i="1"/>
  <c r="BF771" i="1"/>
  <c r="BI771" i="1"/>
  <c r="BJ771" i="1"/>
  <c r="J772" i="1"/>
  <c r="L772" i="1"/>
  <c r="Z772" i="1"/>
  <c r="AB772" i="1"/>
  <c r="AC772" i="1"/>
  <c r="AD772" i="1"/>
  <c r="AE772" i="1"/>
  <c r="AF772" i="1"/>
  <c r="AG772" i="1"/>
  <c r="AH772" i="1"/>
  <c r="AJ772" i="1"/>
  <c r="AK772" i="1"/>
  <c r="AL772" i="1"/>
  <c r="AO772" i="1"/>
  <c r="AP772" i="1"/>
  <c r="K772" i="1" s="1"/>
  <c r="AV772" i="1"/>
  <c r="AW772" i="1"/>
  <c r="AX772" i="1"/>
  <c r="BC772" i="1"/>
  <c r="BD772" i="1"/>
  <c r="BF772" i="1"/>
  <c r="BH772" i="1"/>
  <c r="BI772" i="1"/>
  <c r="BJ772" i="1"/>
  <c r="L773" i="1"/>
  <c r="AL773" i="1" s="1"/>
  <c r="Z773" i="1"/>
  <c r="AB773" i="1"/>
  <c r="AD773" i="1"/>
  <c r="AE773" i="1"/>
  <c r="AF773" i="1"/>
  <c r="AG773" i="1"/>
  <c r="AH773" i="1"/>
  <c r="AJ773" i="1"/>
  <c r="AK773" i="1"/>
  <c r="AO773" i="1"/>
  <c r="J773" i="1" s="1"/>
  <c r="AP773" i="1"/>
  <c r="K773" i="1" s="1"/>
  <c r="AW773" i="1"/>
  <c r="AV773" i="1" s="1"/>
  <c r="AX773" i="1"/>
  <c r="BC773" i="1"/>
  <c r="BD773" i="1"/>
  <c r="BF773" i="1"/>
  <c r="BH773" i="1"/>
  <c r="BI773" i="1"/>
  <c r="AC773" i="1" s="1"/>
  <c r="BJ773" i="1"/>
  <c r="L774" i="1"/>
  <c r="AL774" i="1" s="1"/>
  <c r="Z774" i="1"/>
  <c r="AD774" i="1"/>
  <c r="AE774" i="1"/>
  <c r="AF774" i="1"/>
  <c r="AG774" i="1"/>
  <c r="AH774" i="1"/>
  <c r="AJ774" i="1"/>
  <c r="AK774" i="1"/>
  <c r="AO774" i="1"/>
  <c r="J774" i="1" s="1"/>
  <c r="AP774" i="1"/>
  <c r="K774" i="1" s="1"/>
  <c r="AX774" i="1"/>
  <c r="BD774" i="1"/>
  <c r="BF774" i="1"/>
  <c r="BH774" i="1"/>
  <c r="AB774" i="1" s="1"/>
  <c r="BI774" i="1"/>
  <c r="AC774" i="1" s="1"/>
  <c r="BJ774" i="1"/>
  <c r="K775" i="1"/>
  <c r="L775" i="1"/>
  <c r="AL775" i="1" s="1"/>
  <c r="Z775" i="1"/>
  <c r="AC775" i="1"/>
  <c r="AD775" i="1"/>
  <c r="AE775" i="1"/>
  <c r="AF775" i="1"/>
  <c r="AG775" i="1"/>
  <c r="AH775" i="1"/>
  <c r="AJ775" i="1"/>
  <c r="AK775" i="1"/>
  <c r="AO775" i="1"/>
  <c r="J775" i="1" s="1"/>
  <c r="AP775" i="1"/>
  <c r="AW775" i="1"/>
  <c r="AX775" i="1"/>
  <c r="BD775" i="1"/>
  <c r="BF775" i="1"/>
  <c r="BH775" i="1"/>
  <c r="AB775" i="1" s="1"/>
  <c r="BI775" i="1"/>
  <c r="BJ775" i="1"/>
  <c r="J776" i="1"/>
  <c r="K776" i="1"/>
  <c r="L776" i="1"/>
  <c r="Z776" i="1"/>
  <c r="AB776" i="1"/>
  <c r="AD776" i="1"/>
  <c r="AE776" i="1"/>
  <c r="AF776" i="1"/>
  <c r="AG776" i="1"/>
  <c r="AH776" i="1"/>
  <c r="AJ776" i="1"/>
  <c r="AK776" i="1"/>
  <c r="AL776" i="1"/>
  <c r="AO776" i="1"/>
  <c r="AP776" i="1"/>
  <c r="AX776" i="1" s="1"/>
  <c r="AW776" i="1"/>
  <c r="BC776" i="1" s="1"/>
  <c r="BD776" i="1"/>
  <c r="BF776" i="1"/>
  <c r="BH776" i="1"/>
  <c r="BI776" i="1"/>
  <c r="AC776" i="1" s="1"/>
  <c r="BJ776" i="1"/>
  <c r="J777" i="1"/>
  <c r="L777" i="1"/>
  <c r="Z777" i="1"/>
  <c r="AD777" i="1"/>
  <c r="AE777" i="1"/>
  <c r="AF777" i="1"/>
  <c r="AG777" i="1"/>
  <c r="AH777" i="1"/>
  <c r="AJ777" i="1"/>
  <c r="AK777" i="1"/>
  <c r="AL777" i="1"/>
  <c r="AO777" i="1"/>
  <c r="AW777" i="1" s="1"/>
  <c r="AP777" i="1"/>
  <c r="BD777" i="1"/>
  <c r="BF777" i="1"/>
  <c r="BH777" i="1"/>
  <c r="AB777" i="1" s="1"/>
  <c r="BJ777" i="1"/>
  <c r="L778" i="1"/>
  <c r="Z778" i="1"/>
  <c r="AD778" i="1"/>
  <c r="AE778" i="1"/>
  <c r="AF778" i="1"/>
  <c r="AG778" i="1"/>
  <c r="AH778" i="1"/>
  <c r="AJ778" i="1"/>
  <c r="AK778" i="1"/>
  <c r="AL778" i="1"/>
  <c r="AO778" i="1"/>
  <c r="AP778" i="1"/>
  <c r="BD778" i="1"/>
  <c r="BF778" i="1"/>
  <c r="BJ778" i="1"/>
  <c r="K779" i="1"/>
  <c r="L779" i="1"/>
  <c r="Z779" i="1"/>
  <c r="AC779" i="1"/>
  <c r="AD779" i="1"/>
  <c r="AE779" i="1"/>
  <c r="AF779" i="1"/>
  <c r="AG779" i="1"/>
  <c r="AH779" i="1"/>
  <c r="AJ779" i="1"/>
  <c r="AK779" i="1"/>
  <c r="AL779" i="1"/>
  <c r="AO779" i="1"/>
  <c r="BH779" i="1" s="1"/>
  <c r="AB779" i="1" s="1"/>
  <c r="AP779" i="1"/>
  <c r="AX779" i="1"/>
  <c r="BD779" i="1"/>
  <c r="BF779" i="1"/>
  <c r="BI779" i="1"/>
  <c r="BJ779" i="1"/>
  <c r="J780" i="1"/>
  <c r="L780" i="1"/>
  <c r="Z780" i="1"/>
  <c r="AB780" i="1"/>
  <c r="AC780" i="1"/>
  <c r="AD780" i="1"/>
  <c r="AE780" i="1"/>
  <c r="AF780" i="1"/>
  <c r="AG780" i="1"/>
  <c r="AH780" i="1"/>
  <c r="AJ780" i="1"/>
  <c r="AK780" i="1"/>
  <c r="AL780" i="1"/>
  <c r="AO780" i="1"/>
  <c r="AP780" i="1"/>
  <c r="K780" i="1" s="1"/>
  <c r="AW780" i="1"/>
  <c r="AV780" i="1" s="1"/>
  <c r="AX780" i="1"/>
  <c r="BC780" i="1"/>
  <c r="BD780" i="1"/>
  <c r="BF780" i="1"/>
  <c r="BH780" i="1"/>
  <c r="BI780" i="1"/>
  <c r="BJ780" i="1"/>
  <c r="L781" i="1"/>
  <c r="AL781" i="1" s="1"/>
  <c r="Z781" i="1"/>
  <c r="AB781" i="1"/>
  <c r="AD781" i="1"/>
  <c r="AE781" i="1"/>
  <c r="AF781" i="1"/>
  <c r="AG781" i="1"/>
  <c r="AH781" i="1"/>
  <c r="AJ781" i="1"/>
  <c r="AK781" i="1"/>
  <c r="AO781" i="1"/>
  <c r="J781" i="1" s="1"/>
  <c r="AP781" i="1"/>
  <c r="K781" i="1" s="1"/>
  <c r="AW781" i="1"/>
  <c r="AX781" i="1"/>
  <c r="AV781" i="1" s="1"/>
  <c r="BC781" i="1"/>
  <c r="BD781" i="1"/>
  <c r="BF781" i="1"/>
  <c r="BH781" i="1"/>
  <c r="BI781" i="1"/>
  <c r="AC781" i="1" s="1"/>
  <c r="BJ781" i="1"/>
  <c r="L782" i="1"/>
  <c r="AL782" i="1" s="1"/>
  <c r="Z782" i="1"/>
  <c r="AD782" i="1"/>
  <c r="AE782" i="1"/>
  <c r="AF782" i="1"/>
  <c r="AG782" i="1"/>
  <c r="AH782" i="1"/>
  <c r="AJ782" i="1"/>
  <c r="AK782" i="1"/>
  <c r="AO782" i="1"/>
  <c r="J782" i="1" s="1"/>
  <c r="AP782" i="1"/>
  <c r="K782" i="1" s="1"/>
  <c r="AW782" i="1"/>
  <c r="AV782" i="1" s="1"/>
  <c r="AX782" i="1"/>
  <c r="BC782" i="1" s="1"/>
  <c r="BD782" i="1"/>
  <c r="BF782" i="1"/>
  <c r="BH782" i="1"/>
  <c r="AB782" i="1" s="1"/>
  <c r="BI782" i="1"/>
  <c r="AC782" i="1" s="1"/>
  <c r="BJ782" i="1"/>
  <c r="K783" i="1"/>
  <c r="L783" i="1"/>
  <c r="AL783" i="1" s="1"/>
  <c r="Z783" i="1"/>
  <c r="AD783" i="1"/>
  <c r="AE783" i="1"/>
  <c r="AF783" i="1"/>
  <c r="AG783" i="1"/>
  <c r="AH783" i="1"/>
  <c r="AJ783" i="1"/>
  <c r="AK783" i="1"/>
  <c r="AO783" i="1"/>
  <c r="J783" i="1" s="1"/>
  <c r="AP783" i="1"/>
  <c r="AW783" i="1"/>
  <c r="AX783" i="1"/>
  <c r="BD783" i="1"/>
  <c r="BF783" i="1"/>
  <c r="BH783" i="1"/>
  <c r="AB783" i="1" s="1"/>
  <c r="BI783" i="1"/>
  <c r="AC783" i="1" s="1"/>
  <c r="BJ783" i="1"/>
  <c r="J784" i="1"/>
  <c r="K784" i="1"/>
  <c r="L784" i="1"/>
  <c r="Z784" i="1"/>
  <c r="AB784" i="1"/>
  <c r="AD784" i="1"/>
  <c r="AE784" i="1"/>
  <c r="AF784" i="1"/>
  <c r="AG784" i="1"/>
  <c r="AH784" i="1"/>
  <c r="AJ784" i="1"/>
  <c r="AK784" i="1"/>
  <c r="AL784" i="1"/>
  <c r="AO784" i="1"/>
  <c r="AP784" i="1"/>
  <c r="AX784" i="1" s="1"/>
  <c r="AV784" i="1" s="1"/>
  <c r="AW784" i="1"/>
  <c r="BD784" i="1"/>
  <c r="BF784" i="1"/>
  <c r="BH784" i="1"/>
  <c r="BI784" i="1"/>
  <c r="AC784" i="1" s="1"/>
  <c r="BJ784" i="1"/>
  <c r="J785" i="1"/>
  <c r="L785" i="1"/>
  <c r="Z785" i="1"/>
  <c r="AD785" i="1"/>
  <c r="AE785" i="1"/>
  <c r="AF785" i="1"/>
  <c r="AG785" i="1"/>
  <c r="AH785" i="1"/>
  <c r="AJ785" i="1"/>
  <c r="AK785" i="1"/>
  <c r="AL785" i="1"/>
  <c r="AO785" i="1"/>
  <c r="AW785" i="1" s="1"/>
  <c r="AP785" i="1"/>
  <c r="BD785" i="1"/>
  <c r="BF785" i="1"/>
  <c r="BH785" i="1"/>
  <c r="AB785" i="1" s="1"/>
  <c r="BJ785" i="1"/>
  <c r="L786" i="1"/>
  <c r="Z786" i="1"/>
  <c r="AD786" i="1"/>
  <c r="AE786" i="1"/>
  <c r="AF786" i="1"/>
  <c r="AG786" i="1"/>
  <c r="AH786" i="1"/>
  <c r="AJ786" i="1"/>
  <c r="AK786" i="1"/>
  <c r="AL786" i="1"/>
  <c r="AO786" i="1"/>
  <c r="AP786" i="1"/>
  <c r="BD786" i="1"/>
  <c r="BF786" i="1"/>
  <c r="BJ786" i="1"/>
  <c r="L787" i="1"/>
  <c r="Z787" i="1"/>
  <c r="AC787" i="1"/>
  <c r="AD787" i="1"/>
  <c r="AE787" i="1"/>
  <c r="AF787" i="1"/>
  <c r="AG787" i="1"/>
  <c r="AH787" i="1"/>
  <c r="AJ787" i="1"/>
  <c r="AK787" i="1"/>
  <c r="AL787" i="1"/>
  <c r="AO787" i="1"/>
  <c r="AP787" i="1"/>
  <c r="K787" i="1" s="1"/>
  <c r="AX787" i="1"/>
  <c r="BD787" i="1"/>
  <c r="BF787" i="1"/>
  <c r="BI787" i="1"/>
  <c r="BJ787" i="1"/>
  <c r="K788" i="1"/>
  <c r="L788" i="1"/>
  <c r="Z788" i="1"/>
  <c r="AB788" i="1"/>
  <c r="AC788" i="1"/>
  <c r="AD788" i="1"/>
  <c r="AE788" i="1"/>
  <c r="AF788" i="1"/>
  <c r="AG788" i="1"/>
  <c r="AH788" i="1"/>
  <c r="AJ788" i="1"/>
  <c r="AK788" i="1"/>
  <c r="AL788" i="1"/>
  <c r="AO788" i="1"/>
  <c r="J788" i="1" s="1"/>
  <c r="AP788" i="1"/>
  <c r="AW788" i="1"/>
  <c r="AV788" i="1" s="1"/>
  <c r="AX788" i="1"/>
  <c r="BD788" i="1"/>
  <c r="BF788" i="1"/>
  <c r="BH788" i="1"/>
  <c r="BI788" i="1"/>
  <c r="BJ788" i="1"/>
  <c r="L789" i="1"/>
  <c r="Z789" i="1"/>
  <c r="AB789" i="1"/>
  <c r="AD789" i="1"/>
  <c r="AE789" i="1"/>
  <c r="AF789" i="1"/>
  <c r="AG789" i="1"/>
  <c r="AH789" i="1"/>
  <c r="AJ789" i="1"/>
  <c r="AK789" i="1"/>
  <c r="AL789" i="1"/>
  <c r="AO789" i="1"/>
  <c r="J789" i="1" s="1"/>
  <c r="AP789" i="1"/>
  <c r="K789" i="1" s="1"/>
  <c r="AV789" i="1"/>
  <c r="AW789" i="1"/>
  <c r="AX789" i="1"/>
  <c r="BC789" i="1"/>
  <c r="BD789" i="1"/>
  <c r="BF789" i="1"/>
  <c r="BH789" i="1"/>
  <c r="BI789" i="1"/>
  <c r="AC789" i="1" s="1"/>
  <c r="BJ789" i="1"/>
  <c r="L790" i="1"/>
  <c r="AL790" i="1" s="1"/>
  <c r="Z790" i="1"/>
  <c r="AD790" i="1"/>
  <c r="AE790" i="1"/>
  <c r="AF790" i="1"/>
  <c r="AG790" i="1"/>
  <c r="AH790" i="1"/>
  <c r="AJ790" i="1"/>
  <c r="AK790" i="1"/>
  <c r="AO790" i="1"/>
  <c r="J790" i="1" s="1"/>
  <c r="AP790" i="1"/>
  <c r="K790" i="1" s="1"/>
  <c r="AX790" i="1"/>
  <c r="BD790" i="1"/>
  <c r="BF790" i="1"/>
  <c r="BH790" i="1"/>
  <c r="AB790" i="1" s="1"/>
  <c r="BI790" i="1"/>
  <c r="AC790" i="1" s="1"/>
  <c r="BJ790" i="1"/>
  <c r="K791" i="1"/>
  <c r="L791" i="1"/>
  <c r="AL791" i="1" s="1"/>
  <c r="Z791" i="1"/>
  <c r="AD791" i="1"/>
  <c r="AE791" i="1"/>
  <c r="AF791" i="1"/>
  <c r="AG791" i="1"/>
  <c r="AH791" i="1"/>
  <c r="AJ791" i="1"/>
  <c r="AK791" i="1"/>
  <c r="AO791" i="1"/>
  <c r="J791" i="1" s="1"/>
  <c r="AP791" i="1"/>
  <c r="AW791" i="1"/>
  <c r="AX791" i="1"/>
  <c r="BD791" i="1"/>
  <c r="BF791" i="1"/>
  <c r="BH791" i="1"/>
  <c r="AB791" i="1" s="1"/>
  <c r="BI791" i="1"/>
  <c r="AC791" i="1" s="1"/>
  <c r="BJ791" i="1"/>
  <c r="J792" i="1"/>
  <c r="K792" i="1"/>
  <c r="L792" i="1"/>
  <c r="Z792" i="1"/>
  <c r="AD792" i="1"/>
  <c r="AE792" i="1"/>
  <c r="AF792" i="1"/>
  <c r="AG792" i="1"/>
  <c r="AH792" i="1"/>
  <c r="AJ792" i="1"/>
  <c r="AK792" i="1"/>
  <c r="AL792" i="1"/>
  <c r="AO792" i="1"/>
  <c r="AP792" i="1"/>
  <c r="AX792" i="1" s="1"/>
  <c r="AW792" i="1"/>
  <c r="BC792" i="1" s="1"/>
  <c r="BD792" i="1"/>
  <c r="BF792" i="1"/>
  <c r="BH792" i="1"/>
  <c r="AB792" i="1" s="1"/>
  <c r="BI792" i="1"/>
  <c r="AC792" i="1" s="1"/>
  <c r="BJ792" i="1"/>
  <c r="J793" i="1"/>
  <c r="L793" i="1"/>
  <c r="Z793" i="1"/>
  <c r="AD793" i="1"/>
  <c r="AE793" i="1"/>
  <c r="AF793" i="1"/>
  <c r="AG793" i="1"/>
  <c r="AH793" i="1"/>
  <c r="AJ793" i="1"/>
  <c r="AK793" i="1"/>
  <c r="AL793" i="1"/>
  <c r="AO793" i="1"/>
  <c r="AW793" i="1" s="1"/>
  <c r="AP793" i="1"/>
  <c r="BI793" i="1" s="1"/>
  <c r="AC793" i="1" s="1"/>
  <c r="BD793" i="1"/>
  <c r="BF793" i="1"/>
  <c r="BH793" i="1"/>
  <c r="AB793" i="1" s="1"/>
  <c r="BJ793" i="1"/>
  <c r="L794" i="1"/>
  <c r="Z794" i="1"/>
  <c r="AD794" i="1"/>
  <c r="AE794" i="1"/>
  <c r="AF794" i="1"/>
  <c r="AG794" i="1"/>
  <c r="AH794" i="1"/>
  <c r="AJ794" i="1"/>
  <c r="AK794" i="1"/>
  <c r="AL794" i="1"/>
  <c r="AO794" i="1"/>
  <c r="AP794" i="1"/>
  <c r="BD794" i="1"/>
  <c r="BF794" i="1"/>
  <c r="BH794" i="1"/>
  <c r="AB794" i="1" s="1"/>
  <c r="BI794" i="1"/>
  <c r="AC794" i="1" s="1"/>
  <c r="BJ794" i="1"/>
  <c r="L795" i="1"/>
  <c r="Z795" i="1"/>
  <c r="AC795" i="1"/>
  <c r="AD795" i="1"/>
  <c r="AE795" i="1"/>
  <c r="AF795" i="1"/>
  <c r="AG795" i="1"/>
  <c r="AH795" i="1"/>
  <c r="AJ795" i="1"/>
  <c r="AK795" i="1"/>
  <c r="AL795" i="1"/>
  <c r="AO795" i="1"/>
  <c r="AP795" i="1"/>
  <c r="K795" i="1" s="1"/>
  <c r="AX795" i="1"/>
  <c r="BD795" i="1"/>
  <c r="BF795" i="1"/>
  <c r="BI795" i="1"/>
  <c r="BJ795" i="1"/>
  <c r="K796" i="1"/>
  <c r="L796" i="1"/>
  <c r="Z796" i="1"/>
  <c r="AB796" i="1"/>
  <c r="AC796" i="1"/>
  <c r="AD796" i="1"/>
  <c r="AE796" i="1"/>
  <c r="AF796" i="1"/>
  <c r="AG796" i="1"/>
  <c r="AH796" i="1"/>
  <c r="AJ796" i="1"/>
  <c r="AK796" i="1"/>
  <c r="AL796" i="1"/>
  <c r="AO796" i="1"/>
  <c r="J796" i="1" s="1"/>
  <c r="AP796" i="1"/>
  <c r="AW796" i="1"/>
  <c r="AV796" i="1" s="1"/>
  <c r="AX796" i="1"/>
  <c r="BD796" i="1"/>
  <c r="BF796" i="1"/>
  <c r="BH796" i="1"/>
  <c r="BI796" i="1"/>
  <c r="BJ796" i="1"/>
  <c r="J797" i="1"/>
  <c r="L797" i="1"/>
  <c r="Z797" i="1"/>
  <c r="AB797" i="1"/>
  <c r="AD797" i="1"/>
  <c r="AE797" i="1"/>
  <c r="AF797" i="1"/>
  <c r="AG797" i="1"/>
  <c r="AH797" i="1"/>
  <c r="AJ797" i="1"/>
  <c r="AK797" i="1"/>
  <c r="AL797" i="1"/>
  <c r="AO797" i="1"/>
  <c r="AP797" i="1"/>
  <c r="K797" i="1" s="1"/>
  <c r="AV797" i="1"/>
  <c r="AW797" i="1"/>
  <c r="AX797" i="1"/>
  <c r="BC797" i="1"/>
  <c r="BD797" i="1"/>
  <c r="BF797" i="1"/>
  <c r="BH797" i="1"/>
  <c r="BI797" i="1"/>
  <c r="AC797" i="1" s="1"/>
  <c r="BJ797" i="1"/>
  <c r="L798" i="1"/>
  <c r="AL798" i="1" s="1"/>
  <c r="Z798" i="1"/>
  <c r="AD798" i="1"/>
  <c r="AE798" i="1"/>
  <c r="AF798" i="1"/>
  <c r="AG798" i="1"/>
  <c r="AH798" i="1"/>
  <c r="AJ798" i="1"/>
  <c r="AK798" i="1"/>
  <c r="AO798" i="1"/>
  <c r="J798" i="1" s="1"/>
  <c r="AP798" i="1"/>
  <c r="K798" i="1" s="1"/>
  <c r="AW798" i="1"/>
  <c r="AX798" i="1"/>
  <c r="BC798" i="1" s="1"/>
  <c r="BD798" i="1"/>
  <c r="BF798" i="1"/>
  <c r="BH798" i="1"/>
  <c r="AB798" i="1" s="1"/>
  <c r="BI798" i="1"/>
  <c r="AC798" i="1" s="1"/>
  <c r="BJ798" i="1"/>
  <c r="K799" i="1"/>
  <c r="L799" i="1"/>
  <c r="AL799" i="1" s="1"/>
  <c r="Z799" i="1"/>
  <c r="AD799" i="1"/>
  <c r="AE799" i="1"/>
  <c r="AF799" i="1"/>
  <c r="AG799" i="1"/>
  <c r="AH799" i="1"/>
  <c r="AJ799" i="1"/>
  <c r="AK799" i="1"/>
  <c r="AO799" i="1"/>
  <c r="J799" i="1" s="1"/>
  <c r="AP799" i="1"/>
  <c r="AW799" i="1"/>
  <c r="AX799" i="1"/>
  <c r="BD799" i="1"/>
  <c r="BF799" i="1"/>
  <c r="BH799" i="1"/>
  <c r="AB799" i="1" s="1"/>
  <c r="BI799" i="1"/>
  <c r="AC799" i="1" s="1"/>
  <c r="BJ799" i="1"/>
  <c r="J800" i="1"/>
  <c r="K800" i="1"/>
  <c r="L800" i="1"/>
  <c r="Z800" i="1"/>
  <c r="AD800" i="1"/>
  <c r="AE800" i="1"/>
  <c r="AF800" i="1"/>
  <c r="AG800" i="1"/>
  <c r="AH800" i="1"/>
  <c r="AJ800" i="1"/>
  <c r="AK800" i="1"/>
  <c r="AL800" i="1"/>
  <c r="AO800" i="1"/>
  <c r="AP800" i="1"/>
  <c r="AX800" i="1" s="1"/>
  <c r="AV800" i="1"/>
  <c r="AW800" i="1"/>
  <c r="BD800" i="1"/>
  <c r="BF800" i="1"/>
  <c r="BH800" i="1"/>
  <c r="AB800" i="1" s="1"/>
  <c r="BI800" i="1"/>
  <c r="AC800" i="1" s="1"/>
  <c r="BJ800" i="1"/>
  <c r="J801" i="1"/>
  <c r="L801" i="1"/>
  <c r="Z801" i="1"/>
  <c r="AD801" i="1"/>
  <c r="AE801" i="1"/>
  <c r="AF801" i="1"/>
  <c r="AG801" i="1"/>
  <c r="AH801" i="1"/>
  <c r="AJ801" i="1"/>
  <c r="AK801" i="1"/>
  <c r="AL801" i="1"/>
  <c r="AO801" i="1"/>
  <c r="AW801" i="1" s="1"/>
  <c r="AP801" i="1"/>
  <c r="BD801" i="1"/>
  <c r="BF801" i="1"/>
  <c r="BH801" i="1"/>
  <c r="AB801" i="1" s="1"/>
  <c r="BI801" i="1"/>
  <c r="AC801" i="1" s="1"/>
  <c r="BJ801" i="1"/>
  <c r="L802" i="1"/>
  <c r="Z802" i="1"/>
  <c r="AD802" i="1"/>
  <c r="AE802" i="1"/>
  <c r="AF802" i="1"/>
  <c r="AG802" i="1"/>
  <c r="AH802" i="1"/>
  <c r="AJ802" i="1"/>
  <c r="AK802" i="1"/>
  <c r="AL802" i="1"/>
  <c r="AO802" i="1"/>
  <c r="AP802" i="1"/>
  <c r="BD802" i="1"/>
  <c r="BF802" i="1"/>
  <c r="BH802" i="1"/>
  <c r="AB802" i="1" s="1"/>
  <c r="BI802" i="1"/>
  <c r="AC802" i="1" s="1"/>
  <c r="BJ802" i="1"/>
  <c r="L803" i="1"/>
  <c r="Z803" i="1"/>
  <c r="AC803" i="1"/>
  <c r="AD803" i="1"/>
  <c r="AE803" i="1"/>
  <c r="AF803" i="1"/>
  <c r="AG803" i="1"/>
  <c r="AH803" i="1"/>
  <c r="AJ803" i="1"/>
  <c r="AK803" i="1"/>
  <c r="AL803" i="1"/>
  <c r="AO803" i="1"/>
  <c r="AP803" i="1"/>
  <c r="K803" i="1" s="1"/>
  <c r="AX803" i="1"/>
  <c r="BD803" i="1"/>
  <c r="BF803" i="1"/>
  <c r="BI803" i="1"/>
  <c r="BJ803" i="1"/>
  <c r="K804" i="1"/>
  <c r="L804" i="1"/>
  <c r="Z804" i="1"/>
  <c r="AB804" i="1"/>
  <c r="AC804" i="1"/>
  <c r="AD804" i="1"/>
  <c r="AE804" i="1"/>
  <c r="AF804" i="1"/>
  <c r="AG804" i="1"/>
  <c r="AH804" i="1"/>
  <c r="AJ804" i="1"/>
  <c r="AK804" i="1"/>
  <c r="AL804" i="1"/>
  <c r="AO804" i="1"/>
  <c r="J804" i="1" s="1"/>
  <c r="AP804" i="1"/>
  <c r="AW804" i="1"/>
  <c r="AV804" i="1" s="1"/>
  <c r="AX804" i="1"/>
  <c r="BD804" i="1"/>
  <c r="BF804" i="1"/>
  <c r="BH804" i="1"/>
  <c r="BI804" i="1"/>
  <c r="BJ804" i="1"/>
  <c r="J805" i="1"/>
  <c r="L805" i="1"/>
  <c r="AL805" i="1" s="1"/>
  <c r="Z805" i="1"/>
  <c r="AB805" i="1"/>
  <c r="AD805" i="1"/>
  <c r="AE805" i="1"/>
  <c r="AF805" i="1"/>
  <c r="AG805" i="1"/>
  <c r="AH805" i="1"/>
  <c r="AJ805" i="1"/>
  <c r="AK805" i="1"/>
  <c r="AO805" i="1"/>
  <c r="AP805" i="1"/>
  <c r="K805" i="1" s="1"/>
  <c r="AV805" i="1"/>
  <c r="AW805" i="1"/>
  <c r="AX805" i="1"/>
  <c r="BC805" i="1"/>
  <c r="BD805" i="1"/>
  <c r="BF805" i="1"/>
  <c r="BH805" i="1"/>
  <c r="BI805" i="1"/>
  <c r="AC805" i="1" s="1"/>
  <c r="BJ805" i="1"/>
  <c r="L806" i="1"/>
  <c r="AL806" i="1" s="1"/>
  <c r="Z806" i="1"/>
  <c r="AD806" i="1"/>
  <c r="AE806" i="1"/>
  <c r="AF806" i="1"/>
  <c r="AG806" i="1"/>
  <c r="AH806" i="1"/>
  <c r="AJ806" i="1"/>
  <c r="AK806" i="1"/>
  <c r="AO806" i="1"/>
  <c r="J806" i="1" s="1"/>
  <c r="AP806" i="1"/>
  <c r="K806" i="1" s="1"/>
  <c r="AW806" i="1"/>
  <c r="AX806" i="1"/>
  <c r="BC806" i="1"/>
  <c r="BD806" i="1"/>
  <c r="BF806" i="1"/>
  <c r="BH806" i="1"/>
  <c r="AB806" i="1" s="1"/>
  <c r="BI806" i="1"/>
  <c r="AC806" i="1" s="1"/>
  <c r="BJ806" i="1"/>
  <c r="K807" i="1"/>
  <c r="L807" i="1"/>
  <c r="AL807" i="1" s="1"/>
  <c r="Z807" i="1"/>
  <c r="AC807" i="1"/>
  <c r="AD807" i="1"/>
  <c r="AE807" i="1"/>
  <c r="AF807" i="1"/>
  <c r="AG807" i="1"/>
  <c r="AH807" i="1"/>
  <c r="AJ807" i="1"/>
  <c r="AK807" i="1"/>
  <c r="AO807" i="1"/>
  <c r="J807" i="1" s="1"/>
  <c r="AP807" i="1"/>
  <c r="AW807" i="1"/>
  <c r="AX807" i="1"/>
  <c r="BD807" i="1"/>
  <c r="BF807" i="1"/>
  <c r="BH807" i="1"/>
  <c r="AB807" i="1" s="1"/>
  <c r="BI807" i="1"/>
  <c r="BJ807" i="1"/>
  <c r="J808" i="1"/>
  <c r="K808" i="1"/>
  <c r="L808" i="1"/>
  <c r="Z808" i="1"/>
  <c r="AB808" i="1"/>
  <c r="AD808" i="1"/>
  <c r="AE808" i="1"/>
  <c r="AF808" i="1"/>
  <c r="AG808" i="1"/>
  <c r="AH808" i="1"/>
  <c r="AJ808" i="1"/>
  <c r="AK808" i="1"/>
  <c r="AL808" i="1"/>
  <c r="AO808" i="1"/>
  <c r="AP808" i="1"/>
  <c r="AX808" i="1" s="1"/>
  <c r="AV808" i="1"/>
  <c r="AW808" i="1"/>
  <c r="BD808" i="1"/>
  <c r="BF808" i="1"/>
  <c r="BH808" i="1"/>
  <c r="BI808" i="1"/>
  <c r="AC808" i="1" s="1"/>
  <c r="BJ808" i="1"/>
  <c r="J809" i="1"/>
  <c r="L809" i="1"/>
  <c r="Z809" i="1"/>
  <c r="AB809" i="1"/>
  <c r="AD809" i="1"/>
  <c r="AE809" i="1"/>
  <c r="AF809" i="1"/>
  <c r="AG809" i="1"/>
  <c r="AH809" i="1"/>
  <c r="AJ809" i="1"/>
  <c r="AK809" i="1"/>
  <c r="AL809" i="1"/>
  <c r="AO809" i="1"/>
  <c r="AW809" i="1" s="1"/>
  <c r="AP809" i="1"/>
  <c r="BI809" i="1" s="1"/>
  <c r="AC809" i="1" s="1"/>
  <c r="BD809" i="1"/>
  <c r="BF809" i="1"/>
  <c r="BH809" i="1"/>
  <c r="BJ809" i="1"/>
  <c r="L810" i="1"/>
  <c r="Z810" i="1"/>
  <c r="AD810" i="1"/>
  <c r="AE810" i="1"/>
  <c r="AF810" i="1"/>
  <c r="AG810" i="1"/>
  <c r="AH810" i="1"/>
  <c r="AJ810" i="1"/>
  <c r="AK810" i="1"/>
  <c r="AL810" i="1"/>
  <c r="AO810" i="1"/>
  <c r="AP810" i="1"/>
  <c r="BD810" i="1"/>
  <c r="BF810" i="1"/>
  <c r="BH810" i="1"/>
  <c r="AB810" i="1" s="1"/>
  <c r="BI810" i="1"/>
  <c r="AC810" i="1" s="1"/>
  <c r="BJ810" i="1"/>
  <c r="K811" i="1"/>
  <c r="L811" i="1"/>
  <c r="Z811" i="1"/>
  <c r="AC811" i="1"/>
  <c r="AD811" i="1"/>
  <c r="AE811" i="1"/>
  <c r="AF811" i="1"/>
  <c r="AG811" i="1"/>
  <c r="AH811" i="1"/>
  <c r="AJ811" i="1"/>
  <c r="AK811" i="1"/>
  <c r="AL811" i="1"/>
  <c r="AO811" i="1"/>
  <c r="AP811" i="1"/>
  <c r="AX811" i="1"/>
  <c r="BD811" i="1"/>
  <c r="BF811" i="1"/>
  <c r="BI811" i="1"/>
  <c r="BJ811" i="1"/>
  <c r="J812" i="1"/>
  <c r="K812" i="1"/>
  <c r="L812" i="1"/>
  <c r="Z812" i="1"/>
  <c r="AB812" i="1"/>
  <c r="AC812" i="1"/>
  <c r="AD812" i="1"/>
  <c r="AE812" i="1"/>
  <c r="AF812" i="1"/>
  <c r="AG812" i="1"/>
  <c r="AH812" i="1"/>
  <c r="AJ812" i="1"/>
  <c r="AK812" i="1"/>
  <c r="AL812" i="1"/>
  <c r="AO812" i="1"/>
  <c r="AP812" i="1"/>
  <c r="AW812" i="1"/>
  <c r="AV812" i="1" s="1"/>
  <c r="AX812" i="1"/>
  <c r="BD812" i="1"/>
  <c r="BF812" i="1"/>
  <c r="BH812" i="1"/>
  <c r="BI812" i="1"/>
  <c r="BJ812" i="1"/>
  <c r="J813" i="1"/>
  <c r="L813" i="1"/>
  <c r="AL813" i="1" s="1"/>
  <c r="Z813" i="1"/>
  <c r="AB813" i="1"/>
  <c r="AD813" i="1"/>
  <c r="AE813" i="1"/>
  <c r="AF813" i="1"/>
  <c r="AG813" i="1"/>
  <c r="AH813" i="1"/>
  <c r="AJ813" i="1"/>
  <c r="AK813" i="1"/>
  <c r="AO813" i="1"/>
  <c r="AP813" i="1"/>
  <c r="K813" i="1" s="1"/>
  <c r="AV813" i="1"/>
  <c r="AW813" i="1"/>
  <c r="AX813" i="1"/>
  <c r="BC813" i="1"/>
  <c r="BD813" i="1"/>
  <c r="BF813" i="1"/>
  <c r="BH813" i="1"/>
  <c r="BI813" i="1"/>
  <c r="AC813" i="1" s="1"/>
  <c r="BJ813" i="1"/>
  <c r="L814" i="1"/>
  <c r="AL814" i="1" s="1"/>
  <c r="Z814" i="1"/>
  <c r="AD814" i="1"/>
  <c r="AE814" i="1"/>
  <c r="AF814" i="1"/>
  <c r="AG814" i="1"/>
  <c r="AH814" i="1"/>
  <c r="AJ814" i="1"/>
  <c r="AK814" i="1"/>
  <c r="AO814" i="1"/>
  <c r="J814" i="1" s="1"/>
  <c r="AP814" i="1"/>
  <c r="K814" i="1" s="1"/>
  <c r="AW814" i="1"/>
  <c r="AV814" i="1" s="1"/>
  <c r="AX814" i="1"/>
  <c r="BC814" i="1"/>
  <c r="BD814" i="1"/>
  <c r="BF814" i="1"/>
  <c r="BH814" i="1"/>
  <c r="AB814" i="1" s="1"/>
  <c r="BI814" i="1"/>
  <c r="AC814" i="1" s="1"/>
  <c r="BJ814" i="1"/>
  <c r="J817" i="1"/>
  <c r="K817" i="1"/>
  <c r="L817" i="1"/>
  <c r="Z817" i="1"/>
  <c r="AB817" i="1"/>
  <c r="AC817" i="1"/>
  <c r="AD817" i="1"/>
  <c r="AE817" i="1"/>
  <c r="AF817" i="1"/>
  <c r="AG817" i="1"/>
  <c r="AH817" i="1"/>
  <c r="AJ817" i="1"/>
  <c r="AK817" i="1"/>
  <c r="AL817" i="1"/>
  <c r="AO817" i="1"/>
  <c r="AP817" i="1"/>
  <c r="AX817" i="1" s="1"/>
  <c r="AV817" i="1"/>
  <c r="AW817" i="1"/>
  <c r="BC817" i="1" s="1"/>
  <c r="BD817" i="1"/>
  <c r="BF817" i="1"/>
  <c r="BH817" i="1"/>
  <c r="BI817" i="1"/>
  <c r="BJ817" i="1"/>
  <c r="J818" i="1"/>
  <c r="L818" i="1"/>
  <c r="Z818" i="1"/>
  <c r="AB818" i="1"/>
  <c r="AD818" i="1"/>
  <c r="AE818" i="1"/>
  <c r="AF818" i="1"/>
  <c r="AG818" i="1"/>
  <c r="AH818" i="1"/>
  <c r="AJ818" i="1"/>
  <c r="AK818" i="1"/>
  <c r="AL818" i="1"/>
  <c r="AO818" i="1"/>
  <c r="AW818" i="1" s="1"/>
  <c r="AP818" i="1"/>
  <c r="BD818" i="1"/>
  <c r="BF818" i="1"/>
  <c r="BH818" i="1"/>
  <c r="BJ818" i="1"/>
  <c r="L819" i="1"/>
  <c r="Z819" i="1"/>
  <c r="AD819" i="1"/>
  <c r="AE819" i="1"/>
  <c r="AF819" i="1"/>
  <c r="AG819" i="1"/>
  <c r="AH819" i="1"/>
  <c r="AJ819" i="1"/>
  <c r="AK819" i="1"/>
  <c r="AL819" i="1"/>
  <c r="AO819" i="1"/>
  <c r="AP819" i="1"/>
  <c r="BD819" i="1"/>
  <c r="BF819" i="1"/>
  <c r="BJ819" i="1"/>
  <c r="K820" i="1"/>
  <c r="L820" i="1"/>
  <c r="Z820" i="1"/>
  <c r="AC820" i="1"/>
  <c r="AD820" i="1"/>
  <c r="AE820" i="1"/>
  <c r="AF820" i="1"/>
  <c r="AG820" i="1"/>
  <c r="AH820" i="1"/>
  <c r="AJ820" i="1"/>
  <c r="AK820" i="1"/>
  <c r="AL820" i="1"/>
  <c r="AO820" i="1"/>
  <c r="AP820" i="1"/>
  <c r="AX820" i="1"/>
  <c r="BD820" i="1"/>
  <c r="BF820" i="1"/>
  <c r="BI820" i="1"/>
  <c r="BJ820" i="1"/>
  <c r="J821" i="1"/>
  <c r="K821" i="1"/>
  <c r="L821" i="1"/>
  <c r="Z821" i="1"/>
  <c r="AB821" i="1"/>
  <c r="AC821" i="1"/>
  <c r="AD821" i="1"/>
  <c r="AE821" i="1"/>
  <c r="AF821" i="1"/>
  <c r="AG821" i="1"/>
  <c r="AH821" i="1"/>
  <c r="AJ821" i="1"/>
  <c r="AK821" i="1"/>
  <c r="AL821" i="1"/>
  <c r="AO821" i="1"/>
  <c r="AP821" i="1"/>
  <c r="AW821" i="1"/>
  <c r="AV821" i="1" s="1"/>
  <c r="AX821" i="1"/>
  <c r="BD821" i="1"/>
  <c r="BF821" i="1"/>
  <c r="BH821" i="1"/>
  <c r="BI821" i="1"/>
  <c r="BJ821" i="1"/>
  <c r="J822" i="1"/>
  <c r="L822" i="1"/>
  <c r="AL822" i="1" s="1"/>
  <c r="Z822" i="1"/>
  <c r="AB822" i="1"/>
  <c r="AD822" i="1"/>
  <c r="AE822" i="1"/>
  <c r="AF822" i="1"/>
  <c r="AG822" i="1"/>
  <c r="AH822" i="1"/>
  <c r="AJ822" i="1"/>
  <c r="AK822" i="1"/>
  <c r="AO822" i="1"/>
  <c r="AP822" i="1"/>
  <c r="K822" i="1" s="1"/>
  <c r="AW822" i="1"/>
  <c r="AV822" i="1" s="1"/>
  <c r="AX822" i="1"/>
  <c r="BC822" i="1"/>
  <c r="BD822" i="1"/>
  <c r="BF822" i="1"/>
  <c r="BH822" i="1"/>
  <c r="BI822" i="1"/>
  <c r="AC822" i="1" s="1"/>
  <c r="BJ822" i="1"/>
  <c r="J823" i="1"/>
  <c r="L823" i="1"/>
  <c r="AL823" i="1" s="1"/>
  <c r="Z823" i="1"/>
  <c r="AD823" i="1"/>
  <c r="AE823" i="1"/>
  <c r="AF823" i="1"/>
  <c r="AG823" i="1"/>
  <c r="AH823" i="1"/>
  <c r="AJ823" i="1"/>
  <c r="AK823" i="1"/>
  <c r="AO823" i="1"/>
  <c r="AP823" i="1"/>
  <c r="K823" i="1" s="1"/>
  <c r="AW823" i="1"/>
  <c r="AX823" i="1"/>
  <c r="AV823" i="1" s="1"/>
  <c r="BD823" i="1"/>
  <c r="BF823" i="1"/>
  <c r="BH823" i="1"/>
  <c r="AB823" i="1" s="1"/>
  <c r="BI823" i="1"/>
  <c r="AC823" i="1" s="1"/>
  <c r="BJ823" i="1"/>
  <c r="K824" i="1"/>
  <c r="L824" i="1"/>
  <c r="AL824" i="1" s="1"/>
  <c r="Z824" i="1"/>
  <c r="AD824" i="1"/>
  <c r="AE824" i="1"/>
  <c r="AF824" i="1"/>
  <c r="AG824" i="1"/>
  <c r="AH824" i="1"/>
  <c r="AJ824" i="1"/>
  <c r="AK824" i="1"/>
  <c r="AO824" i="1"/>
  <c r="J824" i="1" s="1"/>
  <c r="AP824" i="1"/>
  <c r="AW824" i="1"/>
  <c r="AX824" i="1"/>
  <c r="BD824" i="1"/>
  <c r="BF824" i="1"/>
  <c r="BH824" i="1"/>
  <c r="AB824" i="1" s="1"/>
  <c r="BI824" i="1"/>
  <c r="AC824" i="1" s="1"/>
  <c r="BJ824" i="1"/>
  <c r="J825" i="1"/>
  <c r="K825" i="1"/>
  <c r="L825" i="1"/>
  <c r="Z825" i="1"/>
  <c r="AC825" i="1"/>
  <c r="AD825" i="1"/>
  <c r="AE825" i="1"/>
  <c r="AF825" i="1"/>
  <c r="AG825" i="1"/>
  <c r="AH825" i="1"/>
  <c r="AJ825" i="1"/>
  <c r="AK825" i="1"/>
  <c r="AL825" i="1"/>
  <c r="AO825" i="1"/>
  <c r="AP825" i="1"/>
  <c r="AX825" i="1" s="1"/>
  <c r="AV825" i="1" s="1"/>
  <c r="AW825" i="1"/>
  <c r="BD825" i="1"/>
  <c r="BF825" i="1"/>
  <c r="BH825" i="1"/>
  <c r="AB825" i="1" s="1"/>
  <c r="BI825" i="1"/>
  <c r="BJ825" i="1"/>
  <c r="J826" i="1"/>
  <c r="L826" i="1"/>
  <c r="Z826" i="1"/>
  <c r="AB826" i="1"/>
  <c r="AD826" i="1"/>
  <c r="AE826" i="1"/>
  <c r="AF826" i="1"/>
  <c r="AG826" i="1"/>
  <c r="AH826" i="1"/>
  <c r="AJ826" i="1"/>
  <c r="AK826" i="1"/>
  <c r="AL826" i="1"/>
  <c r="AO826" i="1"/>
  <c r="AW826" i="1" s="1"/>
  <c r="AP826" i="1"/>
  <c r="BD826" i="1"/>
  <c r="BF826" i="1"/>
  <c r="BH826" i="1"/>
  <c r="BJ826" i="1"/>
  <c r="L827" i="1"/>
  <c r="Z827" i="1"/>
  <c r="AD827" i="1"/>
  <c r="AE827" i="1"/>
  <c r="AF827" i="1"/>
  <c r="AG827" i="1"/>
  <c r="AH827" i="1"/>
  <c r="AJ827" i="1"/>
  <c r="AK827" i="1"/>
  <c r="AL827" i="1"/>
  <c r="AO827" i="1"/>
  <c r="AP827" i="1"/>
  <c r="BD827" i="1"/>
  <c r="BF827" i="1"/>
  <c r="BJ827" i="1"/>
  <c r="K828" i="1"/>
  <c r="L828" i="1"/>
  <c r="Z828" i="1"/>
  <c r="AC828" i="1"/>
  <c r="AD828" i="1"/>
  <c r="AE828" i="1"/>
  <c r="AF828" i="1"/>
  <c r="AG828" i="1"/>
  <c r="AH828" i="1"/>
  <c r="AJ828" i="1"/>
  <c r="AK828" i="1"/>
  <c r="AL828" i="1"/>
  <c r="AO828" i="1"/>
  <c r="AP828" i="1"/>
  <c r="AX828" i="1"/>
  <c r="BD828" i="1"/>
  <c r="BF828" i="1"/>
  <c r="BH828" i="1"/>
  <c r="AB828" i="1" s="1"/>
  <c r="BI828" i="1"/>
  <c r="BJ828" i="1"/>
  <c r="L829" i="1"/>
  <c r="AT829" i="1"/>
  <c r="AU829" i="1"/>
  <c r="L830" i="1"/>
  <c r="Z830" i="1"/>
  <c r="AD830" i="1"/>
  <c r="AE830" i="1"/>
  <c r="AF830" i="1"/>
  <c r="AG830" i="1"/>
  <c r="AH830" i="1"/>
  <c r="AJ830" i="1"/>
  <c r="AS829" i="1" s="1"/>
  <c r="AK830" i="1"/>
  <c r="AL830" i="1"/>
  <c r="AO830" i="1"/>
  <c r="AP830" i="1"/>
  <c r="BD830" i="1"/>
  <c r="BF830" i="1"/>
  <c r="BJ830" i="1"/>
  <c r="K831" i="1"/>
  <c r="L831" i="1"/>
  <c r="Z831" i="1"/>
  <c r="AC831" i="1"/>
  <c r="AD831" i="1"/>
  <c r="AE831" i="1"/>
  <c r="AF831" i="1"/>
  <c r="AG831" i="1"/>
  <c r="AH831" i="1"/>
  <c r="AJ831" i="1"/>
  <c r="AK831" i="1"/>
  <c r="AL831" i="1"/>
  <c r="AO831" i="1"/>
  <c r="AP831" i="1"/>
  <c r="AX831" i="1"/>
  <c r="BD831" i="1"/>
  <c r="BF831" i="1"/>
  <c r="BH831" i="1"/>
  <c r="AB831" i="1" s="1"/>
  <c r="BI831" i="1"/>
  <c r="BJ831" i="1"/>
  <c r="L833" i="1"/>
  <c r="Z833" i="1"/>
  <c r="AD833" i="1"/>
  <c r="AE833" i="1"/>
  <c r="AF833" i="1"/>
  <c r="AG833" i="1"/>
  <c r="AH833" i="1"/>
  <c r="AJ833" i="1"/>
  <c r="AK833" i="1"/>
  <c r="AL833" i="1"/>
  <c r="AO833" i="1"/>
  <c r="AP833" i="1"/>
  <c r="BD833" i="1"/>
  <c r="BF833" i="1"/>
  <c r="BJ833" i="1"/>
  <c r="L834" i="1"/>
  <c r="Z834" i="1"/>
  <c r="AC834" i="1"/>
  <c r="AD834" i="1"/>
  <c r="AE834" i="1"/>
  <c r="AF834" i="1"/>
  <c r="AG834" i="1"/>
  <c r="AH834" i="1"/>
  <c r="AJ834" i="1"/>
  <c r="AK834" i="1"/>
  <c r="AL834" i="1"/>
  <c r="AU832" i="1" s="1"/>
  <c r="AO834" i="1"/>
  <c r="AP834" i="1"/>
  <c r="K834" i="1" s="1"/>
  <c r="AX834" i="1"/>
  <c r="BD834" i="1"/>
  <c r="BF834" i="1"/>
  <c r="BI834" i="1"/>
  <c r="BJ834" i="1"/>
  <c r="K835" i="1"/>
  <c r="L835" i="1"/>
  <c r="L832" i="1" s="1"/>
  <c r="Z835" i="1"/>
  <c r="AB835" i="1"/>
  <c r="AC835" i="1"/>
  <c r="AD835" i="1"/>
  <c r="AE835" i="1"/>
  <c r="AF835" i="1"/>
  <c r="AG835" i="1"/>
  <c r="AH835" i="1"/>
  <c r="AJ835" i="1"/>
  <c r="AK835" i="1"/>
  <c r="AT832" i="1" s="1"/>
  <c r="AL835" i="1"/>
  <c r="AO835" i="1"/>
  <c r="J835" i="1" s="1"/>
  <c r="AP835" i="1"/>
  <c r="AW835" i="1"/>
  <c r="AV835" i="1" s="1"/>
  <c r="AX835" i="1"/>
  <c r="BD835" i="1"/>
  <c r="BF835" i="1"/>
  <c r="BH835" i="1"/>
  <c r="BI835" i="1"/>
  <c r="BJ835" i="1"/>
  <c r="J836" i="1"/>
  <c r="K836" i="1"/>
  <c r="L836" i="1"/>
  <c r="AL836" i="1" s="1"/>
  <c r="Z836" i="1"/>
  <c r="AB836" i="1"/>
  <c r="AD836" i="1"/>
  <c r="AE836" i="1"/>
  <c r="AF836" i="1"/>
  <c r="AG836" i="1"/>
  <c r="AH836" i="1"/>
  <c r="AJ836" i="1"/>
  <c r="AK836" i="1"/>
  <c r="AO836" i="1"/>
  <c r="AP836" i="1"/>
  <c r="AW836" i="1"/>
  <c r="AV836" i="1" s="1"/>
  <c r="AX836" i="1"/>
  <c r="BC836" i="1"/>
  <c r="BD836" i="1"/>
  <c r="BF836" i="1"/>
  <c r="BH836" i="1"/>
  <c r="BI836" i="1"/>
  <c r="AC836" i="1" s="1"/>
  <c r="BJ836" i="1"/>
  <c r="L837" i="1"/>
  <c r="K838" i="1"/>
  <c r="K837" i="1" s="1"/>
  <c r="L838" i="1"/>
  <c r="Z838" i="1"/>
  <c r="AB838" i="1"/>
  <c r="AC838" i="1"/>
  <c r="AD838" i="1"/>
  <c r="AE838" i="1"/>
  <c r="AF838" i="1"/>
  <c r="AG838" i="1"/>
  <c r="AH838" i="1"/>
  <c r="AJ838" i="1"/>
  <c r="AK838" i="1"/>
  <c r="AL838" i="1"/>
  <c r="AO838" i="1"/>
  <c r="J838" i="1" s="1"/>
  <c r="AP838" i="1"/>
  <c r="AW838" i="1"/>
  <c r="AV838" i="1" s="1"/>
  <c r="AX838" i="1"/>
  <c r="BC838" i="1" s="1"/>
  <c r="BD838" i="1"/>
  <c r="BF838" i="1"/>
  <c r="BH838" i="1"/>
  <c r="BI838" i="1"/>
  <c r="BJ838" i="1"/>
  <c r="K839" i="1"/>
  <c r="L839" i="1"/>
  <c r="AL839" i="1" s="1"/>
  <c r="Z839" i="1"/>
  <c r="AB839" i="1"/>
  <c r="AD839" i="1"/>
  <c r="AE839" i="1"/>
  <c r="AF839" i="1"/>
  <c r="AG839" i="1"/>
  <c r="AH839" i="1"/>
  <c r="AJ839" i="1"/>
  <c r="AS837" i="1" s="1"/>
  <c r="AK839" i="1"/>
  <c r="AO839" i="1"/>
  <c r="J839" i="1" s="1"/>
  <c r="AP839" i="1"/>
  <c r="AW839" i="1"/>
  <c r="AV839" i="1" s="1"/>
  <c r="AX839" i="1"/>
  <c r="BC839" i="1"/>
  <c r="BD839" i="1"/>
  <c r="BF839" i="1"/>
  <c r="BH839" i="1"/>
  <c r="BI839" i="1"/>
  <c r="AC839" i="1" s="1"/>
  <c r="BJ839" i="1"/>
  <c r="L841" i="1"/>
  <c r="Z841" i="1"/>
  <c r="AB841" i="1"/>
  <c r="AC841" i="1"/>
  <c r="AD841" i="1"/>
  <c r="AE841" i="1"/>
  <c r="AF841" i="1"/>
  <c r="AG841" i="1"/>
  <c r="AH841" i="1"/>
  <c r="AJ841" i="1"/>
  <c r="AK841" i="1"/>
  <c r="AT840" i="1" s="1"/>
  <c r="AL841" i="1"/>
  <c r="AU840" i="1" s="1"/>
  <c r="AO841" i="1"/>
  <c r="J841" i="1" s="1"/>
  <c r="AP841" i="1"/>
  <c r="K841" i="1" s="1"/>
  <c r="K840" i="1" s="1"/>
  <c r="AW841" i="1"/>
  <c r="AV841" i="1" s="1"/>
  <c r="AX841" i="1"/>
  <c r="BC841" i="1" s="1"/>
  <c r="BD841" i="1"/>
  <c r="BF841" i="1"/>
  <c r="BH841" i="1"/>
  <c r="BI841" i="1"/>
  <c r="BJ841" i="1"/>
  <c r="K842" i="1"/>
  <c r="L842" i="1"/>
  <c r="Z842" i="1"/>
  <c r="AB842" i="1"/>
  <c r="AD842" i="1"/>
  <c r="AE842" i="1"/>
  <c r="AF842" i="1"/>
  <c r="AG842" i="1"/>
  <c r="AH842" i="1"/>
  <c r="AJ842" i="1"/>
  <c r="AS840" i="1" s="1"/>
  <c r="AK842" i="1"/>
  <c r="AL842" i="1"/>
  <c r="AO842" i="1"/>
  <c r="J842" i="1" s="1"/>
  <c r="AP842" i="1"/>
  <c r="AW842" i="1"/>
  <c r="AV842" i="1" s="1"/>
  <c r="AX842" i="1"/>
  <c r="BC842" i="1"/>
  <c r="BD842" i="1"/>
  <c r="BF842" i="1"/>
  <c r="BH842" i="1"/>
  <c r="BI842" i="1"/>
  <c r="AC842" i="1" s="1"/>
  <c r="BJ842" i="1"/>
  <c r="J843" i="1"/>
  <c r="L843" i="1"/>
  <c r="AL843" i="1" s="1"/>
  <c r="Z843" i="1"/>
  <c r="AD843" i="1"/>
  <c r="AE843" i="1"/>
  <c r="AF843" i="1"/>
  <c r="AG843" i="1"/>
  <c r="AH843" i="1"/>
  <c r="AJ843" i="1"/>
  <c r="AK843" i="1"/>
  <c r="AO843" i="1"/>
  <c r="AP843" i="1"/>
  <c r="K843" i="1" s="1"/>
  <c r="AW843" i="1"/>
  <c r="AX843" i="1"/>
  <c r="AV843" i="1" s="1"/>
  <c r="BC843" i="1"/>
  <c r="BD843" i="1"/>
  <c r="BF843" i="1"/>
  <c r="BH843" i="1"/>
  <c r="AB843" i="1" s="1"/>
  <c r="BI843" i="1"/>
  <c r="AC843" i="1" s="1"/>
  <c r="BJ843" i="1"/>
  <c r="K844" i="1"/>
  <c r="L844" i="1"/>
  <c r="K845" i="1"/>
  <c r="L845" i="1"/>
  <c r="Z845" i="1"/>
  <c r="AB845" i="1"/>
  <c r="AD845" i="1"/>
  <c r="AE845" i="1"/>
  <c r="AF845" i="1"/>
  <c r="AG845" i="1"/>
  <c r="AH845" i="1"/>
  <c r="AJ845" i="1"/>
  <c r="AS844" i="1" s="1"/>
  <c r="AK845" i="1"/>
  <c r="AT844" i="1" s="1"/>
  <c r="AL845" i="1"/>
  <c r="AU844" i="1" s="1"/>
  <c r="AO845" i="1"/>
  <c r="J845" i="1" s="1"/>
  <c r="J844" i="1" s="1"/>
  <c r="AP845" i="1"/>
  <c r="AW845" i="1"/>
  <c r="AV845" i="1" s="1"/>
  <c r="AX845" i="1"/>
  <c r="BC845" i="1"/>
  <c r="BD845" i="1"/>
  <c r="BF845" i="1"/>
  <c r="BH845" i="1"/>
  <c r="BI845" i="1"/>
  <c r="AC845" i="1" s="1"/>
  <c r="BJ845" i="1"/>
  <c r="L847" i="1"/>
  <c r="Z847" i="1"/>
  <c r="AB847" i="1"/>
  <c r="AC847" i="1"/>
  <c r="AD847" i="1"/>
  <c r="AE847" i="1"/>
  <c r="AF847" i="1"/>
  <c r="AG847" i="1"/>
  <c r="AH847" i="1"/>
  <c r="AJ847" i="1"/>
  <c r="AK847" i="1"/>
  <c r="AL847" i="1"/>
  <c r="AO847" i="1"/>
  <c r="J847" i="1" s="1"/>
  <c r="AP847" i="1"/>
  <c r="K847" i="1" s="1"/>
  <c r="AX847" i="1"/>
  <c r="BD847" i="1"/>
  <c r="BF847" i="1"/>
  <c r="BH847" i="1"/>
  <c r="BI847" i="1"/>
  <c r="BJ847" i="1"/>
  <c r="K848" i="1"/>
  <c r="L848" i="1"/>
  <c r="Z848" i="1"/>
  <c r="AB848" i="1"/>
  <c r="AD848" i="1"/>
  <c r="AE848" i="1"/>
  <c r="AF848" i="1"/>
  <c r="AG848" i="1"/>
  <c r="AH848" i="1"/>
  <c r="AJ848" i="1"/>
  <c r="AS846" i="1" s="1"/>
  <c r="AK848" i="1"/>
  <c r="AL848" i="1"/>
  <c r="AO848" i="1"/>
  <c r="J848" i="1" s="1"/>
  <c r="AP848" i="1"/>
  <c r="AW848" i="1"/>
  <c r="AV848" i="1" s="1"/>
  <c r="AX848" i="1"/>
  <c r="BC848" i="1"/>
  <c r="BD848" i="1"/>
  <c r="BF848" i="1"/>
  <c r="BH848" i="1"/>
  <c r="BI848" i="1"/>
  <c r="AC848" i="1" s="1"/>
  <c r="BJ848" i="1"/>
  <c r="J849" i="1"/>
  <c r="L849" i="1"/>
  <c r="AL849" i="1" s="1"/>
  <c r="Z849" i="1"/>
  <c r="AD849" i="1"/>
  <c r="AE849" i="1"/>
  <c r="AF849" i="1"/>
  <c r="AG849" i="1"/>
  <c r="AH849" i="1"/>
  <c r="AJ849" i="1"/>
  <c r="AK849" i="1"/>
  <c r="AO849" i="1"/>
  <c r="AP849" i="1"/>
  <c r="K849" i="1" s="1"/>
  <c r="AW849" i="1"/>
  <c r="AX849" i="1"/>
  <c r="AV849" i="1" s="1"/>
  <c r="BC849" i="1"/>
  <c r="BD849" i="1"/>
  <c r="BF849" i="1"/>
  <c r="BH849" i="1"/>
  <c r="AB849" i="1" s="1"/>
  <c r="BI849" i="1"/>
  <c r="AC849" i="1" s="1"/>
  <c r="BJ849" i="1"/>
  <c r="K850" i="1"/>
  <c r="L850" i="1"/>
  <c r="AL850" i="1" s="1"/>
  <c r="Z850" i="1"/>
  <c r="AD850" i="1"/>
  <c r="AE850" i="1"/>
  <c r="AF850" i="1"/>
  <c r="AG850" i="1"/>
  <c r="AH850" i="1"/>
  <c r="AJ850" i="1"/>
  <c r="AK850" i="1"/>
  <c r="AO850" i="1"/>
  <c r="J850" i="1" s="1"/>
  <c r="AP850" i="1"/>
  <c r="AW850" i="1"/>
  <c r="AX850" i="1"/>
  <c r="BD850" i="1"/>
  <c r="BF850" i="1"/>
  <c r="BH850" i="1"/>
  <c r="AB850" i="1" s="1"/>
  <c r="BI850" i="1"/>
  <c r="AC850" i="1" s="1"/>
  <c r="BJ850" i="1"/>
  <c r="J851" i="1"/>
  <c r="K851" i="1"/>
  <c r="L851" i="1"/>
  <c r="Z851" i="1"/>
  <c r="AD851" i="1"/>
  <c r="AE851" i="1"/>
  <c r="AF851" i="1"/>
  <c r="AG851" i="1"/>
  <c r="AH851" i="1"/>
  <c r="AJ851" i="1"/>
  <c r="AK851" i="1"/>
  <c r="AL851" i="1"/>
  <c r="AO851" i="1"/>
  <c r="AP851" i="1"/>
  <c r="AW851" i="1"/>
  <c r="BC851" i="1" s="1"/>
  <c r="AX851" i="1"/>
  <c r="BD851" i="1"/>
  <c r="BF851" i="1"/>
  <c r="BH851" i="1"/>
  <c r="AB851" i="1" s="1"/>
  <c r="BI851" i="1"/>
  <c r="AC851" i="1" s="1"/>
  <c r="BJ851" i="1"/>
  <c r="J852" i="1"/>
  <c r="L852" i="1"/>
  <c r="Z852" i="1"/>
  <c r="AD852" i="1"/>
  <c r="AE852" i="1"/>
  <c r="AF852" i="1"/>
  <c r="AG852" i="1"/>
  <c r="AH852" i="1"/>
  <c r="AJ852" i="1"/>
  <c r="AK852" i="1"/>
  <c r="AL852" i="1"/>
  <c r="AO852" i="1"/>
  <c r="AW852" i="1" s="1"/>
  <c r="AP852" i="1"/>
  <c r="BD852" i="1"/>
  <c r="BF852" i="1"/>
  <c r="BH852" i="1"/>
  <c r="AB852" i="1" s="1"/>
  <c r="BI852" i="1"/>
  <c r="AC852" i="1" s="1"/>
  <c r="BJ852" i="1"/>
  <c r="L853" i="1"/>
  <c r="Z853" i="1"/>
  <c r="AD853" i="1"/>
  <c r="AE853" i="1"/>
  <c r="AF853" i="1"/>
  <c r="AG853" i="1"/>
  <c r="AH853" i="1"/>
  <c r="AJ853" i="1"/>
  <c r="AK853" i="1"/>
  <c r="AL853" i="1"/>
  <c r="AO853" i="1"/>
  <c r="AP853" i="1"/>
  <c r="BD853" i="1"/>
  <c r="BF853" i="1"/>
  <c r="BI853" i="1"/>
  <c r="AC853" i="1" s="1"/>
  <c r="BJ853" i="1"/>
  <c r="L854" i="1"/>
  <c r="Z854" i="1"/>
  <c r="AC854" i="1"/>
  <c r="AD854" i="1"/>
  <c r="AE854" i="1"/>
  <c r="AF854" i="1"/>
  <c r="AG854" i="1"/>
  <c r="AH854" i="1"/>
  <c r="AJ854" i="1"/>
  <c r="AK854" i="1"/>
  <c r="AL854" i="1"/>
  <c r="AO854" i="1"/>
  <c r="AP854" i="1"/>
  <c r="K854" i="1" s="1"/>
  <c r="BD854" i="1"/>
  <c r="BF854" i="1"/>
  <c r="BH854" i="1"/>
  <c r="AB854" i="1" s="1"/>
  <c r="BI854" i="1"/>
  <c r="BJ854" i="1"/>
  <c r="L855" i="1"/>
  <c r="Z855" i="1"/>
  <c r="AB855" i="1"/>
  <c r="AC855" i="1"/>
  <c r="AD855" i="1"/>
  <c r="AE855" i="1"/>
  <c r="AF855" i="1"/>
  <c r="AG855" i="1"/>
  <c r="AH855" i="1"/>
  <c r="AJ855" i="1"/>
  <c r="AK855" i="1"/>
  <c r="AL855" i="1"/>
  <c r="AO855" i="1"/>
  <c r="J855" i="1" s="1"/>
  <c r="AP855" i="1"/>
  <c r="K855" i="1" s="1"/>
  <c r="AW855" i="1"/>
  <c r="AV855" i="1" s="1"/>
  <c r="AX855" i="1"/>
  <c r="BD855" i="1"/>
  <c r="BF855" i="1"/>
  <c r="BH855" i="1"/>
  <c r="BI855" i="1"/>
  <c r="BJ855" i="1"/>
  <c r="K856" i="1"/>
  <c r="L856" i="1"/>
  <c r="Z856" i="1"/>
  <c r="AB856" i="1"/>
  <c r="AD856" i="1"/>
  <c r="AE856" i="1"/>
  <c r="AF856" i="1"/>
  <c r="AG856" i="1"/>
  <c r="AH856" i="1"/>
  <c r="AJ856" i="1"/>
  <c r="AK856" i="1"/>
  <c r="AL856" i="1"/>
  <c r="AO856" i="1"/>
  <c r="J856" i="1" s="1"/>
  <c r="AP856" i="1"/>
  <c r="AW856" i="1"/>
  <c r="AV856" i="1" s="1"/>
  <c r="AX856" i="1"/>
  <c r="BC856" i="1"/>
  <c r="BD856" i="1"/>
  <c r="BF856" i="1"/>
  <c r="BH856" i="1"/>
  <c r="BI856" i="1"/>
  <c r="AC856" i="1" s="1"/>
  <c r="BJ856" i="1"/>
  <c r="J857" i="1"/>
  <c r="L857" i="1"/>
  <c r="AL857" i="1" s="1"/>
  <c r="Z857" i="1"/>
  <c r="AD857" i="1"/>
  <c r="AE857" i="1"/>
  <c r="AF857" i="1"/>
  <c r="AG857" i="1"/>
  <c r="AH857" i="1"/>
  <c r="AJ857" i="1"/>
  <c r="AK857" i="1"/>
  <c r="AO857" i="1"/>
  <c r="AP857" i="1"/>
  <c r="K857" i="1" s="1"/>
  <c r="AW857" i="1"/>
  <c r="AX857" i="1"/>
  <c r="AV857" i="1" s="1"/>
  <c r="BD857" i="1"/>
  <c r="BF857" i="1"/>
  <c r="BH857" i="1"/>
  <c r="AB857" i="1" s="1"/>
  <c r="BI857" i="1"/>
  <c r="AC857" i="1" s="1"/>
  <c r="BJ857" i="1"/>
  <c r="K858" i="1"/>
  <c r="L858" i="1"/>
  <c r="AL858" i="1" s="1"/>
  <c r="Z858" i="1"/>
  <c r="AB858" i="1"/>
  <c r="AD858" i="1"/>
  <c r="AE858" i="1"/>
  <c r="AF858" i="1"/>
  <c r="AG858" i="1"/>
  <c r="AH858" i="1"/>
  <c r="AJ858" i="1"/>
  <c r="AK858" i="1"/>
  <c r="AO858" i="1"/>
  <c r="J858" i="1" s="1"/>
  <c r="AP858" i="1"/>
  <c r="AW858" i="1"/>
  <c r="AX858" i="1"/>
  <c r="BD858" i="1"/>
  <c r="BF858" i="1"/>
  <c r="BH858" i="1"/>
  <c r="BI858" i="1"/>
  <c r="AC858" i="1" s="1"/>
  <c r="BJ858" i="1"/>
  <c r="J859" i="1"/>
  <c r="K859" i="1"/>
  <c r="L859" i="1"/>
  <c r="Z859" i="1"/>
  <c r="AD859" i="1"/>
  <c r="AE859" i="1"/>
  <c r="AF859" i="1"/>
  <c r="AG859" i="1"/>
  <c r="AH859" i="1"/>
  <c r="AJ859" i="1"/>
  <c r="AK859" i="1"/>
  <c r="AL859" i="1"/>
  <c r="AO859" i="1"/>
  <c r="AP859" i="1"/>
  <c r="AX859" i="1" s="1"/>
  <c r="AV859" i="1" s="1"/>
  <c r="AW859" i="1"/>
  <c r="BD859" i="1"/>
  <c r="BF859" i="1"/>
  <c r="BH859" i="1"/>
  <c r="AB859" i="1" s="1"/>
  <c r="BI859" i="1"/>
  <c r="AC859" i="1" s="1"/>
  <c r="BJ859" i="1"/>
  <c r="J860" i="1"/>
  <c r="L860" i="1"/>
  <c r="Z860" i="1"/>
  <c r="AD860" i="1"/>
  <c r="AE860" i="1"/>
  <c r="AF860" i="1"/>
  <c r="AG860" i="1"/>
  <c r="AH860" i="1"/>
  <c r="AJ860" i="1"/>
  <c r="AK860" i="1"/>
  <c r="AL860" i="1"/>
  <c r="AO860" i="1"/>
  <c r="AW860" i="1" s="1"/>
  <c r="AP860" i="1"/>
  <c r="BD860" i="1"/>
  <c r="BF860" i="1"/>
  <c r="BH860" i="1"/>
  <c r="AB860" i="1" s="1"/>
  <c r="BJ860" i="1"/>
  <c r="L861" i="1"/>
  <c r="Z861" i="1"/>
  <c r="AD861" i="1"/>
  <c r="AE861" i="1"/>
  <c r="AF861" i="1"/>
  <c r="AG861" i="1"/>
  <c r="AH861" i="1"/>
  <c r="AJ861" i="1"/>
  <c r="AK861" i="1"/>
  <c r="AL861" i="1"/>
  <c r="AO861" i="1"/>
  <c r="AP861" i="1"/>
  <c r="BD861" i="1"/>
  <c r="BF861" i="1"/>
  <c r="BJ861" i="1"/>
  <c r="L862" i="1"/>
  <c r="Z862" i="1"/>
  <c r="AC862" i="1"/>
  <c r="AD862" i="1"/>
  <c r="AE862" i="1"/>
  <c r="AF862" i="1"/>
  <c r="AG862" i="1"/>
  <c r="AH862" i="1"/>
  <c r="AJ862" i="1"/>
  <c r="AK862" i="1"/>
  <c r="AL862" i="1"/>
  <c r="AO862" i="1"/>
  <c r="AP862" i="1"/>
  <c r="K862" i="1" s="1"/>
  <c r="AX862" i="1"/>
  <c r="BD862" i="1"/>
  <c r="BF862" i="1"/>
  <c r="BI862" i="1"/>
  <c r="BJ862" i="1"/>
  <c r="L863" i="1"/>
  <c r="Z863" i="1"/>
  <c r="AB863" i="1"/>
  <c r="AC863" i="1"/>
  <c r="AD863" i="1"/>
  <c r="AE863" i="1"/>
  <c r="AF863" i="1"/>
  <c r="AG863" i="1"/>
  <c r="AH863" i="1"/>
  <c r="AJ863" i="1"/>
  <c r="AK863" i="1"/>
  <c r="AL863" i="1"/>
  <c r="AO863" i="1"/>
  <c r="J863" i="1" s="1"/>
  <c r="AP863" i="1"/>
  <c r="K863" i="1" s="1"/>
  <c r="AW863" i="1"/>
  <c r="AX863" i="1"/>
  <c r="AV863" i="1" s="1"/>
  <c r="BD863" i="1"/>
  <c r="BF863" i="1"/>
  <c r="BH863" i="1"/>
  <c r="BI863" i="1"/>
  <c r="BJ863" i="1"/>
  <c r="K864" i="1"/>
  <c r="L864" i="1"/>
  <c r="Z864" i="1"/>
  <c r="AB864" i="1"/>
  <c r="AD864" i="1"/>
  <c r="AE864" i="1"/>
  <c r="AF864" i="1"/>
  <c r="AG864" i="1"/>
  <c r="AH864" i="1"/>
  <c r="AJ864" i="1"/>
  <c r="AK864" i="1"/>
  <c r="AL864" i="1"/>
  <c r="AO864" i="1"/>
  <c r="J864" i="1" s="1"/>
  <c r="AP864" i="1"/>
  <c r="AW864" i="1"/>
  <c r="AV864" i="1" s="1"/>
  <c r="AX864" i="1"/>
  <c r="BC864" i="1"/>
  <c r="BD864" i="1"/>
  <c r="BF864" i="1"/>
  <c r="BH864" i="1"/>
  <c r="BI864" i="1"/>
  <c r="AC864" i="1" s="1"/>
  <c r="BJ864" i="1"/>
  <c r="J865" i="1"/>
  <c r="L865" i="1"/>
  <c r="AL865" i="1" s="1"/>
  <c r="Z865" i="1"/>
  <c r="AD865" i="1"/>
  <c r="AE865" i="1"/>
  <c r="AF865" i="1"/>
  <c r="AG865" i="1"/>
  <c r="AH865" i="1"/>
  <c r="AJ865" i="1"/>
  <c r="AK865" i="1"/>
  <c r="AO865" i="1"/>
  <c r="AP865" i="1"/>
  <c r="K865" i="1" s="1"/>
  <c r="AW865" i="1"/>
  <c r="AX865" i="1"/>
  <c r="AV865" i="1" s="1"/>
  <c r="BD865" i="1"/>
  <c r="BF865" i="1"/>
  <c r="BH865" i="1"/>
  <c r="AB865" i="1" s="1"/>
  <c r="BI865" i="1"/>
  <c r="AC865" i="1" s="1"/>
  <c r="BJ865" i="1"/>
  <c r="K866" i="1"/>
  <c r="L866" i="1"/>
  <c r="AL866" i="1" s="1"/>
  <c r="Z866" i="1"/>
  <c r="AB866" i="1"/>
  <c r="AD866" i="1"/>
  <c r="AE866" i="1"/>
  <c r="AF866" i="1"/>
  <c r="AG866" i="1"/>
  <c r="AH866" i="1"/>
  <c r="AJ866" i="1"/>
  <c r="AK866" i="1"/>
  <c r="AO866" i="1"/>
  <c r="J866" i="1" s="1"/>
  <c r="AP866" i="1"/>
  <c r="AW866" i="1"/>
  <c r="AX866" i="1"/>
  <c r="BD866" i="1"/>
  <c r="BF866" i="1"/>
  <c r="BH866" i="1"/>
  <c r="BI866" i="1"/>
  <c r="AC866" i="1" s="1"/>
  <c r="BJ866" i="1"/>
  <c r="J867" i="1"/>
  <c r="K867" i="1"/>
  <c r="L867" i="1"/>
  <c r="Z867" i="1"/>
  <c r="AD867" i="1"/>
  <c r="AE867" i="1"/>
  <c r="AF867" i="1"/>
  <c r="AG867" i="1"/>
  <c r="AH867" i="1"/>
  <c r="AJ867" i="1"/>
  <c r="AK867" i="1"/>
  <c r="AL867" i="1"/>
  <c r="AO867" i="1"/>
  <c r="AP867" i="1"/>
  <c r="AX867" i="1" s="1"/>
  <c r="AV867" i="1" s="1"/>
  <c r="AW867" i="1"/>
  <c r="BD867" i="1"/>
  <c r="BF867" i="1"/>
  <c r="BH867" i="1"/>
  <c r="AB867" i="1" s="1"/>
  <c r="BI867" i="1"/>
  <c r="AC867" i="1" s="1"/>
  <c r="BJ867" i="1"/>
  <c r="J868" i="1"/>
  <c r="L868" i="1"/>
  <c r="Z868" i="1"/>
  <c r="AD868" i="1"/>
  <c r="AE868" i="1"/>
  <c r="AF868" i="1"/>
  <c r="AG868" i="1"/>
  <c r="AH868" i="1"/>
  <c r="AJ868" i="1"/>
  <c r="AK868" i="1"/>
  <c r="AL868" i="1"/>
  <c r="AO868" i="1"/>
  <c r="AW868" i="1" s="1"/>
  <c r="AP868" i="1"/>
  <c r="BD868" i="1"/>
  <c r="BF868" i="1"/>
  <c r="BH868" i="1"/>
  <c r="AB868" i="1" s="1"/>
  <c r="BJ868" i="1"/>
  <c r="L869" i="1"/>
  <c r="Z869" i="1"/>
  <c r="AD869" i="1"/>
  <c r="AE869" i="1"/>
  <c r="AF869" i="1"/>
  <c r="AG869" i="1"/>
  <c r="AH869" i="1"/>
  <c r="AJ869" i="1"/>
  <c r="AK869" i="1"/>
  <c r="AL869" i="1"/>
  <c r="AO869" i="1"/>
  <c r="AP869" i="1"/>
  <c r="BD869" i="1"/>
  <c r="BF869" i="1"/>
  <c r="BJ869" i="1"/>
  <c r="L870" i="1"/>
  <c r="Z870" i="1"/>
  <c r="AC870" i="1"/>
  <c r="AD870" i="1"/>
  <c r="AE870" i="1"/>
  <c r="AF870" i="1"/>
  <c r="AG870" i="1"/>
  <c r="AH870" i="1"/>
  <c r="AJ870" i="1"/>
  <c r="AK870" i="1"/>
  <c r="AL870" i="1"/>
  <c r="AO870" i="1"/>
  <c r="AP870" i="1"/>
  <c r="K870" i="1" s="1"/>
  <c r="BD870" i="1"/>
  <c r="BF870" i="1"/>
  <c r="BI870" i="1"/>
  <c r="BJ870" i="1"/>
  <c r="L871" i="1"/>
  <c r="Z871" i="1"/>
  <c r="AB871" i="1"/>
  <c r="AC871" i="1"/>
  <c r="AD871" i="1"/>
  <c r="AE871" i="1"/>
  <c r="AF871" i="1"/>
  <c r="AG871" i="1"/>
  <c r="AH871" i="1"/>
  <c r="AJ871" i="1"/>
  <c r="AK871" i="1"/>
  <c r="AL871" i="1"/>
  <c r="AO871" i="1"/>
  <c r="J871" i="1" s="1"/>
  <c r="AP871" i="1"/>
  <c r="K871" i="1" s="1"/>
  <c r="AX871" i="1"/>
  <c r="BD871" i="1"/>
  <c r="BF871" i="1"/>
  <c r="BH871" i="1"/>
  <c r="BI871" i="1"/>
  <c r="BJ871" i="1"/>
  <c r="K872" i="1"/>
  <c r="L872" i="1"/>
  <c r="Z872" i="1"/>
  <c r="AB872" i="1"/>
  <c r="AD872" i="1"/>
  <c r="AE872" i="1"/>
  <c r="AF872" i="1"/>
  <c r="AG872" i="1"/>
  <c r="AH872" i="1"/>
  <c r="AJ872" i="1"/>
  <c r="AK872" i="1"/>
  <c r="AL872" i="1"/>
  <c r="AO872" i="1"/>
  <c r="J872" i="1" s="1"/>
  <c r="AP872" i="1"/>
  <c r="AW872" i="1"/>
  <c r="AV872" i="1" s="1"/>
  <c r="AX872" i="1"/>
  <c r="BC872" i="1"/>
  <c r="BD872" i="1"/>
  <c r="BF872" i="1"/>
  <c r="BH872" i="1"/>
  <c r="BI872" i="1"/>
  <c r="AC872" i="1" s="1"/>
  <c r="BJ872" i="1"/>
  <c r="J873" i="1"/>
  <c r="L873" i="1"/>
  <c r="AL873" i="1" s="1"/>
  <c r="Z873" i="1"/>
  <c r="AD873" i="1"/>
  <c r="AE873" i="1"/>
  <c r="AF873" i="1"/>
  <c r="AG873" i="1"/>
  <c r="AH873" i="1"/>
  <c r="AJ873" i="1"/>
  <c r="AK873" i="1"/>
  <c r="AO873" i="1"/>
  <c r="AP873" i="1"/>
  <c r="K873" i="1" s="1"/>
  <c r="AW873" i="1"/>
  <c r="AX873" i="1"/>
  <c r="AV873" i="1" s="1"/>
  <c r="BC873" i="1"/>
  <c r="BD873" i="1"/>
  <c r="BF873" i="1"/>
  <c r="BH873" i="1"/>
  <c r="AB873" i="1" s="1"/>
  <c r="BI873" i="1"/>
  <c r="AC873" i="1" s="1"/>
  <c r="BJ873" i="1"/>
  <c r="K874" i="1"/>
  <c r="L874" i="1"/>
  <c r="AL874" i="1" s="1"/>
  <c r="Z874" i="1"/>
  <c r="AB874" i="1"/>
  <c r="AD874" i="1"/>
  <c r="AE874" i="1"/>
  <c r="AF874" i="1"/>
  <c r="AG874" i="1"/>
  <c r="AH874" i="1"/>
  <c r="AJ874" i="1"/>
  <c r="AK874" i="1"/>
  <c r="AO874" i="1"/>
  <c r="J874" i="1" s="1"/>
  <c r="AP874" i="1"/>
  <c r="AW874" i="1"/>
  <c r="AX874" i="1"/>
  <c r="BD874" i="1"/>
  <c r="BF874" i="1"/>
  <c r="BH874" i="1"/>
  <c r="BI874" i="1"/>
  <c r="AC874" i="1" s="1"/>
  <c r="BJ874" i="1"/>
  <c r="J875" i="1"/>
  <c r="K875" i="1"/>
  <c r="L875" i="1"/>
  <c r="Z875" i="1"/>
  <c r="AD875" i="1"/>
  <c r="AE875" i="1"/>
  <c r="AF875" i="1"/>
  <c r="AG875" i="1"/>
  <c r="AH875" i="1"/>
  <c r="AJ875" i="1"/>
  <c r="AK875" i="1"/>
  <c r="AL875" i="1"/>
  <c r="AO875" i="1"/>
  <c r="AP875" i="1"/>
  <c r="AV875" i="1"/>
  <c r="AW875" i="1"/>
  <c r="BC875" i="1" s="1"/>
  <c r="AX875" i="1"/>
  <c r="BD875" i="1"/>
  <c r="BF875" i="1"/>
  <c r="BH875" i="1"/>
  <c r="AB875" i="1" s="1"/>
  <c r="BI875" i="1"/>
  <c r="AC875" i="1" s="1"/>
  <c r="BJ875" i="1"/>
  <c r="J876" i="1"/>
  <c r="L876" i="1"/>
  <c r="Z876" i="1"/>
  <c r="AD876" i="1"/>
  <c r="AE876" i="1"/>
  <c r="AF876" i="1"/>
  <c r="AG876" i="1"/>
  <c r="AH876" i="1"/>
  <c r="AJ876" i="1"/>
  <c r="AK876" i="1"/>
  <c r="AL876" i="1"/>
  <c r="AO876" i="1"/>
  <c r="AP876" i="1"/>
  <c r="AW876" i="1"/>
  <c r="BD876" i="1"/>
  <c r="BF876" i="1"/>
  <c r="BH876" i="1"/>
  <c r="AB876" i="1" s="1"/>
  <c r="BI876" i="1"/>
  <c r="AC876" i="1" s="1"/>
  <c r="BJ876" i="1"/>
  <c r="L877" i="1"/>
  <c r="Z877" i="1"/>
  <c r="AD877" i="1"/>
  <c r="AE877" i="1"/>
  <c r="AF877" i="1"/>
  <c r="AG877" i="1"/>
  <c r="AH877" i="1"/>
  <c r="AJ877" i="1"/>
  <c r="AK877" i="1"/>
  <c r="AL877" i="1"/>
  <c r="AO877" i="1"/>
  <c r="AP877" i="1"/>
  <c r="BD877" i="1"/>
  <c r="BF877" i="1"/>
  <c r="BJ877" i="1"/>
  <c r="L878" i="1"/>
  <c r="Z878" i="1"/>
  <c r="AC878" i="1"/>
  <c r="AD878" i="1"/>
  <c r="AE878" i="1"/>
  <c r="AF878" i="1"/>
  <c r="AG878" i="1"/>
  <c r="AH878" i="1"/>
  <c r="AJ878" i="1"/>
  <c r="AK878" i="1"/>
  <c r="AL878" i="1"/>
  <c r="AO878" i="1"/>
  <c r="AP878" i="1"/>
  <c r="K878" i="1" s="1"/>
  <c r="AX878" i="1"/>
  <c r="BD878" i="1"/>
  <c r="BF878" i="1"/>
  <c r="BI878" i="1"/>
  <c r="BJ878" i="1"/>
  <c r="L879" i="1"/>
  <c r="AL879" i="1" s="1"/>
  <c r="Z879" i="1"/>
  <c r="AB879" i="1"/>
  <c r="AC879" i="1"/>
  <c r="AD879" i="1"/>
  <c r="AE879" i="1"/>
  <c r="AF879" i="1"/>
  <c r="AG879" i="1"/>
  <c r="AH879" i="1"/>
  <c r="AJ879" i="1"/>
  <c r="AK879" i="1"/>
  <c r="AO879" i="1"/>
  <c r="J879" i="1" s="1"/>
  <c r="AP879" i="1"/>
  <c r="K879" i="1" s="1"/>
  <c r="AW879" i="1"/>
  <c r="AV879" i="1" s="1"/>
  <c r="AX879" i="1"/>
  <c r="BD879" i="1"/>
  <c r="BF879" i="1"/>
  <c r="BH879" i="1"/>
  <c r="BI879" i="1"/>
  <c r="BJ879" i="1"/>
  <c r="K880" i="1"/>
  <c r="L880" i="1"/>
  <c r="Z880" i="1"/>
  <c r="AB880" i="1"/>
  <c r="AD880" i="1"/>
  <c r="AE880" i="1"/>
  <c r="AF880" i="1"/>
  <c r="AG880" i="1"/>
  <c r="AH880" i="1"/>
  <c r="AJ880" i="1"/>
  <c r="AK880" i="1"/>
  <c r="AL880" i="1"/>
  <c r="AO880" i="1"/>
  <c r="J880" i="1" s="1"/>
  <c r="AP880" i="1"/>
  <c r="AW880" i="1"/>
  <c r="AV880" i="1" s="1"/>
  <c r="AX880" i="1"/>
  <c r="BC880" i="1"/>
  <c r="BD880" i="1"/>
  <c r="BF880" i="1"/>
  <c r="BH880" i="1"/>
  <c r="BI880" i="1"/>
  <c r="AC880" i="1" s="1"/>
  <c r="BJ880" i="1"/>
  <c r="J881" i="1"/>
  <c r="L881" i="1"/>
  <c r="Z881" i="1"/>
  <c r="AC881" i="1"/>
  <c r="AD881" i="1"/>
  <c r="AE881" i="1"/>
  <c r="AF881" i="1"/>
  <c r="AG881" i="1"/>
  <c r="AH881" i="1"/>
  <c r="AJ881" i="1"/>
  <c r="AK881" i="1"/>
  <c r="AL881" i="1"/>
  <c r="AO881" i="1"/>
  <c r="AP881" i="1"/>
  <c r="K881" i="1" s="1"/>
  <c r="AV881" i="1"/>
  <c r="AW881" i="1"/>
  <c r="AX881" i="1"/>
  <c r="BC881" i="1"/>
  <c r="BD881" i="1"/>
  <c r="BF881" i="1"/>
  <c r="BH881" i="1"/>
  <c r="AB881" i="1" s="1"/>
  <c r="BI881" i="1"/>
  <c r="BJ881" i="1"/>
  <c r="L882" i="1"/>
  <c r="Z882" i="1"/>
  <c r="AC882" i="1"/>
  <c r="AD882" i="1"/>
  <c r="AE882" i="1"/>
  <c r="AF882" i="1"/>
  <c r="AG882" i="1"/>
  <c r="AH882" i="1"/>
  <c r="AJ882" i="1"/>
  <c r="AK882" i="1"/>
  <c r="AL882" i="1"/>
  <c r="AO882" i="1"/>
  <c r="J882" i="1" s="1"/>
  <c r="AP882" i="1"/>
  <c r="K882" i="1" s="1"/>
  <c r="BD882" i="1"/>
  <c r="BF882" i="1"/>
  <c r="BH882" i="1"/>
  <c r="AB882" i="1" s="1"/>
  <c r="BI882" i="1"/>
  <c r="BJ882" i="1"/>
  <c r="L883" i="1"/>
  <c r="Z883" i="1"/>
  <c r="AB883" i="1"/>
  <c r="AC883" i="1"/>
  <c r="AD883" i="1"/>
  <c r="AE883" i="1"/>
  <c r="AF883" i="1"/>
  <c r="AG883" i="1"/>
  <c r="AH883" i="1"/>
  <c r="AJ883" i="1"/>
  <c r="AK883" i="1"/>
  <c r="AL883" i="1"/>
  <c r="AO883" i="1"/>
  <c r="J883" i="1" s="1"/>
  <c r="AP883" i="1"/>
  <c r="K883" i="1" s="1"/>
  <c r="AX883" i="1"/>
  <c r="BD883" i="1"/>
  <c r="BF883" i="1"/>
  <c r="BH883" i="1"/>
  <c r="BI883" i="1"/>
  <c r="BJ883" i="1"/>
  <c r="K884" i="1"/>
  <c r="L884" i="1"/>
  <c r="Z884" i="1"/>
  <c r="AB884" i="1"/>
  <c r="AC884" i="1"/>
  <c r="AD884" i="1"/>
  <c r="AE884" i="1"/>
  <c r="AF884" i="1"/>
  <c r="AG884" i="1"/>
  <c r="AH884" i="1"/>
  <c r="AJ884" i="1"/>
  <c r="AK884" i="1"/>
  <c r="AL884" i="1"/>
  <c r="AO884" i="1"/>
  <c r="J884" i="1" s="1"/>
  <c r="AP884" i="1"/>
  <c r="AW884" i="1"/>
  <c r="AV884" i="1" s="1"/>
  <c r="AX884" i="1"/>
  <c r="BC884" i="1"/>
  <c r="BD884" i="1"/>
  <c r="BF884" i="1"/>
  <c r="BH884" i="1"/>
  <c r="BI884" i="1"/>
  <c r="BJ884" i="1"/>
  <c r="J885" i="1"/>
  <c r="K885" i="1"/>
  <c r="L885" i="1"/>
  <c r="AL885" i="1" s="1"/>
  <c r="Z885" i="1"/>
  <c r="AB885" i="1"/>
  <c r="AC885" i="1"/>
  <c r="AD885" i="1"/>
  <c r="AE885" i="1"/>
  <c r="AF885" i="1"/>
  <c r="AG885" i="1"/>
  <c r="AH885" i="1"/>
  <c r="AJ885" i="1"/>
  <c r="AK885" i="1"/>
  <c r="AO885" i="1"/>
  <c r="AP885" i="1"/>
  <c r="AW885" i="1"/>
  <c r="AV885" i="1" s="1"/>
  <c r="AX885" i="1"/>
  <c r="BC885" i="1" s="1"/>
  <c r="BD885" i="1"/>
  <c r="BF885" i="1"/>
  <c r="BH885" i="1"/>
  <c r="BI885" i="1"/>
  <c r="BJ885" i="1"/>
  <c r="J886" i="1"/>
  <c r="K886" i="1"/>
  <c r="L886" i="1"/>
  <c r="AL886" i="1" s="1"/>
  <c r="Z886" i="1"/>
  <c r="AB886" i="1"/>
  <c r="AD886" i="1"/>
  <c r="AE886" i="1"/>
  <c r="AF886" i="1"/>
  <c r="AG886" i="1"/>
  <c r="AH886" i="1"/>
  <c r="AJ886" i="1"/>
  <c r="AK886" i="1"/>
  <c r="AO886" i="1"/>
  <c r="AP886" i="1"/>
  <c r="AW886" i="1"/>
  <c r="AV886" i="1" s="1"/>
  <c r="AX886" i="1"/>
  <c r="BD886" i="1"/>
  <c r="BF886" i="1"/>
  <c r="BH886" i="1"/>
  <c r="BI886" i="1"/>
  <c r="AC886" i="1" s="1"/>
  <c r="BJ886" i="1"/>
  <c r="J887" i="1"/>
  <c r="K887" i="1"/>
  <c r="L887" i="1"/>
  <c r="AL887" i="1" s="1"/>
  <c r="Z887" i="1"/>
  <c r="AD887" i="1"/>
  <c r="AE887" i="1"/>
  <c r="AF887" i="1"/>
  <c r="AG887" i="1"/>
  <c r="AH887" i="1"/>
  <c r="AJ887" i="1"/>
  <c r="AK887" i="1"/>
  <c r="AO887" i="1"/>
  <c r="AP887" i="1"/>
  <c r="AV887" i="1"/>
  <c r="AW887" i="1"/>
  <c r="BC887" i="1" s="1"/>
  <c r="AX887" i="1"/>
  <c r="BD887" i="1"/>
  <c r="BF887" i="1"/>
  <c r="BH887" i="1"/>
  <c r="AB887" i="1" s="1"/>
  <c r="BI887" i="1"/>
  <c r="AC887" i="1" s="1"/>
  <c r="BJ887" i="1"/>
  <c r="J888" i="1"/>
  <c r="L888" i="1"/>
  <c r="Z888" i="1"/>
  <c r="AD888" i="1"/>
  <c r="AE888" i="1"/>
  <c r="AF888" i="1"/>
  <c r="AG888" i="1"/>
  <c r="AH888" i="1"/>
  <c r="AJ888" i="1"/>
  <c r="AK888" i="1"/>
  <c r="AL888" i="1"/>
  <c r="AO888" i="1"/>
  <c r="AP888" i="1"/>
  <c r="AX888" i="1" s="1"/>
  <c r="AW888" i="1"/>
  <c r="BC888" i="1" s="1"/>
  <c r="BD888" i="1"/>
  <c r="BF888" i="1"/>
  <c r="BH888" i="1"/>
  <c r="AB888" i="1" s="1"/>
  <c r="BI888" i="1"/>
  <c r="AC888" i="1" s="1"/>
  <c r="BJ888" i="1"/>
  <c r="L889" i="1"/>
  <c r="Z889" i="1"/>
  <c r="AD889" i="1"/>
  <c r="AE889" i="1"/>
  <c r="AF889" i="1"/>
  <c r="AG889" i="1"/>
  <c r="AH889" i="1"/>
  <c r="AJ889" i="1"/>
  <c r="AK889" i="1"/>
  <c r="AL889" i="1"/>
  <c r="AO889" i="1"/>
  <c r="AW889" i="1" s="1"/>
  <c r="AP889" i="1"/>
  <c r="K889" i="1" s="1"/>
  <c r="BD889" i="1"/>
  <c r="BF889" i="1"/>
  <c r="BH889" i="1"/>
  <c r="AB889" i="1" s="1"/>
  <c r="BI889" i="1"/>
  <c r="AC889" i="1" s="1"/>
  <c r="BJ889" i="1"/>
  <c r="L890" i="1"/>
  <c r="Z890" i="1"/>
  <c r="AC890" i="1"/>
  <c r="AD890" i="1"/>
  <c r="AE890" i="1"/>
  <c r="AF890" i="1"/>
  <c r="AG890" i="1"/>
  <c r="AH890" i="1"/>
  <c r="AJ890" i="1"/>
  <c r="AK890" i="1"/>
  <c r="AL890" i="1"/>
  <c r="AO890" i="1"/>
  <c r="J890" i="1" s="1"/>
  <c r="AP890" i="1"/>
  <c r="K890" i="1" s="1"/>
  <c r="BD890" i="1"/>
  <c r="BF890" i="1"/>
  <c r="BH890" i="1"/>
  <c r="AB890" i="1" s="1"/>
  <c r="BI890" i="1"/>
  <c r="BJ890" i="1"/>
  <c r="L891" i="1"/>
  <c r="Z891" i="1"/>
  <c r="AB891" i="1"/>
  <c r="AC891" i="1"/>
  <c r="AD891" i="1"/>
  <c r="AE891" i="1"/>
  <c r="AF891" i="1"/>
  <c r="AG891" i="1"/>
  <c r="AH891" i="1"/>
  <c r="AJ891" i="1"/>
  <c r="AK891" i="1"/>
  <c r="AL891" i="1"/>
  <c r="AO891" i="1"/>
  <c r="J891" i="1" s="1"/>
  <c r="AP891" i="1"/>
  <c r="K891" i="1" s="1"/>
  <c r="AX891" i="1"/>
  <c r="BD891" i="1"/>
  <c r="BF891" i="1"/>
  <c r="BH891" i="1"/>
  <c r="BI891" i="1"/>
  <c r="BJ891" i="1"/>
  <c r="K892" i="1"/>
  <c r="L892" i="1"/>
  <c r="Z892" i="1"/>
  <c r="AB892" i="1"/>
  <c r="AC892" i="1"/>
  <c r="AD892" i="1"/>
  <c r="AE892" i="1"/>
  <c r="AF892" i="1"/>
  <c r="AG892" i="1"/>
  <c r="AH892" i="1"/>
  <c r="AJ892" i="1"/>
  <c r="AK892" i="1"/>
  <c r="AL892" i="1"/>
  <c r="AO892" i="1"/>
  <c r="J892" i="1" s="1"/>
  <c r="AP892" i="1"/>
  <c r="AW892" i="1"/>
  <c r="AV892" i="1" s="1"/>
  <c r="AX892" i="1"/>
  <c r="BC892" i="1"/>
  <c r="BD892" i="1"/>
  <c r="BF892" i="1"/>
  <c r="BH892" i="1"/>
  <c r="BI892" i="1"/>
  <c r="BJ892" i="1"/>
  <c r="J893" i="1"/>
  <c r="K893" i="1"/>
  <c r="L893" i="1"/>
  <c r="AL893" i="1" s="1"/>
  <c r="Z893" i="1"/>
  <c r="AB893" i="1"/>
  <c r="AC893" i="1"/>
  <c r="AD893" i="1"/>
  <c r="AE893" i="1"/>
  <c r="AF893" i="1"/>
  <c r="AG893" i="1"/>
  <c r="AH893" i="1"/>
  <c r="AJ893" i="1"/>
  <c r="AK893" i="1"/>
  <c r="AO893" i="1"/>
  <c r="AP893" i="1"/>
  <c r="AW893" i="1"/>
  <c r="AV893" i="1" s="1"/>
  <c r="AX893" i="1"/>
  <c r="BC893" i="1" s="1"/>
  <c r="BD893" i="1"/>
  <c r="BF893" i="1"/>
  <c r="BH893" i="1"/>
  <c r="BI893" i="1"/>
  <c r="BJ893" i="1"/>
  <c r="J894" i="1"/>
  <c r="K894" i="1"/>
  <c r="L894" i="1"/>
  <c r="AL894" i="1" s="1"/>
  <c r="Z894" i="1"/>
  <c r="AB894" i="1"/>
  <c r="AD894" i="1"/>
  <c r="AE894" i="1"/>
  <c r="AF894" i="1"/>
  <c r="AG894" i="1"/>
  <c r="AH894" i="1"/>
  <c r="AJ894" i="1"/>
  <c r="AK894" i="1"/>
  <c r="AO894" i="1"/>
  <c r="AP894" i="1"/>
  <c r="AW894" i="1"/>
  <c r="AV894" i="1" s="1"/>
  <c r="AX894" i="1"/>
  <c r="BD894" i="1"/>
  <c r="BF894" i="1"/>
  <c r="BH894" i="1"/>
  <c r="BI894" i="1"/>
  <c r="AC894" i="1" s="1"/>
  <c r="BJ894" i="1"/>
  <c r="J895" i="1"/>
  <c r="K895" i="1"/>
  <c r="L895" i="1"/>
  <c r="AL895" i="1" s="1"/>
  <c r="Z895" i="1"/>
  <c r="AD895" i="1"/>
  <c r="AE895" i="1"/>
  <c r="AF895" i="1"/>
  <c r="AG895" i="1"/>
  <c r="AH895" i="1"/>
  <c r="AJ895" i="1"/>
  <c r="AK895" i="1"/>
  <c r="AO895" i="1"/>
  <c r="AP895" i="1"/>
  <c r="AV895" i="1"/>
  <c r="AW895" i="1"/>
  <c r="BC895" i="1" s="1"/>
  <c r="AX895" i="1"/>
  <c r="BD895" i="1"/>
  <c r="BF895" i="1"/>
  <c r="BH895" i="1"/>
  <c r="AB895" i="1" s="1"/>
  <c r="BI895" i="1"/>
  <c r="AC895" i="1" s="1"/>
  <c r="BJ895" i="1"/>
  <c r="J896" i="1"/>
  <c r="L896" i="1"/>
  <c r="Z896" i="1"/>
  <c r="AD896" i="1"/>
  <c r="AE896" i="1"/>
  <c r="AF896" i="1"/>
  <c r="AG896" i="1"/>
  <c r="AH896" i="1"/>
  <c r="AJ896" i="1"/>
  <c r="AK896" i="1"/>
  <c r="AL896" i="1"/>
  <c r="AO896" i="1"/>
  <c r="AP896" i="1"/>
  <c r="AX896" i="1" s="1"/>
  <c r="AW896" i="1"/>
  <c r="BC896" i="1" s="1"/>
  <c r="BD896" i="1"/>
  <c r="BF896" i="1"/>
  <c r="BH896" i="1"/>
  <c r="AB896" i="1" s="1"/>
  <c r="BI896" i="1"/>
  <c r="AC896" i="1" s="1"/>
  <c r="BJ896" i="1"/>
  <c r="L897" i="1"/>
  <c r="Z897" i="1"/>
  <c r="AD897" i="1"/>
  <c r="AE897" i="1"/>
  <c r="AF897" i="1"/>
  <c r="AG897" i="1"/>
  <c r="AH897" i="1"/>
  <c r="AJ897" i="1"/>
  <c r="AK897" i="1"/>
  <c r="AL897" i="1"/>
  <c r="AO897" i="1"/>
  <c r="AW897" i="1" s="1"/>
  <c r="AP897" i="1"/>
  <c r="K897" i="1" s="1"/>
  <c r="BD897" i="1"/>
  <c r="BF897" i="1"/>
  <c r="BH897" i="1"/>
  <c r="AB897" i="1" s="1"/>
  <c r="BI897" i="1"/>
  <c r="AC897" i="1" s="1"/>
  <c r="BJ897" i="1"/>
  <c r="L898" i="1"/>
  <c r="Z898" i="1"/>
  <c r="AC898" i="1"/>
  <c r="AD898" i="1"/>
  <c r="AE898" i="1"/>
  <c r="AF898" i="1"/>
  <c r="AG898" i="1"/>
  <c r="AH898" i="1"/>
  <c r="AJ898" i="1"/>
  <c r="AK898" i="1"/>
  <c r="AL898" i="1"/>
  <c r="AO898" i="1"/>
  <c r="J898" i="1" s="1"/>
  <c r="AP898" i="1"/>
  <c r="K898" i="1" s="1"/>
  <c r="BD898" i="1"/>
  <c r="BF898" i="1"/>
  <c r="BH898" i="1"/>
  <c r="AB898" i="1" s="1"/>
  <c r="BI898" i="1"/>
  <c r="BJ898" i="1"/>
  <c r="L899" i="1"/>
  <c r="Z899" i="1"/>
  <c r="AB899" i="1"/>
  <c r="AC899" i="1"/>
  <c r="AD899" i="1"/>
  <c r="AE899" i="1"/>
  <c r="AF899" i="1"/>
  <c r="AG899" i="1"/>
  <c r="AH899" i="1"/>
  <c r="AJ899" i="1"/>
  <c r="AK899" i="1"/>
  <c r="AL899" i="1"/>
  <c r="AO899" i="1"/>
  <c r="J899" i="1" s="1"/>
  <c r="AP899" i="1"/>
  <c r="K899" i="1" s="1"/>
  <c r="AX899" i="1"/>
  <c r="BD899" i="1"/>
  <c r="BF899" i="1"/>
  <c r="BH899" i="1"/>
  <c r="BI899" i="1"/>
  <c r="BJ899" i="1"/>
  <c r="K900" i="1"/>
  <c r="L900" i="1"/>
  <c r="Z900" i="1"/>
  <c r="AB900" i="1"/>
  <c r="AC900" i="1"/>
  <c r="AD900" i="1"/>
  <c r="AE900" i="1"/>
  <c r="AF900" i="1"/>
  <c r="AG900" i="1"/>
  <c r="AH900" i="1"/>
  <c r="AJ900" i="1"/>
  <c r="AK900" i="1"/>
  <c r="AL900" i="1"/>
  <c r="AO900" i="1"/>
  <c r="J900" i="1" s="1"/>
  <c r="AP900" i="1"/>
  <c r="AW900" i="1"/>
  <c r="AV900" i="1" s="1"/>
  <c r="AX900" i="1"/>
  <c r="BC900" i="1"/>
  <c r="BD900" i="1"/>
  <c r="BF900" i="1"/>
  <c r="BH900" i="1"/>
  <c r="BI900" i="1"/>
  <c r="BJ900" i="1"/>
  <c r="J901" i="1"/>
  <c r="K901" i="1"/>
  <c r="L901" i="1"/>
  <c r="AL901" i="1" s="1"/>
  <c r="Z901" i="1"/>
  <c r="AB901" i="1"/>
  <c r="AD901" i="1"/>
  <c r="AE901" i="1"/>
  <c r="AF901" i="1"/>
  <c r="AG901" i="1"/>
  <c r="AH901" i="1"/>
  <c r="AJ901" i="1"/>
  <c r="AK901" i="1"/>
  <c r="AO901" i="1"/>
  <c r="AP901" i="1"/>
  <c r="AW901" i="1"/>
  <c r="AV901" i="1" s="1"/>
  <c r="AX901" i="1"/>
  <c r="BC901" i="1" s="1"/>
  <c r="BD901" i="1"/>
  <c r="BF901" i="1"/>
  <c r="BH901" i="1"/>
  <c r="BI901" i="1"/>
  <c r="AC901" i="1" s="1"/>
  <c r="BJ901" i="1"/>
  <c r="J902" i="1"/>
  <c r="K902" i="1"/>
  <c r="L902" i="1"/>
  <c r="AL902" i="1" s="1"/>
  <c r="Z902" i="1"/>
  <c r="AD902" i="1"/>
  <c r="AE902" i="1"/>
  <c r="AF902" i="1"/>
  <c r="AG902" i="1"/>
  <c r="AH902" i="1"/>
  <c r="AJ902" i="1"/>
  <c r="AK902" i="1"/>
  <c r="AO902" i="1"/>
  <c r="AP902" i="1"/>
  <c r="AW902" i="1"/>
  <c r="AV902" i="1" s="1"/>
  <c r="AX902" i="1"/>
  <c r="BD902" i="1"/>
  <c r="BF902" i="1"/>
  <c r="BH902" i="1"/>
  <c r="AB902" i="1" s="1"/>
  <c r="BI902" i="1"/>
  <c r="AC902" i="1" s="1"/>
  <c r="BJ902" i="1"/>
  <c r="J903" i="1"/>
  <c r="K903" i="1"/>
  <c r="L903" i="1"/>
  <c r="AL903" i="1" s="1"/>
  <c r="Z903" i="1"/>
  <c r="AD903" i="1"/>
  <c r="AE903" i="1"/>
  <c r="AF903" i="1"/>
  <c r="AG903" i="1"/>
  <c r="AH903" i="1"/>
  <c r="AJ903" i="1"/>
  <c r="AK903" i="1"/>
  <c r="AO903" i="1"/>
  <c r="AP903" i="1"/>
  <c r="AV903" i="1"/>
  <c r="AW903" i="1"/>
  <c r="BC903" i="1" s="1"/>
  <c r="AX903" i="1"/>
  <c r="BD903" i="1"/>
  <c r="BF903" i="1"/>
  <c r="BH903" i="1"/>
  <c r="AB903" i="1" s="1"/>
  <c r="BI903" i="1"/>
  <c r="AC903" i="1" s="1"/>
  <c r="BJ903" i="1"/>
  <c r="J904" i="1"/>
  <c r="L904" i="1"/>
  <c r="Z904" i="1"/>
  <c r="AD904" i="1"/>
  <c r="AE904" i="1"/>
  <c r="AF904" i="1"/>
  <c r="AG904" i="1"/>
  <c r="AH904" i="1"/>
  <c r="AJ904" i="1"/>
  <c r="AK904" i="1"/>
  <c r="AL904" i="1"/>
  <c r="AO904" i="1"/>
  <c r="AP904" i="1"/>
  <c r="AX904" i="1" s="1"/>
  <c r="AW904" i="1"/>
  <c r="BC904" i="1" s="1"/>
  <c r="BD904" i="1"/>
  <c r="BF904" i="1"/>
  <c r="BH904" i="1"/>
  <c r="AB904" i="1" s="1"/>
  <c r="BI904" i="1"/>
  <c r="AC904" i="1" s="1"/>
  <c r="BJ904" i="1"/>
  <c r="L905" i="1"/>
  <c r="Z905" i="1"/>
  <c r="AD905" i="1"/>
  <c r="AE905" i="1"/>
  <c r="AF905" i="1"/>
  <c r="AG905" i="1"/>
  <c r="AH905" i="1"/>
  <c r="AJ905" i="1"/>
  <c r="AK905" i="1"/>
  <c r="AL905" i="1"/>
  <c r="AO905" i="1"/>
  <c r="AW905" i="1" s="1"/>
  <c r="AP905" i="1"/>
  <c r="K905" i="1" s="1"/>
  <c r="BD905" i="1"/>
  <c r="BF905" i="1"/>
  <c r="BH905" i="1"/>
  <c r="AB905" i="1" s="1"/>
  <c r="BI905" i="1"/>
  <c r="AC905" i="1" s="1"/>
  <c r="BJ905" i="1"/>
  <c r="L906" i="1"/>
  <c r="Z906" i="1"/>
  <c r="AC906" i="1"/>
  <c r="AD906" i="1"/>
  <c r="AE906" i="1"/>
  <c r="AF906" i="1"/>
  <c r="AG906" i="1"/>
  <c r="AH906" i="1"/>
  <c r="AJ906" i="1"/>
  <c r="AK906" i="1"/>
  <c r="AL906" i="1"/>
  <c r="AO906" i="1"/>
  <c r="J906" i="1" s="1"/>
  <c r="AP906" i="1"/>
  <c r="K906" i="1" s="1"/>
  <c r="BD906" i="1"/>
  <c r="BF906" i="1"/>
  <c r="BH906" i="1"/>
  <c r="AB906" i="1" s="1"/>
  <c r="BI906" i="1"/>
  <c r="BJ906" i="1"/>
  <c r="L907" i="1"/>
  <c r="Z907" i="1"/>
  <c r="AB907" i="1"/>
  <c r="AC907" i="1"/>
  <c r="AD907" i="1"/>
  <c r="AE907" i="1"/>
  <c r="AF907" i="1"/>
  <c r="AG907" i="1"/>
  <c r="AH907" i="1"/>
  <c r="AJ907" i="1"/>
  <c r="AK907" i="1"/>
  <c r="AL907" i="1"/>
  <c r="AO907" i="1"/>
  <c r="J907" i="1" s="1"/>
  <c r="AP907" i="1"/>
  <c r="K907" i="1" s="1"/>
  <c r="AX907" i="1"/>
  <c r="BD907" i="1"/>
  <c r="BF907" i="1"/>
  <c r="BH907" i="1"/>
  <c r="BI907" i="1"/>
  <c r="BJ907" i="1"/>
  <c r="K908" i="1"/>
  <c r="L908" i="1"/>
  <c r="Z908" i="1"/>
  <c r="AB908" i="1"/>
  <c r="AC908" i="1"/>
  <c r="AD908" i="1"/>
  <c r="AE908" i="1"/>
  <c r="AF908" i="1"/>
  <c r="AG908" i="1"/>
  <c r="AH908" i="1"/>
  <c r="AJ908" i="1"/>
  <c r="AK908" i="1"/>
  <c r="AL908" i="1"/>
  <c r="AO908" i="1"/>
  <c r="J908" i="1" s="1"/>
  <c r="AP908" i="1"/>
  <c r="AW908" i="1"/>
  <c r="AV908" i="1" s="1"/>
  <c r="AX908" i="1"/>
  <c r="BC908" i="1"/>
  <c r="BD908" i="1"/>
  <c r="BF908" i="1"/>
  <c r="BH908" i="1"/>
  <c r="BI908" i="1"/>
  <c r="BJ908" i="1"/>
  <c r="J909" i="1"/>
  <c r="K909" i="1"/>
  <c r="L909" i="1"/>
  <c r="AL909" i="1" s="1"/>
  <c r="Z909" i="1"/>
  <c r="AB909" i="1"/>
  <c r="AD909" i="1"/>
  <c r="AE909" i="1"/>
  <c r="AF909" i="1"/>
  <c r="AG909" i="1"/>
  <c r="AH909" i="1"/>
  <c r="AJ909" i="1"/>
  <c r="AK909" i="1"/>
  <c r="AO909" i="1"/>
  <c r="AP909" i="1"/>
  <c r="AW909" i="1"/>
  <c r="AV909" i="1" s="1"/>
  <c r="AX909" i="1"/>
  <c r="BC909" i="1" s="1"/>
  <c r="BD909" i="1"/>
  <c r="BF909" i="1"/>
  <c r="BH909" i="1"/>
  <c r="BI909" i="1"/>
  <c r="AC909" i="1" s="1"/>
  <c r="BJ909" i="1"/>
  <c r="J910" i="1"/>
  <c r="K910" i="1"/>
  <c r="L910" i="1"/>
  <c r="AL910" i="1" s="1"/>
  <c r="Z910" i="1"/>
  <c r="AD910" i="1"/>
  <c r="AE910" i="1"/>
  <c r="AF910" i="1"/>
  <c r="AG910" i="1"/>
  <c r="AH910" i="1"/>
  <c r="AJ910" i="1"/>
  <c r="AK910" i="1"/>
  <c r="AO910" i="1"/>
  <c r="AP910" i="1"/>
  <c r="AW910" i="1"/>
  <c r="AV910" i="1" s="1"/>
  <c r="AX910" i="1"/>
  <c r="BD910" i="1"/>
  <c r="BF910" i="1"/>
  <c r="BH910" i="1"/>
  <c r="AB910" i="1" s="1"/>
  <c r="BI910" i="1"/>
  <c r="AC910" i="1" s="1"/>
  <c r="BJ910" i="1"/>
  <c r="J911" i="1"/>
  <c r="K911" i="1"/>
  <c r="L911" i="1"/>
  <c r="AL911" i="1" s="1"/>
  <c r="Z911" i="1"/>
  <c r="AD911" i="1"/>
  <c r="AE911" i="1"/>
  <c r="AF911" i="1"/>
  <c r="AG911" i="1"/>
  <c r="AH911" i="1"/>
  <c r="AJ911" i="1"/>
  <c r="AK911" i="1"/>
  <c r="AO911" i="1"/>
  <c r="AP911" i="1"/>
  <c r="AV911" i="1"/>
  <c r="AW911" i="1"/>
  <c r="BC911" i="1" s="1"/>
  <c r="AX911" i="1"/>
  <c r="BD911" i="1"/>
  <c r="BF911" i="1"/>
  <c r="BH911" i="1"/>
  <c r="AB911" i="1" s="1"/>
  <c r="BI911" i="1"/>
  <c r="AC911" i="1" s="1"/>
  <c r="BJ911" i="1"/>
  <c r="J912" i="1"/>
  <c r="L912" i="1"/>
  <c r="Z912" i="1"/>
  <c r="AD912" i="1"/>
  <c r="AE912" i="1"/>
  <c r="AF912" i="1"/>
  <c r="AG912" i="1"/>
  <c r="AH912" i="1"/>
  <c r="AJ912" i="1"/>
  <c r="AK912" i="1"/>
  <c r="AL912" i="1"/>
  <c r="AO912" i="1"/>
  <c r="AP912" i="1"/>
  <c r="AX912" i="1" s="1"/>
  <c r="AW912" i="1"/>
  <c r="BD912" i="1"/>
  <c r="BF912" i="1"/>
  <c r="BH912" i="1"/>
  <c r="AB912" i="1" s="1"/>
  <c r="BI912" i="1"/>
  <c r="AC912" i="1" s="1"/>
  <c r="BJ912" i="1"/>
  <c r="L913" i="1"/>
  <c r="Z913" i="1"/>
  <c r="AD913" i="1"/>
  <c r="AE913" i="1"/>
  <c r="AF913" i="1"/>
  <c r="AG913" i="1"/>
  <c r="AH913" i="1"/>
  <c r="AJ913" i="1"/>
  <c r="AK913" i="1"/>
  <c r="AL913" i="1"/>
  <c r="AO913" i="1"/>
  <c r="AW913" i="1" s="1"/>
  <c r="AP913" i="1"/>
  <c r="K913" i="1" s="1"/>
  <c r="BD913" i="1"/>
  <c r="BF913" i="1"/>
  <c r="BH913" i="1"/>
  <c r="AB913" i="1" s="1"/>
  <c r="BI913" i="1"/>
  <c r="AC913" i="1" s="1"/>
  <c r="BJ913" i="1"/>
  <c r="L914" i="1"/>
  <c r="Z914" i="1"/>
  <c r="AC914" i="1"/>
  <c r="AD914" i="1"/>
  <c r="AE914" i="1"/>
  <c r="AF914" i="1"/>
  <c r="AG914" i="1"/>
  <c r="AH914" i="1"/>
  <c r="AJ914" i="1"/>
  <c r="AK914" i="1"/>
  <c r="AL914" i="1"/>
  <c r="AO914" i="1"/>
  <c r="J914" i="1" s="1"/>
  <c r="AP914" i="1"/>
  <c r="K914" i="1" s="1"/>
  <c r="BD914" i="1"/>
  <c r="BF914" i="1"/>
  <c r="BH914" i="1"/>
  <c r="AB914" i="1" s="1"/>
  <c r="BI914" i="1"/>
  <c r="BJ914" i="1"/>
  <c r="L915" i="1"/>
  <c r="Z915" i="1"/>
  <c r="AB915" i="1"/>
  <c r="AC915" i="1"/>
  <c r="AD915" i="1"/>
  <c r="AE915" i="1"/>
  <c r="AF915" i="1"/>
  <c r="AG915" i="1"/>
  <c r="AH915" i="1"/>
  <c r="AJ915" i="1"/>
  <c r="AK915" i="1"/>
  <c r="AL915" i="1"/>
  <c r="AO915" i="1"/>
  <c r="J915" i="1" s="1"/>
  <c r="AP915" i="1"/>
  <c r="K915" i="1" s="1"/>
  <c r="AX915" i="1"/>
  <c r="BD915" i="1"/>
  <c r="BF915" i="1"/>
  <c r="BH915" i="1"/>
  <c r="BI915" i="1"/>
  <c r="BJ915" i="1"/>
  <c r="L916" i="1"/>
  <c r="Z916" i="1"/>
  <c r="AB916" i="1"/>
  <c r="AC916" i="1"/>
  <c r="AD916" i="1"/>
  <c r="AE916" i="1"/>
  <c r="AF916" i="1"/>
  <c r="AG916" i="1"/>
  <c r="AH916" i="1"/>
  <c r="AJ916" i="1"/>
  <c r="AK916" i="1"/>
  <c r="AL916" i="1"/>
  <c r="AO916" i="1"/>
  <c r="J916" i="1" s="1"/>
  <c r="AP916" i="1"/>
  <c r="K916" i="1" s="1"/>
  <c r="AW916" i="1"/>
  <c r="AV916" i="1" s="1"/>
  <c r="AX916" i="1"/>
  <c r="BC916" i="1"/>
  <c r="BD916" i="1"/>
  <c r="BF916" i="1"/>
  <c r="BH916" i="1"/>
  <c r="BI916" i="1"/>
  <c r="BJ916" i="1"/>
  <c r="L917" i="1"/>
  <c r="AL917" i="1" s="1"/>
  <c r="Z917" i="1"/>
  <c r="AB917" i="1"/>
  <c r="AD917" i="1"/>
  <c r="AE917" i="1"/>
  <c r="AF917" i="1"/>
  <c r="AG917" i="1"/>
  <c r="AH917" i="1"/>
  <c r="AJ917" i="1"/>
  <c r="AK917" i="1"/>
  <c r="AO917" i="1"/>
  <c r="J917" i="1" s="1"/>
  <c r="AP917" i="1"/>
  <c r="K917" i="1" s="1"/>
  <c r="AW917" i="1"/>
  <c r="AX917" i="1"/>
  <c r="AV917" i="1" s="1"/>
  <c r="BD917" i="1"/>
  <c r="BF917" i="1"/>
  <c r="BH917" i="1"/>
  <c r="BI917" i="1"/>
  <c r="AC917" i="1" s="1"/>
  <c r="BJ917" i="1"/>
  <c r="L919" i="1"/>
  <c r="Z919" i="1"/>
  <c r="AB919" i="1"/>
  <c r="AC919" i="1"/>
  <c r="AD919" i="1"/>
  <c r="AE919" i="1"/>
  <c r="AF919" i="1"/>
  <c r="AG919" i="1"/>
  <c r="AH919" i="1"/>
  <c r="AJ919" i="1"/>
  <c r="AK919" i="1"/>
  <c r="AL919" i="1"/>
  <c r="AO919" i="1"/>
  <c r="J919" i="1" s="1"/>
  <c r="AP919" i="1"/>
  <c r="K919" i="1" s="1"/>
  <c r="AW919" i="1"/>
  <c r="AV919" i="1" s="1"/>
  <c r="AX919" i="1"/>
  <c r="BC919" i="1"/>
  <c r="BD919" i="1"/>
  <c r="BF919" i="1"/>
  <c r="BH919" i="1"/>
  <c r="BI919" i="1"/>
  <c r="BJ919" i="1"/>
  <c r="L920" i="1"/>
  <c r="AL920" i="1" s="1"/>
  <c r="Z920" i="1"/>
  <c r="AB920" i="1"/>
  <c r="AC920" i="1"/>
  <c r="AD920" i="1"/>
  <c r="AE920" i="1"/>
  <c r="AF920" i="1"/>
  <c r="AG920" i="1"/>
  <c r="AH920" i="1"/>
  <c r="AJ920" i="1"/>
  <c r="AK920" i="1"/>
  <c r="AO920" i="1"/>
  <c r="J920" i="1" s="1"/>
  <c r="AP920" i="1"/>
  <c r="K920" i="1" s="1"/>
  <c r="AW920" i="1"/>
  <c r="AX920" i="1"/>
  <c r="AV920" i="1" s="1"/>
  <c r="BD920" i="1"/>
  <c r="BF920" i="1"/>
  <c r="BH920" i="1"/>
  <c r="BI920" i="1"/>
  <c r="BJ920" i="1"/>
  <c r="K921" i="1"/>
  <c r="L921" i="1"/>
  <c r="AL921" i="1" s="1"/>
  <c r="Z921" i="1"/>
  <c r="AB921" i="1"/>
  <c r="AC921" i="1"/>
  <c r="AD921" i="1"/>
  <c r="AE921" i="1"/>
  <c r="AF921" i="1"/>
  <c r="AG921" i="1"/>
  <c r="AH921" i="1"/>
  <c r="AJ921" i="1"/>
  <c r="AK921" i="1"/>
  <c r="AO921" i="1"/>
  <c r="J921" i="1" s="1"/>
  <c r="AP921" i="1"/>
  <c r="AW921" i="1"/>
  <c r="AV921" i="1" s="1"/>
  <c r="AX921" i="1"/>
  <c r="BD921" i="1"/>
  <c r="BF921" i="1"/>
  <c r="BH921" i="1"/>
  <c r="BI921" i="1"/>
  <c r="BJ921" i="1"/>
  <c r="J922" i="1"/>
  <c r="K922" i="1"/>
  <c r="L922" i="1"/>
  <c r="AL922" i="1" s="1"/>
  <c r="AB922" i="1"/>
  <c r="AC922" i="1"/>
  <c r="AD922" i="1"/>
  <c r="AE922" i="1"/>
  <c r="AF922" i="1"/>
  <c r="AG922" i="1"/>
  <c r="AH922" i="1"/>
  <c r="AJ922" i="1"/>
  <c r="AK922" i="1"/>
  <c r="AO922" i="1"/>
  <c r="AP922" i="1"/>
  <c r="AV922" i="1"/>
  <c r="AW922" i="1"/>
  <c r="BC922" i="1" s="1"/>
  <c r="AX922" i="1"/>
  <c r="BD922" i="1"/>
  <c r="BF922" i="1"/>
  <c r="BH922" i="1"/>
  <c r="BI922" i="1"/>
  <c r="BJ922" i="1"/>
  <c r="Z922" i="1" s="1"/>
  <c r="J923" i="1"/>
  <c r="L923" i="1"/>
  <c r="AB923" i="1"/>
  <c r="AC923" i="1"/>
  <c r="AD923" i="1"/>
  <c r="AE923" i="1"/>
  <c r="AF923" i="1"/>
  <c r="AG923" i="1"/>
  <c r="AH923" i="1"/>
  <c r="AJ923" i="1"/>
  <c r="AK923" i="1"/>
  <c r="AL923" i="1"/>
  <c r="AO923" i="1"/>
  <c r="AP923" i="1"/>
  <c r="AX923" i="1" s="1"/>
  <c r="AW923" i="1"/>
  <c r="BC923" i="1" s="1"/>
  <c r="BD923" i="1"/>
  <c r="BF923" i="1"/>
  <c r="BH923" i="1"/>
  <c r="BI923" i="1"/>
  <c r="BJ923" i="1"/>
  <c r="Z923" i="1" s="1"/>
  <c r="L924" i="1"/>
  <c r="AB924" i="1"/>
  <c r="AC924" i="1"/>
  <c r="AD924" i="1"/>
  <c r="AE924" i="1"/>
  <c r="AF924" i="1"/>
  <c r="AG924" i="1"/>
  <c r="AH924" i="1"/>
  <c r="AJ924" i="1"/>
  <c r="AK924" i="1"/>
  <c r="AL924" i="1"/>
  <c r="AO924" i="1"/>
  <c r="AW924" i="1" s="1"/>
  <c r="AP924" i="1"/>
  <c r="K924" i="1" s="1"/>
  <c r="BD924" i="1"/>
  <c r="BF924" i="1"/>
  <c r="BH924" i="1"/>
  <c r="BI924" i="1"/>
  <c r="BJ924" i="1"/>
  <c r="Z924" i="1" s="1"/>
  <c r="L925" i="1"/>
  <c r="AB925" i="1"/>
  <c r="AC925" i="1"/>
  <c r="AD925" i="1"/>
  <c r="AE925" i="1"/>
  <c r="AF925" i="1"/>
  <c r="AG925" i="1"/>
  <c r="AH925" i="1"/>
  <c r="AJ925" i="1"/>
  <c r="AK925" i="1"/>
  <c r="AL925" i="1"/>
  <c r="AO925" i="1"/>
  <c r="J925" i="1" s="1"/>
  <c r="AP925" i="1"/>
  <c r="K925" i="1" s="1"/>
  <c r="BD925" i="1"/>
  <c r="BF925" i="1"/>
  <c r="BH925" i="1"/>
  <c r="BI925" i="1"/>
  <c r="BJ925" i="1"/>
  <c r="Z925" i="1" s="1"/>
  <c r="L926" i="1"/>
  <c r="AB926" i="1"/>
  <c r="AC926" i="1"/>
  <c r="AD926" i="1"/>
  <c r="AE926" i="1"/>
  <c r="AF926" i="1"/>
  <c r="AG926" i="1"/>
  <c r="AH926" i="1"/>
  <c r="AJ926" i="1"/>
  <c r="AK926" i="1"/>
  <c r="AL926" i="1"/>
  <c r="AO926" i="1"/>
  <c r="J926" i="1" s="1"/>
  <c r="AP926" i="1"/>
  <c r="K926" i="1" s="1"/>
  <c r="AX926" i="1"/>
  <c r="BD926" i="1"/>
  <c r="BF926" i="1"/>
  <c r="BH926" i="1"/>
  <c r="BI926" i="1"/>
  <c r="BJ926" i="1"/>
  <c r="Z926" i="1" s="1"/>
  <c r="K927" i="1"/>
  <c r="L927" i="1"/>
  <c r="Z927" i="1"/>
  <c r="AB927" i="1"/>
  <c r="AC927" i="1"/>
  <c r="AD927" i="1"/>
  <c r="AE927" i="1"/>
  <c r="AF927" i="1"/>
  <c r="AG927" i="1"/>
  <c r="AH927" i="1"/>
  <c r="AJ927" i="1"/>
  <c r="AK927" i="1"/>
  <c r="AL927" i="1"/>
  <c r="AO927" i="1"/>
  <c r="J927" i="1" s="1"/>
  <c r="AP927" i="1"/>
  <c r="AW927" i="1"/>
  <c r="AV927" i="1" s="1"/>
  <c r="AX927" i="1"/>
  <c r="BC927" i="1"/>
  <c r="BD927" i="1"/>
  <c r="BF927" i="1"/>
  <c r="BH927" i="1"/>
  <c r="BI927" i="1"/>
  <c r="BJ927" i="1"/>
  <c r="J928" i="1"/>
  <c r="L928" i="1"/>
  <c r="AL928" i="1" s="1"/>
  <c r="AB928" i="1"/>
  <c r="AC928" i="1"/>
  <c r="AD928" i="1"/>
  <c r="AE928" i="1"/>
  <c r="AF928" i="1"/>
  <c r="AG928" i="1"/>
  <c r="AH928" i="1"/>
  <c r="AJ928" i="1"/>
  <c r="AK928" i="1"/>
  <c r="AO928" i="1"/>
  <c r="AP928" i="1"/>
  <c r="K928" i="1" s="1"/>
  <c r="AW928" i="1"/>
  <c r="AX928" i="1"/>
  <c r="AV928" i="1" s="1"/>
  <c r="BD928" i="1"/>
  <c r="BF928" i="1"/>
  <c r="BH928" i="1"/>
  <c r="BI928" i="1"/>
  <c r="BJ928" i="1"/>
  <c r="Z928" i="1" s="1"/>
  <c r="K929" i="1"/>
  <c r="L929" i="1"/>
  <c r="AL929" i="1" s="1"/>
  <c r="Z929" i="1"/>
  <c r="AB929" i="1"/>
  <c r="AC929" i="1"/>
  <c r="AD929" i="1"/>
  <c r="AE929" i="1"/>
  <c r="AF929" i="1"/>
  <c r="AG929" i="1"/>
  <c r="AH929" i="1"/>
  <c r="AJ929" i="1"/>
  <c r="AK929" i="1"/>
  <c r="AO929" i="1"/>
  <c r="J929" i="1" s="1"/>
  <c r="AP929" i="1"/>
  <c r="AW929" i="1"/>
  <c r="AV929" i="1" s="1"/>
  <c r="AX929" i="1"/>
  <c r="BD929" i="1"/>
  <c r="BF929" i="1"/>
  <c r="BH929" i="1"/>
  <c r="BI929" i="1"/>
  <c r="BJ929" i="1"/>
  <c r="J930" i="1"/>
  <c r="K930" i="1"/>
  <c r="L930" i="1"/>
  <c r="AL930" i="1" s="1"/>
  <c r="AB930" i="1"/>
  <c r="AC930" i="1"/>
  <c r="AD930" i="1"/>
  <c r="AE930" i="1"/>
  <c r="AF930" i="1"/>
  <c r="AG930" i="1"/>
  <c r="AH930" i="1"/>
  <c r="AJ930" i="1"/>
  <c r="AK930" i="1"/>
  <c r="AO930" i="1"/>
  <c r="AP930" i="1"/>
  <c r="AV930" i="1"/>
  <c r="AW930" i="1"/>
  <c r="BC930" i="1" s="1"/>
  <c r="AX930" i="1"/>
  <c r="BD930" i="1"/>
  <c r="BF930" i="1"/>
  <c r="BH930" i="1"/>
  <c r="BI930" i="1"/>
  <c r="BJ930" i="1"/>
  <c r="Z930" i="1" s="1"/>
  <c r="J931" i="1"/>
  <c r="L931" i="1"/>
  <c r="AB931" i="1"/>
  <c r="AC931" i="1"/>
  <c r="AD931" i="1"/>
  <c r="AE931" i="1"/>
  <c r="AF931" i="1"/>
  <c r="AG931" i="1"/>
  <c r="AH931" i="1"/>
  <c r="AJ931" i="1"/>
  <c r="AK931" i="1"/>
  <c r="AL931" i="1"/>
  <c r="AO931" i="1"/>
  <c r="AP931" i="1"/>
  <c r="AX931" i="1" s="1"/>
  <c r="AW931" i="1"/>
  <c r="BC931" i="1" s="1"/>
  <c r="BD931" i="1"/>
  <c r="BF931" i="1"/>
  <c r="BH931" i="1"/>
  <c r="BI931" i="1"/>
  <c r="BJ931" i="1"/>
  <c r="Z931" i="1" s="1"/>
  <c r="L932" i="1"/>
  <c r="AB932" i="1"/>
  <c r="AC932" i="1"/>
  <c r="AD932" i="1"/>
  <c r="AE932" i="1"/>
  <c r="AF932" i="1"/>
  <c r="AG932" i="1"/>
  <c r="AH932" i="1"/>
  <c r="AJ932" i="1"/>
  <c r="AK932" i="1"/>
  <c r="AL932" i="1"/>
  <c r="AO932" i="1"/>
  <c r="AW932" i="1" s="1"/>
  <c r="AP932" i="1"/>
  <c r="K932" i="1" s="1"/>
  <c r="BD932" i="1"/>
  <c r="BF932" i="1"/>
  <c r="BH932" i="1"/>
  <c r="BI932" i="1"/>
  <c r="BJ932" i="1"/>
  <c r="Z932" i="1" s="1"/>
  <c r="L933" i="1"/>
  <c r="Z933" i="1"/>
  <c r="AB933" i="1"/>
  <c r="AC933" i="1"/>
  <c r="AD933" i="1"/>
  <c r="AE933" i="1"/>
  <c r="AF933" i="1"/>
  <c r="AG933" i="1"/>
  <c r="AH933" i="1"/>
  <c r="AJ933" i="1"/>
  <c r="AK933" i="1"/>
  <c r="AL933" i="1"/>
  <c r="AO933" i="1"/>
  <c r="J933" i="1" s="1"/>
  <c r="AP933" i="1"/>
  <c r="K933" i="1" s="1"/>
  <c r="BD933" i="1"/>
  <c r="BF933" i="1"/>
  <c r="BH933" i="1"/>
  <c r="BI933" i="1"/>
  <c r="BJ933" i="1"/>
  <c r="L934" i="1"/>
  <c r="AB934" i="1"/>
  <c r="AC934" i="1"/>
  <c r="AD934" i="1"/>
  <c r="AE934" i="1"/>
  <c r="AF934" i="1"/>
  <c r="AG934" i="1"/>
  <c r="AH934" i="1"/>
  <c r="AJ934" i="1"/>
  <c r="AK934" i="1"/>
  <c r="AL934" i="1"/>
  <c r="AO934" i="1"/>
  <c r="J934" i="1" s="1"/>
  <c r="AP934" i="1"/>
  <c r="K934" i="1" s="1"/>
  <c r="AX934" i="1"/>
  <c r="BD934" i="1"/>
  <c r="BF934" i="1"/>
  <c r="BH934" i="1"/>
  <c r="BI934" i="1"/>
  <c r="BJ934" i="1"/>
  <c r="Z934" i="1" s="1"/>
  <c r="L935" i="1"/>
  <c r="Z935" i="1"/>
  <c r="AD935" i="1"/>
  <c r="AE935" i="1"/>
  <c r="AF935" i="1"/>
  <c r="AG935" i="1"/>
  <c r="AH935" i="1"/>
  <c r="AJ935" i="1"/>
  <c r="AK935" i="1"/>
  <c r="AL935" i="1"/>
  <c r="AO935" i="1"/>
  <c r="J935" i="1" s="1"/>
  <c r="AP935" i="1"/>
  <c r="AX935" i="1" s="1"/>
  <c r="BD935" i="1"/>
  <c r="BF935" i="1"/>
  <c r="BJ935" i="1"/>
  <c r="K938" i="1"/>
  <c r="L938" i="1"/>
  <c r="L937" i="1" s="1"/>
  <c r="L936" i="1" s="1"/>
  <c r="Z938" i="1"/>
  <c r="AD938" i="1"/>
  <c r="AE938" i="1"/>
  <c r="AF938" i="1"/>
  <c r="AG938" i="1"/>
  <c r="AH938" i="1"/>
  <c r="AJ938" i="1"/>
  <c r="AS937" i="1" s="1"/>
  <c r="AK938" i="1"/>
  <c r="AT937" i="1" s="1"/>
  <c r="AO938" i="1"/>
  <c r="J938" i="1" s="1"/>
  <c r="AP938" i="1"/>
  <c r="AX938" i="1" s="1"/>
  <c r="AW938" i="1"/>
  <c r="BD938" i="1"/>
  <c r="BF938" i="1"/>
  <c r="BH938" i="1"/>
  <c r="AB938" i="1" s="1"/>
  <c r="BI938" i="1"/>
  <c r="AC938" i="1" s="1"/>
  <c r="BJ938" i="1"/>
  <c r="J939" i="1"/>
  <c r="K939" i="1"/>
  <c r="L939" i="1"/>
  <c r="AL939" i="1" s="1"/>
  <c r="Z939" i="1"/>
  <c r="AC939" i="1"/>
  <c r="AD939" i="1"/>
  <c r="AE939" i="1"/>
  <c r="AF939" i="1"/>
  <c r="AG939" i="1"/>
  <c r="AH939" i="1"/>
  <c r="AJ939" i="1"/>
  <c r="AK939" i="1"/>
  <c r="AO939" i="1"/>
  <c r="AW939" i="1" s="1"/>
  <c r="AP939" i="1"/>
  <c r="AX939" i="1"/>
  <c r="BD939" i="1"/>
  <c r="BF939" i="1"/>
  <c r="BH939" i="1"/>
  <c r="AB939" i="1" s="1"/>
  <c r="BI939" i="1"/>
  <c r="BJ939" i="1"/>
  <c r="J940" i="1"/>
  <c r="L940" i="1"/>
  <c r="Z940" i="1"/>
  <c r="AB940" i="1"/>
  <c r="AD940" i="1"/>
  <c r="AE940" i="1"/>
  <c r="AF940" i="1"/>
  <c r="AG940" i="1"/>
  <c r="AH940" i="1"/>
  <c r="AJ940" i="1"/>
  <c r="AK940" i="1"/>
  <c r="AL940" i="1"/>
  <c r="AO940" i="1"/>
  <c r="AP940" i="1"/>
  <c r="AX940" i="1" s="1"/>
  <c r="AW940" i="1"/>
  <c r="BD940" i="1"/>
  <c r="BF940" i="1"/>
  <c r="BH940" i="1"/>
  <c r="BI940" i="1"/>
  <c r="AC940" i="1" s="1"/>
  <c r="BJ940" i="1"/>
  <c r="L941" i="1"/>
  <c r="Z941" i="1"/>
  <c r="AD941" i="1"/>
  <c r="AE941" i="1"/>
  <c r="AF941" i="1"/>
  <c r="AG941" i="1"/>
  <c r="AH941" i="1"/>
  <c r="AJ941" i="1"/>
  <c r="AK941" i="1"/>
  <c r="AL941" i="1"/>
  <c r="AO941" i="1"/>
  <c r="AW941" i="1" s="1"/>
  <c r="AP941" i="1"/>
  <c r="K941" i="1" s="1"/>
  <c r="BD941" i="1"/>
  <c r="BF941" i="1"/>
  <c r="BH941" i="1"/>
  <c r="AB941" i="1" s="1"/>
  <c r="BI941" i="1"/>
  <c r="AC941" i="1" s="1"/>
  <c r="BJ941" i="1"/>
  <c r="L942" i="1"/>
  <c r="Z942" i="1"/>
  <c r="AC942" i="1"/>
  <c r="AD942" i="1"/>
  <c r="AE942" i="1"/>
  <c r="AF942" i="1"/>
  <c r="AG942" i="1"/>
  <c r="AH942" i="1"/>
  <c r="AJ942" i="1"/>
  <c r="AK942" i="1"/>
  <c r="AL942" i="1"/>
  <c r="AO942" i="1"/>
  <c r="J942" i="1" s="1"/>
  <c r="AP942" i="1"/>
  <c r="K942" i="1" s="1"/>
  <c r="BD942" i="1"/>
  <c r="BF942" i="1"/>
  <c r="BH942" i="1"/>
  <c r="AB942" i="1" s="1"/>
  <c r="BI942" i="1"/>
  <c r="BJ942" i="1"/>
  <c r="L943" i="1"/>
  <c r="AL943" i="1" s="1"/>
  <c r="Z943" i="1"/>
  <c r="AB943" i="1"/>
  <c r="AD943" i="1"/>
  <c r="AE943" i="1"/>
  <c r="AF943" i="1"/>
  <c r="AG943" i="1"/>
  <c r="AH943" i="1"/>
  <c r="AJ943" i="1"/>
  <c r="AK943" i="1"/>
  <c r="AO943" i="1"/>
  <c r="J943" i="1" s="1"/>
  <c r="AP943" i="1"/>
  <c r="K943" i="1" s="1"/>
  <c r="AX943" i="1"/>
  <c r="BD943" i="1"/>
  <c r="BF943" i="1"/>
  <c r="BH943" i="1"/>
  <c r="BI943" i="1"/>
  <c r="AC943" i="1" s="1"/>
  <c r="BJ943" i="1"/>
  <c r="J946" i="1"/>
  <c r="L946" i="1"/>
  <c r="AL946" i="1" s="1"/>
  <c r="Z946" i="1"/>
  <c r="AB946" i="1"/>
  <c r="AD946" i="1"/>
  <c r="AE946" i="1"/>
  <c r="AF946" i="1"/>
  <c r="AG946" i="1"/>
  <c r="AH946" i="1"/>
  <c r="AJ946" i="1"/>
  <c r="AK946" i="1"/>
  <c r="AT945" i="1" s="1"/>
  <c r="AO946" i="1"/>
  <c r="AP946" i="1"/>
  <c r="K946" i="1" s="1"/>
  <c r="AW946" i="1"/>
  <c r="AX946" i="1"/>
  <c r="AV946" i="1" s="1"/>
  <c r="BD946" i="1"/>
  <c r="BF946" i="1"/>
  <c r="BH946" i="1"/>
  <c r="BI946" i="1"/>
  <c r="AC946" i="1" s="1"/>
  <c r="BJ946" i="1"/>
  <c r="K948" i="1"/>
  <c r="L948" i="1"/>
  <c r="AL948" i="1" s="1"/>
  <c r="Z948" i="1"/>
  <c r="AD948" i="1"/>
  <c r="AE948" i="1"/>
  <c r="AF948" i="1"/>
  <c r="AG948" i="1"/>
  <c r="AH948" i="1"/>
  <c r="AJ948" i="1"/>
  <c r="AK948" i="1"/>
  <c r="AO948" i="1"/>
  <c r="J948" i="1" s="1"/>
  <c r="AP948" i="1"/>
  <c r="AX948" i="1" s="1"/>
  <c r="AW948" i="1"/>
  <c r="AV948" i="1" s="1"/>
  <c r="BD948" i="1"/>
  <c r="BF948" i="1"/>
  <c r="BH948" i="1"/>
  <c r="AB948" i="1" s="1"/>
  <c r="BI948" i="1"/>
  <c r="AC948" i="1" s="1"/>
  <c r="BJ948" i="1"/>
  <c r="J949" i="1"/>
  <c r="K949" i="1"/>
  <c r="L949" i="1"/>
  <c r="AL949" i="1" s="1"/>
  <c r="Z949" i="1"/>
  <c r="AC949" i="1"/>
  <c r="AD949" i="1"/>
  <c r="AE949" i="1"/>
  <c r="AF949" i="1"/>
  <c r="AG949" i="1"/>
  <c r="AH949" i="1"/>
  <c r="AJ949" i="1"/>
  <c r="AK949" i="1"/>
  <c r="AO949" i="1"/>
  <c r="AW949" i="1" s="1"/>
  <c r="AP949" i="1"/>
  <c r="AX949" i="1"/>
  <c r="BD949" i="1"/>
  <c r="BF949" i="1"/>
  <c r="BH949" i="1"/>
  <c r="AB949" i="1" s="1"/>
  <c r="BI949" i="1"/>
  <c r="BJ949" i="1"/>
  <c r="J950" i="1"/>
  <c r="L950" i="1"/>
  <c r="Z950" i="1"/>
  <c r="AB950" i="1"/>
  <c r="AD950" i="1"/>
  <c r="AE950" i="1"/>
  <c r="AF950" i="1"/>
  <c r="AG950" i="1"/>
  <c r="AH950" i="1"/>
  <c r="AJ950" i="1"/>
  <c r="AK950" i="1"/>
  <c r="AL950" i="1"/>
  <c r="AO950" i="1"/>
  <c r="AP950" i="1"/>
  <c r="AX950" i="1" s="1"/>
  <c r="AW950" i="1"/>
  <c r="BC950" i="1" s="1"/>
  <c r="BD950" i="1"/>
  <c r="BF950" i="1"/>
  <c r="BH950" i="1"/>
  <c r="BI950" i="1"/>
  <c r="AC950" i="1" s="1"/>
  <c r="BJ950" i="1"/>
  <c r="K952" i="1"/>
  <c r="L952" i="1"/>
  <c r="Z952" i="1"/>
  <c r="AD952" i="1"/>
  <c r="AE952" i="1"/>
  <c r="AF952" i="1"/>
  <c r="AG952" i="1"/>
  <c r="AH952" i="1"/>
  <c r="AJ952" i="1"/>
  <c r="AK952" i="1"/>
  <c r="AL952" i="1"/>
  <c r="AO952" i="1"/>
  <c r="AW952" i="1" s="1"/>
  <c r="AP952" i="1"/>
  <c r="AX952" i="1" s="1"/>
  <c r="BD952" i="1"/>
  <c r="BF952" i="1"/>
  <c r="BH952" i="1"/>
  <c r="AB952" i="1" s="1"/>
  <c r="BI952" i="1"/>
  <c r="AC952" i="1" s="1"/>
  <c r="BJ952" i="1"/>
  <c r="J953" i="1"/>
  <c r="L953" i="1"/>
  <c r="Z953" i="1"/>
  <c r="AC953" i="1"/>
  <c r="AD953" i="1"/>
  <c r="AE953" i="1"/>
  <c r="AF953" i="1"/>
  <c r="AG953" i="1"/>
  <c r="AH953" i="1"/>
  <c r="AJ953" i="1"/>
  <c r="AK953" i="1"/>
  <c r="AL953" i="1"/>
  <c r="AO953" i="1"/>
  <c r="AW953" i="1" s="1"/>
  <c r="AP953" i="1"/>
  <c r="K953" i="1" s="1"/>
  <c r="BD953" i="1"/>
  <c r="BF953" i="1"/>
  <c r="BH953" i="1"/>
  <c r="AB953" i="1" s="1"/>
  <c r="BI953" i="1"/>
  <c r="BJ953" i="1"/>
  <c r="L954" i="1"/>
  <c r="AL954" i="1" s="1"/>
  <c r="Z954" i="1"/>
  <c r="AB954" i="1"/>
  <c r="AD954" i="1"/>
  <c r="AE954" i="1"/>
  <c r="AF954" i="1"/>
  <c r="AG954" i="1"/>
  <c r="AH954" i="1"/>
  <c r="AJ954" i="1"/>
  <c r="AK954" i="1"/>
  <c r="AO954" i="1"/>
  <c r="J954" i="1" s="1"/>
  <c r="AP954" i="1"/>
  <c r="K954" i="1" s="1"/>
  <c r="AX954" i="1"/>
  <c r="BD954" i="1"/>
  <c r="BF954" i="1"/>
  <c r="BH954" i="1"/>
  <c r="BI954" i="1"/>
  <c r="AC954" i="1" s="1"/>
  <c r="BJ954" i="1"/>
  <c r="K955" i="1"/>
  <c r="L955" i="1"/>
  <c r="Z955" i="1"/>
  <c r="AC955" i="1"/>
  <c r="AD955" i="1"/>
  <c r="AE955" i="1"/>
  <c r="AF955" i="1"/>
  <c r="AG955" i="1"/>
  <c r="AH955" i="1"/>
  <c r="AJ955" i="1"/>
  <c r="AK955" i="1"/>
  <c r="AL955" i="1"/>
  <c r="AO955" i="1"/>
  <c r="J955" i="1" s="1"/>
  <c r="AP955" i="1"/>
  <c r="AX955" i="1" s="1"/>
  <c r="BC955" i="1" s="1"/>
  <c r="AW955" i="1"/>
  <c r="BD955" i="1"/>
  <c r="BF955" i="1"/>
  <c r="BH955" i="1"/>
  <c r="AB955" i="1" s="1"/>
  <c r="BI955" i="1"/>
  <c r="BJ955" i="1"/>
  <c r="J956" i="1"/>
  <c r="L956" i="1"/>
  <c r="AL956" i="1" s="1"/>
  <c r="Z956" i="1"/>
  <c r="AB956" i="1"/>
  <c r="AC956" i="1"/>
  <c r="AD956" i="1"/>
  <c r="AE956" i="1"/>
  <c r="AF956" i="1"/>
  <c r="AG956" i="1"/>
  <c r="AH956" i="1"/>
  <c r="AJ956" i="1"/>
  <c r="AK956" i="1"/>
  <c r="AO956" i="1"/>
  <c r="AP956" i="1"/>
  <c r="K956" i="1" s="1"/>
  <c r="AW956" i="1"/>
  <c r="AX956" i="1"/>
  <c r="AV956" i="1" s="1"/>
  <c r="BD956" i="1"/>
  <c r="BF956" i="1"/>
  <c r="BH956" i="1"/>
  <c r="BI956" i="1"/>
  <c r="BJ956" i="1"/>
  <c r="K957" i="1"/>
  <c r="L957" i="1"/>
  <c r="AL957" i="1" s="1"/>
  <c r="Z957" i="1"/>
  <c r="AB957" i="1"/>
  <c r="AD957" i="1"/>
  <c r="AE957" i="1"/>
  <c r="AF957" i="1"/>
  <c r="AG957" i="1"/>
  <c r="AH957" i="1"/>
  <c r="AJ957" i="1"/>
  <c r="AK957" i="1"/>
  <c r="AO957" i="1"/>
  <c r="J957" i="1" s="1"/>
  <c r="AP957" i="1"/>
  <c r="AX957" i="1" s="1"/>
  <c r="AW957" i="1"/>
  <c r="BD957" i="1"/>
  <c r="BF957" i="1"/>
  <c r="BH957" i="1"/>
  <c r="BI957" i="1"/>
  <c r="AC957" i="1" s="1"/>
  <c r="BJ957" i="1"/>
  <c r="J958" i="1"/>
  <c r="K958" i="1"/>
  <c r="L958" i="1"/>
  <c r="AL958" i="1" s="1"/>
  <c r="Z958" i="1"/>
  <c r="AD958" i="1"/>
  <c r="AE958" i="1"/>
  <c r="AF958" i="1"/>
  <c r="AG958" i="1"/>
  <c r="AH958" i="1"/>
  <c r="AJ958" i="1"/>
  <c r="AK958" i="1"/>
  <c r="AO958" i="1"/>
  <c r="AW958" i="1" s="1"/>
  <c r="AP958" i="1"/>
  <c r="AX958" i="1"/>
  <c r="BD958" i="1"/>
  <c r="BF958" i="1"/>
  <c r="BH958" i="1"/>
  <c r="AB958" i="1" s="1"/>
  <c r="BI958" i="1"/>
  <c r="AC958" i="1" s="1"/>
  <c r="BJ958" i="1"/>
  <c r="J959" i="1"/>
  <c r="L959" i="1"/>
  <c r="Z959" i="1"/>
  <c r="AB959" i="1"/>
  <c r="AD959" i="1"/>
  <c r="AE959" i="1"/>
  <c r="AF959" i="1"/>
  <c r="AG959" i="1"/>
  <c r="AH959" i="1"/>
  <c r="AJ959" i="1"/>
  <c r="AK959" i="1"/>
  <c r="AL959" i="1"/>
  <c r="AO959" i="1"/>
  <c r="AP959" i="1"/>
  <c r="AX959" i="1" s="1"/>
  <c r="AW959" i="1"/>
  <c r="BD959" i="1"/>
  <c r="BF959" i="1"/>
  <c r="BH959" i="1"/>
  <c r="BI959" i="1"/>
  <c r="AC959" i="1" s="1"/>
  <c r="BJ959" i="1"/>
  <c r="L960" i="1"/>
  <c r="Z960" i="1"/>
  <c r="AD960" i="1"/>
  <c r="AE960" i="1"/>
  <c r="AF960" i="1"/>
  <c r="AG960" i="1"/>
  <c r="AH960" i="1"/>
  <c r="AJ960" i="1"/>
  <c r="AK960" i="1"/>
  <c r="AL960" i="1"/>
  <c r="AO960" i="1"/>
  <c r="AW960" i="1" s="1"/>
  <c r="AP960" i="1"/>
  <c r="K960" i="1" s="1"/>
  <c r="BD960" i="1"/>
  <c r="BF960" i="1"/>
  <c r="BH960" i="1"/>
  <c r="AB960" i="1" s="1"/>
  <c r="BI960" i="1"/>
  <c r="AC960" i="1" s="1"/>
  <c r="BJ960" i="1"/>
  <c r="L962" i="1"/>
  <c r="Z962" i="1"/>
  <c r="AC962" i="1"/>
  <c r="AD962" i="1"/>
  <c r="AE962" i="1"/>
  <c r="AF962" i="1"/>
  <c r="AG962" i="1"/>
  <c r="AH962" i="1"/>
  <c r="AJ962" i="1"/>
  <c r="AK962" i="1"/>
  <c r="AL962" i="1"/>
  <c r="AO962" i="1"/>
  <c r="J962" i="1" s="1"/>
  <c r="AP962" i="1"/>
  <c r="K962" i="1" s="1"/>
  <c r="BD962" i="1"/>
  <c r="BF962" i="1"/>
  <c r="BH962" i="1"/>
  <c r="AB962" i="1" s="1"/>
  <c r="BI962" i="1"/>
  <c r="BJ962" i="1"/>
  <c r="L964" i="1"/>
  <c r="AL964" i="1" s="1"/>
  <c r="Z964" i="1"/>
  <c r="AB964" i="1"/>
  <c r="AD964" i="1"/>
  <c r="AE964" i="1"/>
  <c r="AF964" i="1"/>
  <c r="AG964" i="1"/>
  <c r="AH964" i="1"/>
  <c r="AJ964" i="1"/>
  <c r="AK964" i="1"/>
  <c r="AO964" i="1"/>
  <c r="J964" i="1" s="1"/>
  <c r="AP964" i="1"/>
  <c r="K964" i="1" s="1"/>
  <c r="AX964" i="1"/>
  <c r="BD964" i="1"/>
  <c r="BF964" i="1"/>
  <c r="BH964" i="1"/>
  <c r="BI964" i="1"/>
  <c r="AC964" i="1" s="1"/>
  <c r="BJ964" i="1"/>
  <c r="K966" i="1"/>
  <c r="L966" i="1"/>
  <c r="Z966" i="1"/>
  <c r="AC966" i="1"/>
  <c r="AD966" i="1"/>
  <c r="AE966" i="1"/>
  <c r="AF966" i="1"/>
  <c r="AG966" i="1"/>
  <c r="AH966" i="1"/>
  <c r="AJ966" i="1"/>
  <c r="AK966" i="1"/>
  <c r="AL966" i="1"/>
  <c r="AO966" i="1"/>
  <c r="J966" i="1" s="1"/>
  <c r="AP966" i="1"/>
  <c r="AW966" i="1"/>
  <c r="AV966" i="1" s="1"/>
  <c r="AX966" i="1"/>
  <c r="BC966" i="1"/>
  <c r="BD966" i="1"/>
  <c r="BF966" i="1"/>
  <c r="BH966" i="1"/>
  <c r="AB966" i="1" s="1"/>
  <c r="BI966" i="1"/>
  <c r="BJ966" i="1"/>
  <c r="J967" i="1"/>
  <c r="L967" i="1"/>
  <c r="AL967" i="1" s="1"/>
  <c r="Z967" i="1"/>
  <c r="AB967" i="1"/>
  <c r="AC967" i="1"/>
  <c r="AD967" i="1"/>
  <c r="AE967" i="1"/>
  <c r="AF967" i="1"/>
  <c r="AG967" i="1"/>
  <c r="AH967" i="1"/>
  <c r="AJ967" i="1"/>
  <c r="AK967" i="1"/>
  <c r="AO967" i="1"/>
  <c r="AP967" i="1"/>
  <c r="K967" i="1" s="1"/>
  <c r="AW967" i="1"/>
  <c r="AX967" i="1"/>
  <c r="AV967" i="1" s="1"/>
  <c r="BD967" i="1"/>
  <c r="BF967" i="1"/>
  <c r="BH967" i="1"/>
  <c r="BI967" i="1"/>
  <c r="BJ967" i="1"/>
  <c r="K968" i="1"/>
  <c r="L968" i="1"/>
  <c r="AL968" i="1" s="1"/>
  <c r="Z968" i="1"/>
  <c r="AB968" i="1"/>
  <c r="AD968" i="1"/>
  <c r="AE968" i="1"/>
  <c r="AF968" i="1"/>
  <c r="AG968" i="1"/>
  <c r="AH968" i="1"/>
  <c r="AJ968" i="1"/>
  <c r="AK968" i="1"/>
  <c r="AO968" i="1"/>
  <c r="J968" i="1" s="1"/>
  <c r="AP968" i="1"/>
  <c r="AX968" i="1" s="1"/>
  <c r="AW968" i="1"/>
  <c r="BD968" i="1"/>
  <c r="BF968" i="1"/>
  <c r="BH968" i="1"/>
  <c r="BI968" i="1"/>
  <c r="AC968" i="1" s="1"/>
  <c r="BJ968" i="1"/>
  <c r="J969" i="1"/>
  <c r="K969" i="1"/>
  <c r="L969" i="1"/>
  <c r="AL969" i="1" s="1"/>
  <c r="Z969" i="1"/>
  <c r="AD969" i="1"/>
  <c r="AE969" i="1"/>
  <c r="AF969" i="1"/>
  <c r="AG969" i="1"/>
  <c r="AH969" i="1"/>
  <c r="AJ969" i="1"/>
  <c r="AK969" i="1"/>
  <c r="AO969" i="1"/>
  <c r="AW969" i="1" s="1"/>
  <c r="AP969" i="1"/>
  <c r="AX969" i="1"/>
  <c r="BD969" i="1"/>
  <c r="BF969" i="1"/>
  <c r="BH969" i="1"/>
  <c r="AB969" i="1" s="1"/>
  <c r="BI969" i="1"/>
  <c r="AC969" i="1" s="1"/>
  <c r="BJ969" i="1"/>
  <c r="J970" i="1"/>
  <c r="L970" i="1"/>
  <c r="Z970" i="1"/>
  <c r="AD970" i="1"/>
  <c r="AE970" i="1"/>
  <c r="AF970" i="1"/>
  <c r="AG970" i="1"/>
  <c r="AH970" i="1"/>
  <c r="AJ970" i="1"/>
  <c r="AK970" i="1"/>
  <c r="AL970" i="1"/>
  <c r="AO970" i="1"/>
  <c r="AP970" i="1"/>
  <c r="AX970" i="1" s="1"/>
  <c r="AW970" i="1"/>
  <c r="BD970" i="1"/>
  <c r="BF970" i="1"/>
  <c r="BH970" i="1"/>
  <c r="AB970" i="1" s="1"/>
  <c r="BI970" i="1"/>
  <c r="AC970" i="1" s="1"/>
  <c r="BJ970" i="1"/>
  <c r="K971" i="1"/>
  <c r="L971" i="1"/>
  <c r="Z971" i="1"/>
  <c r="AD971" i="1"/>
  <c r="AE971" i="1"/>
  <c r="AF971" i="1"/>
  <c r="AG971" i="1"/>
  <c r="AH971" i="1"/>
  <c r="AJ971" i="1"/>
  <c r="AK971" i="1"/>
  <c r="AL971" i="1"/>
  <c r="AO971" i="1"/>
  <c r="AW971" i="1" s="1"/>
  <c r="AP971" i="1"/>
  <c r="AX971" i="1" s="1"/>
  <c r="BD971" i="1"/>
  <c r="BF971" i="1"/>
  <c r="BH971" i="1"/>
  <c r="AB971" i="1" s="1"/>
  <c r="BI971" i="1"/>
  <c r="AC971" i="1" s="1"/>
  <c r="BJ971" i="1"/>
  <c r="J972" i="1"/>
  <c r="L972" i="1"/>
  <c r="Z972" i="1"/>
  <c r="AC972" i="1"/>
  <c r="AD972" i="1"/>
  <c r="AE972" i="1"/>
  <c r="AF972" i="1"/>
  <c r="AG972" i="1"/>
  <c r="AH972" i="1"/>
  <c r="AJ972" i="1"/>
  <c r="AK972" i="1"/>
  <c r="AL972" i="1"/>
  <c r="AO972" i="1"/>
  <c r="AW972" i="1" s="1"/>
  <c r="AP972" i="1"/>
  <c r="K972" i="1" s="1"/>
  <c r="BD972" i="1"/>
  <c r="BF972" i="1"/>
  <c r="BH972" i="1"/>
  <c r="AB972" i="1" s="1"/>
  <c r="BI972" i="1"/>
  <c r="BJ972" i="1"/>
  <c r="L973" i="1"/>
  <c r="AL973" i="1" s="1"/>
  <c r="Z973" i="1"/>
  <c r="AB973" i="1"/>
  <c r="AD973" i="1"/>
  <c r="AE973" i="1"/>
  <c r="AF973" i="1"/>
  <c r="AG973" i="1"/>
  <c r="AH973" i="1"/>
  <c r="AJ973" i="1"/>
  <c r="AK973" i="1"/>
  <c r="AO973" i="1"/>
  <c r="J973" i="1" s="1"/>
  <c r="AP973" i="1"/>
  <c r="K973" i="1" s="1"/>
  <c r="AX973" i="1"/>
  <c r="BD973" i="1"/>
  <c r="BF973" i="1"/>
  <c r="BH973" i="1"/>
  <c r="BI973" i="1"/>
  <c r="AC973" i="1" s="1"/>
  <c r="BJ973" i="1"/>
  <c r="K974" i="1"/>
  <c r="L974" i="1"/>
  <c r="Z974" i="1"/>
  <c r="AC974" i="1"/>
  <c r="AD974" i="1"/>
  <c r="AE974" i="1"/>
  <c r="AF974" i="1"/>
  <c r="AG974" i="1"/>
  <c r="AH974" i="1"/>
  <c r="AJ974" i="1"/>
  <c r="AK974" i="1"/>
  <c r="AL974" i="1"/>
  <c r="AO974" i="1"/>
  <c r="J974" i="1" s="1"/>
  <c r="AP974" i="1"/>
  <c r="AW974" i="1"/>
  <c r="AV974" i="1" s="1"/>
  <c r="AX974" i="1"/>
  <c r="BC974" i="1"/>
  <c r="BD974" i="1"/>
  <c r="BF974" i="1"/>
  <c r="BH974" i="1"/>
  <c r="AB974" i="1" s="1"/>
  <c r="BI974" i="1"/>
  <c r="BJ974" i="1"/>
  <c r="J975" i="1"/>
  <c r="L975" i="1"/>
  <c r="AL975" i="1" s="1"/>
  <c r="Z975" i="1"/>
  <c r="AB975" i="1"/>
  <c r="AC975" i="1"/>
  <c r="AD975" i="1"/>
  <c r="AE975" i="1"/>
  <c r="AF975" i="1"/>
  <c r="AG975" i="1"/>
  <c r="AH975" i="1"/>
  <c r="AJ975" i="1"/>
  <c r="AK975" i="1"/>
  <c r="AO975" i="1"/>
  <c r="AP975" i="1"/>
  <c r="K975" i="1" s="1"/>
  <c r="AW975" i="1"/>
  <c r="AX975" i="1"/>
  <c r="AV975" i="1" s="1"/>
  <c r="BD975" i="1"/>
  <c r="BF975" i="1"/>
  <c r="BH975" i="1"/>
  <c r="BI975" i="1"/>
  <c r="BJ975" i="1"/>
  <c r="K976" i="1"/>
  <c r="L976" i="1"/>
  <c r="AL976" i="1" s="1"/>
  <c r="Z976" i="1"/>
  <c r="AB976" i="1"/>
  <c r="AD976" i="1"/>
  <c r="AE976" i="1"/>
  <c r="AF976" i="1"/>
  <c r="AG976" i="1"/>
  <c r="AH976" i="1"/>
  <c r="AJ976" i="1"/>
  <c r="AK976" i="1"/>
  <c r="AO976" i="1"/>
  <c r="J976" i="1" s="1"/>
  <c r="AP976" i="1"/>
  <c r="AX976" i="1" s="1"/>
  <c r="AW976" i="1"/>
  <c r="AV976" i="1" s="1"/>
  <c r="BD976" i="1"/>
  <c r="BF976" i="1"/>
  <c r="BH976" i="1"/>
  <c r="BI976" i="1"/>
  <c r="AC976" i="1" s="1"/>
  <c r="BJ976" i="1"/>
  <c r="J977" i="1"/>
  <c r="L977" i="1"/>
  <c r="AL977" i="1" s="1"/>
  <c r="Z977" i="1"/>
  <c r="AD977" i="1"/>
  <c r="AE977" i="1"/>
  <c r="AF977" i="1"/>
  <c r="AG977" i="1"/>
  <c r="AH977" i="1"/>
  <c r="AJ977" i="1"/>
  <c r="AK977" i="1"/>
  <c r="AO977" i="1"/>
  <c r="AW977" i="1" s="1"/>
  <c r="AP977" i="1"/>
  <c r="K977" i="1" s="1"/>
  <c r="AX977" i="1"/>
  <c r="BD977" i="1"/>
  <c r="BF977" i="1"/>
  <c r="BH977" i="1"/>
  <c r="AB977" i="1" s="1"/>
  <c r="BI977" i="1"/>
  <c r="AC977" i="1" s="1"/>
  <c r="BJ977" i="1"/>
  <c r="L978" i="1"/>
  <c r="Z978" i="1"/>
  <c r="AD978" i="1"/>
  <c r="AE978" i="1"/>
  <c r="AF978" i="1"/>
  <c r="AG978" i="1"/>
  <c r="AH978" i="1"/>
  <c r="AJ978" i="1"/>
  <c r="AK978" i="1"/>
  <c r="AL978" i="1"/>
  <c r="AO978" i="1"/>
  <c r="J978" i="1" s="1"/>
  <c r="AP978" i="1"/>
  <c r="AX978" i="1" s="1"/>
  <c r="AW978" i="1"/>
  <c r="BC978" i="1" s="1"/>
  <c r="BD978" i="1"/>
  <c r="BF978" i="1"/>
  <c r="BH978" i="1"/>
  <c r="AB978" i="1" s="1"/>
  <c r="BI978" i="1"/>
  <c r="AC978" i="1" s="1"/>
  <c r="BJ978" i="1"/>
  <c r="K979" i="1"/>
  <c r="L979" i="1"/>
  <c r="Z979" i="1"/>
  <c r="AD979" i="1"/>
  <c r="AE979" i="1"/>
  <c r="AF979" i="1"/>
  <c r="AG979" i="1"/>
  <c r="AH979" i="1"/>
  <c r="AJ979" i="1"/>
  <c r="AK979" i="1"/>
  <c r="AL979" i="1"/>
  <c r="AO979" i="1"/>
  <c r="AW979" i="1" s="1"/>
  <c r="AP979" i="1"/>
  <c r="AX979" i="1" s="1"/>
  <c r="BD979" i="1"/>
  <c r="BF979" i="1"/>
  <c r="BH979" i="1"/>
  <c r="AB979" i="1" s="1"/>
  <c r="BI979" i="1"/>
  <c r="AC979" i="1" s="1"/>
  <c r="BJ979" i="1"/>
  <c r="J980" i="1"/>
  <c r="L980" i="1"/>
  <c r="Z980" i="1"/>
  <c r="AC980" i="1"/>
  <c r="AD980" i="1"/>
  <c r="AE980" i="1"/>
  <c r="AF980" i="1"/>
  <c r="AG980" i="1"/>
  <c r="AH980" i="1"/>
  <c r="AJ980" i="1"/>
  <c r="AK980" i="1"/>
  <c r="AL980" i="1"/>
  <c r="AO980" i="1"/>
  <c r="AW980" i="1" s="1"/>
  <c r="AP980" i="1"/>
  <c r="K980" i="1" s="1"/>
  <c r="BD980" i="1"/>
  <c r="BF980" i="1"/>
  <c r="BH980" i="1"/>
  <c r="AB980" i="1" s="1"/>
  <c r="BI980" i="1"/>
  <c r="BJ980" i="1"/>
  <c r="L981" i="1"/>
  <c r="AL981" i="1" s="1"/>
  <c r="Z981" i="1"/>
  <c r="AB981" i="1"/>
  <c r="AD981" i="1"/>
  <c r="AE981" i="1"/>
  <c r="AF981" i="1"/>
  <c r="AG981" i="1"/>
  <c r="AH981" i="1"/>
  <c r="AJ981" i="1"/>
  <c r="AK981" i="1"/>
  <c r="AO981" i="1"/>
  <c r="J981" i="1" s="1"/>
  <c r="AP981" i="1"/>
  <c r="K981" i="1" s="1"/>
  <c r="AX981" i="1"/>
  <c r="BD981" i="1"/>
  <c r="BF981" i="1"/>
  <c r="BH981" i="1"/>
  <c r="BI981" i="1"/>
  <c r="AC981" i="1" s="1"/>
  <c r="BJ981" i="1"/>
  <c r="K982" i="1"/>
  <c r="L982" i="1"/>
  <c r="Z982" i="1"/>
  <c r="AC982" i="1"/>
  <c r="AD982" i="1"/>
  <c r="AE982" i="1"/>
  <c r="AF982" i="1"/>
  <c r="AG982" i="1"/>
  <c r="AH982" i="1"/>
  <c r="AJ982" i="1"/>
  <c r="AK982" i="1"/>
  <c r="AL982" i="1"/>
  <c r="AO982" i="1"/>
  <c r="J982" i="1" s="1"/>
  <c r="AP982" i="1"/>
  <c r="AW982" i="1"/>
  <c r="AV982" i="1" s="1"/>
  <c r="AX982" i="1"/>
  <c r="BC982" i="1"/>
  <c r="BD982" i="1"/>
  <c r="BF982" i="1"/>
  <c r="BH982" i="1"/>
  <c r="AB982" i="1" s="1"/>
  <c r="BI982" i="1"/>
  <c r="BJ982" i="1"/>
  <c r="J983" i="1"/>
  <c r="K983" i="1"/>
  <c r="L983" i="1"/>
  <c r="AL983" i="1" s="1"/>
  <c r="Z983" i="1"/>
  <c r="AB983" i="1"/>
  <c r="AC983" i="1"/>
  <c r="AD983" i="1"/>
  <c r="AE983" i="1"/>
  <c r="AF983" i="1"/>
  <c r="AG983" i="1"/>
  <c r="AH983" i="1"/>
  <c r="AJ983" i="1"/>
  <c r="AK983" i="1"/>
  <c r="AO983" i="1"/>
  <c r="AP983" i="1"/>
  <c r="AW983" i="1"/>
  <c r="AX983" i="1"/>
  <c r="AV983" i="1" s="1"/>
  <c r="BD983" i="1"/>
  <c r="BF983" i="1"/>
  <c r="BH983" i="1"/>
  <c r="BI983" i="1"/>
  <c r="BJ983" i="1"/>
  <c r="J984" i="1"/>
  <c r="K984" i="1"/>
  <c r="L984" i="1"/>
  <c r="AL984" i="1" s="1"/>
  <c r="Z984" i="1"/>
  <c r="AB984" i="1"/>
  <c r="AD984" i="1"/>
  <c r="AE984" i="1"/>
  <c r="AF984" i="1"/>
  <c r="AG984" i="1"/>
  <c r="AH984" i="1"/>
  <c r="AJ984" i="1"/>
  <c r="AK984" i="1"/>
  <c r="AO984" i="1"/>
  <c r="AP984" i="1"/>
  <c r="AX984" i="1" s="1"/>
  <c r="AW984" i="1"/>
  <c r="BD984" i="1"/>
  <c r="BF984" i="1"/>
  <c r="BH984" i="1"/>
  <c r="BI984" i="1"/>
  <c r="AC984" i="1" s="1"/>
  <c r="BJ984" i="1"/>
  <c r="J985" i="1"/>
  <c r="L985" i="1"/>
  <c r="AL985" i="1" s="1"/>
  <c r="Z985" i="1"/>
  <c r="AD985" i="1"/>
  <c r="AE985" i="1"/>
  <c r="AF985" i="1"/>
  <c r="AG985" i="1"/>
  <c r="AH985" i="1"/>
  <c r="AJ985" i="1"/>
  <c r="AK985" i="1"/>
  <c r="AO985" i="1"/>
  <c r="AW985" i="1" s="1"/>
  <c r="AP985" i="1"/>
  <c r="K985" i="1" s="1"/>
  <c r="AX985" i="1"/>
  <c r="BD985" i="1"/>
  <c r="BF985" i="1"/>
  <c r="BH985" i="1"/>
  <c r="AB985" i="1" s="1"/>
  <c r="BI985" i="1"/>
  <c r="AC985" i="1" s="1"/>
  <c r="BJ985" i="1"/>
  <c r="L986" i="1"/>
  <c r="Z986" i="1"/>
  <c r="AD986" i="1"/>
  <c r="AE986" i="1"/>
  <c r="AF986" i="1"/>
  <c r="AG986" i="1"/>
  <c r="AH986" i="1"/>
  <c r="AJ986" i="1"/>
  <c r="AK986" i="1"/>
  <c r="AL986" i="1"/>
  <c r="AO986" i="1"/>
  <c r="J986" i="1" s="1"/>
  <c r="AP986" i="1"/>
  <c r="AX986" i="1" s="1"/>
  <c r="AW986" i="1"/>
  <c r="BC986" i="1" s="1"/>
  <c r="BD986" i="1"/>
  <c r="BF986" i="1"/>
  <c r="BH986" i="1"/>
  <c r="AB986" i="1" s="1"/>
  <c r="BI986" i="1"/>
  <c r="AC986" i="1" s="1"/>
  <c r="BJ986" i="1"/>
  <c r="K987" i="1"/>
  <c r="L987" i="1"/>
  <c r="Z987" i="1"/>
  <c r="AD987" i="1"/>
  <c r="AE987" i="1"/>
  <c r="AF987" i="1"/>
  <c r="AG987" i="1"/>
  <c r="AH987" i="1"/>
  <c r="AJ987" i="1"/>
  <c r="AK987" i="1"/>
  <c r="AL987" i="1"/>
  <c r="AO987" i="1"/>
  <c r="AW987" i="1" s="1"/>
  <c r="AP987" i="1"/>
  <c r="AX987" i="1" s="1"/>
  <c r="BD987" i="1"/>
  <c r="BF987" i="1"/>
  <c r="BH987" i="1"/>
  <c r="AB987" i="1" s="1"/>
  <c r="BI987" i="1"/>
  <c r="AC987" i="1" s="1"/>
  <c r="BJ987" i="1"/>
  <c r="J988" i="1"/>
  <c r="L988" i="1"/>
  <c r="Z988" i="1"/>
  <c r="AC988" i="1"/>
  <c r="AD988" i="1"/>
  <c r="AE988" i="1"/>
  <c r="AF988" i="1"/>
  <c r="AG988" i="1"/>
  <c r="AH988" i="1"/>
  <c r="AJ988" i="1"/>
  <c r="AK988" i="1"/>
  <c r="AL988" i="1"/>
  <c r="AO988" i="1"/>
  <c r="AW988" i="1" s="1"/>
  <c r="AP988" i="1"/>
  <c r="K988" i="1" s="1"/>
  <c r="BD988" i="1"/>
  <c r="BF988" i="1"/>
  <c r="BH988" i="1"/>
  <c r="AB988" i="1" s="1"/>
  <c r="BI988" i="1"/>
  <c r="BJ988" i="1"/>
  <c r="L989" i="1"/>
  <c r="AL989" i="1" s="1"/>
  <c r="Z989" i="1"/>
  <c r="AB989" i="1"/>
  <c r="AD989" i="1"/>
  <c r="AE989" i="1"/>
  <c r="AF989" i="1"/>
  <c r="AG989" i="1"/>
  <c r="AH989" i="1"/>
  <c r="AJ989" i="1"/>
  <c r="AK989" i="1"/>
  <c r="AO989" i="1"/>
  <c r="J989" i="1" s="1"/>
  <c r="AP989" i="1"/>
  <c r="K989" i="1" s="1"/>
  <c r="AX989" i="1"/>
  <c r="BD989" i="1"/>
  <c r="BF989" i="1"/>
  <c r="BH989" i="1"/>
  <c r="BI989" i="1"/>
  <c r="AC989" i="1" s="1"/>
  <c r="BJ989" i="1"/>
  <c r="K990" i="1"/>
  <c r="L990" i="1"/>
  <c r="Z990" i="1"/>
  <c r="AC990" i="1"/>
  <c r="AD990" i="1"/>
  <c r="AE990" i="1"/>
  <c r="AF990" i="1"/>
  <c r="AG990" i="1"/>
  <c r="AH990" i="1"/>
  <c r="AJ990" i="1"/>
  <c r="AK990" i="1"/>
  <c r="AL990" i="1"/>
  <c r="AO990" i="1"/>
  <c r="J990" i="1" s="1"/>
  <c r="AP990" i="1"/>
  <c r="AW990" i="1"/>
  <c r="AV990" i="1" s="1"/>
  <c r="AX990" i="1"/>
  <c r="BC990" i="1"/>
  <c r="BD990" i="1"/>
  <c r="BF990" i="1"/>
  <c r="BH990" i="1"/>
  <c r="AB990" i="1" s="1"/>
  <c r="BI990" i="1"/>
  <c r="BJ990" i="1"/>
  <c r="J991" i="1"/>
  <c r="K991" i="1"/>
  <c r="L991" i="1"/>
  <c r="AL991" i="1" s="1"/>
  <c r="Z991" i="1"/>
  <c r="AB991" i="1"/>
  <c r="AC991" i="1"/>
  <c r="AD991" i="1"/>
  <c r="AE991" i="1"/>
  <c r="AF991" i="1"/>
  <c r="AG991" i="1"/>
  <c r="AH991" i="1"/>
  <c r="AJ991" i="1"/>
  <c r="AK991" i="1"/>
  <c r="AO991" i="1"/>
  <c r="AP991" i="1"/>
  <c r="AW991" i="1"/>
  <c r="BC991" i="1" s="1"/>
  <c r="AX991" i="1"/>
  <c r="AV991" i="1" s="1"/>
  <c r="BD991" i="1"/>
  <c r="BF991" i="1"/>
  <c r="BH991" i="1"/>
  <c r="BI991" i="1"/>
  <c r="BJ991" i="1"/>
  <c r="J992" i="1"/>
  <c r="K992" i="1"/>
  <c r="L992" i="1"/>
  <c r="AL992" i="1" s="1"/>
  <c r="Z992" i="1"/>
  <c r="AB992" i="1"/>
  <c r="AD992" i="1"/>
  <c r="AE992" i="1"/>
  <c r="AF992" i="1"/>
  <c r="AG992" i="1"/>
  <c r="AH992" i="1"/>
  <c r="AJ992" i="1"/>
  <c r="AK992" i="1"/>
  <c r="AO992" i="1"/>
  <c r="AP992" i="1"/>
  <c r="AX992" i="1" s="1"/>
  <c r="AW992" i="1"/>
  <c r="BD992" i="1"/>
  <c r="BF992" i="1"/>
  <c r="BH992" i="1"/>
  <c r="BI992" i="1"/>
  <c r="AC992" i="1" s="1"/>
  <c r="BJ992" i="1"/>
  <c r="J993" i="1"/>
  <c r="L993" i="1"/>
  <c r="AL993" i="1" s="1"/>
  <c r="Z993" i="1"/>
  <c r="AD993" i="1"/>
  <c r="AE993" i="1"/>
  <c r="AF993" i="1"/>
  <c r="AG993" i="1"/>
  <c r="AH993" i="1"/>
  <c r="AJ993" i="1"/>
  <c r="AK993" i="1"/>
  <c r="AO993" i="1"/>
  <c r="AW993" i="1" s="1"/>
  <c r="BC993" i="1" s="1"/>
  <c r="AP993" i="1"/>
  <c r="K993" i="1" s="1"/>
  <c r="AV993" i="1"/>
  <c r="AX993" i="1"/>
  <c r="BD993" i="1"/>
  <c r="BF993" i="1"/>
  <c r="BH993" i="1"/>
  <c r="AB993" i="1" s="1"/>
  <c r="BI993" i="1"/>
  <c r="AC993" i="1" s="1"/>
  <c r="BJ993" i="1"/>
  <c r="K996" i="1"/>
  <c r="L996" i="1"/>
  <c r="Z996" i="1"/>
  <c r="AD996" i="1"/>
  <c r="AE996" i="1"/>
  <c r="AF996" i="1"/>
  <c r="AG996" i="1"/>
  <c r="AH996" i="1"/>
  <c r="AJ996" i="1"/>
  <c r="AK996" i="1"/>
  <c r="AL996" i="1"/>
  <c r="AO996" i="1"/>
  <c r="AP996" i="1"/>
  <c r="AX996" i="1" s="1"/>
  <c r="BD996" i="1"/>
  <c r="BF996" i="1"/>
  <c r="BH996" i="1"/>
  <c r="AB996" i="1" s="1"/>
  <c r="BI996" i="1"/>
  <c r="AC996" i="1" s="1"/>
  <c r="BJ996" i="1"/>
  <c r="J998" i="1"/>
  <c r="L998" i="1"/>
  <c r="Z998" i="1"/>
  <c r="AC998" i="1"/>
  <c r="AD998" i="1"/>
  <c r="AE998" i="1"/>
  <c r="AF998" i="1"/>
  <c r="AG998" i="1"/>
  <c r="AH998" i="1"/>
  <c r="AJ998" i="1"/>
  <c r="AK998" i="1"/>
  <c r="AL998" i="1"/>
  <c r="AO998" i="1"/>
  <c r="AW998" i="1" s="1"/>
  <c r="AP998" i="1"/>
  <c r="K998" i="1" s="1"/>
  <c r="BD998" i="1"/>
  <c r="BF998" i="1"/>
  <c r="BH998" i="1"/>
  <c r="AB998" i="1" s="1"/>
  <c r="BI998" i="1"/>
  <c r="BJ998" i="1"/>
  <c r="L999" i="1"/>
  <c r="Z999" i="1"/>
  <c r="AB999" i="1"/>
  <c r="AD999" i="1"/>
  <c r="AE999" i="1"/>
  <c r="AF999" i="1"/>
  <c r="AG999" i="1"/>
  <c r="AH999" i="1"/>
  <c r="AJ999" i="1"/>
  <c r="AK999" i="1"/>
  <c r="AO999" i="1"/>
  <c r="J999" i="1" s="1"/>
  <c r="AP999" i="1"/>
  <c r="K999" i="1" s="1"/>
  <c r="AX999" i="1"/>
  <c r="BD999" i="1"/>
  <c r="BF999" i="1"/>
  <c r="BH999" i="1"/>
  <c r="BI999" i="1"/>
  <c r="AC999" i="1" s="1"/>
  <c r="BJ999" i="1"/>
  <c r="K1000" i="1"/>
  <c r="L1000" i="1"/>
  <c r="Z1000" i="1"/>
  <c r="AC1000" i="1"/>
  <c r="AD1000" i="1"/>
  <c r="AE1000" i="1"/>
  <c r="AF1000" i="1"/>
  <c r="AG1000" i="1"/>
  <c r="AH1000" i="1"/>
  <c r="AJ1000" i="1"/>
  <c r="AK1000" i="1"/>
  <c r="AL1000" i="1"/>
  <c r="AO1000" i="1"/>
  <c r="J1000" i="1" s="1"/>
  <c r="AP1000" i="1"/>
  <c r="AW1000" i="1"/>
  <c r="AV1000" i="1" s="1"/>
  <c r="AX1000" i="1"/>
  <c r="BC1000" i="1"/>
  <c r="BD1000" i="1"/>
  <c r="BF1000" i="1"/>
  <c r="BH1000" i="1"/>
  <c r="AB1000" i="1" s="1"/>
  <c r="BI1000" i="1"/>
  <c r="BJ1000" i="1"/>
  <c r="J1001" i="1"/>
  <c r="K1001" i="1"/>
  <c r="L1001" i="1"/>
  <c r="AL1001" i="1" s="1"/>
  <c r="Z1001" i="1"/>
  <c r="AB1001" i="1"/>
  <c r="AC1001" i="1"/>
  <c r="AD1001" i="1"/>
  <c r="AE1001" i="1"/>
  <c r="AF1001" i="1"/>
  <c r="AG1001" i="1"/>
  <c r="AH1001" i="1"/>
  <c r="AJ1001" i="1"/>
  <c r="AK1001" i="1"/>
  <c r="AT995" i="1" s="1"/>
  <c r="AO1001" i="1"/>
  <c r="AP1001" i="1"/>
  <c r="AW1001" i="1"/>
  <c r="BC1001" i="1" s="1"/>
  <c r="AX1001" i="1"/>
  <c r="AV1001" i="1" s="1"/>
  <c r="BD1001" i="1"/>
  <c r="BF1001" i="1"/>
  <c r="BH1001" i="1"/>
  <c r="BI1001" i="1"/>
  <c r="BJ1001" i="1"/>
  <c r="J1003" i="1"/>
  <c r="K1003" i="1"/>
  <c r="L1003" i="1"/>
  <c r="Z1003" i="1"/>
  <c r="AB1003" i="1"/>
  <c r="AD1003" i="1"/>
  <c r="AE1003" i="1"/>
  <c r="AF1003" i="1"/>
  <c r="AG1003" i="1"/>
  <c r="AH1003" i="1"/>
  <c r="AJ1003" i="1"/>
  <c r="AK1003" i="1"/>
  <c r="AL1003" i="1"/>
  <c r="AO1003" i="1"/>
  <c r="AP1003" i="1"/>
  <c r="AX1003" i="1" s="1"/>
  <c r="AW1003" i="1"/>
  <c r="BC1003" i="1" s="1"/>
  <c r="BD1003" i="1"/>
  <c r="BF1003" i="1"/>
  <c r="BH1003" i="1"/>
  <c r="BI1003" i="1"/>
  <c r="AC1003" i="1" s="1"/>
  <c r="BJ1003" i="1"/>
  <c r="J1004" i="1"/>
  <c r="L1004" i="1"/>
  <c r="AL1004" i="1" s="1"/>
  <c r="Z1004" i="1"/>
  <c r="AD1004" i="1"/>
  <c r="AE1004" i="1"/>
  <c r="AF1004" i="1"/>
  <c r="AG1004" i="1"/>
  <c r="AH1004" i="1"/>
  <c r="AJ1004" i="1"/>
  <c r="AK1004" i="1"/>
  <c r="AO1004" i="1"/>
  <c r="AW1004" i="1" s="1"/>
  <c r="AP1004" i="1"/>
  <c r="K1004" i="1" s="1"/>
  <c r="AV1004" i="1"/>
  <c r="AX1004" i="1"/>
  <c r="BD1004" i="1"/>
  <c r="BF1004" i="1"/>
  <c r="BH1004" i="1"/>
  <c r="AB1004" i="1" s="1"/>
  <c r="BI1004" i="1"/>
  <c r="AC1004" i="1" s="1"/>
  <c r="BJ1004" i="1"/>
  <c r="L1005" i="1"/>
  <c r="Z1005" i="1"/>
  <c r="AD1005" i="1"/>
  <c r="AE1005" i="1"/>
  <c r="AF1005" i="1"/>
  <c r="AG1005" i="1"/>
  <c r="AH1005" i="1"/>
  <c r="AJ1005" i="1"/>
  <c r="AK1005" i="1"/>
  <c r="AL1005" i="1"/>
  <c r="AO1005" i="1"/>
  <c r="J1005" i="1" s="1"/>
  <c r="AP1005" i="1"/>
  <c r="AX1005" i="1" s="1"/>
  <c r="AW1005" i="1"/>
  <c r="BD1005" i="1"/>
  <c r="BF1005" i="1"/>
  <c r="BH1005" i="1"/>
  <c r="AB1005" i="1" s="1"/>
  <c r="BJ1005" i="1"/>
  <c r="J1006" i="1"/>
  <c r="K1006" i="1"/>
  <c r="L1006" i="1"/>
  <c r="Z1006" i="1"/>
  <c r="AD1006" i="1"/>
  <c r="AE1006" i="1"/>
  <c r="AF1006" i="1"/>
  <c r="AG1006" i="1"/>
  <c r="AH1006" i="1"/>
  <c r="AJ1006" i="1"/>
  <c r="AK1006" i="1"/>
  <c r="AL1006" i="1"/>
  <c r="AO1006" i="1"/>
  <c r="AW1006" i="1" s="1"/>
  <c r="BC1006" i="1" s="1"/>
  <c r="AP1006" i="1"/>
  <c r="AV1006" i="1"/>
  <c r="AX1006" i="1"/>
  <c r="BD1006" i="1"/>
  <c r="BF1006" i="1"/>
  <c r="BH1006" i="1"/>
  <c r="AB1006" i="1" s="1"/>
  <c r="BI1006" i="1"/>
  <c r="AC1006" i="1" s="1"/>
  <c r="BJ1006" i="1"/>
  <c r="J1007" i="1"/>
  <c r="L1007" i="1"/>
  <c r="Z1007" i="1"/>
  <c r="AD1007" i="1"/>
  <c r="AE1007" i="1"/>
  <c r="AF1007" i="1"/>
  <c r="AG1007" i="1"/>
  <c r="AH1007" i="1"/>
  <c r="AJ1007" i="1"/>
  <c r="AK1007" i="1"/>
  <c r="AL1007" i="1"/>
  <c r="AO1007" i="1"/>
  <c r="AW1007" i="1" s="1"/>
  <c r="AP1007" i="1"/>
  <c r="BD1007" i="1"/>
  <c r="BF1007" i="1"/>
  <c r="BH1007" i="1"/>
  <c r="AB1007" i="1" s="1"/>
  <c r="BJ1007" i="1"/>
  <c r="L1008" i="1"/>
  <c r="AL1008" i="1" s="1"/>
  <c r="Z1008" i="1"/>
  <c r="AD1008" i="1"/>
  <c r="AE1008" i="1"/>
  <c r="AF1008" i="1"/>
  <c r="AG1008" i="1"/>
  <c r="AH1008" i="1"/>
  <c r="AJ1008" i="1"/>
  <c r="AK1008" i="1"/>
  <c r="AO1008" i="1"/>
  <c r="AP1008" i="1"/>
  <c r="K1008" i="1" s="1"/>
  <c r="AX1008" i="1"/>
  <c r="BD1008" i="1"/>
  <c r="BF1008" i="1"/>
  <c r="BI1008" i="1"/>
  <c r="AC1008" i="1" s="1"/>
  <c r="BJ1008" i="1"/>
  <c r="K1009" i="1"/>
  <c r="L1009" i="1"/>
  <c r="Z1009" i="1"/>
  <c r="AC1009" i="1"/>
  <c r="AD1009" i="1"/>
  <c r="AE1009" i="1"/>
  <c r="AF1009" i="1"/>
  <c r="AG1009" i="1"/>
  <c r="AH1009" i="1"/>
  <c r="AJ1009" i="1"/>
  <c r="AK1009" i="1"/>
  <c r="AL1009" i="1"/>
  <c r="AO1009" i="1"/>
  <c r="J1009" i="1" s="1"/>
  <c r="AP1009" i="1"/>
  <c r="AW1009" i="1"/>
  <c r="AV1009" i="1" s="1"/>
  <c r="AX1009" i="1"/>
  <c r="BC1009" i="1"/>
  <c r="BD1009" i="1"/>
  <c r="BF1009" i="1"/>
  <c r="BH1009" i="1"/>
  <c r="AB1009" i="1" s="1"/>
  <c r="BI1009" i="1"/>
  <c r="BJ1009" i="1"/>
  <c r="J1010" i="1"/>
  <c r="K1010" i="1"/>
  <c r="L1010" i="1"/>
  <c r="AL1010" i="1" s="1"/>
  <c r="Z1010" i="1"/>
  <c r="AB1010" i="1"/>
  <c r="AC1010" i="1"/>
  <c r="AD1010" i="1"/>
  <c r="AE1010" i="1"/>
  <c r="AF1010" i="1"/>
  <c r="AG1010" i="1"/>
  <c r="AH1010" i="1"/>
  <c r="AJ1010" i="1"/>
  <c r="AK1010" i="1"/>
  <c r="AO1010" i="1"/>
  <c r="AP1010" i="1"/>
  <c r="AW1010" i="1"/>
  <c r="AX1010" i="1"/>
  <c r="AV1010" i="1" s="1"/>
  <c r="BD1010" i="1"/>
  <c r="BF1010" i="1"/>
  <c r="BH1010" i="1"/>
  <c r="BI1010" i="1"/>
  <c r="BJ1010" i="1"/>
  <c r="J1011" i="1"/>
  <c r="K1011" i="1"/>
  <c r="L1011" i="1"/>
  <c r="Z1011" i="1"/>
  <c r="AB1011" i="1"/>
  <c r="AD1011" i="1"/>
  <c r="AE1011" i="1"/>
  <c r="AF1011" i="1"/>
  <c r="AG1011" i="1"/>
  <c r="AH1011" i="1"/>
  <c r="AJ1011" i="1"/>
  <c r="AK1011" i="1"/>
  <c r="AL1011" i="1"/>
  <c r="AO1011" i="1"/>
  <c r="AP1011" i="1"/>
  <c r="AX1011" i="1" s="1"/>
  <c r="AW1011" i="1"/>
  <c r="AV1011" i="1" s="1"/>
  <c r="BD1011" i="1"/>
  <c r="BF1011" i="1"/>
  <c r="BH1011" i="1"/>
  <c r="BI1011" i="1"/>
  <c r="AC1011" i="1" s="1"/>
  <c r="BJ1011" i="1"/>
  <c r="J1012" i="1"/>
  <c r="L1012" i="1"/>
  <c r="AL1012" i="1" s="1"/>
  <c r="Z1012" i="1"/>
  <c r="AD1012" i="1"/>
  <c r="AE1012" i="1"/>
  <c r="AF1012" i="1"/>
  <c r="AG1012" i="1"/>
  <c r="AH1012" i="1"/>
  <c r="AJ1012" i="1"/>
  <c r="AK1012" i="1"/>
  <c r="AO1012" i="1"/>
  <c r="AW1012" i="1" s="1"/>
  <c r="AP1012" i="1"/>
  <c r="K1012" i="1" s="1"/>
  <c r="AV1012" i="1"/>
  <c r="AX1012" i="1"/>
  <c r="BD1012" i="1"/>
  <c r="BF1012" i="1"/>
  <c r="BH1012" i="1"/>
  <c r="AB1012" i="1" s="1"/>
  <c r="BI1012" i="1"/>
  <c r="AC1012" i="1" s="1"/>
  <c r="BJ1012" i="1"/>
  <c r="L1013" i="1"/>
  <c r="Z1013" i="1"/>
  <c r="AD1013" i="1"/>
  <c r="AE1013" i="1"/>
  <c r="AF1013" i="1"/>
  <c r="AG1013" i="1"/>
  <c r="AH1013" i="1"/>
  <c r="AJ1013" i="1"/>
  <c r="AK1013" i="1"/>
  <c r="AL1013" i="1"/>
  <c r="AO1013" i="1"/>
  <c r="J1013" i="1" s="1"/>
  <c r="AP1013" i="1"/>
  <c r="K1013" i="1" s="1"/>
  <c r="AW1013" i="1"/>
  <c r="AX1013" i="1"/>
  <c r="BD1013" i="1"/>
  <c r="BF1013" i="1"/>
  <c r="BH1013" i="1"/>
  <c r="AB1013" i="1" s="1"/>
  <c r="BJ1013" i="1"/>
  <c r="K1014" i="1"/>
  <c r="L1014" i="1"/>
  <c r="Z1014" i="1"/>
  <c r="AD1014" i="1"/>
  <c r="AE1014" i="1"/>
  <c r="AF1014" i="1"/>
  <c r="AG1014" i="1"/>
  <c r="AH1014" i="1"/>
  <c r="AJ1014" i="1"/>
  <c r="AK1014" i="1"/>
  <c r="AL1014" i="1"/>
  <c r="AO1014" i="1"/>
  <c r="BH1014" i="1" s="1"/>
  <c r="AB1014" i="1" s="1"/>
  <c r="AP1014" i="1"/>
  <c r="AX1014" i="1"/>
  <c r="BD1014" i="1"/>
  <c r="BF1014" i="1"/>
  <c r="BI1014" i="1"/>
  <c r="AC1014" i="1" s="1"/>
  <c r="BJ1014" i="1"/>
  <c r="J1016" i="1"/>
  <c r="L1016" i="1"/>
  <c r="Z1016" i="1"/>
  <c r="AC1016" i="1"/>
  <c r="AD1016" i="1"/>
  <c r="AE1016" i="1"/>
  <c r="AF1016" i="1"/>
  <c r="AG1016" i="1"/>
  <c r="AH1016" i="1"/>
  <c r="AJ1016" i="1"/>
  <c r="AK1016" i="1"/>
  <c r="AL1016" i="1"/>
  <c r="AO1016" i="1"/>
  <c r="AP1016" i="1"/>
  <c r="K1016" i="1" s="1"/>
  <c r="AW1016" i="1"/>
  <c r="AX1016" i="1"/>
  <c r="AV1016" i="1" s="1"/>
  <c r="BD1016" i="1"/>
  <c r="BF1016" i="1"/>
  <c r="BH1016" i="1"/>
  <c r="AB1016" i="1" s="1"/>
  <c r="BI1016" i="1"/>
  <c r="BJ1016" i="1"/>
  <c r="J1017" i="1"/>
  <c r="L1017" i="1"/>
  <c r="AL1017" i="1" s="1"/>
  <c r="Z1017" i="1"/>
  <c r="AB1017" i="1"/>
  <c r="AD1017" i="1"/>
  <c r="AE1017" i="1"/>
  <c r="AF1017" i="1"/>
  <c r="AG1017" i="1"/>
  <c r="AH1017" i="1"/>
  <c r="AJ1017" i="1"/>
  <c r="AK1017" i="1"/>
  <c r="AO1017" i="1"/>
  <c r="AP1017" i="1"/>
  <c r="K1017" i="1" s="1"/>
  <c r="AW1017" i="1"/>
  <c r="BD1017" i="1"/>
  <c r="BF1017" i="1"/>
  <c r="BH1017" i="1"/>
  <c r="BI1017" i="1"/>
  <c r="AC1017" i="1" s="1"/>
  <c r="BJ1017" i="1"/>
  <c r="J1018" i="1"/>
  <c r="K1018" i="1"/>
  <c r="L1018" i="1"/>
  <c r="AL1018" i="1" s="1"/>
  <c r="Z1018" i="1"/>
  <c r="AD1018" i="1"/>
  <c r="AE1018" i="1"/>
  <c r="AF1018" i="1"/>
  <c r="AG1018" i="1"/>
  <c r="AH1018" i="1"/>
  <c r="AJ1018" i="1"/>
  <c r="AK1018" i="1"/>
  <c r="AO1018" i="1"/>
  <c r="AW1018" i="1" s="1"/>
  <c r="AP1018" i="1"/>
  <c r="AX1018" i="1" s="1"/>
  <c r="BD1018" i="1"/>
  <c r="BF1018" i="1"/>
  <c r="BH1018" i="1"/>
  <c r="AB1018" i="1" s="1"/>
  <c r="BI1018" i="1"/>
  <c r="AC1018" i="1" s="1"/>
  <c r="BJ1018" i="1"/>
  <c r="J1020" i="1"/>
  <c r="L1020" i="1"/>
  <c r="Z1020" i="1"/>
  <c r="AD1020" i="1"/>
  <c r="AE1020" i="1"/>
  <c r="AF1020" i="1"/>
  <c r="AG1020" i="1"/>
  <c r="AH1020" i="1"/>
  <c r="AJ1020" i="1"/>
  <c r="AK1020" i="1"/>
  <c r="AL1020" i="1"/>
  <c r="AO1020" i="1"/>
  <c r="AW1020" i="1" s="1"/>
  <c r="AP1020" i="1"/>
  <c r="AX1020" i="1" s="1"/>
  <c r="BD1020" i="1"/>
  <c r="BF1020" i="1"/>
  <c r="BH1020" i="1"/>
  <c r="AB1020" i="1" s="1"/>
  <c r="BI1020" i="1"/>
  <c r="AC1020" i="1" s="1"/>
  <c r="BJ1020" i="1"/>
  <c r="K1022" i="1"/>
  <c r="L1022" i="1"/>
  <c r="Z1022" i="1"/>
  <c r="AD1022" i="1"/>
  <c r="AE1022" i="1"/>
  <c r="AF1022" i="1"/>
  <c r="AG1022" i="1"/>
  <c r="AH1022" i="1"/>
  <c r="AJ1022" i="1"/>
  <c r="AK1022" i="1"/>
  <c r="AL1022" i="1"/>
  <c r="AO1022" i="1"/>
  <c r="AW1022" i="1" s="1"/>
  <c r="AP1022" i="1"/>
  <c r="AX1022" i="1" s="1"/>
  <c r="BD1022" i="1"/>
  <c r="BF1022" i="1"/>
  <c r="BH1022" i="1"/>
  <c r="AB1022" i="1" s="1"/>
  <c r="BI1022" i="1"/>
  <c r="AC1022" i="1" s="1"/>
  <c r="BJ1022" i="1"/>
  <c r="J1023" i="1"/>
  <c r="K1023" i="1"/>
  <c r="L1023" i="1"/>
  <c r="Z1023" i="1"/>
  <c r="AC1023" i="1"/>
  <c r="AD1023" i="1"/>
  <c r="AE1023" i="1"/>
  <c r="AF1023" i="1"/>
  <c r="AG1023" i="1"/>
  <c r="AH1023" i="1"/>
  <c r="AJ1023" i="1"/>
  <c r="AK1023" i="1"/>
  <c r="AL1023" i="1"/>
  <c r="AO1023" i="1"/>
  <c r="AW1023" i="1" s="1"/>
  <c r="AP1023" i="1"/>
  <c r="AX1023" i="1" s="1"/>
  <c r="BD1023" i="1"/>
  <c r="BF1023" i="1"/>
  <c r="BH1023" i="1"/>
  <c r="AB1023" i="1" s="1"/>
  <c r="BI1023" i="1"/>
  <c r="BJ1023" i="1"/>
  <c r="J1024" i="1"/>
  <c r="L1024" i="1"/>
  <c r="AL1024" i="1" s="1"/>
  <c r="Z1024" i="1"/>
  <c r="AB1024" i="1"/>
  <c r="AD1024" i="1"/>
  <c r="AE1024" i="1"/>
  <c r="AF1024" i="1"/>
  <c r="AG1024" i="1"/>
  <c r="AH1024" i="1"/>
  <c r="AJ1024" i="1"/>
  <c r="AK1024" i="1"/>
  <c r="AO1024" i="1"/>
  <c r="AP1024" i="1"/>
  <c r="K1024" i="1" s="1"/>
  <c r="AW1024" i="1"/>
  <c r="AX1024" i="1"/>
  <c r="AV1024" i="1" s="1"/>
  <c r="BD1024" i="1"/>
  <c r="BF1024" i="1"/>
  <c r="BH1024" i="1"/>
  <c r="BI1024" i="1"/>
  <c r="AC1024" i="1" s="1"/>
  <c r="BJ1024" i="1"/>
  <c r="K1025" i="1"/>
  <c r="L1025" i="1"/>
  <c r="AL1025" i="1" s="1"/>
  <c r="Z1025" i="1"/>
  <c r="AD1025" i="1"/>
  <c r="AE1025" i="1"/>
  <c r="AF1025" i="1"/>
  <c r="AG1025" i="1"/>
  <c r="AH1025" i="1"/>
  <c r="AJ1025" i="1"/>
  <c r="AK1025" i="1"/>
  <c r="AO1025" i="1"/>
  <c r="J1025" i="1" s="1"/>
  <c r="AP1025" i="1"/>
  <c r="AW1025" i="1"/>
  <c r="AV1025" i="1" s="1"/>
  <c r="AX1025" i="1"/>
  <c r="BC1025" i="1"/>
  <c r="BD1025" i="1"/>
  <c r="BF1025" i="1"/>
  <c r="BH1025" i="1"/>
  <c r="AB1025" i="1" s="1"/>
  <c r="BI1025" i="1"/>
  <c r="AC1025" i="1" s="1"/>
  <c r="BJ1025" i="1"/>
  <c r="J1027" i="1"/>
  <c r="K1027" i="1"/>
  <c r="L1027" i="1"/>
  <c r="AL1027" i="1" s="1"/>
  <c r="Z1027" i="1"/>
  <c r="AC1027" i="1"/>
  <c r="AD1027" i="1"/>
  <c r="AE1027" i="1"/>
  <c r="AF1027" i="1"/>
  <c r="AG1027" i="1"/>
  <c r="AH1027" i="1"/>
  <c r="AJ1027" i="1"/>
  <c r="AK1027" i="1"/>
  <c r="AO1027" i="1"/>
  <c r="AP1027" i="1"/>
  <c r="AW1027" i="1"/>
  <c r="AX1027" i="1"/>
  <c r="AV1027" i="1" s="1"/>
  <c r="BD1027" i="1"/>
  <c r="BF1027" i="1"/>
  <c r="BH1027" i="1"/>
  <c r="AB1027" i="1" s="1"/>
  <c r="BI1027" i="1"/>
  <c r="BJ1027" i="1"/>
  <c r="J1029" i="1"/>
  <c r="L1029" i="1"/>
  <c r="AL1029" i="1" s="1"/>
  <c r="Z1029" i="1"/>
  <c r="AB1029" i="1"/>
  <c r="AD1029" i="1"/>
  <c r="AE1029" i="1"/>
  <c r="AF1029" i="1"/>
  <c r="AG1029" i="1"/>
  <c r="AH1029" i="1"/>
  <c r="AJ1029" i="1"/>
  <c r="AK1029" i="1"/>
  <c r="AO1029" i="1"/>
  <c r="AP1029" i="1"/>
  <c r="K1029" i="1" s="1"/>
  <c r="AW1029" i="1"/>
  <c r="AV1029" i="1" s="1"/>
  <c r="AX1029" i="1"/>
  <c r="BD1029" i="1"/>
  <c r="BF1029" i="1"/>
  <c r="BH1029" i="1"/>
  <c r="BI1029" i="1"/>
  <c r="AC1029" i="1" s="1"/>
  <c r="BJ1029" i="1"/>
  <c r="K1030" i="1"/>
  <c r="L1030" i="1"/>
  <c r="Z1030" i="1"/>
  <c r="AD1030" i="1"/>
  <c r="AE1030" i="1"/>
  <c r="AF1030" i="1"/>
  <c r="AG1030" i="1"/>
  <c r="AH1030" i="1"/>
  <c r="AJ1030" i="1"/>
  <c r="AK1030" i="1"/>
  <c r="AL1030" i="1"/>
  <c r="AO1030" i="1"/>
  <c r="J1030" i="1" s="1"/>
  <c r="AP1030" i="1"/>
  <c r="AX1030" i="1" s="1"/>
  <c r="AW1030" i="1"/>
  <c r="BD1030" i="1"/>
  <c r="BF1030" i="1"/>
  <c r="BH1030" i="1"/>
  <c r="AB1030" i="1" s="1"/>
  <c r="BI1030" i="1"/>
  <c r="AC1030" i="1" s="1"/>
  <c r="BJ1030" i="1"/>
  <c r="J1031" i="1"/>
  <c r="L1031" i="1"/>
  <c r="Z1031" i="1"/>
  <c r="AC1031" i="1"/>
  <c r="AD1031" i="1"/>
  <c r="AE1031" i="1"/>
  <c r="AF1031" i="1"/>
  <c r="AG1031" i="1"/>
  <c r="AH1031" i="1"/>
  <c r="AJ1031" i="1"/>
  <c r="AK1031" i="1"/>
  <c r="AL1031" i="1"/>
  <c r="AO1031" i="1"/>
  <c r="AW1031" i="1" s="1"/>
  <c r="AP1031" i="1"/>
  <c r="AX1031" i="1" s="1"/>
  <c r="BD1031" i="1"/>
  <c r="BF1031" i="1"/>
  <c r="BH1031" i="1"/>
  <c r="AB1031" i="1" s="1"/>
  <c r="BI1031" i="1"/>
  <c r="BJ1031" i="1"/>
  <c r="L1032" i="1"/>
  <c r="Z1032" i="1"/>
  <c r="AB1032" i="1"/>
  <c r="AD1032" i="1"/>
  <c r="AE1032" i="1"/>
  <c r="AF1032" i="1"/>
  <c r="AG1032" i="1"/>
  <c r="AH1032" i="1"/>
  <c r="AJ1032" i="1"/>
  <c r="AK1032" i="1"/>
  <c r="AL1032" i="1"/>
  <c r="AO1032" i="1"/>
  <c r="AW1032" i="1" s="1"/>
  <c r="AP1032" i="1"/>
  <c r="K1032" i="1" s="1"/>
  <c r="BD1032" i="1"/>
  <c r="BF1032" i="1"/>
  <c r="BH1032" i="1"/>
  <c r="BI1032" i="1"/>
  <c r="AC1032" i="1" s="1"/>
  <c r="BJ1032" i="1"/>
  <c r="K1033" i="1"/>
  <c r="L1033" i="1"/>
  <c r="Z1033" i="1"/>
  <c r="AC1033" i="1"/>
  <c r="AD1033" i="1"/>
  <c r="AE1033" i="1"/>
  <c r="AF1033" i="1"/>
  <c r="AG1033" i="1"/>
  <c r="AH1033" i="1"/>
  <c r="AJ1033" i="1"/>
  <c r="AK1033" i="1"/>
  <c r="AL1033" i="1"/>
  <c r="AO1033" i="1"/>
  <c r="J1033" i="1" s="1"/>
  <c r="AP1033" i="1"/>
  <c r="AX1033" i="1" s="1"/>
  <c r="BD1033" i="1"/>
  <c r="BF1033" i="1"/>
  <c r="BH1033" i="1"/>
  <c r="AB1033" i="1" s="1"/>
  <c r="BI1033" i="1"/>
  <c r="BJ1033" i="1"/>
  <c r="J1034" i="1"/>
  <c r="L1034" i="1"/>
  <c r="Z1034" i="1"/>
  <c r="AB1034" i="1"/>
  <c r="AC1034" i="1"/>
  <c r="AD1034" i="1"/>
  <c r="AE1034" i="1"/>
  <c r="AF1034" i="1"/>
  <c r="AG1034" i="1"/>
  <c r="AH1034" i="1"/>
  <c r="AJ1034" i="1"/>
  <c r="AK1034" i="1"/>
  <c r="AL1034" i="1"/>
  <c r="AO1034" i="1"/>
  <c r="AP1034" i="1"/>
  <c r="K1034" i="1" s="1"/>
  <c r="AW1034" i="1"/>
  <c r="AX1034" i="1"/>
  <c r="AV1034" i="1" s="1"/>
  <c r="BD1034" i="1"/>
  <c r="BF1034" i="1"/>
  <c r="BH1034" i="1"/>
  <c r="BI1034" i="1"/>
  <c r="BJ1034" i="1"/>
  <c r="K1035" i="1"/>
  <c r="L1035" i="1"/>
  <c r="AL1035" i="1" s="1"/>
  <c r="Z1035" i="1"/>
  <c r="AB1035" i="1"/>
  <c r="AD1035" i="1"/>
  <c r="AE1035" i="1"/>
  <c r="AF1035" i="1"/>
  <c r="AG1035" i="1"/>
  <c r="AH1035" i="1"/>
  <c r="AJ1035" i="1"/>
  <c r="AK1035" i="1"/>
  <c r="AO1035" i="1"/>
  <c r="J1035" i="1" s="1"/>
  <c r="AP1035" i="1"/>
  <c r="AW1035" i="1"/>
  <c r="AV1035" i="1" s="1"/>
  <c r="AX1035" i="1"/>
  <c r="BD1035" i="1"/>
  <c r="BF1035" i="1"/>
  <c r="BH1035" i="1"/>
  <c r="BI1035" i="1"/>
  <c r="AC1035" i="1" s="1"/>
  <c r="BJ1035" i="1"/>
  <c r="J1036" i="1"/>
  <c r="K1036" i="1"/>
  <c r="L1036" i="1"/>
  <c r="AL1036" i="1" s="1"/>
  <c r="Z1036" i="1"/>
  <c r="AC1036" i="1"/>
  <c r="AD1036" i="1"/>
  <c r="AE1036" i="1"/>
  <c r="AF1036" i="1"/>
  <c r="AG1036" i="1"/>
  <c r="AH1036" i="1"/>
  <c r="AJ1036" i="1"/>
  <c r="AK1036" i="1"/>
  <c r="AO1036" i="1"/>
  <c r="AP1036" i="1"/>
  <c r="AV1036" i="1"/>
  <c r="AW1036" i="1"/>
  <c r="AX1036" i="1"/>
  <c r="BC1036" i="1"/>
  <c r="BD1036" i="1"/>
  <c r="BF1036" i="1"/>
  <c r="BH1036" i="1"/>
  <c r="AB1036" i="1" s="1"/>
  <c r="BI1036" i="1"/>
  <c r="BJ1036" i="1"/>
  <c r="J1037" i="1"/>
  <c r="L1037" i="1"/>
  <c r="AL1037" i="1" s="1"/>
  <c r="Z1037" i="1"/>
  <c r="AB1037" i="1"/>
  <c r="AD1037" i="1"/>
  <c r="AE1037" i="1"/>
  <c r="AF1037" i="1"/>
  <c r="AG1037" i="1"/>
  <c r="AH1037" i="1"/>
  <c r="AJ1037" i="1"/>
  <c r="AK1037" i="1"/>
  <c r="AO1037" i="1"/>
  <c r="AP1037" i="1"/>
  <c r="K1037" i="1" s="1"/>
  <c r="AW1037" i="1"/>
  <c r="AV1037" i="1" s="1"/>
  <c r="AX1037" i="1"/>
  <c r="BD1037" i="1"/>
  <c r="BF1037" i="1"/>
  <c r="BH1037" i="1"/>
  <c r="BI1037" i="1"/>
  <c r="AC1037" i="1" s="1"/>
  <c r="BJ1037" i="1"/>
  <c r="K1039" i="1"/>
  <c r="L1039" i="1"/>
  <c r="Z1039" i="1"/>
  <c r="AD1039" i="1"/>
  <c r="AE1039" i="1"/>
  <c r="AF1039" i="1"/>
  <c r="AG1039" i="1"/>
  <c r="AH1039" i="1"/>
  <c r="AJ1039" i="1"/>
  <c r="AK1039" i="1"/>
  <c r="AL1039" i="1"/>
  <c r="AO1039" i="1"/>
  <c r="J1039" i="1" s="1"/>
  <c r="AP1039" i="1"/>
  <c r="AX1039" i="1" s="1"/>
  <c r="AW1039" i="1"/>
  <c r="BD1039" i="1"/>
  <c r="BF1039" i="1"/>
  <c r="BH1039" i="1"/>
  <c r="AB1039" i="1" s="1"/>
  <c r="BI1039" i="1"/>
  <c r="AC1039" i="1" s="1"/>
  <c r="BJ1039" i="1"/>
  <c r="J1040" i="1"/>
  <c r="L1040" i="1"/>
  <c r="Z1040" i="1"/>
  <c r="AC1040" i="1"/>
  <c r="AD1040" i="1"/>
  <c r="AE1040" i="1"/>
  <c r="AF1040" i="1"/>
  <c r="AG1040" i="1"/>
  <c r="AH1040" i="1"/>
  <c r="AJ1040" i="1"/>
  <c r="AK1040" i="1"/>
  <c r="AL1040" i="1"/>
  <c r="AO1040" i="1"/>
  <c r="AW1040" i="1" s="1"/>
  <c r="AP1040" i="1"/>
  <c r="AX1040" i="1" s="1"/>
  <c r="BD1040" i="1"/>
  <c r="BF1040" i="1"/>
  <c r="BH1040" i="1"/>
  <c r="AB1040" i="1" s="1"/>
  <c r="BI1040" i="1"/>
  <c r="BJ1040" i="1"/>
  <c r="L1041" i="1"/>
  <c r="Z1041" i="1"/>
  <c r="AB1041" i="1"/>
  <c r="AD1041" i="1"/>
  <c r="AE1041" i="1"/>
  <c r="AF1041" i="1"/>
  <c r="AG1041" i="1"/>
  <c r="AH1041" i="1"/>
  <c r="AJ1041" i="1"/>
  <c r="AK1041" i="1"/>
  <c r="AL1041" i="1"/>
  <c r="AO1041" i="1"/>
  <c r="AW1041" i="1" s="1"/>
  <c r="AP1041" i="1"/>
  <c r="K1041" i="1" s="1"/>
  <c r="BD1041" i="1"/>
  <c r="BF1041" i="1"/>
  <c r="BH1041" i="1"/>
  <c r="BJ1041" i="1"/>
  <c r="K1042" i="1"/>
  <c r="L1042" i="1"/>
  <c r="Z1042" i="1"/>
  <c r="AC1042" i="1"/>
  <c r="AD1042" i="1"/>
  <c r="AE1042" i="1"/>
  <c r="AF1042" i="1"/>
  <c r="AG1042" i="1"/>
  <c r="AH1042" i="1"/>
  <c r="AJ1042" i="1"/>
  <c r="AK1042" i="1"/>
  <c r="AL1042" i="1"/>
  <c r="AO1042" i="1"/>
  <c r="J1042" i="1" s="1"/>
  <c r="AP1042" i="1"/>
  <c r="AX1042" i="1"/>
  <c r="BD1042" i="1"/>
  <c r="BF1042" i="1"/>
  <c r="BI1042" i="1"/>
  <c r="BJ1042" i="1"/>
  <c r="J1043" i="1"/>
  <c r="L1043" i="1"/>
  <c r="Z1043" i="1"/>
  <c r="AB1043" i="1"/>
  <c r="AC1043" i="1"/>
  <c r="AD1043" i="1"/>
  <c r="AE1043" i="1"/>
  <c r="AF1043" i="1"/>
  <c r="AG1043" i="1"/>
  <c r="AH1043" i="1"/>
  <c r="AJ1043" i="1"/>
  <c r="AK1043" i="1"/>
  <c r="AL1043" i="1"/>
  <c r="AO1043" i="1"/>
  <c r="AW1043" i="1" s="1"/>
  <c r="AP1043" i="1"/>
  <c r="K1043" i="1" s="1"/>
  <c r="AX1043" i="1"/>
  <c r="BD1043" i="1"/>
  <c r="BF1043" i="1"/>
  <c r="BH1043" i="1"/>
  <c r="BI1043" i="1"/>
  <c r="BJ1043" i="1"/>
  <c r="K1044" i="1"/>
  <c r="L1044" i="1"/>
  <c r="AL1044" i="1" s="1"/>
  <c r="Z1044" i="1"/>
  <c r="AB1044" i="1"/>
  <c r="AD1044" i="1"/>
  <c r="AE1044" i="1"/>
  <c r="AF1044" i="1"/>
  <c r="AG1044" i="1"/>
  <c r="AH1044" i="1"/>
  <c r="AJ1044" i="1"/>
  <c r="AK1044" i="1"/>
  <c r="AO1044" i="1"/>
  <c r="J1044" i="1" s="1"/>
  <c r="AP1044" i="1"/>
  <c r="AW1044" i="1"/>
  <c r="AV1044" i="1" s="1"/>
  <c r="AX1044" i="1"/>
  <c r="BD1044" i="1"/>
  <c r="BF1044" i="1"/>
  <c r="BH1044" i="1"/>
  <c r="BI1044" i="1"/>
  <c r="AC1044" i="1" s="1"/>
  <c r="BJ1044" i="1"/>
  <c r="J1045" i="1"/>
  <c r="K1045" i="1"/>
  <c r="L1045" i="1"/>
  <c r="Z1045" i="1"/>
  <c r="AC1045" i="1"/>
  <c r="AD1045" i="1"/>
  <c r="AE1045" i="1"/>
  <c r="AF1045" i="1"/>
  <c r="AG1045" i="1"/>
  <c r="AH1045" i="1"/>
  <c r="AJ1045" i="1"/>
  <c r="AK1045" i="1"/>
  <c r="AL1045" i="1"/>
  <c r="AO1045" i="1"/>
  <c r="AP1045" i="1"/>
  <c r="AV1045" i="1"/>
  <c r="AW1045" i="1"/>
  <c r="AX1045" i="1"/>
  <c r="BC1045" i="1"/>
  <c r="BD1045" i="1"/>
  <c r="BF1045" i="1"/>
  <c r="BH1045" i="1"/>
  <c r="AB1045" i="1" s="1"/>
  <c r="BI1045" i="1"/>
  <c r="BJ1045" i="1"/>
  <c r="J1046" i="1"/>
  <c r="L1046" i="1"/>
  <c r="AL1046" i="1" s="1"/>
  <c r="Z1046" i="1"/>
  <c r="AB1046" i="1"/>
  <c r="AD1046" i="1"/>
  <c r="AE1046" i="1"/>
  <c r="AF1046" i="1"/>
  <c r="AG1046" i="1"/>
  <c r="AH1046" i="1"/>
  <c r="AJ1046" i="1"/>
  <c r="AK1046" i="1"/>
  <c r="AO1046" i="1"/>
  <c r="AP1046" i="1"/>
  <c r="K1046" i="1" s="1"/>
  <c r="AW1046" i="1"/>
  <c r="AV1046" i="1" s="1"/>
  <c r="AX1046" i="1"/>
  <c r="BD1046" i="1"/>
  <c r="BF1046" i="1"/>
  <c r="BH1046" i="1"/>
  <c r="BI1046" i="1"/>
  <c r="AC1046" i="1" s="1"/>
  <c r="BJ1046" i="1"/>
  <c r="K1047" i="1"/>
  <c r="L1047" i="1"/>
  <c r="Z1047" i="1"/>
  <c r="AD1047" i="1"/>
  <c r="AE1047" i="1"/>
  <c r="AF1047" i="1"/>
  <c r="AG1047" i="1"/>
  <c r="AH1047" i="1"/>
  <c r="AJ1047" i="1"/>
  <c r="AK1047" i="1"/>
  <c r="AL1047" i="1"/>
  <c r="AO1047" i="1"/>
  <c r="J1047" i="1" s="1"/>
  <c r="AP1047" i="1"/>
  <c r="AX1047" i="1" s="1"/>
  <c r="AW1047" i="1"/>
  <c r="BC1047" i="1" s="1"/>
  <c r="BD1047" i="1"/>
  <c r="BF1047" i="1"/>
  <c r="BH1047" i="1"/>
  <c r="AB1047" i="1" s="1"/>
  <c r="BI1047" i="1"/>
  <c r="AC1047" i="1" s="1"/>
  <c r="BJ1047" i="1"/>
  <c r="J1048" i="1"/>
  <c r="L1048" i="1"/>
  <c r="Z1048" i="1"/>
  <c r="AC1048" i="1"/>
  <c r="AD1048" i="1"/>
  <c r="AE1048" i="1"/>
  <c r="AF1048" i="1"/>
  <c r="AG1048" i="1"/>
  <c r="AH1048" i="1"/>
  <c r="AJ1048" i="1"/>
  <c r="AK1048" i="1"/>
  <c r="AL1048" i="1"/>
  <c r="AO1048" i="1"/>
  <c r="AW1048" i="1" s="1"/>
  <c r="AP1048" i="1"/>
  <c r="AX1048" i="1" s="1"/>
  <c r="BD1048" i="1"/>
  <c r="BF1048" i="1"/>
  <c r="BH1048" i="1"/>
  <c r="AB1048" i="1" s="1"/>
  <c r="BI1048" i="1"/>
  <c r="BJ1048" i="1"/>
  <c r="L1049" i="1"/>
  <c r="Z1049" i="1"/>
  <c r="AB1049" i="1"/>
  <c r="AD1049" i="1"/>
  <c r="AE1049" i="1"/>
  <c r="AF1049" i="1"/>
  <c r="AG1049" i="1"/>
  <c r="AH1049" i="1"/>
  <c r="AJ1049" i="1"/>
  <c r="AK1049" i="1"/>
  <c r="AL1049" i="1"/>
  <c r="AO1049" i="1"/>
  <c r="J1049" i="1" s="1"/>
  <c r="AP1049" i="1"/>
  <c r="K1049" i="1" s="1"/>
  <c r="AW1049" i="1"/>
  <c r="BD1049" i="1"/>
  <c r="BF1049" i="1"/>
  <c r="BH1049" i="1"/>
  <c r="BJ1049" i="1"/>
  <c r="K1050" i="1"/>
  <c r="L1050" i="1"/>
  <c r="Z1050" i="1"/>
  <c r="AC1050" i="1"/>
  <c r="AD1050" i="1"/>
  <c r="AE1050" i="1"/>
  <c r="AF1050" i="1"/>
  <c r="AG1050" i="1"/>
  <c r="AH1050" i="1"/>
  <c r="AJ1050" i="1"/>
  <c r="AK1050" i="1"/>
  <c r="AL1050" i="1"/>
  <c r="AO1050" i="1"/>
  <c r="J1050" i="1" s="1"/>
  <c r="AP1050" i="1"/>
  <c r="AX1050" i="1"/>
  <c r="BD1050" i="1"/>
  <c r="BF1050" i="1"/>
  <c r="BH1050" i="1"/>
  <c r="AB1050" i="1" s="1"/>
  <c r="BI1050" i="1"/>
  <c r="BJ1050" i="1"/>
  <c r="J1051" i="1"/>
  <c r="L1051" i="1"/>
  <c r="Z1051" i="1"/>
  <c r="AB1051" i="1"/>
  <c r="AC1051" i="1"/>
  <c r="AD1051" i="1"/>
  <c r="AE1051" i="1"/>
  <c r="AF1051" i="1"/>
  <c r="AG1051" i="1"/>
  <c r="AH1051" i="1"/>
  <c r="AJ1051" i="1"/>
  <c r="AK1051" i="1"/>
  <c r="AL1051" i="1"/>
  <c r="AO1051" i="1"/>
  <c r="AP1051" i="1"/>
  <c r="K1051" i="1" s="1"/>
  <c r="AW1051" i="1"/>
  <c r="AX1051" i="1"/>
  <c r="AV1051" i="1" s="1"/>
  <c r="BD1051" i="1"/>
  <c r="BF1051" i="1"/>
  <c r="BH1051" i="1"/>
  <c r="BI1051" i="1"/>
  <c r="BJ1051" i="1"/>
  <c r="K1052" i="1"/>
  <c r="L1052" i="1"/>
  <c r="AL1052" i="1" s="1"/>
  <c r="Z1052" i="1"/>
  <c r="AB1052" i="1"/>
  <c r="AD1052" i="1"/>
  <c r="AE1052" i="1"/>
  <c r="AF1052" i="1"/>
  <c r="AG1052" i="1"/>
  <c r="AH1052" i="1"/>
  <c r="AJ1052" i="1"/>
  <c r="AK1052" i="1"/>
  <c r="AO1052" i="1"/>
  <c r="J1052" i="1" s="1"/>
  <c r="AP1052" i="1"/>
  <c r="AW1052" i="1"/>
  <c r="AV1052" i="1" s="1"/>
  <c r="AX1052" i="1"/>
  <c r="BD1052" i="1"/>
  <c r="BF1052" i="1"/>
  <c r="BH1052" i="1"/>
  <c r="BI1052" i="1"/>
  <c r="AC1052" i="1" s="1"/>
  <c r="BJ1052" i="1"/>
  <c r="J1053" i="1"/>
  <c r="K1053" i="1"/>
  <c r="L1053" i="1"/>
  <c r="Z1053" i="1"/>
  <c r="AC1053" i="1"/>
  <c r="AD1053" i="1"/>
  <c r="AE1053" i="1"/>
  <c r="AF1053" i="1"/>
  <c r="AG1053" i="1"/>
  <c r="AH1053" i="1"/>
  <c r="AJ1053" i="1"/>
  <c r="AK1053" i="1"/>
  <c r="AL1053" i="1"/>
  <c r="AO1053" i="1"/>
  <c r="AP1053" i="1"/>
  <c r="AV1053" i="1"/>
  <c r="AW1053" i="1"/>
  <c r="AX1053" i="1"/>
  <c r="BC1053" i="1"/>
  <c r="BD1053" i="1"/>
  <c r="BF1053" i="1"/>
  <c r="BH1053" i="1"/>
  <c r="AB1053" i="1" s="1"/>
  <c r="BI1053" i="1"/>
  <c r="BJ1053" i="1"/>
  <c r="J1054" i="1"/>
  <c r="L1054" i="1"/>
  <c r="AL1054" i="1" s="1"/>
  <c r="Z1054" i="1"/>
  <c r="AB1054" i="1"/>
  <c r="AD1054" i="1"/>
  <c r="AE1054" i="1"/>
  <c r="AF1054" i="1"/>
  <c r="AG1054" i="1"/>
  <c r="AH1054" i="1"/>
  <c r="AJ1054" i="1"/>
  <c r="AK1054" i="1"/>
  <c r="AO1054" i="1"/>
  <c r="AP1054" i="1"/>
  <c r="K1054" i="1" s="1"/>
  <c r="AW1054" i="1"/>
  <c r="BC1054" i="1" s="1"/>
  <c r="AX1054" i="1"/>
  <c r="AV1054" i="1" s="1"/>
  <c r="BD1054" i="1"/>
  <c r="BF1054" i="1"/>
  <c r="BH1054" i="1"/>
  <c r="BI1054" i="1"/>
  <c r="AC1054" i="1" s="1"/>
  <c r="BJ1054" i="1"/>
  <c r="K1055" i="1"/>
  <c r="L1055" i="1"/>
  <c r="Z1055" i="1"/>
  <c r="AD1055" i="1"/>
  <c r="AE1055" i="1"/>
  <c r="AF1055" i="1"/>
  <c r="AG1055" i="1"/>
  <c r="AH1055" i="1"/>
  <c r="AJ1055" i="1"/>
  <c r="AK1055" i="1"/>
  <c r="AL1055" i="1"/>
  <c r="AO1055" i="1"/>
  <c r="J1055" i="1" s="1"/>
  <c r="AP1055" i="1"/>
  <c r="AX1055" i="1" s="1"/>
  <c r="AW1055" i="1"/>
  <c r="BC1055" i="1" s="1"/>
  <c r="BD1055" i="1"/>
  <c r="BF1055" i="1"/>
  <c r="BH1055" i="1"/>
  <c r="AB1055" i="1" s="1"/>
  <c r="BI1055" i="1"/>
  <c r="AC1055" i="1" s="1"/>
  <c r="BJ1055" i="1"/>
  <c r="J1056" i="1"/>
  <c r="L1056" i="1"/>
  <c r="Z1056" i="1"/>
  <c r="AC1056" i="1"/>
  <c r="AD1056" i="1"/>
  <c r="AE1056" i="1"/>
  <c r="AF1056" i="1"/>
  <c r="AG1056" i="1"/>
  <c r="AH1056" i="1"/>
  <c r="AJ1056" i="1"/>
  <c r="AK1056" i="1"/>
  <c r="AL1056" i="1"/>
  <c r="AO1056" i="1"/>
  <c r="AW1056" i="1" s="1"/>
  <c r="AP1056" i="1"/>
  <c r="K1056" i="1" s="1"/>
  <c r="AX1056" i="1"/>
  <c r="BD1056" i="1"/>
  <c r="BF1056" i="1"/>
  <c r="BH1056" i="1"/>
  <c r="AB1056" i="1" s="1"/>
  <c r="BI1056" i="1"/>
  <c r="BJ1056" i="1"/>
  <c r="K1059" i="1"/>
  <c r="L1059" i="1"/>
  <c r="Z1059" i="1"/>
  <c r="AC1059" i="1"/>
  <c r="AD1059" i="1"/>
  <c r="AE1059" i="1"/>
  <c r="AF1059" i="1"/>
  <c r="AG1059" i="1"/>
  <c r="AH1059" i="1"/>
  <c r="AJ1059" i="1"/>
  <c r="AK1059" i="1"/>
  <c r="AL1059" i="1"/>
  <c r="AO1059" i="1"/>
  <c r="J1059" i="1" s="1"/>
  <c r="AP1059" i="1"/>
  <c r="AX1059" i="1"/>
  <c r="BD1059" i="1"/>
  <c r="BF1059" i="1"/>
  <c r="BI1059" i="1"/>
  <c r="BJ1059" i="1"/>
  <c r="J1061" i="1"/>
  <c r="L1061" i="1"/>
  <c r="Z1061" i="1"/>
  <c r="AB1061" i="1"/>
  <c r="AC1061" i="1"/>
  <c r="AD1061" i="1"/>
  <c r="AE1061" i="1"/>
  <c r="AF1061" i="1"/>
  <c r="AG1061" i="1"/>
  <c r="AH1061" i="1"/>
  <c r="AJ1061" i="1"/>
  <c r="AK1061" i="1"/>
  <c r="AL1061" i="1"/>
  <c r="AO1061" i="1"/>
  <c r="AW1061" i="1" s="1"/>
  <c r="AP1061" i="1"/>
  <c r="K1061" i="1" s="1"/>
  <c r="AX1061" i="1"/>
  <c r="BD1061" i="1"/>
  <c r="BF1061" i="1"/>
  <c r="BH1061" i="1"/>
  <c r="BI1061" i="1"/>
  <c r="BJ1061" i="1"/>
  <c r="K1062" i="1"/>
  <c r="L1062" i="1"/>
  <c r="AL1062" i="1" s="1"/>
  <c r="Z1062" i="1"/>
  <c r="AB1062" i="1"/>
  <c r="AD1062" i="1"/>
  <c r="AE1062" i="1"/>
  <c r="AF1062" i="1"/>
  <c r="AG1062" i="1"/>
  <c r="AH1062" i="1"/>
  <c r="AJ1062" i="1"/>
  <c r="AK1062" i="1"/>
  <c r="AO1062" i="1"/>
  <c r="J1062" i="1" s="1"/>
  <c r="AP1062" i="1"/>
  <c r="AW1062" i="1"/>
  <c r="AV1062" i="1" s="1"/>
  <c r="AX1062" i="1"/>
  <c r="BD1062" i="1"/>
  <c r="BF1062" i="1"/>
  <c r="BH1062" i="1"/>
  <c r="BI1062" i="1"/>
  <c r="AC1062" i="1" s="1"/>
  <c r="BJ1062" i="1"/>
  <c r="J1064" i="1"/>
  <c r="K1064" i="1"/>
  <c r="L1064" i="1"/>
  <c r="Z1064" i="1"/>
  <c r="AC1064" i="1"/>
  <c r="AD1064" i="1"/>
  <c r="AE1064" i="1"/>
  <c r="AF1064" i="1"/>
  <c r="AG1064" i="1"/>
  <c r="AH1064" i="1"/>
  <c r="AJ1064" i="1"/>
  <c r="AK1064" i="1"/>
  <c r="AL1064" i="1"/>
  <c r="AO1064" i="1"/>
  <c r="AP1064" i="1"/>
  <c r="AV1064" i="1"/>
  <c r="AW1064" i="1"/>
  <c r="AX1064" i="1"/>
  <c r="BC1064" i="1"/>
  <c r="BD1064" i="1"/>
  <c r="BF1064" i="1"/>
  <c r="BH1064" i="1"/>
  <c r="AB1064" i="1" s="1"/>
  <c r="BI1064" i="1"/>
  <c r="BJ1064" i="1"/>
  <c r="J1065" i="1"/>
  <c r="L1065" i="1"/>
  <c r="AL1065" i="1" s="1"/>
  <c r="Z1065" i="1"/>
  <c r="AB1065" i="1"/>
  <c r="AD1065" i="1"/>
  <c r="AE1065" i="1"/>
  <c r="AF1065" i="1"/>
  <c r="AG1065" i="1"/>
  <c r="AH1065" i="1"/>
  <c r="AJ1065" i="1"/>
  <c r="AK1065" i="1"/>
  <c r="AO1065" i="1"/>
  <c r="AP1065" i="1"/>
  <c r="K1065" i="1" s="1"/>
  <c r="AW1065" i="1"/>
  <c r="AV1065" i="1" s="1"/>
  <c r="AX1065" i="1"/>
  <c r="BD1065" i="1"/>
  <c r="BF1065" i="1"/>
  <c r="BH1065" i="1"/>
  <c r="BI1065" i="1"/>
  <c r="AC1065" i="1" s="1"/>
  <c r="BJ1065" i="1"/>
  <c r="K1066" i="1"/>
  <c r="L1066" i="1"/>
  <c r="Z1066" i="1"/>
  <c r="AD1066" i="1"/>
  <c r="AE1066" i="1"/>
  <c r="AF1066" i="1"/>
  <c r="AG1066" i="1"/>
  <c r="AH1066" i="1"/>
  <c r="AJ1066" i="1"/>
  <c r="AK1066" i="1"/>
  <c r="AL1066" i="1"/>
  <c r="AO1066" i="1"/>
  <c r="J1066" i="1" s="1"/>
  <c r="AP1066" i="1"/>
  <c r="AX1066" i="1" s="1"/>
  <c r="AW1066" i="1"/>
  <c r="BD1066" i="1"/>
  <c r="BF1066" i="1"/>
  <c r="BH1066" i="1"/>
  <c r="AB1066" i="1" s="1"/>
  <c r="BI1066" i="1"/>
  <c r="AC1066" i="1" s="1"/>
  <c r="BJ1066" i="1"/>
  <c r="J1067" i="1"/>
  <c r="L1067" i="1"/>
  <c r="Z1067" i="1"/>
  <c r="AC1067" i="1"/>
  <c r="AD1067" i="1"/>
  <c r="AE1067" i="1"/>
  <c r="AF1067" i="1"/>
  <c r="AG1067" i="1"/>
  <c r="AH1067" i="1"/>
  <c r="AJ1067" i="1"/>
  <c r="AK1067" i="1"/>
  <c r="AL1067" i="1"/>
  <c r="AO1067" i="1"/>
  <c r="AW1067" i="1" s="1"/>
  <c r="AP1067" i="1"/>
  <c r="K1067" i="1" s="1"/>
  <c r="AX1067" i="1"/>
  <c r="BD1067" i="1"/>
  <c r="BF1067" i="1"/>
  <c r="BH1067" i="1"/>
  <c r="AB1067" i="1" s="1"/>
  <c r="BI1067" i="1"/>
  <c r="BJ1067" i="1"/>
  <c r="L1068" i="1"/>
  <c r="Z1068" i="1"/>
  <c r="AB1068" i="1"/>
  <c r="AD1068" i="1"/>
  <c r="AE1068" i="1"/>
  <c r="AF1068" i="1"/>
  <c r="AG1068" i="1"/>
  <c r="AH1068" i="1"/>
  <c r="AJ1068" i="1"/>
  <c r="AK1068" i="1"/>
  <c r="AL1068" i="1"/>
  <c r="AO1068" i="1"/>
  <c r="AW1068" i="1" s="1"/>
  <c r="AP1068" i="1"/>
  <c r="K1068" i="1" s="1"/>
  <c r="BD1068" i="1"/>
  <c r="BF1068" i="1"/>
  <c r="BH1068" i="1"/>
  <c r="BI1068" i="1"/>
  <c r="AC1068" i="1" s="1"/>
  <c r="BJ1068" i="1"/>
  <c r="K1069" i="1"/>
  <c r="L1069" i="1"/>
  <c r="Z1069" i="1"/>
  <c r="AC1069" i="1"/>
  <c r="AD1069" i="1"/>
  <c r="AE1069" i="1"/>
  <c r="AF1069" i="1"/>
  <c r="AG1069" i="1"/>
  <c r="AH1069" i="1"/>
  <c r="AJ1069" i="1"/>
  <c r="AK1069" i="1"/>
  <c r="AL1069" i="1"/>
  <c r="AO1069" i="1"/>
  <c r="J1069" i="1" s="1"/>
  <c r="AP1069" i="1"/>
  <c r="AX1069" i="1"/>
  <c r="BD1069" i="1"/>
  <c r="BF1069" i="1"/>
  <c r="BH1069" i="1"/>
  <c r="AB1069" i="1" s="1"/>
  <c r="BI1069" i="1"/>
  <c r="BJ1069" i="1"/>
  <c r="J1070" i="1"/>
  <c r="L1070" i="1"/>
  <c r="Z1070" i="1"/>
  <c r="AB1070" i="1"/>
  <c r="AC1070" i="1"/>
  <c r="AD1070" i="1"/>
  <c r="AE1070" i="1"/>
  <c r="AF1070" i="1"/>
  <c r="AG1070" i="1"/>
  <c r="AH1070" i="1"/>
  <c r="AJ1070" i="1"/>
  <c r="AK1070" i="1"/>
  <c r="AL1070" i="1"/>
  <c r="AO1070" i="1"/>
  <c r="AP1070" i="1"/>
  <c r="K1070" i="1" s="1"/>
  <c r="AW1070" i="1"/>
  <c r="AX1070" i="1"/>
  <c r="AV1070" i="1" s="1"/>
  <c r="BD1070" i="1"/>
  <c r="BF1070" i="1"/>
  <c r="BH1070" i="1"/>
  <c r="BI1070" i="1"/>
  <c r="BJ1070" i="1"/>
  <c r="K1071" i="1"/>
  <c r="L1071" i="1"/>
  <c r="AL1071" i="1" s="1"/>
  <c r="Z1071" i="1"/>
  <c r="AB1071" i="1"/>
  <c r="AD1071" i="1"/>
  <c r="AE1071" i="1"/>
  <c r="AF1071" i="1"/>
  <c r="AG1071" i="1"/>
  <c r="AH1071" i="1"/>
  <c r="AJ1071" i="1"/>
  <c r="AK1071" i="1"/>
  <c r="AO1071" i="1"/>
  <c r="J1071" i="1" s="1"/>
  <c r="AP1071" i="1"/>
  <c r="AW1071" i="1"/>
  <c r="AV1071" i="1" s="1"/>
  <c r="AX1071" i="1"/>
  <c r="BD1071" i="1"/>
  <c r="BF1071" i="1"/>
  <c r="BH1071" i="1"/>
  <c r="BI1071" i="1"/>
  <c r="AC1071" i="1" s="1"/>
  <c r="BJ1071" i="1"/>
  <c r="J1072" i="1"/>
  <c r="K1072" i="1"/>
  <c r="L1072" i="1"/>
  <c r="AL1072" i="1" s="1"/>
  <c r="Z1072" i="1"/>
  <c r="AC1072" i="1"/>
  <c r="AD1072" i="1"/>
  <c r="AE1072" i="1"/>
  <c r="AF1072" i="1"/>
  <c r="AG1072" i="1"/>
  <c r="AH1072" i="1"/>
  <c r="AJ1072" i="1"/>
  <c r="AK1072" i="1"/>
  <c r="AO1072" i="1"/>
  <c r="AP1072" i="1"/>
  <c r="AV1072" i="1"/>
  <c r="AW1072" i="1"/>
  <c r="AX1072" i="1"/>
  <c r="BC1072" i="1"/>
  <c r="BD1072" i="1"/>
  <c r="BF1072" i="1"/>
  <c r="BH1072" i="1"/>
  <c r="AB1072" i="1" s="1"/>
  <c r="BI1072" i="1"/>
  <c r="BJ1072" i="1"/>
  <c r="J1074" i="1"/>
  <c r="L1074" i="1"/>
  <c r="AL1074" i="1" s="1"/>
  <c r="Z1074" i="1"/>
  <c r="AB1074" i="1"/>
  <c r="AD1074" i="1"/>
  <c r="AE1074" i="1"/>
  <c r="AF1074" i="1"/>
  <c r="AG1074" i="1"/>
  <c r="AH1074" i="1"/>
  <c r="AJ1074" i="1"/>
  <c r="AK1074" i="1"/>
  <c r="AO1074" i="1"/>
  <c r="AP1074" i="1"/>
  <c r="K1074" i="1" s="1"/>
  <c r="AW1074" i="1"/>
  <c r="AV1074" i="1" s="1"/>
  <c r="AX1074" i="1"/>
  <c r="BD1074" i="1"/>
  <c r="BF1074" i="1"/>
  <c r="BH1074" i="1"/>
  <c r="BI1074" i="1"/>
  <c r="AC1074" i="1" s="1"/>
  <c r="BJ1074" i="1"/>
  <c r="K1076" i="1"/>
  <c r="L1076" i="1"/>
  <c r="Z1076" i="1"/>
  <c r="AD1076" i="1"/>
  <c r="AE1076" i="1"/>
  <c r="AF1076" i="1"/>
  <c r="AG1076" i="1"/>
  <c r="AH1076" i="1"/>
  <c r="AJ1076" i="1"/>
  <c r="AK1076" i="1"/>
  <c r="AL1076" i="1"/>
  <c r="AO1076" i="1"/>
  <c r="J1076" i="1" s="1"/>
  <c r="AP1076" i="1"/>
  <c r="AX1076" i="1" s="1"/>
  <c r="AW1076" i="1"/>
  <c r="BD1076" i="1"/>
  <c r="BF1076" i="1"/>
  <c r="BH1076" i="1"/>
  <c r="AB1076" i="1" s="1"/>
  <c r="BI1076" i="1"/>
  <c r="AC1076" i="1" s="1"/>
  <c r="BJ1076" i="1"/>
  <c r="J1078" i="1"/>
  <c r="L1078" i="1"/>
  <c r="Z1078" i="1"/>
  <c r="AD1078" i="1"/>
  <c r="AE1078" i="1"/>
  <c r="AF1078" i="1"/>
  <c r="AG1078" i="1"/>
  <c r="AH1078" i="1"/>
  <c r="AJ1078" i="1"/>
  <c r="AK1078" i="1"/>
  <c r="AL1078" i="1"/>
  <c r="AO1078" i="1"/>
  <c r="AW1078" i="1" s="1"/>
  <c r="AP1078" i="1"/>
  <c r="AX1078" i="1" s="1"/>
  <c r="BD1078" i="1"/>
  <c r="BF1078" i="1"/>
  <c r="BH1078" i="1"/>
  <c r="AB1078" i="1" s="1"/>
  <c r="BI1078" i="1"/>
  <c r="AC1078" i="1" s="1"/>
  <c r="BJ1078" i="1"/>
  <c r="L1079" i="1"/>
  <c r="Z1079" i="1"/>
  <c r="AD1079" i="1"/>
  <c r="AE1079" i="1"/>
  <c r="AF1079" i="1"/>
  <c r="AG1079" i="1"/>
  <c r="AH1079" i="1"/>
  <c r="AJ1079" i="1"/>
  <c r="AK1079" i="1"/>
  <c r="AL1079" i="1"/>
  <c r="AO1079" i="1"/>
  <c r="AW1079" i="1" s="1"/>
  <c r="AP1079" i="1"/>
  <c r="K1079" i="1" s="1"/>
  <c r="BD1079" i="1"/>
  <c r="BF1079" i="1"/>
  <c r="BH1079" i="1"/>
  <c r="AB1079" i="1" s="1"/>
  <c r="BJ1079" i="1"/>
  <c r="L1080" i="1"/>
  <c r="Z1080" i="1"/>
  <c r="AC1080" i="1"/>
  <c r="AD1080" i="1"/>
  <c r="AE1080" i="1"/>
  <c r="AF1080" i="1"/>
  <c r="AG1080" i="1"/>
  <c r="AH1080" i="1"/>
  <c r="AJ1080" i="1"/>
  <c r="AK1080" i="1"/>
  <c r="AL1080" i="1"/>
  <c r="AO1080" i="1"/>
  <c r="J1080" i="1" s="1"/>
  <c r="AP1080" i="1"/>
  <c r="K1080" i="1" s="1"/>
  <c r="AX1080" i="1"/>
  <c r="BD1080" i="1"/>
  <c r="BF1080" i="1"/>
  <c r="BI1080" i="1"/>
  <c r="BJ1080" i="1"/>
  <c r="L1081" i="1"/>
  <c r="Z1081" i="1"/>
  <c r="AB1081" i="1"/>
  <c r="AC1081" i="1"/>
  <c r="AD1081" i="1"/>
  <c r="AE1081" i="1"/>
  <c r="AF1081" i="1"/>
  <c r="AG1081" i="1"/>
  <c r="AH1081" i="1"/>
  <c r="AJ1081" i="1"/>
  <c r="AK1081" i="1"/>
  <c r="AL1081" i="1"/>
  <c r="AO1081" i="1"/>
  <c r="J1081" i="1" s="1"/>
  <c r="AP1081" i="1"/>
  <c r="K1081" i="1" s="1"/>
  <c r="AX1081" i="1"/>
  <c r="BD1081" i="1"/>
  <c r="BF1081" i="1"/>
  <c r="BH1081" i="1"/>
  <c r="BI1081" i="1"/>
  <c r="BJ1081" i="1"/>
  <c r="K1082" i="1"/>
  <c r="L1082" i="1"/>
  <c r="Z1082" i="1"/>
  <c r="AB1082" i="1"/>
  <c r="AD1082" i="1"/>
  <c r="AE1082" i="1"/>
  <c r="AF1082" i="1"/>
  <c r="AG1082" i="1"/>
  <c r="AH1082" i="1"/>
  <c r="AJ1082" i="1"/>
  <c r="AK1082" i="1"/>
  <c r="AL1082" i="1"/>
  <c r="AO1082" i="1"/>
  <c r="J1082" i="1" s="1"/>
  <c r="AP1082" i="1"/>
  <c r="AW1082" i="1"/>
  <c r="AV1082" i="1" s="1"/>
  <c r="AX1082" i="1"/>
  <c r="BC1082" i="1"/>
  <c r="BD1082" i="1"/>
  <c r="BF1082" i="1"/>
  <c r="BH1082" i="1"/>
  <c r="BI1082" i="1"/>
  <c r="AC1082" i="1" s="1"/>
  <c r="BJ1082" i="1"/>
  <c r="J1083" i="1"/>
  <c r="L1083" i="1"/>
  <c r="AL1083" i="1" s="1"/>
  <c r="Z1083" i="1"/>
  <c r="AD1083" i="1"/>
  <c r="AE1083" i="1"/>
  <c r="AF1083" i="1"/>
  <c r="AG1083" i="1"/>
  <c r="AH1083" i="1"/>
  <c r="AJ1083" i="1"/>
  <c r="AK1083" i="1"/>
  <c r="AO1083" i="1"/>
  <c r="AP1083" i="1"/>
  <c r="K1083" i="1" s="1"/>
  <c r="AW1083" i="1"/>
  <c r="AX1083" i="1"/>
  <c r="AV1083" i="1" s="1"/>
  <c r="BC1083" i="1"/>
  <c r="BD1083" i="1"/>
  <c r="BF1083" i="1"/>
  <c r="BH1083" i="1"/>
  <c r="AB1083" i="1" s="1"/>
  <c r="BI1083" i="1"/>
  <c r="AC1083" i="1" s="1"/>
  <c r="BJ1083" i="1"/>
  <c r="K1084" i="1"/>
  <c r="L1084" i="1"/>
  <c r="AL1084" i="1" s="1"/>
  <c r="Z1084" i="1"/>
  <c r="AD1084" i="1"/>
  <c r="AE1084" i="1"/>
  <c r="AF1084" i="1"/>
  <c r="AG1084" i="1"/>
  <c r="AH1084" i="1"/>
  <c r="AJ1084" i="1"/>
  <c r="AK1084" i="1"/>
  <c r="AO1084" i="1"/>
  <c r="J1084" i="1" s="1"/>
  <c r="AP1084" i="1"/>
  <c r="AW1084" i="1"/>
  <c r="AV1084" i="1" s="1"/>
  <c r="AX1084" i="1"/>
  <c r="BD1084" i="1"/>
  <c r="BF1084" i="1"/>
  <c r="BH1084" i="1"/>
  <c r="AB1084" i="1" s="1"/>
  <c r="BI1084" i="1"/>
  <c r="AC1084" i="1" s="1"/>
  <c r="BJ1084" i="1"/>
  <c r="J1085" i="1"/>
  <c r="K1085" i="1"/>
  <c r="L1085" i="1"/>
  <c r="Z1085" i="1"/>
  <c r="AD1085" i="1"/>
  <c r="AE1085" i="1"/>
  <c r="AF1085" i="1"/>
  <c r="AG1085" i="1"/>
  <c r="AH1085" i="1"/>
  <c r="AJ1085" i="1"/>
  <c r="AK1085" i="1"/>
  <c r="AL1085" i="1"/>
  <c r="AO1085" i="1"/>
  <c r="AP1085" i="1"/>
  <c r="AX1085" i="1" s="1"/>
  <c r="AW1085" i="1"/>
  <c r="BC1085" i="1" s="1"/>
  <c r="BD1085" i="1"/>
  <c r="BF1085" i="1"/>
  <c r="BH1085" i="1"/>
  <c r="AB1085" i="1" s="1"/>
  <c r="BI1085" i="1"/>
  <c r="AC1085" i="1" s="1"/>
  <c r="BJ1085" i="1"/>
  <c r="J1086" i="1"/>
  <c r="L1086" i="1"/>
  <c r="Z1086" i="1"/>
  <c r="AD1086" i="1"/>
  <c r="AE1086" i="1"/>
  <c r="AF1086" i="1"/>
  <c r="AG1086" i="1"/>
  <c r="AH1086" i="1"/>
  <c r="AJ1086" i="1"/>
  <c r="AK1086" i="1"/>
  <c r="AL1086" i="1"/>
  <c r="AO1086" i="1"/>
  <c r="AW1086" i="1" s="1"/>
  <c r="AP1086" i="1"/>
  <c r="AX1086" i="1" s="1"/>
  <c r="BD1086" i="1"/>
  <c r="BF1086" i="1"/>
  <c r="BH1086" i="1"/>
  <c r="AB1086" i="1" s="1"/>
  <c r="BI1086" i="1"/>
  <c r="AC1086" i="1" s="1"/>
  <c r="BJ1086" i="1"/>
  <c r="L1087" i="1"/>
  <c r="Z1087" i="1"/>
  <c r="AD1087" i="1"/>
  <c r="AE1087" i="1"/>
  <c r="AF1087" i="1"/>
  <c r="AG1087" i="1"/>
  <c r="AH1087" i="1"/>
  <c r="AJ1087" i="1"/>
  <c r="AK1087" i="1"/>
  <c r="AL1087" i="1"/>
  <c r="AO1087" i="1"/>
  <c r="AW1087" i="1" s="1"/>
  <c r="AP1087" i="1"/>
  <c r="K1087" i="1" s="1"/>
  <c r="BD1087" i="1"/>
  <c r="BF1087" i="1"/>
  <c r="BH1087" i="1"/>
  <c r="AB1087" i="1" s="1"/>
  <c r="BJ1087" i="1"/>
  <c r="K1088" i="1"/>
  <c r="L1088" i="1"/>
  <c r="Z1088" i="1"/>
  <c r="AC1088" i="1"/>
  <c r="AD1088" i="1"/>
  <c r="AE1088" i="1"/>
  <c r="AF1088" i="1"/>
  <c r="AG1088" i="1"/>
  <c r="AH1088" i="1"/>
  <c r="AJ1088" i="1"/>
  <c r="AK1088" i="1"/>
  <c r="AL1088" i="1"/>
  <c r="AO1088" i="1"/>
  <c r="J1088" i="1" s="1"/>
  <c r="AP1088" i="1"/>
  <c r="AX1088" i="1"/>
  <c r="BD1088" i="1"/>
  <c r="BF1088" i="1"/>
  <c r="BI1088" i="1"/>
  <c r="BJ1088" i="1"/>
  <c r="L1089" i="1"/>
  <c r="Z1089" i="1"/>
  <c r="AB1089" i="1"/>
  <c r="AC1089" i="1"/>
  <c r="AD1089" i="1"/>
  <c r="AE1089" i="1"/>
  <c r="AF1089" i="1"/>
  <c r="AG1089" i="1"/>
  <c r="AH1089" i="1"/>
  <c r="AJ1089" i="1"/>
  <c r="AK1089" i="1"/>
  <c r="AL1089" i="1"/>
  <c r="AO1089" i="1"/>
  <c r="J1089" i="1" s="1"/>
  <c r="AP1089" i="1"/>
  <c r="K1089" i="1" s="1"/>
  <c r="AW1089" i="1"/>
  <c r="AX1089" i="1"/>
  <c r="AV1089" i="1" s="1"/>
  <c r="BD1089" i="1"/>
  <c r="BF1089" i="1"/>
  <c r="BH1089" i="1"/>
  <c r="BI1089" i="1"/>
  <c r="BJ1089" i="1"/>
  <c r="L1090" i="1"/>
  <c r="Z1090" i="1"/>
  <c r="AB1090" i="1"/>
  <c r="AD1090" i="1"/>
  <c r="AE1090" i="1"/>
  <c r="AF1090" i="1"/>
  <c r="AG1090" i="1"/>
  <c r="AH1090" i="1"/>
  <c r="AJ1090" i="1"/>
  <c r="AK1090" i="1"/>
  <c r="AL1090" i="1"/>
  <c r="AO1090" i="1"/>
  <c r="J1090" i="1" s="1"/>
  <c r="AP1090" i="1"/>
  <c r="K1090" i="1" s="1"/>
  <c r="AW1090" i="1"/>
  <c r="BD1090" i="1"/>
  <c r="BF1090" i="1"/>
  <c r="BH1090" i="1"/>
  <c r="BI1090" i="1"/>
  <c r="AC1090" i="1" s="1"/>
  <c r="BJ1090" i="1"/>
  <c r="L1091" i="1"/>
  <c r="AL1091" i="1" s="1"/>
  <c r="Z1091" i="1"/>
  <c r="AD1091" i="1"/>
  <c r="AE1091" i="1"/>
  <c r="AF1091" i="1"/>
  <c r="AG1091" i="1"/>
  <c r="AH1091" i="1"/>
  <c r="AJ1091" i="1"/>
  <c r="AK1091" i="1"/>
  <c r="AO1091" i="1"/>
  <c r="J1091" i="1" s="1"/>
  <c r="AP1091" i="1"/>
  <c r="K1091" i="1" s="1"/>
  <c r="AX1091" i="1"/>
  <c r="BD1091" i="1"/>
  <c r="BF1091" i="1"/>
  <c r="BH1091" i="1"/>
  <c r="AB1091" i="1" s="1"/>
  <c r="BI1091" i="1"/>
  <c r="AC1091" i="1" s="1"/>
  <c r="BJ1091" i="1"/>
  <c r="K1092" i="1"/>
  <c r="L1092" i="1"/>
  <c r="AL1092" i="1" s="1"/>
  <c r="Z1092" i="1"/>
  <c r="AD1092" i="1"/>
  <c r="AE1092" i="1"/>
  <c r="AF1092" i="1"/>
  <c r="AG1092" i="1"/>
  <c r="AH1092" i="1"/>
  <c r="AJ1092" i="1"/>
  <c r="AK1092" i="1"/>
  <c r="AO1092" i="1"/>
  <c r="J1092" i="1" s="1"/>
  <c r="AP1092" i="1"/>
  <c r="AW1092" i="1"/>
  <c r="AV1092" i="1" s="1"/>
  <c r="AX1092" i="1"/>
  <c r="BD1092" i="1"/>
  <c r="BF1092" i="1"/>
  <c r="BH1092" i="1"/>
  <c r="AB1092" i="1" s="1"/>
  <c r="BI1092" i="1"/>
  <c r="AC1092" i="1" s="1"/>
  <c r="BJ1092" i="1"/>
  <c r="L1093" i="1"/>
  <c r="AL1093" i="1" s="1"/>
  <c r="Z1093" i="1"/>
  <c r="AD1093" i="1"/>
  <c r="AE1093" i="1"/>
  <c r="AF1093" i="1"/>
  <c r="AG1093" i="1"/>
  <c r="AH1093" i="1"/>
  <c r="AJ1093" i="1"/>
  <c r="AK1093" i="1"/>
  <c r="AO1093" i="1"/>
  <c r="J1093" i="1" s="1"/>
  <c r="AP1093" i="1"/>
  <c r="AX1093" i="1" s="1"/>
  <c r="BD1093" i="1"/>
  <c r="BF1093" i="1"/>
  <c r="BJ1093" i="1"/>
  <c r="L1094" i="1"/>
  <c r="AL1094" i="1" s="1"/>
  <c r="Z1094" i="1"/>
  <c r="AD1094" i="1"/>
  <c r="AE1094" i="1"/>
  <c r="AF1094" i="1"/>
  <c r="AG1094" i="1"/>
  <c r="AH1094" i="1"/>
  <c r="AJ1094" i="1"/>
  <c r="AK1094" i="1"/>
  <c r="AO1094" i="1"/>
  <c r="J1094" i="1" s="1"/>
  <c r="AP1094" i="1"/>
  <c r="AX1094" i="1" s="1"/>
  <c r="BD1094" i="1"/>
  <c r="BF1094" i="1"/>
  <c r="BJ1094" i="1"/>
  <c r="L1097" i="1"/>
  <c r="Z1097" i="1"/>
  <c r="AD1097" i="1"/>
  <c r="AE1097" i="1"/>
  <c r="AF1097" i="1"/>
  <c r="AG1097" i="1"/>
  <c r="AH1097" i="1"/>
  <c r="AJ1097" i="1"/>
  <c r="AK1097" i="1"/>
  <c r="AL1097" i="1"/>
  <c r="AO1097" i="1"/>
  <c r="J1097" i="1" s="1"/>
  <c r="AP1097" i="1"/>
  <c r="K1097" i="1" s="1"/>
  <c r="BD1097" i="1"/>
  <c r="BF1097" i="1"/>
  <c r="BJ1097" i="1"/>
  <c r="L1098" i="1"/>
  <c r="Z1098" i="1"/>
  <c r="AD1098" i="1"/>
  <c r="AE1098" i="1"/>
  <c r="AF1098" i="1"/>
  <c r="AG1098" i="1"/>
  <c r="AH1098" i="1"/>
  <c r="AJ1098" i="1"/>
  <c r="AK1098" i="1"/>
  <c r="AL1098" i="1"/>
  <c r="AO1098" i="1"/>
  <c r="J1098" i="1" s="1"/>
  <c r="AP1098" i="1"/>
  <c r="K1098" i="1" s="1"/>
  <c r="BD1098" i="1"/>
  <c r="BF1098" i="1"/>
  <c r="BI1098" i="1"/>
  <c r="AC1098" i="1" s="1"/>
  <c r="BJ1098" i="1"/>
  <c r="L1099" i="1"/>
  <c r="AL1099" i="1" s="1"/>
  <c r="Z1099" i="1"/>
  <c r="AD1099" i="1"/>
  <c r="AE1099" i="1"/>
  <c r="AF1099" i="1"/>
  <c r="AG1099" i="1"/>
  <c r="AH1099" i="1"/>
  <c r="AJ1099" i="1"/>
  <c r="AK1099" i="1"/>
  <c r="AO1099" i="1"/>
  <c r="J1099" i="1" s="1"/>
  <c r="AP1099" i="1"/>
  <c r="K1099" i="1" s="1"/>
  <c r="BD1099" i="1"/>
  <c r="BF1099" i="1"/>
  <c r="BJ1099" i="1"/>
  <c r="L1100" i="1"/>
  <c r="AL1100" i="1" s="1"/>
  <c r="Z1100" i="1"/>
  <c r="AD1100" i="1"/>
  <c r="AE1100" i="1"/>
  <c r="AF1100" i="1"/>
  <c r="AG1100" i="1"/>
  <c r="AH1100" i="1"/>
  <c r="AJ1100" i="1"/>
  <c r="AK1100" i="1"/>
  <c r="AO1100" i="1"/>
  <c r="J1100" i="1" s="1"/>
  <c r="AP1100" i="1"/>
  <c r="K1100" i="1" s="1"/>
  <c r="BD1100" i="1"/>
  <c r="BF1100" i="1"/>
  <c r="BJ1100" i="1"/>
  <c r="L1101" i="1"/>
  <c r="AL1101" i="1" s="1"/>
  <c r="Z1101" i="1"/>
  <c r="AD1101" i="1"/>
  <c r="AE1101" i="1"/>
  <c r="AF1101" i="1"/>
  <c r="AG1101" i="1"/>
  <c r="AH1101" i="1"/>
  <c r="AJ1101" i="1"/>
  <c r="AK1101" i="1"/>
  <c r="AO1101" i="1"/>
  <c r="J1101" i="1" s="1"/>
  <c r="AP1101" i="1"/>
  <c r="AX1101" i="1" s="1"/>
  <c r="BD1101" i="1"/>
  <c r="BF1101" i="1"/>
  <c r="BI1101" i="1"/>
  <c r="AC1101" i="1" s="1"/>
  <c r="BJ1101" i="1"/>
  <c r="L1102" i="1"/>
  <c r="Z1102" i="1"/>
  <c r="AD1102" i="1"/>
  <c r="AE1102" i="1"/>
  <c r="AF1102" i="1"/>
  <c r="AG1102" i="1"/>
  <c r="AH1102" i="1"/>
  <c r="AJ1102" i="1"/>
  <c r="AK1102" i="1"/>
  <c r="AL1102" i="1"/>
  <c r="AO1102" i="1"/>
  <c r="AW1102" i="1" s="1"/>
  <c r="AP1102" i="1"/>
  <c r="K1102" i="1" s="1"/>
  <c r="BD1102" i="1"/>
  <c r="BF1102" i="1"/>
  <c r="BI1102" i="1"/>
  <c r="AC1102" i="1" s="1"/>
  <c r="BJ1102" i="1"/>
  <c r="L1103" i="1"/>
  <c r="Z1103" i="1"/>
  <c r="AD1103" i="1"/>
  <c r="AE1103" i="1"/>
  <c r="AF1103" i="1"/>
  <c r="AG1103" i="1"/>
  <c r="AH1103" i="1"/>
  <c r="AJ1103" i="1"/>
  <c r="AK1103" i="1"/>
  <c r="AL1103" i="1"/>
  <c r="AO1103" i="1"/>
  <c r="J1103" i="1" s="1"/>
  <c r="AP1103" i="1"/>
  <c r="AX1103" i="1" s="1"/>
  <c r="AW1103" i="1"/>
  <c r="BD1103" i="1"/>
  <c r="BF1103" i="1"/>
  <c r="BH1103" i="1"/>
  <c r="AB1103" i="1" s="1"/>
  <c r="BI1103" i="1"/>
  <c r="AC1103" i="1" s="1"/>
  <c r="BJ1103" i="1"/>
  <c r="L1104" i="1"/>
  <c r="Z1104" i="1"/>
  <c r="AD1104" i="1"/>
  <c r="AE1104" i="1"/>
  <c r="AF1104" i="1"/>
  <c r="AG1104" i="1"/>
  <c r="AH1104" i="1"/>
  <c r="AJ1104" i="1"/>
  <c r="AK1104" i="1"/>
  <c r="AL1104" i="1"/>
  <c r="AO1104" i="1"/>
  <c r="AW1104" i="1" s="1"/>
  <c r="AP1104" i="1"/>
  <c r="K1104" i="1" s="1"/>
  <c r="BD1104" i="1"/>
  <c r="BF1104" i="1"/>
  <c r="BJ1104" i="1"/>
  <c r="L1105" i="1"/>
  <c r="Z1105" i="1"/>
  <c r="AC1105" i="1"/>
  <c r="AD1105" i="1"/>
  <c r="AE1105" i="1"/>
  <c r="AF1105" i="1"/>
  <c r="AG1105" i="1"/>
  <c r="AH1105" i="1"/>
  <c r="AJ1105" i="1"/>
  <c r="AK1105" i="1"/>
  <c r="AL1105" i="1"/>
  <c r="AO1105" i="1"/>
  <c r="J1105" i="1" s="1"/>
  <c r="AP1105" i="1"/>
  <c r="K1105" i="1" s="1"/>
  <c r="BD1105" i="1"/>
  <c r="BF1105" i="1"/>
  <c r="BI1105" i="1"/>
  <c r="BJ1105" i="1"/>
  <c r="L1106" i="1"/>
  <c r="AL1106" i="1" s="1"/>
  <c r="Z1106" i="1"/>
  <c r="AC1106" i="1"/>
  <c r="AD1106" i="1"/>
  <c r="AE1106" i="1"/>
  <c r="AF1106" i="1"/>
  <c r="AG1106" i="1"/>
  <c r="AH1106" i="1"/>
  <c r="AJ1106" i="1"/>
  <c r="AK1106" i="1"/>
  <c r="AO1106" i="1"/>
  <c r="J1106" i="1" s="1"/>
  <c r="AP1106" i="1"/>
  <c r="K1106" i="1" s="1"/>
  <c r="BD1106" i="1"/>
  <c r="BF1106" i="1"/>
  <c r="BH1106" i="1"/>
  <c r="AB1106" i="1" s="1"/>
  <c r="BI1106" i="1"/>
  <c r="BJ1106" i="1"/>
  <c r="L1107" i="1"/>
  <c r="Z1107" i="1"/>
  <c r="AD1107" i="1"/>
  <c r="AE1107" i="1"/>
  <c r="AF1107" i="1"/>
  <c r="AG1107" i="1"/>
  <c r="AH1107" i="1"/>
  <c r="AJ1107" i="1"/>
  <c r="AK1107" i="1"/>
  <c r="AL1107" i="1"/>
  <c r="AO1107" i="1"/>
  <c r="J1107" i="1" s="1"/>
  <c r="AP1107" i="1"/>
  <c r="K1107" i="1" s="1"/>
  <c r="BD1107" i="1"/>
  <c r="BF1107" i="1"/>
  <c r="BJ1107" i="1"/>
  <c r="L1108" i="1"/>
  <c r="AL1108" i="1" s="1"/>
  <c r="Z1108" i="1"/>
  <c r="AD1108" i="1"/>
  <c r="AE1108" i="1"/>
  <c r="AF1108" i="1"/>
  <c r="AG1108" i="1"/>
  <c r="AH1108" i="1"/>
  <c r="AJ1108" i="1"/>
  <c r="AK1108" i="1"/>
  <c r="AO1108" i="1"/>
  <c r="J1108" i="1" s="1"/>
  <c r="AP1108" i="1"/>
  <c r="K1108" i="1" s="1"/>
  <c r="AX1108" i="1"/>
  <c r="BD1108" i="1"/>
  <c r="BF1108" i="1"/>
  <c r="BI1108" i="1"/>
  <c r="AC1108" i="1" s="1"/>
  <c r="BJ1108" i="1"/>
  <c r="L1109" i="1"/>
  <c r="AL1109" i="1" s="1"/>
  <c r="Z1109" i="1"/>
  <c r="AD1109" i="1"/>
  <c r="AE1109" i="1"/>
  <c r="AF1109" i="1"/>
  <c r="AG1109" i="1"/>
  <c r="AH1109" i="1"/>
  <c r="AJ1109" i="1"/>
  <c r="AK1109" i="1"/>
  <c r="AO1109" i="1"/>
  <c r="J1109" i="1" s="1"/>
  <c r="AP1109" i="1"/>
  <c r="AX1109" i="1" s="1"/>
  <c r="BD1109" i="1"/>
  <c r="BF1109" i="1"/>
  <c r="BJ1109" i="1"/>
  <c r="C2" i="2"/>
  <c r="G2" i="2"/>
  <c r="C4" i="2"/>
  <c r="G4" i="2"/>
  <c r="C6" i="2"/>
  <c r="G6" i="2"/>
  <c r="C8" i="2"/>
  <c r="I11" i="2"/>
  <c r="E12" i="2"/>
  <c r="F12" i="2"/>
  <c r="E13" i="2"/>
  <c r="F13" i="2"/>
  <c r="G17" i="2"/>
  <c r="I17" i="2"/>
  <c r="E18" i="2"/>
  <c r="G18" i="2"/>
  <c r="I18" i="2"/>
  <c r="G19" i="2"/>
  <c r="I19" i="2"/>
  <c r="E21" i="2"/>
  <c r="F21" i="2"/>
  <c r="G21" i="2"/>
  <c r="I21" i="2"/>
  <c r="E24" i="2"/>
  <c r="F24" i="2"/>
  <c r="E25" i="2"/>
  <c r="F25" i="2"/>
  <c r="G25" i="2"/>
  <c r="I25" i="2"/>
  <c r="E26" i="2"/>
  <c r="F26" i="2"/>
  <c r="G26" i="2"/>
  <c r="I26" i="2"/>
  <c r="G29" i="2"/>
  <c r="I29" i="2"/>
  <c r="E30" i="2"/>
  <c r="F30" i="2"/>
  <c r="G30" i="2"/>
  <c r="I30" i="2"/>
  <c r="F31" i="2"/>
  <c r="G31" i="2"/>
  <c r="I31" i="2"/>
  <c r="G32" i="2"/>
  <c r="I32" i="2"/>
  <c r="G33" i="2"/>
  <c r="I33" i="2"/>
  <c r="G34" i="2"/>
  <c r="I34" i="2"/>
  <c r="F42" i="2"/>
  <c r="G46" i="2"/>
  <c r="I46" i="2"/>
  <c r="G49" i="2"/>
  <c r="I49" i="2"/>
  <c r="G50" i="2"/>
  <c r="I50" i="2"/>
  <c r="I52" i="2"/>
  <c r="G54" i="2"/>
  <c r="I54" i="2"/>
  <c r="G55" i="2"/>
  <c r="I55" i="2"/>
  <c r="F56" i="2"/>
  <c r="G56" i="2"/>
  <c r="I56" i="2"/>
  <c r="F57" i="2"/>
  <c r="E58" i="2"/>
  <c r="F58" i="2"/>
  <c r="G58" i="2"/>
  <c r="I58" i="2"/>
  <c r="G61" i="2"/>
  <c r="I61" i="2"/>
  <c r="G62" i="2"/>
  <c r="I62" i="2"/>
  <c r="I63" i="2"/>
  <c r="I65" i="2"/>
  <c r="I67" i="2"/>
  <c r="I69" i="2"/>
  <c r="C2" i="3"/>
  <c r="F2" i="3"/>
  <c r="C4" i="3"/>
  <c r="F4" i="3"/>
  <c r="C6" i="3"/>
  <c r="F6" i="3"/>
  <c r="C8" i="3"/>
  <c r="BI935" i="1" l="1"/>
  <c r="AC935" i="1" s="1"/>
  <c r="K935" i="1"/>
  <c r="BH935" i="1"/>
  <c r="AB935" i="1" s="1"/>
  <c r="AW935" i="1"/>
  <c r="AV935" i="1" s="1"/>
  <c r="AT918" i="1"/>
  <c r="AS918" i="1"/>
  <c r="AW1093" i="1"/>
  <c r="AV1093" i="1" s="1"/>
  <c r="BH1108" i="1"/>
  <c r="AB1108" i="1" s="1"/>
  <c r="AW1106" i="1"/>
  <c r="BH1101" i="1"/>
  <c r="AB1101" i="1" s="1"/>
  <c r="K1101" i="1"/>
  <c r="BH1098" i="1"/>
  <c r="AB1098" i="1" s="1"/>
  <c r="BI1107" i="1"/>
  <c r="AC1107" i="1" s="1"/>
  <c r="BH1105" i="1"/>
  <c r="AB1105" i="1" s="1"/>
  <c r="AX1102" i="1"/>
  <c r="BI1097" i="1"/>
  <c r="AC1097" i="1" s="1"/>
  <c r="BH1107" i="1"/>
  <c r="AB1107" i="1" s="1"/>
  <c r="BH1100" i="1"/>
  <c r="AB1100" i="1" s="1"/>
  <c r="BH1104" i="1"/>
  <c r="AB1104" i="1" s="1"/>
  <c r="BC1102" i="1"/>
  <c r="AW1098" i="1"/>
  <c r="AW1108" i="1"/>
  <c r="AX1105" i="1"/>
  <c r="AW1101" i="1"/>
  <c r="AV1101" i="1" s="1"/>
  <c r="AX1097" i="1"/>
  <c r="AX1107" i="1"/>
  <c r="BH1093" i="1"/>
  <c r="AB1093" i="1" s="1"/>
  <c r="BI1109" i="1"/>
  <c r="AC1109" i="1" s="1"/>
  <c r="BH1109" i="1"/>
  <c r="AB1109" i="1" s="1"/>
  <c r="K1109" i="1"/>
  <c r="AW1109" i="1"/>
  <c r="AV1109" i="1" s="1"/>
  <c r="BH1102" i="1"/>
  <c r="AB1102" i="1" s="1"/>
  <c r="J1102" i="1"/>
  <c r="AX1100" i="1"/>
  <c r="AS1096" i="1"/>
  <c r="BI1100" i="1"/>
  <c r="AC1100" i="1" s="1"/>
  <c r="AT1096" i="1"/>
  <c r="BH1097" i="1"/>
  <c r="AB1097" i="1" s="1"/>
  <c r="AW1094" i="1"/>
  <c r="BC1094" i="1" s="1"/>
  <c r="L1058" i="1"/>
  <c r="L1057" i="1" s="1"/>
  <c r="G67" i="2" s="1"/>
  <c r="BI1094" i="1"/>
  <c r="AC1094" i="1" s="1"/>
  <c r="AT1058" i="1"/>
  <c r="BH1094" i="1"/>
  <c r="AB1094" i="1" s="1"/>
  <c r="BI1093" i="1"/>
  <c r="AC1093" i="1" s="1"/>
  <c r="AS1058" i="1"/>
  <c r="K1093" i="1"/>
  <c r="BI1099" i="1"/>
  <c r="AC1099" i="1" s="1"/>
  <c r="AW1099" i="1"/>
  <c r="L1096" i="1"/>
  <c r="L1095" i="1" s="1"/>
  <c r="G69" i="2" s="1"/>
  <c r="BH1099" i="1"/>
  <c r="AB1099" i="1" s="1"/>
  <c r="AV1094" i="1"/>
  <c r="BC1076" i="1"/>
  <c r="BC1067" i="1"/>
  <c r="AV1067" i="1"/>
  <c r="AV1043" i="1"/>
  <c r="BC1043" i="1"/>
  <c r="BC1040" i="1"/>
  <c r="AV1040" i="1"/>
  <c r="BC1031" i="1"/>
  <c r="AV1031" i="1"/>
  <c r="BC1048" i="1"/>
  <c r="AV1048" i="1"/>
  <c r="AV1103" i="1"/>
  <c r="BC1103" i="1"/>
  <c r="BC1093" i="1"/>
  <c r="BC1066" i="1"/>
  <c r="BC1039" i="1"/>
  <c r="BC1030" i="1"/>
  <c r="BC1022" i="1"/>
  <c r="AV1022" i="1"/>
  <c r="AU1058" i="1"/>
  <c r="AV1068" i="1"/>
  <c r="BC1020" i="1"/>
  <c r="AV1020" i="1"/>
  <c r="BC1086" i="1"/>
  <c r="AV1086" i="1"/>
  <c r="AU1096" i="1"/>
  <c r="BC1078" i="1"/>
  <c r="AV1078" i="1"/>
  <c r="AV1061" i="1"/>
  <c r="BC1061" i="1"/>
  <c r="BC1056" i="1"/>
  <c r="AV1056" i="1"/>
  <c r="AV1023" i="1"/>
  <c r="BC1023" i="1"/>
  <c r="BC1018" i="1"/>
  <c r="AV1018" i="1"/>
  <c r="BH1059" i="1"/>
  <c r="AB1059" i="1" s="1"/>
  <c r="BH1042" i="1"/>
  <c r="AB1042" i="1" s="1"/>
  <c r="BI1041" i="1"/>
  <c r="AC1041" i="1" s="1"/>
  <c r="BC1109" i="1"/>
  <c r="J1104" i="1"/>
  <c r="K1103" i="1"/>
  <c r="BC1101" i="1"/>
  <c r="K1094" i="1"/>
  <c r="K1058" i="1" s="1"/>
  <c r="BC1092" i="1"/>
  <c r="J1087" i="1"/>
  <c r="K1086" i="1"/>
  <c r="BC1084" i="1"/>
  <c r="J1079" i="1"/>
  <c r="K1078" i="1"/>
  <c r="BC1074" i="1"/>
  <c r="J1068" i="1"/>
  <c r="J1058" i="1" s="1"/>
  <c r="BC1065" i="1"/>
  <c r="K1048" i="1"/>
  <c r="BC1046" i="1"/>
  <c r="J1041" i="1"/>
  <c r="K1040" i="1"/>
  <c r="BC1037" i="1"/>
  <c r="J1032" i="1"/>
  <c r="K1031" i="1"/>
  <c r="BC1029" i="1"/>
  <c r="J1022" i="1"/>
  <c r="K1020" i="1"/>
  <c r="BC1013" i="1"/>
  <c r="AV1013" i="1"/>
  <c r="BC1004" i="1"/>
  <c r="AS995" i="1"/>
  <c r="AW996" i="1"/>
  <c r="J996" i="1"/>
  <c r="BC985" i="1"/>
  <c r="AV985" i="1"/>
  <c r="AV984" i="1"/>
  <c r="BC970" i="1"/>
  <c r="AV957" i="1"/>
  <c r="AV955" i="1"/>
  <c r="BC912" i="1"/>
  <c r="AV761" i="1"/>
  <c r="BC1027" i="1"/>
  <c r="AX1017" i="1"/>
  <c r="BC1017" i="1" s="1"/>
  <c r="BC1016" i="1"/>
  <c r="AW1014" i="1"/>
  <c r="J1014" i="1"/>
  <c r="AV1003" i="1"/>
  <c r="BC960" i="1"/>
  <c r="BC959" i="1"/>
  <c r="BC949" i="1"/>
  <c r="AV949" i="1"/>
  <c r="BI1104" i="1"/>
  <c r="AC1104" i="1" s="1"/>
  <c r="AV1102" i="1"/>
  <c r="AV1085" i="1"/>
  <c r="AV1076" i="1"/>
  <c r="BC1071" i="1"/>
  <c r="AV1066" i="1"/>
  <c r="BC1062" i="1"/>
  <c r="AV1055" i="1"/>
  <c r="BC1052" i="1"/>
  <c r="AV1047" i="1"/>
  <c r="BC1044" i="1"/>
  <c r="AV1039" i="1"/>
  <c r="BC1035" i="1"/>
  <c r="AV1030" i="1"/>
  <c r="J1008" i="1"/>
  <c r="AW1008" i="1"/>
  <c r="K1007" i="1"/>
  <c r="AX1007" i="1"/>
  <c r="BC1005" i="1"/>
  <c r="AV1005" i="1"/>
  <c r="BC952" i="1"/>
  <c r="AV952" i="1"/>
  <c r="AS945" i="1"/>
  <c r="AU945" i="1"/>
  <c r="AW1100" i="1"/>
  <c r="AX1099" i="1"/>
  <c r="AW1091" i="1"/>
  <c r="AX1090" i="1"/>
  <c r="BC1090" i="1" s="1"/>
  <c r="BC1089" i="1"/>
  <c r="BC1070" i="1"/>
  <c r="BC1051" i="1"/>
  <c r="BC1034" i="1"/>
  <c r="BC1024" i="1"/>
  <c r="BI1013" i="1"/>
  <c r="AC1013" i="1" s="1"/>
  <c r="AV1007" i="1"/>
  <c r="BC1007" i="1"/>
  <c r="BC987" i="1"/>
  <c r="AV987" i="1"/>
  <c r="BC977" i="1"/>
  <c r="AV977" i="1"/>
  <c r="BI1087" i="1"/>
  <c r="AC1087" i="1" s="1"/>
  <c r="BH1080" i="1"/>
  <c r="AB1080" i="1" s="1"/>
  <c r="AW1107" i="1"/>
  <c r="AX1106" i="1"/>
  <c r="AX1098" i="1"/>
  <c r="BC972" i="1"/>
  <c r="BC939" i="1"/>
  <c r="AV939" i="1"/>
  <c r="AW1081" i="1"/>
  <c r="BC1010" i="1"/>
  <c r="BH1008" i="1"/>
  <c r="AB1008" i="1" s="1"/>
  <c r="AV992" i="1"/>
  <c r="BC992" i="1"/>
  <c r="BC969" i="1"/>
  <c r="AV969" i="1"/>
  <c r="BI1079" i="1"/>
  <c r="AC1079" i="1" s="1"/>
  <c r="BI1049" i="1"/>
  <c r="AC1049" i="1" s="1"/>
  <c r="AW1105" i="1"/>
  <c r="AX1104" i="1"/>
  <c r="BC1104" i="1" s="1"/>
  <c r="AW1097" i="1"/>
  <c r="AW1088" i="1"/>
  <c r="AX1087" i="1"/>
  <c r="BC1087" i="1" s="1"/>
  <c r="AW1080" i="1"/>
  <c r="AX1079" i="1"/>
  <c r="BC1079" i="1" s="1"/>
  <c r="AW1069" i="1"/>
  <c r="AX1068" i="1"/>
  <c r="BC1068" i="1" s="1"/>
  <c r="AW1059" i="1"/>
  <c r="AW1050" i="1"/>
  <c r="AX1049" i="1"/>
  <c r="BC1049" i="1" s="1"/>
  <c r="AW1042" i="1"/>
  <c r="AX1041" i="1"/>
  <c r="BC1041" i="1" s="1"/>
  <c r="AW1033" i="1"/>
  <c r="AX1032" i="1"/>
  <c r="BC1032" i="1" s="1"/>
  <c r="BC1012" i="1"/>
  <c r="BC1011" i="1"/>
  <c r="BI1007" i="1"/>
  <c r="AC1007" i="1" s="1"/>
  <c r="BI1005" i="1"/>
  <c r="AC1005" i="1" s="1"/>
  <c r="L995" i="1"/>
  <c r="BC979" i="1"/>
  <c r="AV979" i="1"/>
  <c r="AV968" i="1"/>
  <c r="BC940" i="1"/>
  <c r="AV938" i="1"/>
  <c r="BH1088" i="1"/>
  <c r="AB1088" i="1" s="1"/>
  <c r="K1005" i="1"/>
  <c r="K995" i="1" s="1"/>
  <c r="BC971" i="1"/>
  <c r="AV971" i="1"/>
  <c r="BC958" i="1"/>
  <c r="AV958" i="1"/>
  <c r="AU918" i="1"/>
  <c r="J987" i="1"/>
  <c r="K986" i="1"/>
  <c r="BC984" i="1"/>
  <c r="J979" i="1"/>
  <c r="K978" i="1"/>
  <c r="BC976" i="1"/>
  <c r="J971" i="1"/>
  <c r="K970" i="1"/>
  <c r="BC968" i="1"/>
  <c r="J960" i="1"/>
  <c r="K959" i="1"/>
  <c r="BC957" i="1"/>
  <c r="J952" i="1"/>
  <c r="J945" i="1" s="1"/>
  <c r="K950" i="1"/>
  <c r="K945" i="1" s="1"/>
  <c r="BC948" i="1"/>
  <c r="L945" i="1"/>
  <c r="J941" i="1"/>
  <c r="J937" i="1" s="1"/>
  <c r="K940" i="1"/>
  <c r="K937" i="1" s="1"/>
  <c r="BC938" i="1"/>
  <c r="J932" i="1"/>
  <c r="K931" i="1"/>
  <c r="BC929" i="1"/>
  <c r="J924" i="1"/>
  <c r="J918" i="1" s="1"/>
  <c r="E60" i="2" s="1"/>
  <c r="K923" i="1"/>
  <c r="BC921" i="1"/>
  <c r="J913" i="1"/>
  <c r="K912" i="1"/>
  <c r="BC910" i="1"/>
  <c r="J905" i="1"/>
  <c r="K904" i="1"/>
  <c r="BC902" i="1"/>
  <c r="J897" i="1"/>
  <c r="K896" i="1"/>
  <c r="BC894" i="1"/>
  <c r="J889" i="1"/>
  <c r="K888" i="1"/>
  <c r="BC886" i="1"/>
  <c r="AW862" i="1"/>
  <c r="J862" i="1"/>
  <c r="J853" i="1"/>
  <c r="J846" i="1" s="1"/>
  <c r="E59" i="2" s="1"/>
  <c r="AW853" i="1"/>
  <c r="AW834" i="1"/>
  <c r="J834" i="1"/>
  <c r="AX830" i="1"/>
  <c r="K830" i="1"/>
  <c r="K829" i="1" s="1"/>
  <c r="F54" i="2" s="1"/>
  <c r="AX827" i="1"/>
  <c r="K827" i="1"/>
  <c r="AW820" i="1"/>
  <c r="J820" i="1"/>
  <c r="AS816" i="1"/>
  <c r="AV807" i="1"/>
  <c r="BC807" i="1"/>
  <c r="AW787" i="1"/>
  <c r="J787" i="1"/>
  <c r="AX778" i="1"/>
  <c r="K778" i="1"/>
  <c r="AX770" i="1"/>
  <c r="K770" i="1"/>
  <c r="AX762" i="1"/>
  <c r="K762" i="1"/>
  <c r="AW755" i="1"/>
  <c r="J755" i="1"/>
  <c r="J727" i="1"/>
  <c r="AW727" i="1"/>
  <c r="BH727" i="1"/>
  <c r="AB727" i="1" s="1"/>
  <c r="K711" i="1"/>
  <c r="AX711" i="1"/>
  <c r="BI711" i="1"/>
  <c r="AC711" i="1" s="1"/>
  <c r="K695" i="1"/>
  <c r="AX695" i="1"/>
  <c r="BI695" i="1"/>
  <c r="AC695" i="1" s="1"/>
  <c r="BC666" i="1"/>
  <c r="AV666" i="1"/>
  <c r="AL999" i="1"/>
  <c r="AU995" i="1" s="1"/>
  <c r="AV986" i="1"/>
  <c r="BC983" i="1"/>
  <c r="AV978" i="1"/>
  <c r="BC975" i="1"/>
  <c r="AV970" i="1"/>
  <c r="BC967" i="1"/>
  <c r="AV959" i="1"/>
  <c r="BC956" i="1"/>
  <c r="AV950" i="1"/>
  <c r="BC946" i="1"/>
  <c r="AV940" i="1"/>
  <c r="AV931" i="1"/>
  <c r="BC928" i="1"/>
  <c r="AV923" i="1"/>
  <c r="BC920" i="1"/>
  <c r="L918" i="1"/>
  <c r="G60" i="2" s="1"/>
  <c r="I60" i="2" s="1"/>
  <c r="BC917" i="1"/>
  <c r="AV912" i="1"/>
  <c r="AV904" i="1"/>
  <c r="AV896" i="1"/>
  <c r="AV888" i="1"/>
  <c r="AW878" i="1"/>
  <c r="J878" i="1"/>
  <c r="AW870" i="1"/>
  <c r="J870" i="1"/>
  <c r="AX861" i="1"/>
  <c r="K861" i="1"/>
  <c r="K852" i="1"/>
  <c r="K846" i="1" s="1"/>
  <c r="F59" i="2" s="1"/>
  <c r="AX852" i="1"/>
  <c r="AV852" i="1" s="1"/>
  <c r="AU846" i="1"/>
  <c r="J840" i="1"/>
  <c r="E57" i="2" s="1"/>
  <c r="AX833" i="1"/>
  <c r="K833" i="1"/>
  <c r="K832" i="1" s="1"/>
  <c r="F55" i="2" s="1"/>
  <c r="J830" i="1"/>
  <c r="AW830" i="1"/>
  <c r="J827" i="1"/>
  <c r="AW827" i="1"/>
  <c r="BC808" i="1"/>
  <c r="BC800" i="1"/>
  <c r="AV792" i="1"/>
  <c r="AX786" i="1"/>
  <c r="K786" i="1"/>
  <c r="J778" i="1"/>
  <c r="AW778" i="1"/>
  <c r="J770" i="1"/>
  <c r="AW770" i="1"/>
  <c r="AV766" i="1"/>
  <c r="J762" i="1"/>
  <c r="AW762" i="1"/>
  <c r="AV758" i="1"/>
  <c r="AW747" i="1"/>
  <c r="J747" i="1"/>
  <c r="AW739" i="1"/>
  <c r="J739" i="1"/>
  <c r="AX725" i="1"/>
  <c r="K725" i="1"/>
  <c r="BI725" i="1"/>
  <c r="AC725" i="1" s="1"/>
  <c r="K699" i="1"/>
  <c r="AX699" i="1"/>
  <c r="BC699" i="1" s="1"/>
  <c r="BI699" i="1"/>
  <c r="AC699" i="1" s="1"/>
  <c r="K683" i="1"/>
  <c r="AX683" i="1"/>
  <c r="BC683" i="1" s="1"/>
  <c r="BI683" i="1"/>
  <c r="AC683" i="1" s="1"/>
  <c r="AT642" i="1"/>
  <c r="AX877" i="1"/>
  <c r="K877" i="1"/>
  <c r="AX869" i="1"/>
  <c r="K869" i="1"/>
  <c r="J861" i="1"/>
  <c r="AW861" i="1"/>
  <c r="BC852" i="1"/>
  <c r="AV850" i="1"/>
  <c r="BC850" i="1"/>
  <c r="AT846" i="1"/>
  <c r="J833" i="1"/>
  <c r="J832" i="1" s="1"/>
  <c r="E55" i="2" s="1"/>
  <c r="AW833" i="1"/>
  <c r="K826" i="1"/>
  <c r="AX826" i="1"/>
  <c r="AV826" i="1" s="1"/>
  <c r="AX819" i="1"/>
  <c r="K819" i="1"/>
  <c r="AW811" i="1"/>
  <c r="J811" i="1"/>
  <c r="J786" i="1"/>
  <c r="AW786" i="1"/>
  <c r="K777" i="1"/>
  <c r="AX777" i="1"/>
  <c r="AV777" i="1" s="1"/>
  <c r="K769" i="1"/>
  <c r="AX769" i="1"/>
  <c r="BC769" i="1" s="1"/>
  <c r="K761" i="1"/>
  <c r="AX761" i="1"/>
  <c r="AX754" i="1"/>
  <c r="K754" i="1"/>
  <c r="J732" i="1"/>
  <c r="BH732" i="1"/>
  <c r="AB732" i="1" s="1"/>
  <c r="AW732" i="1"/>
  <c r="BH878" i="1"/>
  <c r="AB878" i="1" s="1"/>
  <c r="J877" i="1"/>
  <c r="AW877" i="1"/>
  <c r="J869" i="1"/>
  <c r="AW869" i="1"/>
  <c r="BH862" i="1"/>
  <c r="AB862" i="1" s="1"/>
  <c r="K860" i="1"/>
  <c r="AX860" i="1"/>
  <c r="AV860" i="1" s="1"/>
  <c r="AV858" i="1"/>
  <c r="BC858" i="1"/>
  <c r="BH834" i="1"/>
  <c r="AB834" i="1" s="1"/>
  <c r="BC826" i="1"/>
  <c r="BH820" i="1"/>
  <c r="AB820" i="1" s="1"/>
  <c r="J819" i="1"/>
  <c r="J816" i="1" s="1"/>
  <c r="AW819" i="1"/>
  <c r="AU816" i="1"/>
  <c r="AV798" i="1"/>
  <c r="AW795" i="1"/>
  <c r="J795" i="1"/>
  <c r="BH787" i="1"/>
  <c r="AB787" i="1" s="1"/>
  <c r="K785" i="1"/>
  <c r="AX785" i="1"/>
  <c r="AV785" i="1" s="1"/>
  <c r="BC777" i="1"/>
  <c r="AV775" i="1"/>
  <c r="BC775" i="1"/>
  <c r="AV767" i="1"/>
  <c r="BC767" i="1"/>
  <c r="BC761" i="1"/>
  <c r="AV759" i="1"/>
  <c r="BC759" i="1"/>
  <c r="BH755" i="1"/>
  <c r="AB755" i="1" s="1"/>
  <c r="J754" i="1"/>
  <c r="AW754" i="1"/>
  <c r="AX746" i="1"/>
  <c r="K746" i="1"/>
  <c r="AX738" i="1"/>
  <c r="K738" i="1"/>
  <c r="AX638" i="1"/>
  <c r="K638" i="1"/>
  <c r="BI638" i="1"/>
  <c r="AE638" i="1" s="1"/>
  <c r="AL600" i="1"/>
  <c r="AU598" i="1" s="1"/>
  <c r="L598" i="1"/>
  <c r="G47" i="2" s="1"/>
  <c r="I47" i="2" s="1"/>
  <c r="K587" i="1"/>
  <c r="AX587" i="1"/>
  <c r="BI587" i="1"/>
  <c r="AE587" i="1" s="1"/>
  <c r="K868" i="1"/>
  <c r="AX868" i="1"/>
  <c r="AV868" i="1" s="1"/>
  <c r="AV866" i="1"/>
  <c r="BC866" i="1"/>
  <c r="BC860" i="1"/>
  <c r="BH853" i="1"/>
  <c r="AB853" i="1" s="1"/>
  <c r="BI830" i="1"/>
  <c r="AC830" i="1" s="1"/>
  <c r="BI827" i="1"/>
  <c r="AC827" i="1" s="1"/>
  <c r="AV824" i="1"/>
  <c r="BC824" i="1"/>
  <c r="K818" i="1"/>
  <c r="AX818" i="1"/>
  <c r="AV818" i="1" s="1"/>
  <c r="AT816" i="1"/>
  <c r="AX810" i="1"/>
  <c r="K810" i="1"/>
  <c r="AW803" i="1"/>
  <c r="J803" i="1"/>
  <c r="AX794" i="1"/>
  <c r="K794" i="1"/>
  <c r="AV783" i="1"/>
  <c r="BC783" i="1"/>
  <c r="BI778" i="1"/>
  <c r="AC778" i="1" s="1"/>
  <c r="BI770" i="1"/>
  <c r="AC770" i="1" s="1"/>
  <c r="BI762" i="1"/>
  <c r="AC762" i="1" s="1"/>
  <c r="K753" i="1"/>
  <c r="AX753" i="1"/>
  <c r="AV753" i="1" s="1"/>
  <c r="AV750" i="1"/>
  <c r="J746" i="1"/>
  <c r="AW746" i="1"/>
  <c r="AV742" i="1"/>
  <c r="J738" i="1"/>
  <c r="AW738" i="1"/>
  <c r="K735" i="1"/>
  <c r="AX735" i="1"/>
  <c r="BI735" i="1"/>
  <c r="AC735" i="1" s="1"/>
  <c r="J720" i="1"/>
  <c r="AW720" i="1"/>
  <c r="BH720" i="1"/>
  <c r="AB720" i="1" s="1"/>
  <c r="K703" i="1"/>
  <c r="AX703" i="1"/>
  <c r="BI703" i="1"/>
  <c r="AC703" i="1" s="1"/>
  <c r="K687" i="1"/>
  <c r="AX687" i="1"/>
  <c r="BI687" i="1"/>
  <c r="AC687" i="1" s="1"/>
  <c r="K675" i="1"/>
  <c r="AX675" i="1"/>
  <c r="BC675" i="1" s="1"/>
  <c r="BI675" i="1"/>
  <c r="AC675" i="1" s="1"/>
  <c r="J644" i="1"/>
  <c r="AW644" i="1"/>
  <c r="BH644" i="1"/>
  <c r="AB644" i="1" s="1"/>
  <c r="J605" i="1"/>
  <c r="AW605" i="1"/>
  <c r="BH605" i="1"/>
  <c r="AD605" i="1" s="1"/>
  <c r="AW999" i="1"/>
  <c r="AX998" i="1"/>
  <c r="AV998" i="1" s="1"/>
  <c r="AW989" i="1"/>
  <c r="AX988" i="1"/>
  <c r="AV988" i="1" s="1"/>
  <c r="AW981" i="1"/>
  <c r="AX980" i="1"/>
  <c r="AV980" i="1" s="1"/>
  <c r="AW973" i="1"/>
  <c r="AX972" i="1"/>
  <c r="AV972" i="1" s="1"/>
  <c r="AW964" i="1"/>
  <c r="AX962" i="1"/>
  <c r="AW954" i="1"/>
  <c r="AX953" i="1"/>
  <c r="AV953" i="1" s="1"/>
  <c r="AW943" i="1"/>
  <c r="AX942" i="1"/>
  <c r="AW934" i="1"/>
  <c r="AX933" i="1"/>
  <c r="AW926" i="1"/>
  <c r="AX925" i="1"/>
  <c r="AW915" i="1"/>
  <c r="AX914" i="1"/>
  <c r="AW907" i="1"/>
  <c r="AX906" i="1"/>
  <c r="AW899" i="1"/>
  <c r="AX898" i="1"/>
  <c r="AW891" i="1"/>
  <c r="AX890" i="1"/>
  <c r="AW883" i="1"/>
  <c r="AX882" i="1"/>
  <c r="BH870" i="1"/>
  <c r="AB870" i="1" s="1"/>
  <c r="BI861" i="1"/>
  <c r="AC861" i="1" s="1"/>
  <c r="BC859" i="1"/>
  <c r="AV851" i="1"/>
  <c r="J837" i="1"/>
  <c r="E56" i="2" s="1"/>
  <c r="BI833" i="1"/>
  <c r="AC833" i="1" s="1"/>
  <c r="AS832" i="1"/>
  <c r="BH830" i="1"/>
  <c r="AB830" i="1" s="1"/>
  <c r="BH827" i="1"/>
  <c r="AB827" i="1" s="1"/>
  <c r="BI826" i="1"/>
  <c r="AC826" i="1" s="1"/>
  <c r="BC825" i="1"/>
  <c r="L816" i="1"/>
  <c r="BC818" i="1"/>
  <c r="BH811" i="1"/>
  <c r="AB811" i="1" s="1"/>
  <c r="J810" i="1"/>
  <c r="AW810" i="1"/>
  <c r="AV806" i="1"/>
  <c r="AX802" i="1"/>
  <c r="K802" i="1"/>
  <c r="J794" i="1"/>
  <c r="AW794" i="1"/>
  <c r="BI786" i="1"/>
  <c r="AC786" i="1" s="1"/>
  <c r="BC784" i="1"/>
  <c r="BH778" i="1"/>
  <c r="AB778" i="1" s="1"/>
  <c r="BI777" i="1"/>
  <c r="AC777" i="1" s="1"/>
  <c r="AV776" i="1"/>
  <c r="BH770" i="1"/>
  <c r="AB770" i="1" s="1"/>
  <c r="BI769" i="1"/>
  <c r="AC769" i="1" s="1"/>
  <c r="AV768" i="1"/>
  <c r="BH762" i="1"/>
  <c r="AB762" i="1" s="1"/>
  <c r="BI761" i="1"/>
  <c r="AC761" i="1" s="1"/>
  <c r="AV760" i="1"/>
  <c r="BC753" i="1"/>
  <c r="AV751" i="1"/>
  <c r="BC751" i="1"/>
  <c r="K745" i="1"/>
  <c r="AX745" i="1"/>
  <c r="AV745" i="1" s="1"/>
  <c r="AV743" i="1"/>
  <c r="BC743" i="1"/>
  <c r="AW724" i="1"/>
  <c r="J724" i="1"/>
  <c r="K707" i="1"/>
  <c r="AX707" i="1"/>
  <c r="BC707" i="1" s="1"/>
  <c r="BI707" i="1"/>
  <c r="AC707" i="1" s="1"/>
  <c r="K691" i="1"/>
  <c r="AX691" i="1"/>
  <c r="BC691" i="1" s="1"/>
  <c r="BI691" i="1"/>
  <c r="AC691" i="1" s="1"/>
  <c r="AW962" i="1"/>
  <c r="AX960" i="1"/>
  <c r="AV960" i="1" s="1"/>
  <c r="AW942" i="1"/>
  <c r="AX941" i="1"/>
  <c r="BC941" i="1" s="1"/>
  <c r="AL938" i="1"/>
  <c r="AU937" i="1" s="1"/>
  <c r="AW933" i="1"/>
  <c r="AX932" i="1"/>
  <c r="BC932" i="1" s="1"/>
  <c r="AW925" i="1"/>
  <c r="AX924" i="1"/>
  <c r="BC924" i="1" s="1"/>
  <c r="AW914" i="1"/>
  <c r="AX913" i="1"/>
  <c r="BC913" i="1" s="1"/>
  <c r="AW906" i="1"/>
  <c r="AX905" i="1"/>
  <c r="BC905" i="1" s="1"/>
  <c r="AW898" i="1"/>
  <c r="AX897" i="1"/>
  <c r="BC897" i="1" s="1"/>
  <c r="AW890" i="1"/>
  <c r="AX889" i="1"/>
  <c r="BC889" i="1" s="1"/>
  <c r="AW882" i="1"/>
  <c r="BI877" i="1"/>
  <c r="AC877" i="1" s="1"/>
  <c r="K876" i="1"/>
  <c r="AX876" i="1"/>
  <c r="AV876" i="1" s="1"/>
  <c r="BI869" i="1"/>
  <c r="AC869" i="1" s="1"/>
  <c r="BC867" i="1"/>
  <c r="BH861" i="1"/>
  <c r="AB861" i="1" s="1"/>
  <c r="BI860" i="1"/>
  <c r="AC860" i="1" s="1"/>
  <c r="BC857" i="1"/>
  <c r="AW854" i="1"/>
  <c r="J854" i="1"/>
  <c r="L846" i="1"/>
  <c r="G59" i="2" s="1"/>
  <c r="I59" i="2" s="1"/>
  <c r="AU837" i="1"/>
  <c r="BH833" i="1"/>
  <c r="AB833" i="1" s="1"/>
  <c r="AW831" i="1"/>
  <c r="J831" i="1"/>
  <c r="AW828" i="1"/>
  <c r="J828" i="1"/>
  <c r="BC823" i="1"/>
  <c r="BI819" i="1"/>
  <c r="AC819" i="1" s="1"/>
  <c r="K809" i="1"/>
  <c r="AX809" i="1"/>
  <c r="AV809" i="1" s="1"/>
  <c r="J802" i="1"/>
  <c r="AW802" i="1"/>
  <c r="BH795" i="1"/>
  <c r="AB795" i="1" s="1"/>
  <c r="K793" i="1"/>
  <c r="AX793" i="1"/>
  <c r="AV793" i="1" s="1"/>
  <c r="AV791" i="1"/>
  <c r="BC791" i="1"/>
  <c r="BH786" i="1"/>
  <c r="AB786" i="1" s="1"/>
  <c r="BI785" i="1"/>
  <c r="AC785" i="1" s="1"/>
  <c r="AW779" i="1"/>
  <c r="J779" i="1"/>
  <c r="AW771" i="1"/>
  <c r="J771" i="1"/>
  <c r="AW763" i="1"/>
  <c r="J763" i="1"/>
  <c r="BI754" i="1"/>
  <c r="AC754" i="1" s="1"/>
  <c r="BC752" i="1"/>
  <c r="BC744" i="1"/>
  <c r="AV702" i="1"/>
  <c r="K679" i="1"/>
  <c r="AX679" i="1"/>
  <c r="BI679" i="1"/>
  <c r="AC679" i="1" s="1"/>
  <c r="J660" i="1"/>
  <c r="AW660" i="1"/>
  <c r="BH660" i="1"/>
  <c r="AB660" i="1" s="1"/>
  <c r="J621" i="1"/>
  <c r="E48" i="2" s="1"/>
  <c r="BC534" i="1"/>
  <c r="AV534" i="1"/>
  <c r="BH877" i="1"/>
  <c r="AB877" i="1" s="1"/>
  <c r="AV874" i="1"/>
  <c r="BC874" i="1"/>
  <c r="BH869" i="1"/>
  <c r="AB869" i="1" s="1"/>
  <c r="BI868" i="1"/>
  <c r="AC868" i="1" s="1"/>
  <c r="BC865" i="1"/>
  <c r="AX853" i="1"/>
  <c r="K853" i="1"/>
  <c r="L840" i="1"/>
  <c r="G57" i="2" s="1"/>
  <c r="I57" i="2" s="1"/>
  <c r="AT837" i="1"/>
  <c r="BH819" i="1"/>
  <c r="AB819" i="1" s="1"/>
  <c r="BI818" i="1"/>
  <c r="AC818" i="1" s="1"/>
  <c r="K816" i="1"/>
  <c r="BC809" i="1"/>
  <c r="BH803" i="1"/>
  <c r="AB803" i="1" s="1"/>
  <c r="K801" i="1"/>
  <c r="AX801" i="1"/>
  <c r="BC801" i="1" s="1"/>
  <c r="AV799" i="1"/>
  <c r="BC799" i="1"/>
  <c r="BH754" i="1"/>
  <c r="AB754" i="1" s="1"/>
  <c r="BI753" i="1"/>
  <c r="AC753" i="1" s="1"/>
  <c r="BI746" i="1"/>
  <c r="AC746" i="1" s="1"/>
  <c r="BI738" i="1"/>
  <c r="AC738" i="1" s="1"/>
  <c r="AX733" i="1"/>
  <c r="AV733" i="1" s="1"/>
  <c r="BI733" i="1"/>
  <c r="AC733" i="1" s="1"/>
  <c r="K733" i="1"/>
  <c r="K727" i="1"/>
  <c r="AX727" i="1"/>
  <c r="BI727" i="1"/>
  <c r="AC727" i="1" s="1"/>
  <c r="J736" i="1"/>
  <c r="AW736" i="1"/>
  <c r="BI731" i="1"/>
  <c r="AC731" i="1" s="1"/>
  <c r="BC725" i="1"/>
  <c r="BC709" i="1"/>
  <c r="AV709" i="1"/>
  <c r="J708" i="1"/>
  <c r="AW708" i="1"/>
  <c r="BC701" i="1"/>
  <c r="AV701" i="1"/>
  <c r="J700" i="1"/>
  <c r="AW700" i="1"/>
  <c r="BC693" i="1"/>
  <c r="AV693" i="1"/>
  <c r="J692" i="1"/>
  <c r="AW692" i="1"/>
  <c r="BC685" i="1"/>
  <c r="AV685" i="1"/>
  <c r="J684" i="1"/>
  <c r="AW684" i="1"/>
  <c r="AV681" i="1"/>
  <c r="BC681" i="1"/>
  <c r="J680" i="1"/>
  <c r="AW680" i="1"/>
  <c r="K671" i="1"/>
  <c r="AX671" i="1"/>
  <c r="K667" i="1"/>
  <c r="AX667" i="1"/>
  <c r="BC667" i="1" s="1"/>
  <c r="AV606" i="1"/>
  <c r="BC606" i="1"/>
  <c r="BC594" i="1"/>
  <c r="BC562" i="1"/>
  <c r="AV562" i="1"/>
  <c r="BC560" i="1"/>
  <c r="AV560" i="1"/>
  <c r="AV491" i="1"/>
  <c r="BC491" i="1"/>
  <c r="BC474" i="1"/>
  <c r="AV474" i="1"/>
  <c r="AX250" i="1"/>
  <c r="K250" i="1"/>
  <c r="BI250" i="1"/>
  <c r="AE250" i="1" s="1"/>
  <c r="AV737" i="1"/>
  <c r="BC733" i="1"/>
  <c r="BH726" i="1"/>
  <c r="AB726" i="1" s="1"/>
  <c r="AV725" i="1"/>
  <c r="BC717" i="1"/>
  <c r="AV717" i="1"/>
  <c r="J716" i="1"/>
  <c r="AW716" i="1"/>
  <c r="AV713" i="1"/>
  <c r="BC713" i="1"/>
  <c r="J712" i="1"/>
  <c r="AW712" i="1"/>
  <c r="AV705" i="1"/>
  <c r="BC705" i="1"/>
  <c r="J704" i="1"/>
  <c r="AW704" i="1"/>
  <c r="AV697" i="1"/>
  <c r="BC697" i="1"/>
  <c r="J696" i="1"/>
  <c r="AW696" i="1"/>
  <c r="AV689" i="1"/>
  <c r="BC689" i="1"/>
  <c r="J688" i="1"/>
  <c r="AW688" i="1"/>
  <c r="AV675" i="1"/>
  <c r="K612" i="1"/>
  <c r="AX612" i="1"/>
  <c r="BC879" i="1"/>
  <c r="BC863" i="1"/>
  <c r="BC855" i="1"/>
  <c r="BC835" i="1"/>
  <c r="BC821" i="1"/>
  <c r="BC812" i="1"/>
  <c r="BC804" i="1"/>
  <c r="BC796" i="1"/>
  <c r="AW790" i="1"/>
  <c r="BC788" i="1"/>
  <c r="AW774" i="1"/>
  <c r="J735" i="1"/>
  <c r="AW735" i="1"/>
  <c r="AV721" i="1"/>
  <c r="BC721" i="1"/>
  <c r="K719" i="1"/>
  <c r="AX719" i="1"/>
  <c r="K715" i="1"/>
  <c r="AX715" i="1"/>
  <c r="BC715" i="1" s="1"/>
  <c r="AV665" i="1"/>
  <c r="BC665" i="1"/>
  <c r="J664" i="1"/>
  <c r="AW664" i="1"/>
  <c r="AS642" i="1"/>
  <c r="J652" i="1"/>
  <c r="AW652" i="1"/>
  <c r="J611" i="1"/>
  <c r="AW611" i="1"/>
  <c r="BC561" i="1"/>
  <c r="AV561" i="1"/>
  <c r="K537" i="1"/>
  <c r="AX537" i="1"/>
  <c r="BI537" i="1"/>
  <c r="AE537" i="1" s="1"/>
  <c r="AX764" i="1"/>
  <c r="AW757" i="1"/>
  <c r="AW749" i="1"/>
  <c r="AX748" i="1"/>
  <c r="AW741" i="1"/>
  <c r="AX740" i="1"/>
  <c r="K726" i="1"/>
  <c r="AX726" i="1"/>
  <c r="AV726" i="1" s="1"/>
  <c r="AV723" i="1"/>
  <c r="BC669" i="1"/>
  <c r="AV669" i="1"/>
  <c r="J668" i="1"/>
  <c r="AW668" i="1"/>
  <c r="K628" i="1"/>
  <c r="K627" i="1" s="1"/>
  <c r="F49" i="2" s="1"/>
  <c r="AX628" i="1"/>
  <c r="AW608" i="1"/>
  <c r="J608" i="1"/>
  <c r="BH608" i="1"/>
  <c r="AD608" i="1" s="1"/>
  <c r="K576" i="1"/>
  <c r="AX576" i="1"/>
  <c r="BI576" i="1"/>
  <c r="AS529" i="1"/>
  <c r="AX495" i="1"/>
  <c r="K495" i="1"/>
  <c r="BI495" i="1"/>
  <c r="AE495" i="1" s="1"/>
  <c r="AW871" i="1"/>
  <c r="AX870" i="1"/>
  <c r="AX854" i="1"/>
  <c r="AW847" i="1"/>
  <c r="K734" i="1"/>
  <c r="AX734" i="1"/>
  <c r="AV734" i="1" s="1"/>
  <c r="AV731" i="1"/>
  <c r="BC729" i="1"/>
  <c r="BC726" i="1"/>
  <c r="BI715" i="1"/>
  <c r="AC715" i="1" s="1"/>
  <c r="BC710" i="1"/>
  <c r="AV673" i="1"/>
  <c r="BC673" i="1"/>
  <c r="J672" i="1"/>
  <c r="AW672" i="1"/>
  <c r="AU642" i="1"/>
  <c r="J610" i="1"/>
  <c r="AW610" i="1"/>
  <c r="BH610" i="1"/>
  <c r="AD610" i="1" s="1"/>
  <c r="AV509" i="1"/>
  <c r="BC509" i="1"/>
  <c r="AT460" i="1"/>
  <c r="BC734" i="1"/>
  <c r="J728" i="1"/>
  <c r="AW728" i="1"/>
  <c r="BI719" i="1"/>
  <c r="AC719" i="1" s="1"/>
  <c r="BC677" i="1"/>
  <c r="AV677" i="1"/>
  <c r="J676" i="1"/>
  <c r="AW676" i="1"/>
  <c r="AV667" i="1"/>
  <c r="BH664" i="1"/>
  <c r="AB664" i="1" s="1"/>
  <c r="AX623" i="1"/>
  <c r="K623" i="1"/>
  <c r="K621" i="1" s="1"/>
  <c r="F48" i="2" s="1"/>
  <c r="BI623" i="1"/>
  <c r="AE623" i="1" s="1"/>
  <c r="AX620" i="1"/>
  <c r="BI620" i="1"/>
  <c r="K620" i="1"/>
  <c r="J597" i="1"/>
  <c r="AW597" i="1"/>
  <c r="BH597" i="1"/>
  <c r="BC586" i="1"/>
  <c r="AV586" i="1"/>
  <c r="AW581" i="1"/>
  <c r="BH581" i="1"/>
  <c r="AD581" i="1" s="1"/>
  <c r="J581" i="1"/>
  <c r="J580" i="1"/>
  <c r="AW580" i="1"/>
  <c r="BH580" i="1"/>
  <c r="AD580" i="1" s="1"/>
  <c r="AX569" i="1"/>
  <c r="AV569" i="1" s="1"/>
  <c r="K569" i="1"/>
  <c r="BI569" i="1"/>
  <c r="AE569" i="1" s="1"/>
  <c r="BC518" i="1"/>
  <c r="AV518" i="1"/>
  <c r="K658" i="1"/>
  <c r="AX658" i="1"/>
  <c r="AV658" i="1" s="1"/>
  <c r="BC656" i="1"/>
  <c r="K650" i="1"/>
  <c r="AX650" i="1"/>
  <c r="AV650" i="1" s="1"/>
  <c r="BC648" i="1"/>
  <c r="J632" i="1"/>
  <c r="AW632" i="1"/>
  <c r="L621" i="1"/>
  <c r="G48" i="2" s="1"/>
  <c r="I48" i="2" s="1"/>
  <c r="AL622" i="1"/>
  <c r="AU621" i="1" s="1"/>
  <c r="BC619" i="1"/>
  <c r="K614" i="1"/>
  <c r="AX614" i="1"/>
  <c r="AW612" i="1"/>
  <c r="J612" i="1"/>
  <c r="AV599" i="1"/>
  <c r="J592" i="1"/>
  <c r="AW592" i="1"/>
  <c r="J572" i="1"/>
  <c r="AW572" i="1"/>
  <c r="BH572" i="1"/>
  <c r="AD572" i="1" s="1"/>
  <c r="AX543" i="1"/>
  <c r="AV543" i="1" s="1"/>
  <c r="BI543" i="1"/>
  <c r="AE543" i="1" s="1"/>
  <c r="J537" i="1"/>
  <c r="AW537" i="1"/>
  <c r="BH537" i="1"/>
  <c r="AD537" i="1" s="1"/>
  <c r="K511" i="1"/>
  <c r="AX511" i="1"/>
  <c r="AV511" i="1" s="1"/>
  <c r="K485" i="1"/>
  <c r="AX485" i="1"/>
  <c r="BC485" i="1" s="1"/>
  <c r="BI485" i="1"/>
  <c r="AE485" i="1" s="1"/>
  <c r="J378" i="1"/>
  <c r="AW378" i="1"/>
  <c r="BH378" i="1"/>
  <c r="AD378" i="1" s="1"/>
  <c r="BC650" i="1"/>
  <c r="L642" i="1"/>
  <c r="G51" i="2" s="1"/>
  <c r="I51" i="2" s="1"/>
  <c r="K639" i="1"/>
  <c r="AX639" i="1"/>
  <c r="AV639" i="1" s="1"/>
  <c r="K631" i="1"/>
  <c r="AX631" i="1"/>
  <c r="J629" i="1"/>
  <c r="AW629" i="1"/>
  <c r="K624" i="1"/>
  <c r="AX624" i="1"/>
  <c r="AV624" i="1" s="1"/>
  <c r="BC620" i="1"/>
  <c r="J614" i="1"/>
  <c r="AW614" i="1"/>
  <c r="AX570" i="1"/>
  <c r="K570" i="1"/>
  <c r="BI570" i="1"/>
  <c r="AE570" i="1" s="1"/>
  <c r="K564" i="1"/>
  <c r="AX564" i="1"/>
  <c r="BI564" i="1"/>
  <c r="AE564" i="1" s="1"/>
  <c r="K552" i="1"/>
  <c r="AX552" i="1"/>
  <c r="BI552" i="1"/>
  <c r="AE552" i="1" s="1"/>
  <c r="J538" i="1"/>
  <c r="AW538" i="1"/>
  <c r="L525" i="1"/>
  <c r="G42" i="2" s="1"/>
  <c r="I42" i="2" s="1"/>
  <c r="J526" i="1"/>
  <c r="J525" i="1" s="1"/>
  <c r="E42" i="2" s="1"/>
  <c r="AW526" i="1"/>
  <c r="BH526" i="1"/>
  <c r="AD526" i="1" s="1"/>
  <c r="J515" i="1"/>
  <c r="AW515" i="1"/>
  <c r="BH515" i="1"/>
  <c r="AD515" i="1" s="1"/>
  <c r="K514" i="1"/>
  <c r="AX514" i="1"/>
  <c r="BI514" i="1"/>
  <c r="AE514" i="1" s="1"/>
  <c r="K497" i="1"/>
  <c r="AX497" i="1"/>
  <c r="BI497" i="1"/>
  <c r="AE497" i="1" s="1"/>
  <c r="J485" i="1"/>
  <c r="BH485" i="1"/>
  <c r="AD485" i="1" s="1"/>
  <c r="AV394" i="1"/>
  <c r="BC394" i="1"/>
  <c r="AW390" i="1"/>
  <c r="J390" i="1"/>
  <c r="BH390" i="1"/>
  <c r="AD390" i="1" s="1"/>
  <c r="K290" i="1"/>
  <c r="AX290" i="1"/>
  <c r="BI290" i="1"/>
  <c r="AE290" i="1" s="1"/>
  <c r="AV662" i="1"/>
  <c r="BC657" i="1"/>
  <c r="AV654" i="1"/>
  <c r="BC649" i="1"/>
  <c r="AV646" i="1"/>
  <c r="BC639" i="1"/>
  <c r="AV635" i="1"/>
  <c r="J631" i="1"/>
  <c r="J630" i="1" s="1"/>
  <c r="E50" i="2" s="1"/>
  <c r="AW631" i="1"/>
  <c r="AV620" i="1"/>
  <c r="AX594" i="1"/>
  <c r="AV594" i="1" s="1"/>
  <c r="BI594" i="1"/>
  <c r="AE594" i="1" s="1"/>
  <c r="K588" i="1"/>
  <c r="AX588" i="1"/>
  <c r="AV588" i="1" s="1"/>
  <c r="BI588" i="1"/>
  <c r="AE588" i="1" s="1"/>
  <c r="K580" i="1"/>
  <c r="AX580" i="1"/>
  <c r="AW570" i="1"/>
  <c r="BH570" i="1"/>
  <c r="AD570" i="1" s="1"/>
  <c r="J565" i="1"/>
  <c r="AW565" i="1"/>
  <c r="AW552" i="1"/>
  <c r="J552" i="1"/>
  <c r="BH552" i="1"/>
  <c r="AD552" i="1" s="1"/>
  <c r="AV548" i="1"/>
  <c r="AU525" i="1"/>
  <c r="AW504" i="1"/>
  <c r="J504" i="1"/>
  <c r="BH504" i="1"/>
  <c r="AD504" i="1" s="1"/>
  <c r="BC475" i="1"/>
  <c r="AV475" i="1"/>
  <c r="AV449" i="1"/>
  <c r="BC449" i="1"/>
  <c r="J419" i="1"/>
  <c r="AW419" i="1"/>
  <c r="BH419" i="1"/>
  <c r="AD419" i="1" s="1"/>
  <c r="AW398" i="1"/>
  <c r="J398" i="1"/>
  <c r="BH398" i="1"/>
  <c r="AD398" i="1" s="1"/>
  <c r="BI475" i="1"/>
  <c r="AE475" i="1" s="1"/>
  <c r="AX475" i="1"/>
  <c r="K475" i="1"/>
  <c r="K460" i="1" s="1"/>
  <c r="F41" i="2" s="1"/>
  <c r="BC456" i="1"/>
  <c r="AV451" i="1"/>
  <c r="BH424" i="1"/>
  <c r="AD424" i="1" s="1"/>
  <c r="AW424" i="1"/>
  <c r="J424" i="1"/>
  <c r="BC387" i="1"/>
  <c r="AV387" i="1"/>
  <c r="BH658" i="1"/>
  <c r="AB658" i="1" s="1"/>
  <c r="J658" i="1"/>
  <c r="BH650" i="1"/>
  <c r="AB650" i="1" s="1"/>
  <c r="J650" i="1"/>
  <c r="J641" i="1"/>
  <c r="AW641" i="1"/>
  <c r="BI639" i="1"/>
  <c r="AE639" i="1" s="1"/>
  <c r="BC636" i="1"/>
  <c r="BH629" i="1"/>
  <c r="J628" i="1"/>
  <c r="J627" i="1" s="1"/>
  <c r="E49" i="2" s="1"/>
  <c r="AW628" i="1"/>
  <c r="J626" i="1"/>
  <c r="AW626" i="1"/>
  <c r="BI624" i="1"/>
  <c r="AE624" i="1" s="1"/>
  <c r="BC622" i="1"/>
  <c r="BI614" i="1"/>
  <c r="AE614" i="1" s="1"/>
  <c r="K613" i="1"/>
  <c r="AX613" i="1"/>
  <c r="BH612" i="1"/>
  <c r="AD612" i="1" s="1"/>
  <c r="K593" i="1"/>
  <c r="AX593" i="1"/>
  <c r="BH592" i="1"/>
  <c r="AD592" i="1" s="1"/>
  <c r="J591" i="1"/>
  <c r="AW591" i="1"/>
  <c r="BC589" i="1"/>
  <c r="AV566" i="1"/>
  <c r="AT558" i="1"/>
  <c r="AL559" i="1"/>
  <c r="AU558" i="1" s="1"/>
  <c r="L558" i="1"/>
  <c r="G44" i="2" s="1"/>
  <c r="I44" i="2" s="1"/>
  <c r="K545" i="1"/>
  <c r="AX545" i="1"/>
  <c r="BI545" i="1"/>
  <c r="AE545" i="1" s="1"/>
  <c r="AV539" i="1"/>
  <c r="BH538" i="1"/>
  <c r="AD538" i="1" s="1"/>
  <c r="AX512" i="1"/>
  <c r="BC512" i="1" s="1"/>
  <c r="K512" i="1"/>
  <c r="BI512" i="1"/>
  <c r="AE512" i="1" s="1"/>
  <c r="AV499" i="1"/>
  <c r="J495" i="1"/>
  <c r="AW495" i="1"/>
  <c r="BH495" i="1"/>
  <c r="AD495" i="1" s="1"/>
  <c r="AX459" i="1"/>
  <c r="K459" i="1"/>
  <c r="BI459" i="1"/>
  <c r="AE459" i="1" s="1"/>
  <c r="AW719" i="1"/>
  <c r="AX718" i="1"/>
  <c r="BC718" i="1" s="1"/>
  <c r="AW711" i="1"/>
  <c r="AX710" i="1"/>
  <c r="AV710" i="1" s="1"/>
  <c r="AW703" i="1"/>
  <c r="AX702" i="1"/>
  <c r="BC702" i="1" s="1"/>
  <c r="AW695" i="1"/>
  <c r="AX694" i="1"/>
  <c r="BC694" i="1" s="1"/>
  <c r="AW687" i="1"/>
  <c r="AX686" i="1"/>
  <c r="AV686" i="1" s="1"/>
  <c r="AW679" i="1"/>
  <c r="AX678" i="1"/>
  <c r="AV678" i="1" s="1"/>
  <c r="AW671" i="1"/>
  <c r="AX670" i="1"/>
  <c r="BC670" i="1" s="1"/>
  <c r="AV663" i="1"/>
  <c r="K659" i="1"/>
  <c r="AX659" i="1"/>
  <c r="K651" i="1"/>
  <c r="AX651" i="1"/>
  <c r="K643" i="1"/>
  <c r="K642" i="1" s="1"/>
  <c r="F51" i="2" s="1"/>
  <c r="AX643" i="1"/>
  <c r="K640" i="1"/>
  <c r="AX640" i="1"/>
  <c r="BH639" i="1"/>
  <c r="AD639" i="1" s="1"/>
  <c r="BC638" i="1"/>
  <c r="AV636" i="1"/>
  <c r="BI631" i="1"/>
  <c r="AE631" i="1" s="1"/>
  <c r="K625" i="1"/>
  <c r="AX625" i="1"/>
  <c r="BC623" i="1"/>
  <c r="AV622" i="1"/>
  <c r="BH614" i="1"/>
  <c r="AD614" i="1" s="1"/>
  <c r="J613" i="1"/>
  <c r="J598" i="1" s="1"/>
  <c r="E47" i="2" s="1"/>
  <c r="AW613" i="1"/>
  <c r="AW593" i="1"/>
  <c r="J593" i="1"/>
  <c r="BH593" i="1"/>
  <c r="AD593" i="1" s="1"/>
  <c r="AT590" i="1"/>
  <c r="AU590" i="1"/>
  <c r="BC587" i="1"/>
  <c r="J583" i="1"/>
  <c r="J577" i="1" s="1"/>
  <c r="E45" i="2" s="1"/>
  <c r="AW583" i="1"/>
  <c r="BH583" i="1"/>
  <c r="AD583" i="1" s="1"/>
  <c r="AT577" i="1"/>
  <c r="AL578" i="1"/>
  <c r="AU577" i="1" s="1"/>
  <c r="L577" i="1"/>
  <c r="G45" i="2" s="1"/>
  <c r="I45" i="2" s="1"/>
  <c r="BH565" i="1"/>
  <c r="AD565" i="1" s="1"/>
  <c r="J551" i="1"/>
  <c r="AW551" i="1"/>
  <c r="J545" i="1"/>
  <c r="AW545" i="1"/>
  <c r="BH545" i="1"/>
  <c r="AD545" i="1" s="1"/>
  <c r="K543" i="1"/>
  <c r="AX542" i="1"/>
  <c r="BC542" i="1" s="1"/>
  <c r="K542" i="1"/>
  <c r="BI542" i="1"/>
  <c r="AE542" i="1" s="1"/>
  <c r="J529" i="1"/>
  <c r="E43" i="2" s="1"/>
  <c r="AV533" i="1"/>
  <c r="J512" i="1"/>
  <c r="BH512" i="1"/>
  <c r="AD512" i="1" s="1"/>
  <c r="BC502" i="1"/>
  <c r="J488" i="1"/>
  <c r="AW488" i="1"/>
  <c r="BH488" i="1"/>
  <c r="AD488" i="1" s="1"/>
  <c r="K487" i="1"/>
  <c r="AX487" i="1"/>
  <c r="BI487" i="1"/>
  <c r="AE487" i="1" s="1"/>
  <c r="J659" i="1"/>
  <c r="AW659" i="1"/>
  <c r="BI657" i="1"/>
  <c r="AC657" i="1" s="1"/>
  <c r="J651" i="1"/>
  <c r="AW651" i="1"/>
  <c r="BI649" i="1"/>
  <c r="AC649" i="1" s="1"/>
  <c r="AV647" i="1"/>
  <c r="J643" i="1"/>
  <c r="AW643" i="1"/>
  <c r="J640" i="1"/>
  <c r="AW640" i="1"/>
  <c r="AV638" i="1"/>
  <c r="BH631" i="1"/>
  <c r="AD631" i="1" s="1"/>
  <c r="J625" i="1"/>
  <c r="AW625" i="1"/>
  <c r="AV623" i="1"/>
  <c r="AV618" i="1"/>
  <c r="J615" i="1"/>
  <c r="AW615" i="1"/>
  <c r="AX605" i="1"/>
  <c r="K605" i="1"/>
  <c r="K598" i="1" s="1"/>
  <c r="F47" i="2" s="1"/>
  <c r="AV601" i="1"/>
  <c r="BC599" i="1"/>
  <c r="AS590" i="1"/>
  <c r="AX589" i="1"/>
  <c r="AV589" i="1" s="1"/>
  <c r="BI589" i="1"/>
  <c r="AV587" i="1"/>
  <c r="AX581" i="1"/>
  <c r="K581" i="1"/>
  <c r="BI581" i="1"/>
  <c r="AE581" i="1" s="1"/>
  <c r="BI580" i="1"/>
  <c r="AE580" i="1" s="1"/>
  <c r="AX579" i="1"/>
  <c r="K579" i="1"/>
  <c r="K577" i="1" s="1"/>
  <c r="F45" i="2" s="1"/>
  <c r="BC543" i="1"/>
  <c r="L529" i="1"/>
  <c r="G43" i="2" s="1"/>
  <c r="I43" i="2" s="1"/>
  <c r="AX645" i="1"/>
  <c r="BC645" i="1" s="1"/>
  <c r="BC602" i="1"/>
  <c r="K582" i="1"/>
  <c r="AX582" i="1"/>
  <c r="AV582" i="1" s="1"/>
  <c r="AS577" i="1"/>
  <c r="K571" i="1"/>
  <c r="AX571" i="1"/>
  <c r="AV571" i="1" s="1"/>
  <c r="J564" i="1"/>
  <c r="J558" i="1" s="1"/>
  <c r="E44" i="2" s="1"/>
  <c r="AW564" i="1"/>
  <c r="AS558" i="1"/>
  <c r="J554" i="1"/>
  <c r="AW554" i="1"/>
  <c r="AV530" i="1"/>
  <c r="AV527" i="1"/>
  <c r="BC519" i="1"/>
  <c r="AV516" i="1"/>
  <c r="BC503" i="1"/>
  <c r="AV503" i="1"/>
  <c r="J483" i="1"/>
  <c r="AW483" i="1"/>
  <c r="K482" i="1"/>
  <c r="AX482" i="1"/>
  <c r="BI482" i="1"/>
  <c r="AE482" i="1" s="1"/>
  <c r="K477" i="1"/>
  <c r="AX477" i="1"/>
  <c r="K467" i="1"/>
  <c r="AX467" i="1"/>
  <c r="BI467" i="1"/>
  <c r="AE467" i="1" s="1"/>
  <c r="BC395" i="1"/>
  <c r="AV395" i="1"/>
  <c r="BC307" i="1"/>
  <c r="AV307" i="1"/>
  <c r="AX660" i="1"/>
  <c r="AX652" i="1"/>
  <c r="AV607" i="1"/>
  <c r="AV602" i="1"/>
  <c r="K590" i="1"/>
  <c r="F46" i="2" s="1"/>
  <c r="J573" i="1"/>
  <c r="AW573" i="1"/>
  <c r="BC571" i="1"/>
  <c r="AV567" i="1"/>
  <c r="AV555" i="1"/>
  <c r="K544" i="1"/>
  <c r="AX544" i="1"/>
  <c r="AV544" i="1" s="1"/>
  <c r="BI534" i="1"/>
  <c r="AE534" i="1" s="1"/>
  <c r="AV528" i="1"/>
  <c r="J506" i="1"/>
  <c r="AW506" i="1"/>
  <c r="BI502" i="1"/>
  <c r="AE502" i="1" s="1"/>
  <c r="AV500" i="1"/>
  <c r="BC500" i="1"/>
  <c r="AV489" i="1"/>
  <c r="AV482" i="1"/>
  <c r="AV477" i="1"/>
  <c r="K465" i="1"/>
  <c r="AX465" i="1"/>
  <c r="AV465" i="1" s="1"/>
  <c r="BI465" i="1"/>
  <c r="AE465" i="1" s="1"/>
  <c r="BC420" i="1"/>
  <c r="AS400" i="1"/>
  <c r="AV355" i="1"/>
  <c r="BC355" i="1"/>
  <c r="BH606" i="1"/>
  <c r="AD606" i="1" s="1"/>
  <c r="AV596" i="1"/>
  <c r="BH594" i="1"/>
  <c r="AD594" i="1" s="1"/>
  <c r="J584" i="1"/>
  <c r="AW584" i="1"/>
  <c r="AV574" i="1"/>
  <c r="BH554" i="1"/>
  <c r="AD554" i="1" s="1"/>
  <c r="K553" i="1"/>
  <c r="AX553" i="1"/>
  <c r="BC550" i="1"/>
  <c r="BC544" i="1"/>
  <c r="AV540" i="1"/>
  <c r="K536" i="1"/>
  <c r="K529" i="1" s="1"/>
  <c r="F43" i="2" s="1"/>
  <c r="AX536" i="1"/>
  <c r="AV536" i="1" s="1"/>
  <c r="BI535" i="1"/>
  <c r="AE535" i="1" s="1"/>
  <c r="BC520" i="1"/>
  <c r="AV520" i="1"/>
  <c r="K505" i="1"/>
  <c r="AX505" i="1"/>
  <c r="BC493" i="1"/>
  <c r="AV458" i="1"/>
  <c r="BC442" i="1"/>
  <c r="AV442" i="1"/>
  <c r="K426" i="1"/>
  <c r="AX426" i="1"/>
  <c r="BI426" i="1"/>
  <c r="AE426" i="1" s="1"/>
  <c r="AX423" i="1"/>
  <c r="K423" i="1"/>
  <c r="AV406" i="1"/>
  <c r="BC406" i="1"/>
  <c r="AT400" i="1"/>
  <c r="AW401" i="1"/>
  <c r="J401" i="1"/>
  <c r="BH401" i="1"/>
  <c r="AD401" i="1" s="1"/>
  <c r="AT598" i="1"/>
  <c r="BI582" i="1"/>
  <c r="AE582" i="1" s="1"/>
  <c r="BH573" i="1"/>
  <c r="AD573" i="1" s="1"/>
  <c r="BI571" i="1"/>
  <c r="AE571" i="1" s="1"/>
  <c r="K563" i="1"/>
  <c r="K558" i="1" s="1"/>
  <c r="F44" i="2" s="1"/>
  <c r="AX563" i="1"/>
  <c r="AV563" i="1" s="1"/>
  <c r="BI562" i="1"/>
  <c r="AE562" i="1" s="1"/>
  <c r="J553" i="1"/>
  <c r="AW553" i="1"/>
  <c r="AV550" i="1"/>
  <c r="J546" i="1"/>
  <c r="AW546" i="1"/>
  <c r="AV531" i="1"/>
  <c r="AU529" i="1"/>
  <c r="J523" i="1"/>
  <c r="AW523" i="1"/>
  <c r="BH521" i="1"/>
  <c r="AD521" i="1" s="1"/>
  <c r="BI519" i="1"/>
  <c r="AE519" i="1" s="1"/>
  <c r="AV517" i="1"/>
  <c r="BC517" i="1"/>
  <c r="BC511" i="1"/>
  <c r="AV507" i="1"/>
  <c r="BH506" i="1"/>
  <c r="AD506" i="1" s="1"/>
  <c r="BH483" i="1"/>
  <c r="AD483" i="1" s="1"/>
  <c r="BC476" i="1"/>
  <c r="AV476" i="1"/>
  <c r="J455" i="1"/>
  <c r="AW455" i="1"/>
  <c r="BH455" i="1"/>
  <c r="AD455" i="1" s="1"/>
  <c r="K435" i="1"/>
  <c r="AX435" i="1"/>
  <c r="BI435" i="1"/>
  <c r="AE435" i="1" s="1"/>
  <c r="J427" i="1"/>
  <c r="AW427" i="1"/>
  <c r="J426" i="1"/>
  <c r="AW426" i="1"/>
  <c r="BH426" i="1"/>
  <c r="AD426" i="1" s="1"/>
  <c r="BC604" i="1"/>
  <c r="AV585" i="1"/>
  <c r="BH584" i="1"/>
  <c r="AD584" i="1" s="1"/>
  <c r="K583" i="1"/>
  <c r="AX583" i="1"/>
  <c r="BH582" i="1"/>
  <c r="AD582" i="1" s="1"/>
  <c r="K572" i="1"/>
  <c r="AX572" i="1"/>
  <c r="BH571" i="1"/>
  <c r="AD571" i="1" s="1"/>
  <c r="BC569" i="1"/>
  <c r="BH564" i="1"/>
  <c r="AD564" i="1" s="1"/>
  <c r="BC563" i="1"/>
  <c r="AV559" i="1"/>
  <c r="AV556" i="1"/>
  <c r="AV547" i="1"/>
  <c r="BI544" i="1"/>
  <c r="AE544" i="1" s="1"/>
  <c r="AT529" i="1"/>
  <c r="K522" i="1"/>
  <c r="AX522" i="1"/>
  <c r="J521" i="1"/>
  <c r="BI503" i="1"/>
  <c r="AE503" i="1" s="1"/>
  <c r="J498" i="1"/>
  <c r="AW498" i="1"/>
  <c r="BI477" i="1"/>
  <c r="AE477" i="1" s="1"/>
  <c r="K450" i="1"/>
  <c r="BI450" i="1"/>
  <c r="AE450" i="1" s="1"/>
  <c r="BC444" i="1"/>
  <c r="K434" i="1"/>
  <c r="AX434" i="1"/>
  <c r="AV434" i="1" s="1"/>
  <c r="BI434" i="1"/>
  <c r="AE434" i="1" s="1"/>
  <c r="J467" i="1"/>
  <c r="J460" i="1" s="1"/>
  <c r="E41" i="2" s="1"/>
  <c r="AW467" i="1"/>
  <c r="BC450" i="1"/>
  <c r="AV450" i="1"/>
  <c r="AV448" i="1"/>
  <c r="K444" i="1"/>
  <c r="AX444" i="1"/>
  <c r="AV444" i="1" s="1"/>
  <c r="J435" i="1"/>
  <c r="AW435" i="1"/>
  <c r="BC428" i="1"/>
  <c r="J415" i="1"/>
  <c r="AW415" i="1"/>
  <c r="AX410" i="1"/>
  <c r="K410" i="1"/>
  <c r="BI410" i="1"/>
  <c r="AE410" i="1" s="1"/>
  <c r="K396" i="1"/>
  <c r="AX396" i="1"/>
  <c r="BI396" i="1"/>
  <c r="AE396" i="1" s="1"/>
  <c r="AW379" i="1"/>
  <c r="J379" i="1"/>
  <c r="BH379" i="1"/>
  <c r="AD379" i="1" s="1"/>
  <c r="C16" i="4" s="1"/>
  <c r="J482" i="1"/>
  <c r="BC465" i="1"/>
  <c r="K454" i="1"/>
  <c r="AX454" i="1"/>
  <c r="J446" i="1"/>
  <c r="AW446" i="1"/>
  <c r="BI444" i="1"/>
  <c r="AE444" i="1" s="1"/>
  <c r="BC443" i="1"/>
  <c r="BC434" i="1"/>
  <c r="K418" i="1"/>
  <c r="AX418" i="1"/>
  <c r="BH415" i="1"/>
  <c r="AD415" i="1" s="1"/>
  <c r="K340" i="1"/>
  <c r="AX340" i="1"/>
  <c r="AV340" i="1" s="1"/>
  <c r="BI340" i="1"/>
  <c r="AE340" i="1" s="1"/>
  <c r="AV326" i="1"/>
  <c r="BC326" i="1"/>
  <c r="BC482" i="1"/>
  <c r="J478" i="1"/>
  <c r="AW478" i="1"/>
  <c r="BH467" i="1"/>
  <c r="AD467" i="1" s="1"/>
  <c r="BC463" i="1"/>
  <c r="AV463" i="1"/>
  <c r="L460" i="1"/>
  <c r="G41" i="2" s="1"/>
  <c r="I41" i="2" s="1"/>
  <c r="AL461" i="1"/>
  <c r="AU460" i="1" s="1"/>
  <c r="J454" i="1"/>
  <c r="AW454" i="1"/>
  <c r="BC447" i="1"/>
  <c r="AV443" i="1"/>
  <c r="BH435" i="1"/>
  <c r="AD435" i="1" s="1"/>
  <c r="BC432" i="1"/>
  <c r="AV432" i="1"/>
  <c r="K425" i="1"/>
  <c r="AX425" i="1"/>
  <c r="AV425" i="1" s="1"/>
  <c r="J418" i="1"/>
  <c r="AW418" i="1"/>
  <c r="K417" i="1"/>
  <c r="AX417" i="1"/>
  <c r="BC376" i="1"/>
  <c r="AV376" i="1"/>
  <c r="AW522" i="1"/>
  <c r="AX521" i="1"/>
  <c r="AV521" i="1" s="1"/>
  <c r="AW514" i="1"/>
  <c r="AX513" i="1"/>
  <c r="AV513" i="1" s="1"/>
  <c r="AW505" i="1"/>
  <c r="AX504" i="1"/>
  <c r="AW497" i="1"/>
  <c r="AX496" i="1"/>
  <c r="AV496" i="1" s="1"/>
  <c r="AW487" i="1"/>
  <c r="AX486" i="1"/>
  <c r="AV486" i="1" s="1"/>
  <c r="AX483" i="1"/>
  <c r="BC477" i="1"/>
  <c r="J469" i="1"/>
  <c r="AW469" i="1"/>
  <c r="AW464" i="1"/>
  <c r="AS460" i="1"/>
  <c r="K445" i="1"/>
  <c r="AX445" i="1"/>
  <c r="J436" i="1"/>
  <c r="AW436" i="1"/>
  <c r="AW433" i="1"/>
  <c r="BC425" i="1"/>
  <c r="J417" i="1"/>
  <c r="AW417" i="1"/>
  <c r="BH417" i="1"/>
  <c r="AD417" i="1" s="1"/>
  <c r="BC348" i="1"/>
  <c r="K328" i="1"/>
  <c r="AX328" i="1"/>
  <c r="BI328" i="1"/>
  <c r="AE328" i="1" s="1"/>
  <c r="K315" i="1"/>
  <c r="AX315" i="1"/>
  <c r="BI315" i="1"/>
  <c r="AE315" i="1" s="1"/>
  <c r="K484" i="1"/>
  <c r="AW479" i="1"/>
  <c r="BI478" i="1"/>
  <c r="AE478" i="1" s="1"/>
  <c r="BC470" i="1"/>
  <c r="BC459" i="1"/>
  <c r="AV459" i="1"/>
  <c r="AV457" i="1"/>
  <c r="K453" i="1"/>
  <c r="AX453" i="1"/>
  <c r="BC453" i="1" s="1"/>
  <c r="J445" i="1"/>
  <c r="AW445" i="1"/>
  <c r="BC438" i="1"/>
  <c r="BC423" i="1"/>
  <c r="AV423" i="1"/>
  <c r="AV421" i="1"/>
  <c r="AV366" i="1"/>
  <c r="AV328" i="1"/>
  <c r="AV315" i="1"/>
  <c r="AW411" i="1"/>
  <c r="J411" i="1"/>
  <c r="AX378" i="1"/>
  <c r="K378" i="1"/>
  <c r="K366" i="1"/>
  <c r="AX366" i="1"/>
  <c r="BC366" i="1" s="1"/>
  <c r="AV364" i="1"/>
  <c r="BC364" i="1"/>
  <c r="K358" i="1"/>
  <c r="AX358" i="1"/>
  <c r="BC358" i="1" s="1"/>
  <c r="K348" i="1"/>
  <c r="AX348" i="1"/>
  <c r="AV348" i="1" s="1"/>
  <c r="AV346" i="1"/>
  <c r="BC346" i="1"/>
  <c r="BC340" i="1"/>
  <c r="AV338" i="1"/>
  <c r="BC338" i="1"/>
  <c r="AV321" i="1"/>
  <c r="J410" i="1"/>
  <c r="AW410" i="1"/>
  <c r="AU400" i="1"/>
  <c r="AX397" i="1"/>
  <c r="K397" i="1"/>
  <c r="AX389" i="1"/>
  <c r="K389" i="1"/>
  <c r="AW368" i="1"/>
  <c r="J368" i="1"/>
  <c r="AW342" i="1"/>
  <c r="J342" i="1"/>
  <c r="BC328" i="1"/>
  <c r="BC315" i="1"/>
  <c r="AU168" i="1"/>
  <c r="J124" i="1"/>
  <c r="E28" i="2" s="1"/>
  <c r="J397" i="1"/>
  <c r="AW397" i="1"/>
  <c r="J389" i="1"/>
  <c r="AW389" i="1"/>
  <c r="AW360" i="1"/>
  <c r="J360" i="1"/>
  <c r="AW350" i="1"/>
  <c r="J350" i="1"/>
  <c r="AX341" i="1"/>
  <c r="K341" i="1"/>
  <c r="J292" i="1"/>
  <c r="J289" i="1" s="1"/>
  <c r="E39" i="2" s="1"/>
  <c r="AW292" i="1"/>
  <c r="BH292" i="1"/>
  <c r="AD292" i="1" s="1"/>
  <c r="AV260" i="1"/>
  <c r="BC260" i="1"/>
  <c r="AS214" i="1"/>
  <c r="L400" i="1"/>
  <c r="G40" i="2" s="1"/>
  <c r="I40" i="2" s="1"/>
  <c r="K377" i="1"/>
  <c r="AX377" i="1"/>
  <c r="AV377" i="1" s="1"/>
  <c r="AV370" i="1"/>
  <c r="AX367" i="1"/>
  <c r="K367" i="1"/>
  <c r="AX359" i="1"/>
  <c r="K359" i="1"/>
  <c r="AX349" i="1"/>
  <c r="K349" i="1"/>
  <c r="AV345" i="1"/>
  <c r="J341" i="1"/>
  <c r="AW341" i="1"/>
  <c r="AV337" i="1"/>
  <c r="AW332" i="1"/>
  <c r="J332" i="1"/>
  <c r="AV327" i="1"/>
  <c r="AW319" i="1"/>
  <c r="J319" i="1"/>
  <c r="AV313" i="1"/>
  <c r="AS289" i="1"/>
  <c r="K409" i="1"/>
  <c r="K400" i="1" s="1"/>
  <c r="F40" i="2" s="1"/>
  <c r="AX409" i="1"/>
  <c r="K388" i="1"/>
  <c r="AX388" i="1"/>
  <c r="BC388" i="1" s="1"/>
  <c r="AV385" i="1"/>
  <c r="BC385" i="1"/>
  <c r="BC377" i="1"/>
  <c r="AV374" i="1"/>
  <c r="BC374" i="1"/>
  <c r="BH368" i="1"/>
  <c r="AD368" i="1" s="1"/>
  <c r="J367" i="1"/>
  <c r="AW367" i="1"/>
  <c r="J359" i="1"/>
  <c r="AW359" i="1"/>
  <c r="J349" i="1"/>
  <c r="AW349" i="1"/>
  <c r="AX330" i="1"/>
  <c r="K330" i="1"/>
  <c r="AX317" i="1"/>
  <c r="K317" i="1"/>
  <c r="BC308" i="1"/>
  <c r="AV308" i="1"/>
  <c r="BH342" i="1"/>
  <c r="AD342" i="1" s="1"/>
  <c r="J330" i="1"/>
  <c r="AW330" i="1"/>
  <c r="J317" i="1"/>
  <c r="AW317" i="1"/>
  <c r="AW268" i="1"/>
  <c r="J268" i="1"/>
  <c r="BH268" i="1"/>
  <c r="AD268" i="1" s="1"/>
  <c r="AV244" i="1"/>
  <c r="BC244" i="1"/>
  <c r="J288" i="1"/>
  <c r="AW288" i="1"/>
  <c r="AV287" i="1"/>
  <c r="BC285" i="1"/>
  <c r="AW252" i="1"/>
  <c r="J252" i="1"/>
  <c r="AV246" i="1"/>
  <c r="BC246" i="1"/>
  <c r="AV229" i="1"/>
  <c r="BC229" i="1"/>
  <c r="AU180" i="1"/>
  <c r="K308" i="1"/>
  <c r="K287" i="1"/>
  <c r="AX287" i="1"/>
  <c r="BC287" i="1" s="1"/>
  <c r="AX285" i="1"/>
  <c r="K285" i="1"/>
  <c r="AV262" i="1"/>
  <c r="BC262" i="1"/>
  <c r="BC250" i="1"/>
  <c r="AX234" i="1"/>
  <c r="BC234" i="1" s="1"/>
  <c r="K234" i="1"/>
  <c r="AX414" i="1"/>
  <c r="BC413" i="1"/>
  <c r="AW405" i="1"/>
  <c r="AX404" i="1"/>
  <c r="BC403" i="1"/>
  <c r="BC399" i="1"/>
  <c r="AW393" i="1"/>
  <c r="AX392" i="1"/>
  <c r="BC391" i="1"/>
  <c r="AW383" i="1"/>
  <c r="AX381" i="1"/>
  <c r="AW363" i="1"/>
  <c r="L289" i="1"/>
  <c r="G39" i="2" s="1"/>
  <c r="I39" i="2" s="1"/>
  <c r="AV286" i="1"/>
  <c r="AV284" i="1"/>
  <c r="AV274" i="1"/>
  <c r="BC274" i="1"/>
  <c r="AX266" i="1"/>
  <c r="BC266" i="1" s="1"/>
  <c r="K266" i="1"/>
  <c r="BH252" i="1"/>
  <c r="AD252" i="1" s="1"/>
  <c r="AW404" i="1"/>
  <c r="AW392" i="1"/>
  <c r="AX391" i="1"/>
  <c r="AV391" i="1" s="1"/>
  <c r="AW381" i="1"/>
  <c r="AX380" i="1"/>
  <c r="AV380" i="1" s="1"/>
  <c r="AW372" i="1"/>
  <c r="AW362" i="1"/>
  <c r="AX361" i="1"/>
  <c r="BC361" i="1" s="1"/>
  <c r="AW352" i="1"/>
  <c r="AX351" i="1"/>
  <c r="AW344" i="1"/>
  <c r="AX343" i="1"/>
  <c r="AW336" i="1"/>
  <c r="AX334" i="1"/>
  <c r="BC334" i="1" s="1"/>
  <c r="AW323" i="1"/>
  <c r="AX321" i="1"/>
  <c r="BC321" i="1" s="1"/>
  <c r="BI311" i="1"/>
  <c r="AE311" i="1" s="1"/>
  <c r="J311" i="1"/>
  <c r="AW311" i="1"/>
  <c r="BC296" i="1"/>
  <c r="BC295" i="1"/>
  <c r="AT289" i="1"/>
  <c r="AW277" i="1"/>
  <c r="J277" i="1"/>
  <c r="AV248" i="1"/>
  <c r="AW224" i="1"/>
  <c r="J224" i="1"/>
  <c r="J214" i="1" s="1"/>
  <c r="E38" i="2" s="1"/>
  <c r="BC191" i="1"/>
  <c r="K157" i="1"/>
  <c r="AX157" i="1"/>
  <c r="BI157" i="1"/>
  <c r="AC157" i="1" s="1"/>
  <c r="AW351" i="1"/>
  <c r="AX350" i="1"/>
  <c r="AW343" i="1"/>
  <c r="AX342" i="1"/>
  <c r="J302" i="1"/>
  <c r="AW302" i="1"/>
  <c r="BC298" i="1"/>
  <c r="AV298" i="1"/>
  <c r="AV283" i="1"/>
  <c r="BC283" i="1"/>
  <c r="AV230" i="1"/>
  <c r="BC230" i="1"/>
  <c r="BC223" i="1"/>
  <c r="J200" i="1"/>
  <c r="AW200" i="1"/>
  <c r="BH200" i="1"/>
  <c r="AD200" i="1" s="1"/>
  <c r="BC176" i="1"/>
  <c r="AV176" i="1"/>
  <c r="BI308" i="1"/>
  <c r="AE308" i="1" s="1"/>
  <c r="AV304" i="1"/>
  <c r="K301" i="1"/>
  <c r="AX301" i="1"/>
  <c r="AX276" i="1"/>
  <c r="AV276" i="1" s="1"/>
  <c r="K276" i="1"/>
  <c r="BI266" i="1"/>
  <c r="AE266" i="1" s="1"/>
  <c r="AV264" i="1"/>
  <c r="AW236" i="1"/>
  <c r="J236" i="1"/>
  <c r="K223" i="1"/>
  <c r="AX223" i="1"/>
  <c r="AW182" i="1"/>
  <c r="J182" i="1"/>
  <c r="BH182" i="1"/>
  <c r="AD182" i="1" s="1"/>
  <c r="BC159" i="1"/>
  <c r="AV159" i="1"/>
  <c r="AW201" i="1"/>
  <c r="J201" i="1"/>
  <c r="BC198" i="1"/>
  <c r="J170" i="1"/>
  <c r="J168" i="1" s="1"/>
  <c r="E35" i="2" s="1"/>
  <c r="AW170" i="1"/>
  <c r="J167" i="1"/>
  <c r="J166" i="1" s="1"/>
  <c r="E34" i="2" s="1"/>
  <c r="AW167" i="1"/>
  <c r="J164" i="1"/>
  <c r="AW164" i="1"/>
  <c r="K160" i="1"/>
  <c r="AX160" i="1"/>
  <c r="AV160" i="1" s="1"/>
  <c r="BC304" i="1"/>
  <c r="AL292" i="1"/>
  <c r="AU289" i="1" s="1"/>
  <c r="AV285" i="1"/>
  <c r="AV266" i="1"/>
  <c r="AV250" i="1"/>
  <c r="AV234" i="1"/>
  <c r="AV223" i="1"/>
  <c r="AV217" i="1"/>
  <c r="BC217" i="1"/>
  <c r="AT214" i="1"/>
  <c r="L214" i="1"/>
  <c r="G38" i="2" s="1"/>
  <c r="I38" i="2" s="1"/>
  <c r="AL215" i="1"/>
  <c r="AU214" i="1" s="1"/>
  <c r="K207" i="1"/>
  <c r="AX207" i="1"/>
  <c r="BC207" i="1" s="1"/>
  <c r="AV205" i="1"/>
  <c r="BC205" i="1"/>
  <c r="AX200" i="1"/>
  <c r="K200" i="1"/>
  <c r="K188" i="1" s="1"/>
  <c r="F37" i="2" s="1"/>
  <c r="AV198" i="1"/>
  <c r="K191" i="1"/>
  <c r="AX191" i="1"/>
  <c r="AV191" i="1" s="1"/>
  <c r="AV189" i="1"/>
  <c r="BC189" i="1"/>
  <c r="AW179" i="1"/>
  <c r="J179" i="1"/>
  <c r="AS168" i="1"/>
  <c r="K219" i="1"/>
  <c r="AV186" i="1"/>
  <c r="BC186" i="1"/>
  <c r="L180" i="1"/>
  <c r="G36" i="2" s="1"/>
  <c r="I36" i="2" s="1"/>
  <c r="AX181" i="1"/>
  <c r="K181" i="1"/>
  <c r="K180" i="1" s="1"/>
  <c r="F36" i="2" s="1"/>
  <c r="AX178" i="1"/>
  <c r="K178" i="1"/>
  <c r="K169" i="1"/>
  <c r="AX169" i="1"/>
  <c r="AV169" i="1" s="1"/>
  <c r="AV213" i="1"/>
  <c r="BC213" i="1"/>
  <c r="AW209" i="1"/>
  <c r="J209" i="1"/>
  <c r="BH201" i="1"/>
  <c r="AD201" i="1" s="1"/>
  <c r="AW193" i="1"/>
  <c r="J193" i="1"/>
  <c r="AT188" i="1"/>
  <c r="AL189" i="1"/>
  <c r="AU188" i="1" s="1"/>
  <c r="L188" i="1"/>
  <c r="G37" i="2" s="1"/>
  <c r="I37" i="2" s="1"/>
  <c r="J181" i="1"/>
  <c r="J180" i="1" s="1"/>
  <c r="E36" i="2" s="1"/>
  <c r="AW181" i="1"/>
  <c r="J178" i="1"/>
  <c r="AW178" i="1"/>
  <c r="BH170" i="1"/>
  <c r="AD170" i="1" s="1"/>
  <c r="BC169" i="1"/>
  <c r="BH167" i="1"/>
  <c r="BH164" i="1"/>
  <c r="AB164" i="1" s="1"/>
  <c r="AW162" i="1"/>
  <c r="J162" i="1"/>
  <c r="AX117" i="1"/>
  <c r="K117" i="1"/>
  <c r="K110" i="1" s="1"/>
  <c r="F27" i="2" s="1"/>
  <c r="BI117" i="1"/>
  <c r="AC117" i="1" s="1"/>
  <c r="AT17" i="1"/>
  <c r="C28" i="4"/>
  <c r="F28" i="4" s="1"/>
  <c r="AW279" i="1"/>
  <c r="AX278" i="1"/>
  <c r="AW270" i="1"/>
  <c r="AX269" i="1"/>
  <c r="AW256" i="1"/>
  <c r="AX254" i="1"/>
  <c r="AW240" i="1"/>
  <c r="AX238" i="1"/>
  <c r="AW227" i="1"/>
  <c r="AX226" i="1"/>
  <c r="AX208" i="1"/>
  <c r="K208" i="1"/>
  <c r="AV206" i="1"/>
  <c r="K199" i="1"/>
  <c r="AX199" i="1"/>
  <c r="AV199" i="1" s="1"/>
  <c r="AV197" i="1"/>
  <c r="BC197" i="1"/>
  <c r="AX192" i="1"/>
  <c r="K192" i="1"/>
  <c r="AV190" i="1"/>
  <c r="AS188" i="1"/>
  <c r="BC187" i="1"/>
  <c r="AS180" i="1"/>
  <c r="BH179" i="1"/>
  <c r="AX161" i="1"/>
  <c r="K161" i="1"/>
  <c r="AS110" i="1"/>
  <c r="AW290" i="1"/>
  <c r="AW278" i="1"/>
  <c r="AW269" i="1"/>
  <c r="AX268" i="1"/>
  <c r="AW254" i="1"/>
  <c r="AX252" i="1"/>
  <c r="AW238" i="1"/>
  <c r="AX236" i="1"/>
  <c r="AW226" i="1"/>
  <c r="AX224" i="1"/>
  <c r="K222" i="1"/>
  <c r="BI219" i="1"/>
  <c r="AE219" i="1" s="1"/>
  <c r="C17" i="4" s="1"/>
  <c r="J208" i="1"/>
  <c r="AW208" i="1"/>
  <c r="J192" i="1"/>
  <c r="J188" i="1" s="1"/>
  <c r="E37" i="2" s="1"/>
  <c r="AW192" i="1"/>
  <c r="BC185" i="1"/>
  <c r="AV177" i="1"/>
  <c r="AW171" i="1"/>
  <c r="J171" i="1"/>
  <c r="AW165" i="1"/>
  <c r="J165" i="1"/>
  <c r="J161" i="1"/>
  <c r="AW161" i="1"/>
  <c r="BC160" i="1"/>
  <c r="J156" i="1"/>
  <c r="AW156" i="1"/>
  <c r="BH156" i="1"/>
  <c r="AB156" i="1" s="1"/>
  <c r="AL125" i="1"/>
  <c r="AU124" i="1" s="1"/>
  <c r="L124" i="1"/>
  <c r="G28" i="2" s="1"/>
  <c r="I28" i="2" s="1"/>
  <c r="AW66" i="1"/>
  <c r="J66" i="1"/>
  <c r="J62" i="1" s="1"/>
  <c r="E20" i="2" s="1"/>
  <c r="BH66" i="1"/>
  <c r="AB66" i="1" s="1"/>
  <c r="AW222" i="1"/>
  <c r="BC221" i="1"/>
  <c r="K177" i="1"/>
  <c r="AX177" i="1"/>
  <c r="BC177" i="1" s="1"/>
  <c r="AV175" i="1"/>
  <c r="BC175" i="1"/>
  <c r="AX170" i="1"/>
  <c r="K170" i="1"/>
  <c r="L168" i="1"/>
  <c r="G35" i="2" s="1"/>
  <c r="I35" i="2" s="1"/>
  <c r="AX167" i="1"/>
  <c r="K167" i="1"/>
  <c r="K166" i="1" s="1"/>
  <c r="F34" i="2" s="1"/>
  <c r="AX164" i="1"/>
  <c r="K164" i="1"/>
  <c r="K163" i="1" s="1"/>
  <c r="F33" i="2" s="1"/>
  <c r="AU154" i="1"/>
  <c r="AW131" i="1"/>
  <c r="J131" i="1"/>
  <c r="BH131" i="1"/>
  <c r="AB131" i="1" s="1"/>
  <c r="AW91" i="1"/>
  <c r="J91" i="1"/>
  <c r="BH91" i="1"/>
  <c r="AB91" i="1" s="1"/>
  <c r="AW80" i="1"/>
  <c r="J80" i="1"/>
  <c r="J79" i="1" s="1"/>
  <c r="E22" i="2" s="1"/>
  <c r="BH80" i="1"/>
  <c r="AB80" i="1" s="1"/>
  <c r="BC52" i="1"/>
  <c r="AV52" i="1"/>
  <c r="AT154" i="1"/>
  <c r="BC147" i="1"/>
  <c r="AT140" i="1"/>
  <c r="AV126" i="1"/>
  <c r="BC126" i="1"/>
  <c r="BC111" i="1"/>
  <c r="AV157" i="1"/>
  <c r="AS154" i="1"/>
  <c r="AX139" i="1"/>
  <c r="K139" i="1"/>
  <c r="AV122" i="1"/>
  <c r="AW118" i="1"/>
  <c r="J118" i="1"/>
  <c r="AU110" i="1"/>
  <c r="C18" i="4"/>
  <c r="AW149" i="1"/>
  <c r="J149" i="1"/>
  <c r="J148" i="1" s="1"/>
  <c r="E31" i="2" s="1"/>
  <c r="AW143" i="1"/>
  <c r="J143" i="1"/>
  <c r="J140" i="1" s="1"/>
  <c r="E29" i="2" s="1"/>
  <c r="AX129" i="1"/>
  <c r="K129" i="1"/>
  <c r="K124" i="1" s="1"/>
  <c r="F28" i="2" s="1"/>
  <c r="AS124" i="1"/>
  <c r="AV123" i="1"/>
  <c r="BC123" i="1"/>
  <c r="AV114" i="1"/>
  <c r="AL105" i="1"/>
  <c r="AU104" i="1" s="1"/>
  <c r="L104" i="1"/>
  <c r="G24" i="2" s="1"/>
  <c r="I24" i="2" s="1"/>
  <c r="AV102" i="1"/>
  <c r="AV83" i="1"/>
  <c r="BC83" i="1"/>
  <c r="C19" i="4"/>
  <c r="AU148" i="1"/>
  <c r="AV137" i="1"/>
  <c r="BC137" i="1"/>
  <c r="J110" i="1"/>
  <c r="E27" i="2" s="1"/>
  <c r="AW55" i="1"/>
  <c r="J55" i="1"/>
  <c r="J43" i="1" s="1"/>
  <c r="E19" i="2" s="1"/>
  <c r="BH55" i="1"/>
  <c r="AB55" i="1" s="1"/>
  <c r="BC44" i="1"/>
  <c r="AV44" i="1"/>
  <c r="AX23" i="1"/>
  <c r="K23" i="1"/>
  <c r="BI23" i="1"/>
  <c r="AC23" i="1" s="1"/>
  <c r="AW210" i="1"/>
  <c r="AX209" i="1"/>
  <c r="AW202" i="1"/>
  <c r="AX201" i="1"/>
  <c r="AW194" i="1"/>
  <c r="AX193" i="1"/>
  <c r="AW183" i="1"/>
  <c r="AX182" i="1"/>
  <c r="AX179" i="1"/>
  <c r="AW172" i="1"/>
  <c r="AX171" i="1"/>
  <c r="AX165" i="1"/>
  <c r="AX162" i="1"/>
  <c r="J155" i="1"/>
  <c r="J154" i="1" s="1"/>
  <c r="E32" i="2" s="1"/>
  <c r="AW155" i="1"/>
  <c r="AX142" i="1"/>
  <c r="K142" i="1"/>
  <c r="K140" i="1" s="1"/>
  <c r="F29" i="2" s="1"/>
  <c r="L110" i="1"/>
  <c r="G27" i="2" s="1"/>
  <c r="I27" i="2" s="1"/>
  <c r="BC157" i="1"/>
  <c r="AV115" i="1"/>
  <c r="BC115" i="1"/>
  <c r="AV103" i="1"/>
  <c r="BC103" i="1"/>
  <c r="AW98" i="1"/>
  <c r="J98" i="1"/>
  <c r="BH98" i="1"/>
  <c r="AB98" i="1" s="1"/>
  <c r="AW47" i="1"/>
  <c r="J47" i="1"/>
  <c r="BH47" i="1"/>
  <c r="AB47" i="1" s="1"/>
  <c r="AW142" i="1"/>
  <c r="AX141" i="1"/>
  <c r="AW139" i="1"/>
  <c r="AX138" i="1"/>
  <c r="AW129" i="1"/>
  <c r="AX127" i="1"/>
  <c r="AW117" i="1"/>
  <c r="AX116" i="1"/>
  <c r="AL113" i="1"/>
  <c r="AL107" i="1"/>
  <c r="AU106" i="1" s="1"/>
  <c r="K72" i="1"/>
  <c r="AX72" i="1"/>
  <c r="L62" i="1"/>
  <c r="G20" i="2" s="1"/>
  <c r="I20" i="2" s="1"/>
  <c r="AS43" i="1"/>
  <c r="K42" i="1"/>
  <c r="K41" i="1" s="1"/>
  <c r="F18" i="2" s="1"/>
  <c r="AX42" i="1"/>
  <c r="AV42" i="1" s="1"/>
  <c r="AV38" i="1"/>
  <c r="AU31" i="1"/>
  <c r="L25" i="1"/>
  <c r="G15" i="2" s="1"/>
  <c r="I15" i="2" s="1"/>
  <c r="L15" i="1"/>
  <c r="G13" i="2" s="1"/>
  <c r="I13" i="2" s="1"/>
  <c r="AL16" i="1"/>
  <c r="AU15" i="1" s="1"/>
  <c r="BC136" i="1"/>
  <c r="BC125" i="1"/>
  <c r="BC122" i="1"/>
  <c r="BC114" i="1"/>
  <c r="BC105" i="1"/>
  <c r="BC102" i="1"/>
  <c r="AX98" i="1"/>
  <c r="K98" i="1"/>
  <c r="K97" i="1"/>
  <c r="BC96" i="1"/>
  <c r="AV88" i="1"/>
  <c r="K79" i="1"/>
  <c r="F22" i="2" s="1"/>
  <c r="AV70" i="1"/>
  <c r="BC70" i="1"/>
  <c r="AV51" i="1"/>
  <c r="BC51" i="1"/>
  <c r="BC42" i="1"/>
  <c r="AV35" i="1"/>
  <c r="AS25" i="1"/>
  <c r="AW24" i="1"/>
  <c r="J24" i="1"/>
  <c r="J17" i="1" s="1"/>
  <c r="AU17" i="1"/>
  <c r="AV14" i="1"/>
  <c r="BC14" i="1"/>
  <c r="AX90" i="1"/>
  <c r="K90" i="1"/>
  <c r="AU79" i="1"/>
  <c r="AX65" i="1"/>
  <c r="K65" i="1"/>
  <c r="AU62" i="1"/>
  <c r="AX40" i="1"/>
  <c r="K40" i="1"/>
  <c r="L31" i="1"/>
  <c r="G16" i="2" s="1"/>
  <c r="I16" i="2" s="1"/>
  <c r="J23" i="1"/>
  <c r="AW23" i="1"/>
  <c r="AX155" i="1"/>
  <c r="AW152" i="1"/>
  <c r="AX151" i="1"/>
  <c r="AX145" i="1"/>
  <c r="AW135" i="1"/>
  <c r="AX133" i="1"/>
  <c r="AW121" i="1"/>
  <c r="AX120" i="1"/>
  <c r="AW113" i="1"/>
  <c r="AX112" i="1"/>
  <c r="AX109" i="1"/>
  <c r="AW107" i="1"/>
  <c r="AW101" i="1"/>
  <c r="AX100" i="1"/>
  <c r="AV97" i="1"/>
  <c r="AV94" i="1"/>
  <c r="J90" i="1"/>
  <c r="J85" i="1" s="1"/>
  <c r="E23" i="2" s="1"/>
  <c r="AW90" i="1"/>
  <c r="AT85" i="1"/>
  <c r="AV71" i="1"/>
  <c r="J65" i="1"/>
  <c r="AW65" i="1"/>
  <c r="AT62" i="1"/>
  <c r="AX54" i="1"/>
  <c r="K54" i="1"/>
  <c r="AX46" i="1"/>
  <c r="K46" i="1"/>
  <c r="J40" i="1"/>
  <c r="J37" i="1" s="1"/>
  <c r="E17" i="2" s="1"/>
  <c r="AW40" i="1"/>
  <c r="K22" i="1"/>
  <c r="K17" i="1" s="1"/>
  <c r="AX22" i="1"/>
  <c r="AV22" i="1" s="1"/>
  <c r="L17" i="1"/>
  <c r="G14" i="2" s="1"/>
  <c r="I14" i="2" s="1"/>
  <c r="AW151" i="1"/>
  <c r="AX150" i="1"/>
  <c r="AV150" i="1" s="1"/>
  <c r="AX147" i="1"/>
  <c r="AV147" i="1" s="1"/>
  <c r="AW145" i="1"/>
  <c r="AX144" i="1"/>
  <c r="AV144" i="1" s="1"/>
  <c r="AL141" i="1"/>
  <c r="AU140" i="1" s="1"/>
  <c r="AW133" i="1"/>
  <c r="AX132" i="1"/>
  <c r="AV132" i="1" s="1"/>
  <c r="AW120" i="1"/>
  <c r="AX119" i="1"/>
  <c r="AV119" i="1" s="1"/>
  <c r="AW112" i="1"/>
  <c r="AX111" i="1"/>
  <c r="AV111" i="1" s="1"/>
  <c r="AW109" i="1"/>
  <c r="AW100" i="1"/>
  <c r="AV87" i="1"/>
  <c r="BC87" i="1"/>
  <c r="AS85" i="1"/>
  <c r="L85" i="1"/>
  <c r="G23" i="2" s="1"/>
  <c r="I23" i="2" s="1"/>
  <c r="AL86" i="1"/>
  <c r="AU85" i="1" s="1"/>
  <c r="L79" i="1"/>
  <c r="G22" i="2" s="1"/>
  <c r="I22" i="2" s="1"/>
  <c r="AW74" i="1"/>
  <c r="J74" i="1"/>
  <c r="K64" i="1"/>
  <c r="AX64" i="1"/>
  <c r="AV64" i="1" s="1"/>
  <c r="AS62" i="1"/>
  <c r="K62" i="1"/>
  <c r="F20" i="2" s="1"/>
  <c r="AV58" i="1"/>
  <c r="J54" i="1"/>
  <c r="AW54" i="1"/>
  <c r="J46" i="1"/>
  <c r="AW46" i="1"/>
  <c r="K39" i="1"/>
  <c r="AX39" i="1"/>
  <c r="K37" i="1"/>
  <c r="F17" i="2" s="1"/>
  <c r="AW27" i="1"/>
  <c r="J27" i="1"/>
  <c r="BH24" i="1"/>
  <c r="AB24" i="1" s="1"/>
  <c r="C21" i="4"/>
  <c r="K99" i="1"/>
  <c r="AX99" i="1"/>
  <c r="AV95" i="1"/>
  <c r="BC95" i="1"/>
  <c r="K89" i="1"/>
  <c r="K85" i="1" s="1"/>
  <c r="F23" i="2" s="1"/>
  <c r="AX89" i="1"/>
  <c r="AV84" i="1"/>
  <c r="BC84" i="1"/>
  <c r="AX73" i="1"/>
  <c r="K73" i="1"/>
  <c r="BC64" i="1"/>
  <c r="K61" i="1"/>
  <c r="AX61" i="1"/>
  <c r="AV57" i="1"/>
  <c r="K53" i="1"/>
  <c r="AX53" i="1"/>
  <c r="K45" i="1"/>
  <c r="K43" i="1" s="1"/>
  <c r="F19" i="2" s="1"/>
  <c r="AX45" i="1"/>
  <c r="AU43" i="1"/>
  <c r="K36" i="1"/>
  <c r="K31" i="1" s="1"/>
  <c r="F16" i="2" s="1"/>
  <c r="AX36" i="1"/>
  <c r="AV36" i="1" s="1"/>
  <c r="AV34" i="1"/>
  <c r="BC34" i="1"/>
  <c r="AX26" i="1"/>
  <c r="K26" i="1"/>
  <c r="K25" i="1" s="1"/>
  <c r="F15" i="2" s="1"/>
  <c r="AV20" i="1"/>
  <c r="BC20" i="1"/>
  <c r="C20" i="4"/>
  <c r="AL14" i="1"/>
  <c r="AU13" i="1" s="1"/>
  <c r="L13" i="1"/>
  <c r="AW99" i="1"/>
  <c r="J99" i="1"/>
  <c r="BI90" i="1"/>
  <c r="AC90" i="1" s="1"/>
  <c r="J73" i="1"/>
  <c r="AW73" i="1"/>
  <c r="AV68" i="1"/>
  <c r="BI65" i="1"/>
  <c r="AC65" i="1" s="1"/>
  <c r="C15" i="4" s="1"/>
  <c r="AV59" i="1"/>
  <c r="BC59" i="1"/>
  <c r="AT43" i="1"/>
  <c r="BI40" i="1"/>
  <c r="AC40" i="1" s="1"/>
  <c r="J31" i="1"/>
  <c r="E16" i="2" s="1"/>
  <c r="J26" i="1"/>
  <c r="J25" i="1" s="1"/>
  <c r="E15" i="2" s="1"/>
  <c r="AW26" i="1"/>
  <c r="BH23" i="1"/>
  <c r="AB23" i="1" s="1"/>
  <c r="C14" i="4" s="1"/>
  <c r="AW86" i="1"/>
  <c r="AX76" i="1"/>
  <c r="BC76" i="1" s="1"/>
  <c r="BC75" i="1"/>
  <c r="AW69" i="1"/>
  <c r="BC67" i="1"/>
  <c r="AW50" i="1"/>
  <c r="AX49" i="1"/>
  <c r="BC49" i="1" s="1"/>
  <c r="BC48" i="1"/>
  <c r="AW33" i="1"/>
  <c r="AX32" i="1"/>
  <c r="AW30" i="1"/>
  <c r="AX29" i="1"/>
  <c r="AL26" i="1"/>
  <c r="AU25" i="1" s="1"/>
  <c r="AW19" i="1"/>
  <c r="AX18" i="1"/>
  <c r="AW16" i="1"/>
  <c r="C27" i="4"/>
  <c r="AW32" i="1"/>
  <c r="AW29" i="1"/>
  <c r="AX28" i="1"/>
  <c r="AW18" i="1"/>
  <c r="AW92" i="1"/>
  <c r="AX91" i="1"/>
  <c r="AX80" i="1"/>
  <c r="AW78" i="1"/>
  <c r="AX74" i="1"/>
  <c r="AL38" i="1"/>
  <c r="AU37" i="1" s="1"/>
  <c r="AW28" i="1"/>
  <c r="AX27" i="1"/>
  <c r="AX24" i="1"/>
  <c r="K918" i="1" l="1"/>
  <c r="F60" i="2" s="1"/>
  <c r="BC935" i="1"/>
  <c r="G68" i="2"/>
  <c r="I68" i="2" s="1"/>
  <c r="J1096" i="1"/>
  <c r="E70" i="2" s="1"/>
  <c r="AV1104" i="1"/>
  <c r="AV1108" i="1"/>
  <c r="BC1108" i="1"/>
  <c r="BC1098" i="1"/>
  <c r="BC1106" i="1"/>
  <c r="K1096" i="1"/>
  <c r="K1095" i="1" s="1"/>
  <c r="F69" i="2" s="1"/>
  <c r="G70" i="2"/>
  <c r="I70" i="2" s="1"/>
  <c r="C22" i="4"/>
  <c r="BC1099" i="1"/>
  <c r="J944" i="1"/>
  <c r="E63" i="2" s="1"/>
  <c r="E64" i="2"/>
  <c r="F14" i="2"/>
  <c r="K994" i="1"/>
  <c r="F65" i="2" s="1"/>
  <c r="F66" i="2"/>
  <c r="K936" i="1"/>
  <c r="F61" i="2" s="1"/>
  <c r="F62" i="2"/>
  <c r="J936" i="1"/>
  <c r="E61" i="2" s="1"/>
  <c r="E62" i="2"/>
  <c r="E68" i="2"/>
  <c r="J1057" i="1"/>
  <c r="E67" i="2" s="1"/>
  <c r="E14" i="2"/>
  <c r="E53" i="2"/>
  <c r="F70" i="2"/>
  <c r="K944" i="1"/>
  <c r="F63" i="2" s="1"/>
  <c r="F64" i="2"/>
  <c r="J1095" i="1"/>
  <c r="E69" i="2" s="1"/>
  <c r="AV101" i="1"/>
  <c r="BC101" i="1"/>
  <c r="AV226" i="1"/>
  <c r="BC226" i="1"/>
  <c r="AV256" i="1"/>
  <c r="BC256" i="1"/>
  <c r="BC593" i="1"/>
  <c r="AV593" i="1"/>
  <c r="AV703" i="1"/>
  <c r="BC703" i="1"/>
  <c r="BC576" i="1"/>
  <c r="AV576" i="1"/>
  <c r="F53" i="2"/>
  <c r="AV33" i="1"/>
  <c r="BC33" i="1"/>
  <c r="AV86" i="1"/>
  <c r="BC86" i="1"/>
  <c r="AV99" i="1"/>
  <c r="BC99" i="1"/>
  <c r="AV49" i="1"/>
  <c r="BC39" i="1"/>
  <c r="AV39" i="1"/>
  <c r="AV120" i="1"/>
  <c r="BC120" i="1"/>
  <c r="AV151" i="1"/>
  <c r="BC151" i="1"/>
  <c r="AV76" i="1"/>
  <c r="AV107" i="1"/>
  <c r="BC107" i="1"/>
  <c r="BC142" i="1"/>
  <c r="AV142" i="1"/>
  <c r="BC98" i="1"/>
  <c r="AV98" i="1"/>
  <c r="BC132" i="1"/>
  <c r="AV202" i="1"/>
  <c r="BC202" i="1"/>
  <c r="BC80" i="1"/>
  <c r="AV80" i="1"/>
  <c r="BC66" i="1"/>
  <c r="AV66" i="1"/>
  <c r="BC276" i="1"/>
  <c r="AV343" i="1"/>
  <c r="BC343" i="1"/>
  <c r="BC311" i="1"/>
  <c r="AV311" i="1"/>
  <c r="AV344" i="1"/>
  <c r="BC344" i="1"/>
  <c r="BC380" i="1"/>
  <c r="AV288" i="1"/>
  <c r="BC288" i="1"/>
  <c r="AV334" i="1"/>
  <c r="BC433" i="1"/>
  <c r="AV433" i="1"/>
  <c r="AV505" i="1"/>
  <c r="BC505" i="1"/>
  <c r="AV446" i="1"/>
  <c r="BC446" i="1"/>
  <c r="AV415" i="1"/>
  <c r="BC415" i="1"/>
  <c r="BC582" i="1"/>
  <c r="BC521" i="1"/>
  <c r="AV645" i="1"/>
  <c r="BC495" i="1"/>
  <c r="AV495" i="1"/>
  <c r="BC591" i="1"/>
  <c r="AV591" i="1"/>
  <c r="AV419" i="1"/>
  <c r="BC419" i="1"/>
  <c r="AV565" i="1"/>
  <c r="BC565" i="1"/>
  <c r="AV515" i="1"/>
  <c r="BC515" i="1"/>
  <c r="AV572" i="1"/>
  <c r="BC572" i="1"/>
  <c r="BC581" i="1"/>
  <c r="AV581" i="1"/>
  <c r="AV485" i="1"/>
  <c r="AV672" i="1"/>
  <c r="BC672" i="1"/>
  <c r="AV748" i="1"/>
  <c r="BC748" i="1"/>
  <c r="AV790" i="1"/>
  <c r="BC790" i="1"/>
  <c r="AV696" i="1"/>
  <c r="BC696" i="1"/>
  <c r="AV712" i="1"/>
  <c r="BC712" i="1"/>
  <c r="BC793" i="1"/>
  <c r="AV718" i="1"/>
  <c r="BC771" i="1"/>
  <c r="AV771" i="1"/>
  <c r="AV906" i="1"/>
  <c r="BC906" i="1"/>
  <c r="L815" i="1"/>
  <c r="G52" i="2" s="1"/>
  <c r="G53" i="2"/>
  <c r="I53" i="2" s="1"/>
  <c r="AV891" i="1"/>
  <c r="BC891" i="1"/>
  <c r="AV926" i="1"/>
  <c r="BC926" i="1"/>
  <c r="AV964" i="1"/>
  <c r="BC964" i="1"/>
  <c r="AV999" i="1"/>
  <c r="BC999" i="1"/>
  <c r="BC738" i="1"/>
  <c r="AV738" i="1"/>
  <c r="AV670" i="1"/>
  <c r="BC747" i="1"/>
  <c r="AV747" i="1"/>
  <c r="BC830" i="1"/>
  <c r="AV830" i="1"/>
  <c r="AV924" i="1"/>
  <c r="AV1080" i="1"/>
  <c r="BC1080" i="1"/>
  <c r="BC998" i="1"/>
  <c r="BC980" i="1"/>
  <c r="BC1100" i="1"/>
  <c r="AV1100" i="1"/>
  <c r="AV1079" i="1"/>
  <c r="AV741" i="1"/>
  <c r="BC741" i="1"/>
  <c r="BC794" i="1"/>
  <c r="AV794" i="1"/>
  <c r="BC778" i="1"/>
  <c r="AV778" i="1"/>
  <c r="AV727" i="1"/>
  <c r="BC727" i="1"/>
  <c r="BC834" i="1"/>
  <c r="AV834" i="1"/>
  <c r="AV1033" i="1"/>
  <c r="BC1033" i="1"/>
  <c r="K1057" i="1"/>
  <c r="F67" i="2" s="1"/>
  <c r="F68" i="2"/>
  <c r="AV78" i="1"/>
  <c r="BC78" i="1"/>
  <c r="AV16" i="1"/>
  <c r="BC16" i="1"/>
  <c r="L12" i="1"/>
  <c r="G11" i="2" s="1"/>
  <c r="G12" i="2"/>
  <c r="I12" i="2" s="1"/>
  <c r="L1110" i="1"/>
  <c r="BC53" i="1"/>
  <c r="AV53" i="1"/>
  <c r="BC116" i="1"/>
  <c r="AV116" i="1"/>
  <c r="AV172" i="1"/>
  <c r="BC172" i="1"/>
  <c r="BC149" i="1"/>
  <c r="AV149" i="1"/>
  <c r="BC150" i="1"/>
  <c r="BC199" i="1"/>
  <c r="AV238" i="1"/>
  <c r="BC238" i="1"/>
  <c r="AV270" i="1"/>
  <c r="BC270" i="1"/>
  <c r="BC181" i="1"/>
  <c r="AV181" i="1"/>
  <c r="BC179" i="1"/>
  <c r="AV179" i="1"/>
  <c r="BC170" i="1"/>
  <c r="AV170" i="1"/>
  <c r="BC224" i="1"/>
  <c r="AV224" i="1"/>
  <c r="AV392" i="1"/>
  <c r="BC392" i="1"/>
  <c r="AV405" i="1"/>
  <c r="BC405" i="1"/>
  <c r="BC330" i="1"/>
  <c r="AV330" i="1"/>
  <c r="BC319" i="1"/>
  <c r="AV319" i="1"/>
  <c r="BC360" i="1"/>
  <c r="AV360" i="1"/>
  <c r="AV436" i="1"/>
  <c r="BC436" i="1"/>
  <c r="BC379" i="1"/>
  <c r="AV379" i="1"/>
  <c r="BC486" i="1"/>
  <c r="AV615" i="1"/>
  <c r="BC615" i="1"/>
  <c r="AV640" i="1"/>
  <c r="BC640" i="1"/>
  <c r="AV488" i="1"/>
  <c r="BC488" i="1"/>
  <c r="BC613" i="1"/>
  <c r="AV613" i="1"/>
  <c r="AV679" i="1"/>
  <c r="BC679" i="1"/>
  <c r="AV711" i="1"/>
  <c r="BC711" i="1"/>
  <c r="J590" i="1"/>
  <c r="E46" i="2" s="1"/>
  <c r="K289" i="1"/>
  <c r="F39" i="2" s="1"/>
  <c r="AV629" i="1"/>
  <c r="BC629" i="1"/>
  <c r="BC658" i="1"/>
  <c r="AV871" i="1"/>
  <c r="BC871" i="1"/>
  <c r="AV749" i="1"/>
  <c r="BC749" i="1"/>
  <c r="AV542" i="1"/>
  <c r="AV660" i="1"/>
  <c r="BC660" i="1"/>
  <c r="BC854" i="1"/>
  <c r="AV854" i="1"/>
  <c r="AV942" i="1"/>
  <c r="BC942" i="1"/>
  <c r="AV707" i="1"/>
  <c r="BC803" i="1"/>
  <c r="AV803" i="1"/>
  <c r="BC876" i="1"/>
  <c r="BC819" i="1"/>
  <c r="AV819" i="1"/>
  <c r="BC811" i="1"/>
  <c r="AV811" i="1"/>
  <c r="AV715" i="1"/>
  <c r="J829" i="1"/>
  <c r="E54" i="2" s="1"/>
  <c r="BC820" i="1"/>
  <c r="AV820" i="1"/>
  <c r="BC853" i="1"/>
  <c r="AV853" i="1"/>
  <c r="BC953" i="1"/>
  <c r="L994" i="1"/>
  <c r="G65" i="2" s="1"/>
  <c r="G66" i="2"/>
  <c r="I66" i="2" s="1"/>
  <c r="AV1042" i="1"/>
  <c r="BC1042" i="1"/>
  <c r="AV932" i="1"/>
  <c r="AV1087" i="1"/>
  <c r="BC141" i="1"/>
  <c r="AV141" i="1"/>
  <c r="BC161" i="1"/>
  <c r="AV161" i="1"/>
  <c r="BC317" i="1"/>
  <c r="AV317" i="1"/>
  <c r="BC367" i="1"/>
  <c r="AV367" i="1"/>
  <c r="AV469" i="1"/>
  <c r="BC469" i="1"/>
  <c r="AV651" i="1"/>
  <c r="BC651" i="1"/>
  <c r="BC551" i="1"/>
  <c r="AV551" i="1"/>
  <c r="BC552" i="1"/>
  <c r="AV552" i="1"/>
  <c r="C29" i="4"/>
  <c r="F29" i="4" s="1"/>
  <c r="BC46" i="1"/>
  <c r="AV46" i="1"/>
  <c r="AV133" i="1"/>
  <c r="BC133" i="1"/>
  <c r="BC117" i="1"/>
  <c r="AV117" i="1"/>
  <c r="AV210" i="1"/>
  <c r="BC210" i="1"/>
  <c r="BC165" i="1"/>
  <c r="AV165" i="1"/>
  <c r="BC208" i="1"/>
  <c r="AV208" i="1"/>
  <c r="BC162" i="1"/>
  <c r="AV162" i="1"/>
  <c r="BC209" i="1"/>
  <c r="AV209" i="1"/>
  <c r="AV351" i="1"/>
  <c r="BC351" i="1"/>
  <c r="AV352" i="1"/>
  <c r="BC352" i="1"/>
  <c r="AV404" i="1"/>
  <c r="BC404" i="1"/>
  <c r="AV383" i="1"/>
  <c r="BC383" i="1"/>
  <c r="BC409" i="1"/>
  <c r="AV409" i="1"/>
  <c r="AV292" i="1"/>
  <c r="BC292" i="1"/>
  <c r="BC411" i="1"/>
  <c r="AV411" i="1"/>
  <c r="AV445" i="1"/>
  <c r="BC445" i="1"/>
  <c r="AV514" i="1"/>
  <c r="BC514" i="1"/>
  <c r="AV418" i="1"/>
  <c r="BC418" i="1"/>
  <c r="AV478" i="1"/>
  <c r="BC478" i="1"/>
  <c r="AV467" i="1"/>
  <c r="BC467" i="1"/>
  <c r="AV523" i="1"/>
  <c r="BC523" i="1"/>
  <c r="AV553" i="1"/>
  <c r="BC553" i="1"/>
  <c r="BC483" i="1"/>
  <c r="AV483" i="1"/>
  <c r="AV659" i="1"/>
  <c r="BC659" i="1"/>
  <c r="AV641" i="1"/>
  <c r="BC641" i="1"/>
  <c r="AV388" i="1"/>
  <c r="BC504" i="1"/>
  <c r="AV504" i="1"/>
  <c r="BC588" i="1"/>
  <c r="BC678" i="1"/>
  <c r="AV757" i="1"/>
  <c r="BC757" i="1"/>
  <c r="AV664" i="1"/>
  <c r="BC664" i="1"/>
  <c r="BC684" i="1"/>
  <c r="AV684" i="1"/>
  <c r="BC700" i="1"/>
  <c r="AV700" i="1"/>
  <c r="BC745" i="1"/>
  <c r="BC779" i="1"/>
  <c r="AV779" i="1"/>
  <c r="AV801" i="1"/>
  <c r="BC828" i="1"/>
  <c r="AV828" i="1"/>
  <c r="AV882" i="1"/>
  <c r="BC882" i="1"/>
  <c r="AV914" i="1"/>
  <c r="BC914" i="1"/>
  <c r="AV899" i="1"/>
  <c r="BC899" i="1"/>
  <c r="AV934" i="1"/>
  <c r="BC934" i="1"/>
  <c r="AV973" i="1"/>
  <c r="BC973" i="1"/>
  <c r="AV605" i="1"/>
  <c r="BC605" i="1"/>
  <c r="AV694" i="1"/>
  <c r="BC762" i="1"/>
  <c r="AV762" i="1"/>
  <c r="AV699" i="1"/>
  <c r="BC755" i="1"/>
  <c r="AV755" i="1"/>
  <c r="BC787" i="1"/>
  <c r="AV787" i="1"/>
  <c r="L944" i="1"/>
  <c r="G63" i="2" s="1"/>
  <c r="G64" i="2"/>
  <c r="I64" i="2" s="1"/>
  <c r="AV769" i="1"/>
  <c r="AV1088" i="1"/>
  <c r="BC1088" i="1"/>
  <c r="AV1008" i="1"/>
  <c r="BC1008" i="1"/>
  <c r="AV913" i="1"/>
  <c r="AV1106" i="1"/>
  <c r="AV1017" i="1"/>
  <c r="AV363" i="1"/>
  <c r="BC363" i="1"/>
  <c r="AV100" i="1"/>
  <c r="BC100" i="1"/>
  <c r="AV113" i="1"/>
  <c r="BC113" i="1"/>
  <c r="BC127" i="1"/>
  <c r="AV127" i="1"/>
  <c r="BC22" i="1"/>
  <c r="BC55" i="1"/>
  <c r="AV55" i="1"/>
  <c r="BC91" i="1"/>
  <c r="AV91" i="1"/>
  <c r="AV254" i="1"/>
  <c r="BC254" i="1"/>
  <c r="AV227" i="1"/>
  <c r="BC227" i="1"/>
  <c r="AV279" i="1"/>
  <c r="BC279" i="1"/>
  <c r="BC182" i="1"/>
  <c r="AV182" i="1"/>
  <c r="BC200" i="1"/>
  <c r="AV200" i="1"/>
  <c r="AV414" i="1"/>
  <c r="BC414" i="1"/>
  <c r="BC349" i="1"/>
  <c r="AV349" i="1"/>
  <c r="BC389" i="1"/>
  <c r="AV389" i="1"/>
  <c r="AV479" i="1"/>
  <c r="BC479" i="1"/>
  <c r="AV454" i="1"/>
  <c r="BC454" i="1"/>
  <c r="BC396" i="1"/>
  <c r="AV396" i="1"/>
  <c r="AV435" i="1"/>
  <c r="BC435" i="1"/>
  <c r="AV358" i="1"/>
  <c r="AV584" i="1"/>
  <c r="BC584" i="1"/>
  <c r="AV554" i="1"/>
  <c r="BC554" i="1"/>
  <c r="AV643" i="1"/>
  <c r="BC643" i="1"/>
  <c r="AV687" i="1"/>
  <c r="BC687" i="1"/>
  <c r="AV719" i="1"/>
  <c r="BC719" i="1"/>
  <c r="AV626" i="1"/>
  <c r="BC626" i="1"/>
  <c r="BC424" i="1"/>
  <c r="AV424" i="1"/>
  <c r="BC570" i="1"/>
  <c r="AV570" i="1"/>
  <c r="AV526" i="1"/>
  <c r="BC526" i="1"/>
  <c r="AV614" i="1"/>
  <c r="BC614" i="1"/>
  <c r="BC378" i="1"/>
  <c r="AV378" i="1"/>
  <c r="AV537" i="1"/>
  <c r="BC537" i="1"/>
  <c r="AV592" i="1"/>
  <c r="BC592" i="1"/>
  <c r="AV608" i="1"/>
  <c r="BC608" i="1"/>
  <c r="AV764" i="1"/>
  <c r="BC764" i="1"/>
  <c r="BC802" i="1"/>
  <c r="AV802" i="1"/>
  <c r="AV962" i="1"/>
  <c r="BC962" i="1"/>
  <c r="BC724" i="1"/>
  <c r="AV724" i="1"/>
  <c r="BC868" i="1"/>
  <c r="AV720" i="1"/>
  <c r="BC720" i="1"/>
  <c r="BC746" i="1"/>
  <c r="AV746" i="1"/>
  <c r="BC869" i="1"/>
  <c r="AV869" i="1"/>
  <c r="BC732" i="1"/>
  <c r="AV732" i="1"/>
  <c r="BC870" i="1"/>
  <c r="AV870" i="1"/>
  <c r="AV889" i="1"/>
  <c r="AV1050" i="1"/>
  <c r="BC1050" i="1"/>
  <c r="AV1097" i="1"/>
  <c r="BC1097" i="1"/>
  <c r="AV1107" i="1"/>
  <c r="BC1107" i="1"/>
  <c r="BC1014" i="1"/>
  <c r="AV1014" i="1"/>
  <c r="BC988" i="1"/>
  <c r="AV1032" i="1"/>
  <c r="AV32" i="1"/>
  <c r="BC32" i="1"/>
  <c r="BC192" i="1"/>
  <c r="AV192" i="1"/>
  <c r="BC178" i="1"/>
  <c r="AV178" i="1"/>
  <c r="BC193" i="1"/>
  <c r="AV193" i="1"/>
  <c r="AV381" i="1"/>
  <c r="BC381" i="1"/>
  <c r="BC368" i="1"/>
  <c r="AV368" i="1"/>
  <c r="AV546" i="1"/>
  <c r="BC546" i="1"/>
  <c r="AV583" i="1"/>
  <c r="BC583" i="1"/>
  <c r="AV671" i="1"/>
  <c r="BC671" i="1"/>
  <c r="BC90" i="1"/>
  <c r="AV90" i="1"/>
  <c r="AV152" i="1"/>
  <c r="BC152" i="1"/>
  <c r="BC164" i="1"/>
  <c r="AV164" i="1"/>
  <c r="AV301" i="1"/>
  <c r="BC301" i="1"/>
  <c r="BC277" i="1"/>
  <c r="AV277" i="1"/>
  <c r="AV323" i="1"/>
  <c r="BC323" i="1"/>
  <c r="AV362" i="1"/>
  <c r="BC362" i="1"/>
  <c r="AV207" i="1"/>
  <c r="BC332" i="1"/>
  <c r="AV332" i="1"/>
  <c r="AV487" i="1"/>
  <c r="BC487" i="1"/>
  <c r="AV522" i="1"/>
  <c r="BC522" i="1"/>
  <c r="AV498" i="1"/>
  <c r="BC498" i="1"/>
  <c r="AV426" i="1"/>
  <c r="BC426" i="1"/>
  <c r="AV455" i="1"/>
  <c r="BC455" i="1"/>
  <c r="BC496" i="1"/>
  <c r="BC579" i="1"/>
  <c r="AV579" i="1"/>
  <c r="J642" i="1"/>
  <c r="E51" i="2" s="1"/>
  <c r="AV453" i="1"/>
  <c r="BC390" i="1"/>
  <c r="AV390" i="1"/>
  <c r="K630" i="1"/>
  <c r="F50" i="2" s="1"/>
  <c r="BC580" i="1"/>
  <c r="AV580" i="1"/>
  <c r="AV597" i="1"/>
  <c r="BC597" i="1"/>
  <c r="AV728" i="1"/>
  <c r="BC728" i="1"/>
  <c r="BC686" i="1"/>
  <c r="AV512" i="1"/>
  <c r="AV735" i="1"/>
  <c r="BC735" i="1"/>
  <c r="AV688" i="1"/>
  <c r="BC688" i="1"/>
  <c r="AV704" i="1"/>
  <c r="BC704" i="1"/>
  <c r="BC716" i="1"/>
  <c r="AV716" i="1"/>
  <c r="AV736" i="1"/>
  <c r="BC736" i="1"/>
  <c r="BC831" i="1"/>
  <c r="AV831" i="1"/>
  <c r="AV890" i="1"/>
  <c r="BC890" i="1"/>
  <c r="AV925" i="1"/>
  <c r="BC925" i="1"/>
  <c r="BC810" i="1"/>
  <c r="AV810" i="1"/>
  <c r="AV907" i="1"/>
  <c r="BC907" i="1"/>
  <c r="AV943" i="1"/>
  <c r="BC943" i="1"/>
  <c r="AV981" i="1"/>
  <c r="BC981" i="1"/>
  <c r="BC861" i="1"/>
  <c r="AV861" i="1"/>
  <c r="BC862" i="1"/>
  <c r="AV862" i="1"/>
  <c r="AV941" i="1"/>
  <c r="AV1059" i="1"/>
  <c r="BC1059" i="1"/>
  <c r="AV1081" i="1"/>
  <c r="BC1081" i="1"/>
  <c r="AV1099" i="1"/>
  <c r="AV92" i="1"/>
  <c r="BC92" i="1"/>
  <c r="AV19" i="1"/>
  <c r="BC19" i="1"/>
  <c r="AV50" i="1"/>
  <c r="BC50" i="1"/>
  <c r="BC26" i="1"/>
  <c r="AV26" i="1"/>
  <c r="AV18" i="1"/>
  <c r="BC18" i="1"/>
  <c r="BC73" i="1"/>
  <c r="AV73" i="1"/>
  <c r="BC61" i="1"/>
  <c r="AV61" i="1"/>
  <c r="BC89" i="1"/>
  <c r="AV89" i="1"/>
  <c r="BC54" i="1"/>
  <c r="AV54" i="1"/>
  <c r="AV109" i="1"/>
  <c r="BC109" i="1"/>
  <c r="BC129" i="1"/>
  <c r="AV129" i="1"/>
  <c r="AV183" i="1"/>
  <c r="BC183" i="1"/>
  <c r="AV156" i="1"/>
  <c r="BC156" i="1"/>
  <c r="BC171" i="1"/>
  <c r="AV171" i="1"/>
  <c r="AV28" i="1"/>
  <c r="BC28" i="1"/>
  <c r="AV69" i="1"/>
  <c r="BC69" i="1"/>
  <c r="AV145" i="1"/>
  <c r="BC145" i="1"/>
  <c r="BC36" i="1"/>
  <c r="BC65" i="1"/>
  <c r="AV65" i="1"/>
  <c r="AV121" i="1"/>
  <c r="BC121" i="1"/>
  <c r="BC23" i="1"/>
  <c r="AV23" i="1"/>
  <c r="BC24" i="1"/>
  <c r="AV24" i="1"/>
  <c r="BC72" i="1"/>
  <c r="AV72" i="1"/>
  <c r="BC138" i="1"/>
  <c r="AV138" i="1"/>
  <c r="BC119" i="1"/>
  <c r="BC144" i="1"/>
  <c r="AV222" i="1"/>
  <c r="BC222" i="1"/>
  <c r="AV269" i="1"/>
  <c r="BC269" i="1"/>
  <c r="AV240" i="1"/>
  <c r="BC240" i="1"/>
  <c r="J163" i="1"/>
  <c r="E33" i="2" s="1"/>
  <c r="AV302" i="1"/>
  <c r="BC302" i="1"/>
  <c r="K154" i="1"/>
  <c r="F32" i="2" s="1"/>
  <c r="AV372" i="1"/>
  <c r="BC372" i="1"/>
  <c r="AV393" i="1"/>
  <c r="BC393" i="1"/>
  <c r="BC252" i="1"/>
  <c r="AV252" i="1"/>
  <c r="BC359" i="1"/>
  <c r="AV359" i="1"/>
  <c r="BC397" i="1"/>
  <c r="AV397" i="1"/>
  <c r="BC342" i="1"/>
  <c r="AV342" i="1"/>
  <c r="BC410" i="1"/>
  <c r="AV410" i="1"/>
  <c r="AV417" i="1"/>
  <c r="BC417" i="1"/>
  <c r="AV361" i="1"/>
  <c r="BC513" i="1"/>
  <c r="AV506" i="1"/>
  <c r="BC506" i="1"/>
  <c r="AV625" i="1"/>
  <c r="BC625" i="1"/>
  <c r="AV545" i="1"/>
  <c r="BC545" i="1"/>
  <c r="AV695" i="1"/>
  <c r="BC695" i="1"/>
  <c r="AV628" i="1"/>
  <c r="BC628" i="1"/>
  <c r="BC624" i="1"/>
  <c r="AV632" i="1"/>
  <c r="BC632" i="1"/>
  <c r="BC610" i="1"/>
  <c r="AV610" i="1"/>
  <c r="AV611" i="1"/>
  <c r="BC611" i="1"/>
  <c r="AV644" i="1"/>
  <c r="BC644" i="1"/>
  <c r="AV691" i="1"/>
  <c r="BC785" i="1"/>
  <c r="BC877" i="1"/>
  <c r="AV877" i="1"/>
  <c r="BC770" i="1"/>
  <c r="AV770" i="1"/>
  <c r="AV878" i="1"/>
  <c r="BC878" i="1"/>
  <c r="AV905" i="1"/>
  <c r="AV897" i="1"/>
  <c r="AV1105" i="1"/>
  <c r="BC1105" i="1"/>
  <c r="J995" i="1"/>
  <c r="AV1041" i="1"/>
  <c r="AV135" i="1"/>
  <c r="BC135" i="1"/>
  <c r="BC143" i="1"/>
  <c r="AV143" i="1"/>
  <c r="BC131" i="1"/>
  <c r="AV131" i="1"/>
  <c r="AV290" i="1"/>
  <c r="BC290" i="1"/>
  <c r="BC236" i="1"/>
  <c r="AV236" i="1"/>
  <c r="BC350" i="1"/>
  <c r="AV350" i="1"/>
  <c r="BC401" i="1"/>
  <c r="AV401" i="1"/>
  <c r="AV612" i="1"/>
  <c r="BC612" i="1"/>
  <c r="AV652" i="1"/>
  <c r="BC652" i="1"/>
  <c r="BC74" i="1"/>
  <c r="AV74" i="1"/>
  <c r="BC47" i="1"/>
  <c r="AV47" i="1"/>
  <c r="AV155" i="1"/>
  <c r="BC155" i="1"/>
  <c r="AV29" i="1"/>
  <c r="BC29" i="1"/>
  <c r="AV30" i="1"/>
  <c r="BC30" i="1"/>
  <c r="BC45" i="1"/>
  <c r="AV45" i="1"/>
  <c r="BC27" i="1"/>
  <c r="AV27" i="1"/>
  <c r="AV112" i="1"/>
  <c r="BC112" i="1"/>
  <c r="BC40" i="1"/>
  <c r="AV40" i="1"/>
  <c r="BC139" i="1"/>
  <c r="AV139" i="1"/>
  <c r="AV194" i="1"/>
  <c r="BC194" i="1"/>
  <c r="BC118" i="1"/>
  <c r="AV118" i="1"/>
  <c r="AV278" i="1"/>
  <c r="BC278" i="1"/>
  <c r="K168" i="1"/>
  <c r="F35" i="2" s="1"/>
  <c r="K214" i="1"/>
  <c r="F38" i="2" s="1"/>
  <c r="BC167" i="1"/>
  <c r="AV167" i="1"/>
  <c r="BC201" i="1"/>
  <c r="AV201" i="1"/>
  <c r="AV336" i="1"/>
  <c r="BC336" i="1"/>
  <c r="BC268" i="1"/>
  <c r="AV268" i="1"/>
  <c r="BC341" i="1"/>
  <c r="AV341" i="1"/>
  <c r="BC464" i="1"/>
  <c r="AV464" i="1"/>
  <c r="AV497" i="1"/>
  <c r="BC497" i="1"/>
  <c r="AV427" i="1"/>
  <c r="BC427" i="1"/>
  <c r="BC536" i="1"/>
  <c r="J400" i="1"/>
  <c r="E40" i="2" s="1"/>
  <c r="AV573" i="1"/>
  <c r="BC573" i="1"/>
  <c r="AV564" i="1"/>
  <c r="BC564" i="1"/>
  <c r="BC398" i="1"/>
  <c r="AV398" i="1"/>
  <c r="AV631" i="1"/>
  <c r="BC631" i="1"/>
  <c r="AV538" i="1"/>
  <c r="BC538" i="1"/>
  <c r="BC676" i="1"/>
  <c r="AV676" i="1"/>
  <c r="AV847" i="1"/>
  <c r="BC847" i="1"/>
  <c r="BC668" i="1"/>
  <c r="AV668" i="1"/>
  <c r="AV740" i="1"/>
  <c r="BC740" i="1"/>
  <c r="AV774" i="1"/>
  <c r="BC774" i="1"/>
  <c r="AV680" i="1"/>
  <c r="BC680" i="1"/>
  <c r="BC692" i="1"/>
  <c r="AV692" i="1"/>
  <c r="BC708" i="1"/>
  <c r="AV708" i="1"/>
  <c r="BC763" i="1"/>
  <c r="AV763" i="1"/>
  <c r="AV898" i="1"/>
  <c r="BC898" i="1"/>
  <c r="AV933" i="1"/>
  <c r="BC933" i="1"/>
  <c r="AV883" i="1"/>
  <c r="BC883" i="1"/>
  <c r="AV915" i="1"/>
  <c r="BC915" i="1"/>
  <c r="AV954" i="1"/>
  <c r="BC954" i="1"/>
  <c r="AV989" i="1"/>
  <c r="BC989" i="1"/>
  <c r="BC754" i="1"/>
  <c r="AV754" i="1"/>
  <c r="BC795" i="1"/>
  <c r="AV795" i="1"/>
  <c r="BC786" i="1"/>
  <c r="AV786" i="1"/>
  <c r="BC833" i="1"/>
  <c r="AV833" i="1"/>
  <c r="BC739" i="1"/>
  <c r="AV739" i="1"/>
  <c r="BC827" i="1"/>
  <c r="AV827" i="1"/>
  <c r="AV683" i="1"/>
  <c r="AV1069" i="1"/>
  <c r="BC1069" i="1"/>
  <c r="BC1091" i="1"/>
  <c r="AV1091" i="1"/>
  <c r="BC996" i="1"/>
  <c r="AV996" i="1"/>
  <c r="AV1049" i="1"/>
  <c r="AV1090" i="1"/>
  <c r="AV1098" i="1"/>
  <c r="K815" i="1" l="1"/>
  <c r="F52" i="2" s="1"/>
  <c r="J815" i="1"/>
  <c r="E52" i="2" s="1"/>
  <c r="J12" i="1"/>
  <c r="E11" i="2" s="1"/>
  <c r="I28" i="4"/>
  <c r="I29" i="4" s="1"/>
  <c r="K12" i="1"/>
  <c r="F11" i="2" s="1"/>
  <c r="G71" i="2"/>
  <c r="J994" i="1"/>
  <c r="E65" i="2" s="1"/>
  <c r="E66" i="2"/>
</calcChain>
</file>

<file path=xl/sharedStrings.xml><?xml version="1.0" encoding="utf-8"?>
<sst xmlns="http://schemas.openxmlformats.org/spreadsheetml/2006/main" count="16668" uniqueCount="3355">
  <si>
    <t>Slepý stavební rozpočet</t>
  </si>
  <si>
    <t>Název stavby:</t>
  </si>
  <si>
    <t>Druh stavby:</t>
  </si>
  <si>
    <t>Lokalita:</t>
  </si>
  <si>
    <t>JKSO:</t>
  </si>
  <si>
    <t>Č</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</si>
  <si>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</si>
  <si>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</si>
  <si>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</si>
  <si>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</si>
  <si>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</si>
  <si>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</si>
  <si>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</si>
  <si>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</si>
  <si>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</si>
  <si>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</si>
  <si>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</si>
  <si>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</si>
  <si>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</si>
  <si>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</si>
  <si>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</si>
  <si>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</si>
  <si>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</si>
  <si>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</si>
  <si>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</si>
  <si>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</si>
  <si>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</si>
  <si>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</si>
  <si>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</si>
  <si>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</si>
  <si>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</si>
  <si>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</si>
  <si>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</si>
  <si>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</si>
  <si>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</si>
  <si>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</si>
  <si>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</si>
  <si>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</si>
  <si>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</si>
  <si>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</si>
  <si>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</si>
  <si>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</si>
  <si>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</si>
  <si>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</si>
  <si>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</si>
  <si>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</si>
  <si>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</si>
  <si>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</si>
  <si>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</si>
  <si>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</si>
  <si>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</si>
  <si>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</si>
  <si>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</si>
  <si>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</si>
  <si>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</si>
  <si>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</si>
  <si>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</si>
  <si>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</si>
  <si>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</si>
  <si>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</si>
  <si>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</si>
  <si>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</si>
  <si>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</si>
  <si>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</si>
  <si>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</si>
  <si>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</si>
  <si>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</si>
  <si>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</si>
  <si>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</si>
  <si>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</si>
  <si>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</si>
  <si>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</si>
  <si>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</si>
  <si>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</si>
  <si>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</si>
  <si>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</si>
  <si>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</si>
  <si>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</si>
  <si>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</si>
  <si>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</si>
  <si>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</si>
  <si>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</si>
  <si>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</si>
  <si>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</si>
  <si>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</si>
  <si>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</si>
  <si>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</si>
  <si>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</si>
  <si>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</si>
  <si>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</si>
  <si>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</si>
  <si>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</si>
  <si>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</si>
  <si>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</si>
  <si>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</si>
  <si>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</si>
  <si>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</si>
  <si>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</si>
  <si>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</si>
  <si>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</si>
  <si>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</si>
  <si>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</si>
  <si>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</si>
  <si>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</si>
  <si>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</si>
  <si>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</si>
  <si>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</si>
  <si>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</si>
  <si>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</si>
  <si>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</si>
  <si>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</si>
  <si>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</si>
  <si>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</si>
  <si>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</si>
  <si>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</si>
  <si>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</si>
  <si>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</si>
  <si>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</si>
  <si>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</si>
  <si>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</si>
  <si>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</si>
  <si>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</si>
  <si>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</si>
  <si>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</si>
  <si>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</si>
  <si>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</si>
  <si>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</si>
  <si>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</si>
  <si>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</si>
  <si>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</si>
  <si>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</si>
  <si>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</si>
  <si>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</si>
  <si>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</si>
  <si>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</si>
  <si>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</si>
  <si>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</si>
  <si>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</si>
  <si>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</si>
  <si>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</si>
  <si>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</si>
  <si>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</si>
  <si>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</si>
  <si>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</si>
  <si>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</si>
  <si>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</si>
  <si>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</si>
  <si>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</si>
  <si>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</si>
  <si>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</si>
  <si>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</si>
  <si>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</si>
  <si>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</si>
  <si>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</si>
  <si>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</si>
  <si>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</si>
  <si>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</si>
  <si>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</si>
  <si>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</si>
  <si>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</si>
  <si>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</si>
  <si>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</si>
  <si>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</si>
  <si>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</si>
  <si>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</si>
  <si>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</si>
  <si>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</si>
  <si>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</si>
  <si>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</si>
  <si>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</si>
  <si>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</si>
  <si>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</si>
  <si>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</si>
  <si>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</si>
  <si>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</si>
  <si>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</si>
  <si>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</si>
  <si>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</si>
  <si>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</si>
  <si>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</si>
  <si>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</si>
  <si>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</si>
  <si>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</si>
  <si>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</si>
  <si>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</si>
  <si>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</si>
  <si>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</si>
  <si>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</si>
  <si>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</si>
  <si>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</si>
  <si>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</si>
  <si>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</si>
  <si>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</si>
  <si>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</si>
  <si>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</si>
  <si>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</si>
  <si>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</si>
  <si>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</si>
  <si>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</si>
  <si>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</si>
  <si>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</si>
  <si>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</si>
  <si>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</si>
  <si>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</si>
  <si>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</si>
  <si>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</si>
  <si>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</si>
  <si>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</si>
  <si>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</si>
  <si>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</si>
  <si>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</si>
  <si>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</si>
  <si>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</si>
  <si>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</si>
  <si>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</si>
  <si>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</si>
  <si>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</si>
  <si>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</si>
  <si>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</si>
  <si>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</si>
  <si>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</si>
  <si>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</si>
  <si>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</si>
  <si>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</si>
  <si>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</si>
  <si>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</si>
  <si>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</si>
  <si>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</si>
  <si>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</si>
  <si>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</si>
  <si>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</si>
  <si>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</si>
  <si>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</si>
  <si>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</si>
  <si>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</si>
  <si>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</si>
  <si>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</si>
  <si>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</si>
  <si>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</si>
  <si>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</si>
  <si>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</si>
  <si>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</si>
  <si>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</si>
  <si>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</si>
  <si>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</si>
  <si>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</si>
  <si>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</si>
  <si>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</si>
  <si>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</si>
  <si>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</si>
  <si>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</si>
  <si>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</si>
  <si>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</si>
  <si>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</si>
  <si>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</si>
  <si>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</si>
  <si>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</si>
  <si>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</si>
  <si>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</si>
  <si>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</si>
  <si>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</si>
  <si>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</si>
  <si>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</si>
  <si>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</si>
  <si>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</si>
  <si>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</si>
  <si>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</si>
  <si>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</si>
  <si>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</si>
  <si>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</si>
  <si>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</si>
  <si>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</si>
  <si>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</si>
  <si>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</si>
  <si>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</si>
  <si>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</si>
  <si>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</si>
  <si>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</si>
  <si>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</si>
  <si>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</si>
  <si>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</si>
  <si>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</si>
  <si>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</si>
  <si>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</si>
  <si>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</si>
  <si>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</si>
  <si>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</si>
  <si>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</si>
  <si>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</si>
  <si>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</si>
  <si>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</si>
  <si>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</si>
  <si>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</si>
  <si>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</si>
  <si>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</si>
  <si>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</si>
  <si>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</si>
  <si>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</si>
  <si>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</si>
  <si>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</si>
  <si>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</si>
  <si>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</si>
  <si>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</si>
  <si>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</si>
  <si>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</si>
  <si>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</si>
  <si>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</si>
  <si>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</si>
  <si>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</si>
  <si>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</si>
  <si>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</si>
  <si>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</si>
  <si>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</si>
  <si>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</si>
  <si>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</si>
  <si>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</si>
  <si>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</si>
  <si>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</si>
  <si>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</si>
  <si>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</si>
  <si>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</si>
  <si>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</si>
  <si>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</si>
  <si>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</si>
  <si>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</si>
  <si>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</si>
  <si>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</si>
  <si>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</si>
  <si>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</si>
  <si>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</si>
  <si>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</si>
  <si>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</si>
  <si>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</si>
  <si>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</si>
  <si>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</si>
  <si>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</si>
  <si>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</si>
  <si>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</si>
  <si>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</si>
  <si>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</si>
  <si>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</si>
  <si>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</si>
  <si>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</si>
  <si>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</si>
  <si>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</si>
  <si>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</si>
  <si>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</si>
  <si>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</si>
  <si>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</si>
  <si>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</si>
  <si>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</si>
  <si>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</si>
  <si>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</si>
  <si>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</si>
  <si>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</si>
  <si>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</si>
  <si>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</si>
  <si>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</si>
  <si>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</si>
  <si>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</si>
  <si>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</si>
  <si>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</si>
  <si>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</si>
  <si>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</si>
  <si>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</si>
  <si>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</si>
  <si>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</si>
  <si>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</si>
  <si>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</si>
  <si>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</si>
  <si>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</si>
  <si>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</si>
  <si>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</si>
  <si>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</si>
  <si>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</si>
  <si>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</si>
  <si>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</si>
  <si>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</si>
  <si>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</si>
  <si>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</si>
  <si>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</si>
  <si>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</si>
  <si>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</si>
  <si>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</si>
  <si>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</si>
  <si>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</si>
  <si>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</si>
  <si>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</si>
  <si>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</si>
  <si>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</si>
  <si>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</si>
  <si>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</si>
  <si>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</si>
  <si>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</si>
  <si>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</si>
  <si>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</si>
  <si>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</si>
  <si>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</si>
  <si>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</si>
  <si>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</si>
  <si>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</si>
  <si>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</si>
  <si>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</si>
  <si>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</si>
  <si>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</si>
  <si>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</si>
  <si>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</si>
  <si>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</si>
  <si>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</si>
  <si>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</si>
  <si>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</si>
  <si>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</si>
  <si>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</si>
  <si>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</si>
  <si>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</si>
  <si>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</si>
  <si>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</si>
  <si>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</si>
  <si>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</si>
  <si>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</si>
  <si>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</si>
  <si>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</si>
  <si>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</si>
  <si>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</si>
  <si>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</si>
  <si>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</si>
  <si>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</si>
  <si>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</si>
  <si>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</si>
  <si>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</si>
  <si>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</si>
  <si>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</si>
  <si>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</si>
  <si>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</si>
  <si>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</si>
  <si>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</si>
  <si>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</si>
  <si>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</si>
  <si>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</si>
  <si>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</si>
  <si>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</si>
  <si>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</si>
  <si>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</si>
  <si>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</si>
  <si>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</si>
  <si>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</si>
  <si>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</si>
  <si>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</si>
  <si>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</si>
  <si>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</si>
  <si>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</si>
  <si>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</si>
  <si>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</si>
  <si>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</si>
  <si>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</si>
  <si>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</si>
  <si>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</si>
  <si>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</si>
  <si>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</si>
  <si>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</si>
  <si>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</si>
  <si>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</si>
  <si>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</si>
  <si>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</si>
  <si>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</si>
  <si>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</si>
  <si>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</si>
  <si>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</si>
  <si>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</si>
  <si>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</si>
  <si>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</si>
  <si>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</si>
  <si>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</si>
  <si>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</si>
  <si>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</si>
  <si>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</si>
  <si>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</si>
  <si>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</si>
  <si>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</si>
  <si>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</si>
  <si>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</si>
  <si>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</si>
  <si>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</si>
  <si>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</si>
  <si>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</si>
  <si>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</si>
  <si>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</si>
  <si>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</si>
  <si>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</si>
  <si>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</si>
  <si>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</si>
  <si>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</si>
  <si>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</si>
  <si>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</si>
  <si>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</si>
  <si>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</si>
  <si>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</si>
  <si>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</si>
  <si>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</si>
  <si>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</si>
  <si>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</si>
  <si>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</si>
  <si>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</si>
  <si>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</si>
  <si>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</si>
  <si>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</si>
  <si>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</si>
  <si>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</si>
  <si>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</si>
  <si>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</si>
  <si>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</si>
  <si>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</si>
  <si>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</si>
  <si>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</si>
  <si>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</si>
  <si>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</si>
  <si>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</si>
  <si>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</si>
  <si>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</si>
  <si>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</si>
  <si>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</si>
  <si>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</si>
  <si>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</si>
  <si>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</si>
  <si>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</si>
  <si>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</si>
  <si>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</si>
  <si>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</si>
  <si>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</si>
  <si>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</si>
  <si>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</si>
  <si>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</si>
  <si>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</si>
  <si>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</si>
  <si>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</si>
  <si>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</si>
  <si>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</si>
  <si>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</si>
  <si>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</si>
  <si>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</si>
  <si>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</si>
  <si>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</si>
  <si>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</si>
  <si>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</si>
  <si>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</si>
  <si>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</si>
  <si>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</si>
  <si>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</si>
  <si>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</si>
  <si>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</si>
  <si>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</si>
  <si>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</si>
  <si>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</si>
  <si>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</si>
  <si>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</si>
  <si>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</si>
  <si>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</si>
  <si>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</si>
  <si>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</si>
  <si>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</si>
  <si>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</si>
  <si>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</si>
  <si>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</si>
  <si>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</si>
  <si>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</si>
  <si>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</si>
  <si>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</si>
  <si>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</si>
  <si>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</si>
  <si>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</si>
  <si>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</si>
  <si>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</si>
  <si>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</si>
  <si>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</si>
  <si>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</si>
  <si>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</si>
  <si>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</si>
  <si>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</si>
  <si>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</si>
  <si>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</si>
  <si>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</si>
  <si>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</si>
  <si>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</si>
  <si>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</si>
  <si>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</si>
  <si>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</si>
  <si>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</si>
  <si>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</si>
  <si>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</si>
  <si>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</si>
  <si>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</si>
  <si>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</si>
  <si>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</si>
  <si>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</si>
  <si>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</si>
  <si>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</si>
  <si>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</si>
  <si>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</si>
  <si>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</si>
  <si>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</si>
  <si>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</si>
  <si>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</si>
  <si>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</si>
  <si>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</si>
  <si>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</si>
  <si>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</si>
  <si>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</si>
  <si>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</si>
  <si>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</si>
  <si>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</si>
  <si>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</si>
  <si>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</si>
  <si>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</si>
  <si>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</si>
  <si>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</si>
  <si>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</si>
  <si>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</si>
  <si>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</si>
  <si>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</si>
  <si>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</si>
  <si>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</si>
  <si>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</si>
  <si>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</si>
  <si>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</si>
  <si>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</si>
  <si>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</si>
  <si>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</si>
  <si>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</si>
  <si>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</si>
  <si>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</si>
  <si>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</si>
  <si>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</si>
  <si>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</si>
  <si>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</si>
  <si>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</si>
  <si>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</si>
  <si>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</si>
  <si>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</si>
  <si>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</si>
  <si>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</si>
  <si>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</si>
  <si>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</si>
  <si>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</si>
  <si>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</si>
  <si>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</si>
  <si>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</si>
  <si>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</si>
  <si>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</si>
  <si>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</si>
  <si>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</si>
  <si>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</si>
  <si>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</si>
  <si>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</si>
  <si>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</si>
  <si>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</si>
  <si>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</si>
  <si>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</si>
  <si>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</si>
  <si>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</si>
  <si>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</si>
  <si>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</si>
  <si>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</si>
  <si>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</si>
  <si>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</si>
  <si>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</si>
  <si>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</si>
  <si>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</si>
  <si>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</si>
  <si>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</si>
  <si>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</si>
  <si>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</si>
  <si>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</si>
  <si>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</si>
  <si>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</si>
  <si>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</si>
  <si>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</si>
  <si>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</si>
  <si>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</si>
  <si>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</si>
  <si>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</si>
  <si>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</si>
  <si>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</si>
  <si>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</si>
  <si>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</si>
  <si>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</si>
  <si>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</si>
  <si>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</si>
  <si>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</si>
  <si>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</si>
  <si>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</si>
  <si>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</si>
  <si>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</si>
  <si>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</si>
  <si>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</si>
  <si>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</si>
  <si>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</si>
  <si>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</si>
  <si>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</si>
  <si>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</si>
  <si>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</si>
  <si>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</si>
  <si>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</si>
  <si>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</si>
  <si>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</si>
  <si>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</si>
  <si>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</si>
  <si>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</si>
  <si>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</si>
  <si>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</si>
  <si>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</si>
  <si>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</si>
  <si>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</si>
  <si>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</si>
  <si>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</si>
  <si>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</si>
  <si>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</si>
  <si>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</si>
  <si>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</si>
  <si>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</si>
  <si>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</si>
  <si>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</si>
  <si>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</si>
  <si>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</si>
  <si>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</si>
  <si>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</si>
  <si>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</si>
  <si>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</si>
  <si>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</si>
  <si>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</si>
  <si>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</si>
  <si>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</si>
  <si>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</si>
  <si>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</si>
  <si>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</si>
  <si>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</si>
  <si>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</si>
  <si>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</si>
  <si>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</si>
  <si>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</si>
  <si>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</si>
  <si>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</si>
  <si>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</si>
  <si>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</si>
  <si>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</si>
  <si>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</si>
  <si>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</si>
  <si>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</si>
  <si>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</si>
  <si>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</si>
  <si>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</si>
  <si>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</si>
  <si>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</si>
  <si>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</si>
  <si>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</si>
  <si>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</si>
  <si>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</si>
  <si>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</si>
  <si>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</si>
  <si>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</si>
  <si>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</si>
  <si>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</si>
  <si>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</si>
  <si>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</si>
  <si>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</si>
  <si>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</si>
  <si>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</si>
  <si>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</si>
  <si>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</si>
  <si>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</si>
  <si>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</si>
  <si>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</si>
  <si>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</si>
  <si>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</si>
  <si>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</si>
  <si>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</si>
  <si>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</si>
  <si>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</si>
  <si>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</si>
  <si>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</si>
  <si>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</si>
  <si>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</si>
  <si>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</si>
  <si>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</si>
  <si>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</si>
  <si>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</si>
  <si>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</si>
  <si>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</si>
  <si>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</si>
  <si>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</si>
  <si>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</si>
  <si>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</si>
  <si>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</si>
  <si>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</si>
  <si>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</si>
  <si>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</si>
  <si>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</si>
  <si>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</si>
  <si>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</si>
  <si>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</si>
  <si>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</si>
  <si>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</si>
  <si>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</si>
  <si>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</si>
  <si>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</si>
  <si>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</si>
  <si>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</si>
  <si>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</si>
  <si>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</si>
  <si>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</si>
  <si>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</si>
  <si>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</si>
  <si>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</si>
  <si>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</si>
  <si>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</si>
  <si>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</si>
  <si>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</si>
  <si>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</si>
  <si>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</si>
  <si>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</si>
  <si>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</si>
  <si>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</si>
  <si>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</si>
  <si>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</si>
  <si>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</si>
  <si>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</si>
  <si>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</si>
  <si>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</si>
  <si>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</si>
  <si>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</si>
  <si>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</si>
  <si>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</si>
  <si>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</si>
  <si>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</si>
  <si>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</si>
  <si>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</si>
  <si>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</si>
  <si>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</si>
  <si>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</si>
  <si>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</si>
  <si>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</si>
  <si>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</si>
  <si>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</si>
  <si>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</si>
  <si>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</si>
  <si>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</si>
  <si>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</si>
  <si>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</si>
  <si>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</si>
  <si>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</si>
  <si>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</si>
  <si>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</si>
  <si>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</si>
  <si>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</si>
  <si>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</si>
  <si>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</si>
  <si>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</si>
  <si>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</si>
  <si>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</si>
  <si>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</si>
  <si>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</si>
  <si>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</si>
  <si>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</si>
  <si>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</si>
  <si>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</si>
  <si>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</si>
  <si>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</si>
  <si>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</si>
  <si>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</si>
  <si>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</si>
  <si>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</si>
  <si>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</si>
  <si>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</si>
  <si>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</si>
  <si>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</si>
  <si>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</si>
  <si>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</si>
  <si>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</si>
  <si>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</si>
  <si>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</si>
  <si>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</si>
  <si>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</si>
  <si>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</si>
  <si>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</si>
  <si>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</si>
  <si>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</si>
  <si>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</si>
  <si>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</si>
  <si>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</si>
  <si>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</si>
  <si>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</si>
  <si>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</si>
  <si>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</si>
  <si>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</si>
  <si>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</si>
  <si>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</si>
  <si>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</si>
  <si>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</si>
  <si>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</si>
  <si>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</si>
  <si>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</si>
  <si>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</si>
  <si>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</si>
  <si>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</si>
  <si>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</si>
  <si>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</si>
  <si>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</si>
  <si>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</si>
  <si>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</si>
  <si>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</si>
  <si>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</si>
  <si>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</si>
  <si>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</si>
  <si>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</si>
  <si>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</si>
  <si>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</si>
  <si>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</si>
  <si>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</si>
  <si>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</si>
  <si>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</si>
  <si>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</si>
  <si>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</si>
  <si>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</si>
  <si>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</si>
  <si>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</si>
  <si>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</si>
  <si>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</si>
  <si>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</si>
  <si>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</si>
  <si>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</si>
  <si>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</si>
  <si>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</si>
  <si>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</si>
  <si>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</si>
  <si>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</si>
  <si>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</si>
  <si>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</si>
  <si>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</si>
  <si>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</si>
  <si>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</si>
  <si>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</si>
  <si>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</si>
  <si>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</si>
  <si>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</si>
  <si>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</si>
  <si>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</si>
  <si>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</si>
  <si>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</si>
  <si>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</si>
  <si>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</si>
  <si>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</si>
  <si>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</si>
  <si>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</si>
  <si>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</si>
  <si>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</si>
  <si>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</si>
  <si>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</si>
  <si>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</si>
  <si>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Poznámka:</t>
  </si>
  <si>
    <t>Kód</t>
  </si>
  <si>
    <t>111207110RT1</t>
  </si>
  <si>
    <t>121101102R00</t>
  </si>
  <si>
    <t>131101112R00</t>
  </si>
  <si>
    <t>131301111R00</t>
  </si>
  <si>
    <t>131301119R00</t>
  </si>
  <si>
    <t>132101212R00</t>
  </si>
  <si>
    <t>132301210R00</t>
  </si>
  <si>
    <t>132301219R00</t>
  </si>
  <si>
    <t>133101101R00</t>
  </si>
  <si>
    <t>162201102R00</t>
  </si>
  <si>
    <t>162701101R00</t>
  </si>
  <si>
    <t>167101102R00</t>
  </si>
  <si>
    <t>171101101RT1</t>
  </si>
  <si>
    <t>171201201R00</t>
  </si>
  <si>
    <t>174101101R00</t>
  </si>
  <si>
    <t>199000002R00</t>
  </si>
  <si>
    <t>180405111RT1</t>
  </si>
  <si>
    <t>181101102R00</t>
  </si>
  <si>
    <t>182101103R00</t>
  </si>
  <si>
    <t>212850002RAA</t>
  </si>
  <si>
    <t>271571111R00</t>
  </si>
  <si>
    <t>273313611R00</t>
  </si>
  <si>
    <t>273351215R00</t>
  </si>
  <si>
    <t>273351216R00</t>
  </si>
  <si>
    <t>273361921RT9</t>
  </si>
  <si>
    <t>274241010RT1</t>
  </si>
  <si>
    <t>274272160RT4</t>
  </si>
  <si>
    <t>274313711R00</t>
  </si>
  <si>
    <t>273313711R00</t>
  </si>
  <si>
    <t>274313711RT1</t>
  </si>
  <si>
    <t>274334110RA1</t>
  </si>
  <si>
    <t>274334110RA2</t>
  </si>
  <si>
    <t>274334110RA3</t>
  </si>
  <si>
    <t>274354032R00</t>
  </si>
  <si>
    <t>274354033R00</t>
  </si>
  <si>
    <t>274354034R00</t>
  </si>
  <si>
    <t>274361821R00</t>
  </si>
  <si>
    <t>274361921RT2</t>
  </si>
  <si>
    <t>311101211R00</t>
  </si>
  <si>
    <t>311101212R00</t>
  </si>
  <si>
    <t>311101213R00</t>
  </si>
  <si>
    <t>311112110RT4</t>
  </si>
  <si>
    <t>311238116R00</t>
  </si>
  <si>
    <t>317168112R00</t>
  </si>
  <si>
    <t>317168116R00</t>
  </si>
  <si>
    <t>317168131R00</t>
  </si>
  <si>
    <t>317168132R00</t>
  </si>
  <si>
    <t>317168133R00</t>
  </si>
  <si>
    <t>317168134R00</t>
  </si>
  <si>
    <t>317238111R00</t>
  </si>
  <si>
    <t>318261126R00</t>
  </si>
  <si>
    <t>327111111RT1</t>
  </si>
  <si>
    <t>342248109R00</t>
  </si>
  <si>
    <t>342248120R00</t>
  </si>
  <si>
    <t>342668121R00</t>
  </si>
  <si>
    <t>342948111R00</t>
  </si>
  <si>
    <t>346275115R00</t>
  </si>
  <si>
    <t>411133903RT3</t>
  </si>
  <si>
    <t>411388531RA1</t>
  </si>
  <si>
    <t>411389111RT1</t>
  </si>
  <si>
    <t>411389115RT1</t>
  </si>
  <si>
    <t>416061010RT1</t>
  </si>
  <si>
    <t>416061030RT1</t>
  </si>
  <si>
    <t>417321414R00</t>
  </si>
  <si>
    <t>417351115R00</t>
  </si>
  <si>
    <t>417351116R00</t>
  </si>
  <si>
    <t>417361821R00</t>
  </si>
  <si>
    <t>430320110RA0</t>
  </si>
  <si>
    <t>569111121RXX</t>
  </si>
  <si>
    <t>591104100RXX</t>
  </si>
  <si>
    <t>602011112RT3</t>
  </si>
  <si>
    <t>602011141RT2</t>
  </si>
  <si>
    <t>610991004R00</t>
  </si>
  <si>
    <t>610991111R00</t>
  </si>
  <si>
    <t>611451081RT1</t>
  </si>
  <si>
    <t>612409991RT2</t>
  </si>
  <si>
    <t>612421615R00</t>
  </si>
  <si>
    <t>612425931RT1</t>
  </si>
  <si>
    <t>612451081RT1</t>
  </si>
  <si>
    <t>612451090RT1</t>
  </si>
  <si>
    <t>612473186R00</t>
  </si>
  <si>
    <t>612473521R00</t>
  </si>
  <si>
    <t>612901113RT1</t>
  </si>
  <si>
    <t>620991121R00</t>
  </si>
  <si>
    <t>622300181RT2</t>
  </si>
  <si>
    <t>622311524RU2</t>
  </si>
  <si>
    <t>622311524RV2</t>
  </si>
  <si>
    <t>622311752RZ1</t>
  </si>
  <si>
    <t>622311752RZ2</t>
  </si>
  <si>
    <t>622311935RT3</t>
  </si>
  <si>
    <t>622311950R00</t>
  </si>
  <si>
    <t>622391521R00</t>
  </si>
  <si>
    <t>622421492R00</t>
  </si>
  <si>
    <t>622421494R00</t>
  </si>
  <si>
    <t>622473187RT2</t>
  </si>
  <si>
    <t>631313621R00</t>
  </si>
  <si>
    <t>632416250RT3</t>
  </si>
  <si>
    <t>632416255RT3</t>
  </si>
  <si>
    <t>634601210R00</t>
  </si>
  <si>
    <t>63140274</t>
  </si>
  <si>
    <t>900      RT1</t>
  </si>
  <si>
    <t>917862111R00</t>
  </si>
  <si>
    <t>59217330</t>
  </si>
  <si>
    <t>918101111R00</t>
  </si>
  <si>
    <t>919791101RA1</t>
  </si>
  <si>
    <t>941941031R00</t>
  </si>
  <si>
    <t>941941191R00</t>
  </si>
  <si>
    <t>941941831R00</t>
  </si>
  <si>
    <t>941955002R00</t>
  </si>
  <si>
    <t>941955004RT1</t>
  </si>
  <si>
    <t>944944011R00</t>
  </si>
  <si>
    <t>944944031R00</t>
  </si>
  <si>
    <t>944944081R00</t>
  </si>
  <si>
    <t>952901110R00</t>
  </si>
  <si>
    <t>952901111R00</t>
  </si>
  <si>
    <t>H01</t>
  </si>
  <si>
    <t>998011001R00</t>
  </si>
  <si>
    <t>711411001R00</t>
  </si>
  <si>
    <t>11163111</t>
  </si>
  <si>
    <t>711412001R00</t>
  </si>
  <si>
    <t>711441559R00</t>
  </si>
  <si>
    <t>6283291.R</t>
  </si>
  <si>
    <t>711442559R00</t>
  </si>
  <si>
    <t>711482091RZ1</t>
  </si>
  <si>
    <t>711491172RZ1</t>
  </si>
  <si>
    <t>998711101R00</t>
  </si>
  <si>
    <t>712311101R00</t>
  </si>
  <si>
    <t>712311109R00</t>
  </si>
  <si>
    <t>712341659RU1</t>
  </si>
  <si>
    <t>712371809RT1</t>
  </si>
  <si>
    <t>998712101R00</t>
  </si>
  <si>
    <t>713121111R00</t>
  </si>
  <si>
    <t>28376411.A</t>
  </si>
  <si>
    <t>28375850.2</t>
  </si>
  <si>
    <t>28376546</t>
  </si>
  <si>
    <t>713121121R00</t>
  </si>
  <si>
    <t>28376547</t>
  </si>
  <si>
    <t>713131131R00</t>
  </si>
  <si>
    <t>6314155.R</t>
  </si>
  <si>
    <t>28375850.3</t>
  </si>
  <si>
    <t>28376504</t>
  </si>
  <si>
    <t>28376508</t>
  </si>
  <si>
    <t>713134200RK2</t>
  </si>
  <si>
    <t>713141151R00</t>
  </si>
  <si>
    <t>713141163RT1</t>
  </si>
  <si>
    <t>713141220RT1</t>
  </si>
  <si>
    <t>713141221R00</t>
  </si>
  <si>
    <t>628522691.R</t>
  </si>
  <si>
    <t>998713101R00</t>
  </si>
  <si>
    <t>72111</t>
  </si>
  <si>
    <t>72112</t>
  </si>
  <si>
    <t>72113</t>
  </si>
  <si>
    <t>72121</t>
  </si>
  <si>
    <t>72122</t>
  </si>
  <si>
    <t>72123</t>
  </si>
  <si>
    <t>72124</t>
  </si>
  <si>
    <t>72131</t>
  </si>
  <si>
    <t>72132</t>
  </si>
  <si>
    <t>72133</t>
  </si>
  <si>
    <t>72134</t>
  </si>
  <si>
    <t>72135</t>
  </si>
  <si>
    <t>72141</t>
  </si>
  <si>
    <t>72142</t>
  </si>
  <si>
    <t>72143</t>
  </si>
  <si>
    <t>72144</t>
  </si>
  <si>
    <t>72145</t>
  </si>
  <si>
    <t>72146</t>
  </si>
  <si>
    <t>72147</t>
  </si>
  <si>
    <t>72148</t>
  </si>
  <si>
    <t>72149</t>
  </si>
  <si>
    <t>721410</t>
  </si>
  <si>
    <t>721411</t>
  </si>
  <si>
    <t>721412</t>
  </si>
  <si>
    <t>721413</t>
  </si>
  <si>
    <t>721414</t>
  </si>
  <si>
    <t>721415</t>
  </si>
  <si>
    <t>721416</t>
  </si>
  <si>
    <t>721417</t>
  </si>
  <si>
    <t>721418</t>
  </si>
  <si>
    <t>721419</t>
  </si>
  <si>
    <t>721420</t>
  </si>
  <si>
    <t>721421</t>
  </si>
  <si>
    <t>721422</t>
  </si>
  <si>
    <t>72151</t>
  </si>
  <si>
    <t>72152</t>
  </si>
  <si>
    <t>72161</t>
  </si>
  <si>
    <t>72162</t>
  </si>
  <si>
    <t>72163</t>
  </si>
  <si>
    <t>72164</t>
  </si>
  <si>
    <t>72165</t>
  </si>
  <si>
    <t>72166</t>
  </si>
  <si>
    <t>72171</t>
  </si>
  <si>
    <t>72181</t>
  </si>
  <si>
    <t>72182</t>
  </si>
  <si>
    <t>72183</t>
  </si>
  <si>
    <t>72184</t>
  </si>
  <si>
    <t>72185</t>
  </si>
  <si>
    <t>72186</t>
  </si>
  <si>
    <t>72187</t>
  </si>
  <si>
    <t>72211</t>
  </si>
  <si>
    <t>72212</t>
  </si>
  <si>
    <t>72213</t>
  </si>
  <si>
    <t>72214</t>
  </si>
  <si>
    <t>72215</t>
  </si>
  <si>
    <t>72221</t>
  </si>
  <si>
    <t>72222</t>
  </si>
  <si>
    <t>72231</t>
  </si>
  <si>
    <t>72232</t>
  </si>
  <si>
    <t>72233</t>
  </si>
  <si>
    <t>72234</t>
  </si>
  <si>
    <t>72235</t>
  </si>
  <si>
    <t>72236</t>
  </si>
  <si>
    <t>72237</t>
  </si>
  <si>
    <t>72238</t>
  </si>
  <si>
    <t>72241</t>
  </si>
  <si>
    <t>72242</t>
  </si>
  <si>
    <t>72243</t>
  </si>
  <si>
    <t>72244</t>
  </si>
  <si>
    <t>72245</t>
  </si>
  <si>
    <t>72246</t>
  </si>
  <si>
    <t>72247</t>
  </si>
  <si>
    <t>72248</t>
  </si>
  <si>
    <t>72249</t>
  </si>
  <si>
    <t>722410</t>
  </si>
  <si>
    <t>722411</t>
  </si>
  <si>
    <t>722412</t>
  </si>
  <si>
    <t>722413</t>
  </si>
  <si>
    <t>722414</t>
  </si>
  <si>
    <t>722415</t>
  </si>
  <si>
    <t>722416</t>
  </si>
  <si>
    <t>722417</t>
  </si>
  <si>
    <t>722418</t>
  </si>
  <si>
    <t>722419</t>
  </si>
  <si>
    <t>722420</t>
  </si>
  <si>
    <t>722421</t>
  </si>
  <si>
    <t>72251</t>
  </si>
  <si>
    <t>72252</t>
  </si>
  <si>
    <t>72253</t>
  </si>
  <si>
    <t>72254</t>
  </si>
  <si>
    <t>72255</t>
  </si>
  <si>
    <t>72256</t>
  </si>
  <si>
    <t>72257</t>
  </si>
  <si>
    <t>72258</t>
  </si>
  <si>
    <t>72259</t>
  </si>
  <si>
    <t>722510</t>
  </si>
  <si>
    <t>722511</t>
  </si>
  <si>
    <t>722512</t>
  </si>
  <si>
    <t>722513</t>
  </si>
  <si>
    <t>722514</t>
  </si>
  <si>
    <t>722515</t>
  </si>
  <si>
    <t>722516</t>
  </si>
  <si>
    <t>722517</t>
  </si>
  <si>
    <t>722518</t>
  </si>
  <si>
    <t>722519</t>
  </si>
  <si>
    <t>722520</t>
  </si>
  <si>
    <t>722521</t>
  </si>
  <si>
    <t>722522</t>
  </si>
  <si>
    <t>722523</t>
  </si>
  <si>
    <t>722524</t>
  </si>
  <si>
    <t>722525</t>
  </si>
  <si>
    <t>722526</t>
  </si>
  <si>
    <t>722527</t>
  </si>
  <si>
    <t>722528</t>
  </si>
  <si>
    <t>722529</t>
  </si>
  <si>
    <t>722530</t>
  </si>
  <si>
    <t>722531</t>
  </si>
  <si>
    <t>722532</t>
  </si>
  <si>
    <t>722533</t>
  </si>
  <si>
    <t>722534</t>
  </si>
  <si>
    <t>722535</t>
  </si>
  <si>
    <t>72271</t>
  </si>
  <si>
    <t>72272</t>
  </si>
  <si>
    <t>72281</t>
  </si>
  <si>
    <t>72282</t>
  </si>
  <si>
    <t>72283</t>
  </si>
  <si>
    <t>72284</t>
  </si>
  <si>
    <t>72285</t>
  </si>
  <si>
    <t>72286</t>
  </si>
  <si>
    <t>72287</t>
  </si>
  <si>
    <t>72288</t>
  </si>
  <si>
    <t>72289</t>
  </si>
  <si>
    <t>722810</t>
  </si>
  <si>
    <t>728101</t>
  </si>
  <si>
    <t>728101a</t>
  </si>
  <si>
    <t>728101b</t>
  </si>
  <si>
    <t>728101c</t>
  </si>
  <si>
    <t>728102</t>
  </si>
  <si>
    <t>728103</t>
  </si>
  <si>
    <t>728104</t>
  </si>
  <si>
    <t>728105</t>
  </si>
  <si>
    <t>728106</t>
  </si>
  <si>
    <t>728107</t>
  </si>
  <si>
    <t>728108</t>
  </si>
  <si>
    <t>728109</t>
  </si>
  <si>
    <t>728110</t>
  </si>
  <si>
    <t>728111</t>
  </si>
  <si>
    <t>728112</t>
  </si>
  <si>
    <t>728113</t>
  </si>
  <si>
    <t>728114</t>
  </si>
  <si>
    <t>728115</t>
  </si>
  <si>
    <t>728116</t>
  </si>
  <si>
    <t>728117</t>
  </si>
  <si>
    <t>728118</t>
  </si>
  <si>
    <t>728119</t>
  </si>
  <si>
    <t>728120</t>
  </si>
  <si>
    <t>728121</t>
  </si>
  <si>
    <t>728122</t>
  </si>
  <si>
    <t>728123</t>
  </si>
  <si>
    <t>728201</t>
  </si>
  <si>
    <t>728201a</t>
  </si>
  <si>
    <t>728201b</t>
  </si>
  <si>
    <t>728201c</t>
  </si>
  <si>
    <t>728202</t>
  </si>
  <si>
    <t>728203</t>
  </si>
  <si>
    <t>728204</t>
  </si>
  <si>
    <t>728205</t>
  </si>
  <si>
    <t>728206</t>
  </si>
  <si>
    <t>728301</t>
  </si>
  <si>
    <t>728302</t>
  </si>
  <si>
    <t>728303</t>
  </si>
  <si>
    <t>728304</t>
  </si>
  <si>
    <t>728305</t>
  </si>
  <si>
    <t>728306</t>
  </si>
  <si>
    <t>728307</t>
  </si>
  <si>
    <t>728308</t>
  </si>
  <si>
    <t>728309</t>
  </si>
  <si>
    <t>728310</t>
  </si>
  <si>
    <t>728311</t>
  </si>
  <si>
    <t>728312</t>
  </si>
  <si>
    <t>728313</t>
  </si>
  <si>
    <t>728314</t>
  </si>
  <si>
    <t>728315</t>
  </si>
  <si>
    <t>728316</t>
  </si>
  <si>
    <t>73111</t>
  </si>
  <si>
    <t>73112</t>
  </si>
  <si>
    <t>73113</t>
  </si>
  <si>
    <t>73121</t>
  </si>
  <si>
    <t>73122</t>
  </si>
  <si>
    <t>73123</t>
  </si>
  <si>
    <t>73131</t>
  </si>
  <si>
    <t>73132</t>
  </si>
  <si>
    <t>73133</t>
  </si>
  <si>
    <t>73134</t>
  </si>
  <si>
    <t>73135</t>
  </si>
  <si>
    <t>73136</t>
  </si>
  <si>
    <t>73137</t>
  </si>
  <si>
    <t>73138</t>
  </si>
  <si>
    <t>73139</t>
  </si>
  <si>
    <t>731310</t>
  </si>
  <si>
    <t>731311</t>
  </si>
  <si>
    <t>731312</t>
  </si>
  <si>
    <t>731313</t>
  </si>
  <si>
    <t>731314</t>
  </si>
  <si>
    <t>731315</t>
  </si>
  <si>
    <t>731316</t>
  </si>
  <si>
    <t>731317</t>
  </si>
  <si>
    <t>73141</t>
  </si>
  <si>
    <t>73142</t>
  </si>
  <si>
    <t>73143</t>
  </si>
  <si>
    <t>73151</t>
  </si>
  <si>
    <t>73152</t>
  </si>
  <si>
    <t>73153</t>
  </si>
  <si>
    <t>73154</t>
  </si>
  <si>
    <t>73155</t>
  </si>
  <si>
    <t>73156</t>
  </si>
  <si>
    <t>73157</t>
  </si>
  <si>
    <t>73158</t>
  </si>
  <si>
    <t>73159</t>
  </si>
  <si>
    <t>731510</t>
  </si>
  <si>
    <t>731511</t>
  </si>
  <si>
    <t>731512</t>
  </si>
  <si>
    <t>731513</t>
  </si>
  <si>
    <t>73161</t>
  </si>
  <si>
    <t>73162</t>
  </si>
  <si>
    <t>73163</t>
  </si>
  <si>
    <t>73171</t>
  </si>
  <si>
    <t>73172</t>
  </si>
  <si>
    <t>73173</t>
  </si>
  <si>
    <t>73174</t>
  </si>
  <si>
    <t>73181</t>
  </si>
  <si>
    <t>73182</t>
  </si>
  <si>
    <t>73183</t>
  </si>
  <si>
    <t>73184</t>
  </si>
  <si>
    <t>73185</t>
  </si>
  <si>
    <t>73186</t>
  </si>
  <si>
    <t>73187</t>
  </si>
  <si>
    <t>73188</t>
  </si>
  <si>
    <t>73189</t>
  </si>
  <si>
    <t>731810</t>
  </si>
  <si>
    <t>764AD01</t>
  </si>
  <si>
    <t>764AD02</t>
  </si>
  <si>
    <t>998764101R00</t>
  </si>
  <si>
    <t>766601211RT3</t>
  </si>
  <si>
    <t>766601229RT3</t>
  </si>
  <si>
    <t>766AD01</t>
  </si>
  <si>
    <t>766AD02</t>
  </si>
  <si>
    <t>766AD03</t>
  </si>
  <si>
    <t>766AD04</t>
  </si>
  <si>
    <t>766AD05</t>
  </si>
  <si>
    <t>766AD06</t>
  </si>
  <si>
    <t>766AD07</t>
  </si>
  <si>
    <t>766AD08</t>
  </si>
  <si>
    <t>766AD09</t>
  </si>
  <si>
    <t>766AD10</t>
  </si>
  <si>
    <t>766AD11</t>
  </si>
  <si>
    <t>766AD12</t>
  </si>
  <si>
    <t>766AD13</t>
  </si>
  <si>
    <t>766AD14</t>
  </si>
  <si>
    <t>766AD15</t>
  </si>
  <si>
    <t>766AD16</t>
  </si>
  <si>
    <t>766AD17</t>
  </si>
  <si>
    <t>766AD18</t>
  </si>
  <si>
    <t>766AD19</t>
  </si>
  <si>
    <t>766AD20</t>
  </si>
  <si>
    <t>766AD21</t>
  </si>
  <si>
    <t>766AD22</t>
  </si>
  <si>
    <t>766669221RT1</t>
  </si>
  <si>
    <t>766669231RT1</t>
  </si>
  <si>
    <t>998766101R00</t>
  </si>
  <si>
    <t>767AD01</t>
  </si>
  <si>
    <t>767AD02</t>
  </si>
  <si>
    <t>767AD03</t>
  </si>
  <si>
    <t>767AD04</t>
  </si>
  <si>
    <t>767AD05</t>
  </si>
  <si>
    <t>767AD06</t>
  </si>
  <si>
    <t>767AD07</t>
  </si>
  <si>
    <t>767AD08</t>
  </si>
  <si>
    <t>767AD09</t>
  </si>
  <si>
    <t>767AD10</t>
  </si>
  <si>
    <t>767AD11</t>
  </si>
  <si>
    <t>767AD12</t>
  </si>
  <si>
    <t>767AD13</t>
  </si>
  <si>
    <t>767AD14</t>
  </si>
  <si>
    <t>767AD15</t>
  </si>
  <si>
    <t>767669221RT1</t>
  </si>
  <si>
    <t>767669231RT1</t>
  </si>
  <si>
    <t>998767101R00</t>
  </si>
  <si>
    <t>771101143RT1</t>
  </si>
  <si>
    <t>771101149RT1</t>
  </si>
  <si>
    <t>771111122R00</t>
  </si>
  <si>
    <t>5537025511.R</t>
  </si>
  <si>
    <t>771130111R00</t>
  </si>
  <si>
    <t>59764241.R</t>
  </si>
  <si>
    <t>771575109R00</t>
  </si>
  <si>
    <t>597642031.R</t>
  </si>
  <si>
    <t>771579795R00</t>
  </si>
  <si>
    <t>998771101R00</t>
  </si>
  <si>
    <t>776101115R00</t>
  </si>
  <si>
    <t>776101121R00</t>
  </si>
  <si>
    <t>776421100R00</t>
  </si>
  <si>
    <t>28350268.R</t>
  </si>
  <si>
    <t>776521110R00</t>
  </si>
  <si>
    <t>28410110.R</t>
  </si>
  <si>
    <t>998776101R00</t>
  </si>
  <si>
    <t>781101210RT1</t>
  </si>
  <si>
    <t>781111111R00</t>
  </si>
  <si>
    <t>781111151R00</t>
  </si>
  <si>
    <t>5978221.R</t>
  </si>
  <si>
    <t>781280111RT1</t>
  </si>
  <si>
    <t>59782045.R</t>
  </si>
  <si>
    <t>781310121RT1</t>
  </si>
  <si>
    <t>597813700.R</t>
  </si>
  <si>
    <t>781320121RT1</t>
  </si>
  <si>
    <t>781419706R00</t>
  </si>
  <si>
    <t>781475115R00</t>
  </si>
  <si>
    <t>781479705RT4</t>
  </si>
  <si>
    <t>781578011RT4</t>
  </si>
  <si>
    <t>781491001R00</t>
  </si>
  <si>
    <t>5976016.R1</t>
  </si>
  <si>
    <t>5976016.R2</t>
  </si>
  <si>
    <t>5976016.R3</t>
  </si>
  <si>
    <t>998781101R00</t>
  </si>
  <si>
    <t>784011111R00</t>
  </si>
  <si>
    <t>784011121R00</t>
  </si>
  <si>
    <t>784011222RT2</t>
  </si>
  <si>
    <t>784195312R00</t>
  </si>
  <si>
    <t>784411301R00</t>
  </si>
  <si>
    <t>786622211RT2</t>
  </si>
  <si>
    <t>998786101R00</t>
  </si>
  <si>
    <t>791AD01</t>
  </si>
  <si>
    <t>791AD02</t>
  </si>
  <si>
    <t>791AD03</t>
  </si>
  <si>
    <t>791AD04</t>
  </si>
  <si>
    <t>791AD05</t>
  </si>
  <si>
    <t>791AD06</t>
  </si>
  <si>
    <t>791AD07</t>
  </si>
  <si>
    <t>791AD08</t>
  </si>
  <si>
    <t>791AD09</t>
  </si>
  <si>
    <t>791AD10</t>
  </si>
  <si>
    <t>M21+22</t>
  </si>
  <si>
    <t>971033141</t>
  </si>
  <si>
    <t>971033148</t>
  </si>
  <si>
    <t>973031324</t>
  </si>
  <si>
    <t>974082212</t>
  </si>
  <si>
    <t>974082214</t>
  </si>
  <si>
    <t>740991200</t>
  </si>
  <si>
    <t>742231100</t>
  </si>
  <si>
    <t>742231100D</t>
  </si>
  <si>
    <t>35711871R</t>
  </si>
  <si>
    <t>743112115</t>
  </si>
  <si>
    <t>345710510</t>
  </si>
  <si>
    <t>743112117</t>
  </si>
  <si>
    <t>345710940</t>
  </si>
  <si>
    <t>743112156</t>
  </si>
  <si>
    <t>345710018</t>
  </si>
  <si>
    <t>743411111</t>
  </si>
  <si>
    <t>345715210</t>
  </si>
  <si>
    <t>345715110</t>
  </si>
  <si>
    <t>345715240</t>
  </si>
  <si>
    <t>345715841</t>
  </si>
  <si>
    <t>743411121</t>
  </si>
  <si>
    <t>10033023</t>
  </si>
  <si>
    <t>743611121</t>
  </si>
  <si>
    <t>354410730</t>
  </si>
  <si>
    <t>743622200</t>
  </si>
  <si>
    <t>354420290</t>
  </si>
  <si>
    <t>743681100</t>
  </si>
  <si>
    <t>743681100D</t>
  </si>
  <si>
    <t>718111222</t>
  </si>
  <si>
    <t>341828522</t>
  </si>
  <si>
    <t>718111220</t>
  </si>
  <si>
    <t>341828520</t>
  </si>
  <si>
    <t>744211111</t>
  </si>
  <si>
    <t>341408256</t>
  </si>
  <si>
    <t>341408258</t>
  </si>
  <si>
    <t>341408260</t>
  </si>
  <si>
    <t>744211112</t>
  </si>
  <si>
    <t>341408270</t>
  </si>
  <si>
    <t>341408276</t>
  </si>
  <si>
    <t>744411220</t>
  </si>
  <si>
    <t>341110300R</t>
  </si>
  <si>
    <t>341110050R</t>
  </si>
  <si>
    <t>341110052R</t>
  </si>
  <si>
    <t>341114200R</t>
  </si>
  <si>
    <t>341110059R</t>
  </si>
  <si>
    <t>744411230</t>
  </si>
  <si>
    <t>341110380</t>
  </si>
  <si>
    <t>341110382</t>
  </si>
  <si>
    <t>341110940</t>
  </si>
  <si>
    <t>341110360</t>
  </si>
  <si>
    <t>744411260</t>
  </si>
  <si>
    <t>103541040R</t>
  </si>
  <si>
    <t>103541000R</t>
  </si>
  <si>
    <t>103541080R</t>
  </si>
  <si>
    <t>746211110</t>
  </si>
  <si>
    <t>21060624</t>
  </si>
  <si>
    <t>68500231</t>
  </si>
  <si>
    <t>68500240</t>
  </si>
  <si>
    <t>345723090</t>
  </si>
  <si>
    <t>746211140</t>
  </si>
  <si>
    <t>746591510</t>
  </si>
  <si>
    <t>10939562</t>
  </si>
  <si>
    <t>747111111</t>
  </si>
  <si>
    <t>345357691</t>
  </si>
  <si>
    <t>345357601</t>
  </si>
  <si>
    <t>345357601R1</t>
  </si>
  <si>
    <t>747111115</t>
  </si>
  <si>
    <t>345357695</t>
  </si>
  <si>
    <t>747111126</t>
  </si>
  <si>
    <t>345355554</t>
  </si>
  <si>
    <t>345355550</t>
  </si>
  <si>
    <t>747111128</t>
  </si>
  <si>
    <t>345357130</t>
  </si>
  <si>
    <t>747161060</t>
  </si>
  <si>
    <t>345551240R1</t>
  </si>
  <si>
    <t>345551250R1</t>
  </si>
  <si>
    <t>345551250R</t>
  </si>
  <si>
    <t>747161099</t>
  </si>
  <si>
    <t>345551245R</t>
  </si>
  <si>
    <t>345551245R2</t>
  </si>
  <si>
    <t>747161340a</t>
  </si>
  <si>
    <t>10048852Ra</t>
  </si>
  <si>
    <t>7471613479</t>
  </si>
  <si>
    <t>10048852Rb</t>
  </si>
  <si>
    <t>10048852Rc</t>
  </si>
  <si>
    <t>10048853R</t>
  </si>
  <si>
    <t>7471611476</t>
  </si>
  <si>
    <t>10048896R</t>
  </si>
  <si>
    <t>747161398a</t>
  </si>
  <si>
    <t>10048850Rb</t>
  </si>
  <si>
    <t>7471613085</t>
  </si>
  <si>
    <t>10048851R</t>
  </si>
  <si>
    <t>7471613906</t>
  </si>
  <si>
    <t>10048100R</t>
  </si>
  <si>
    <t>747161391</t>
  </si>
  <si>
    <t>10048109R</t>
  </si>
  <si>
    <t>747161308</t>
  </si>
  <si>
    <t>10048145R</t>
  </si>
  <si>
    <t>747161904</t>
  </si>
  <si>
    <t>10048285R</t>
  </si>
  <si>
    <t>747161900</t>
  </si>
  <si>
    <t>10048245R</t>
  </si>
  <si>
    <t>747161745</t>
  </si>
  <si>
    <t>10048005R</t>
  </si>
  <si>
    <t>7471000884</t>
  </si>
  <si>
    <t>7476513515R</t>
  </si>
  <si>
    <t>7471621R</t>
  </si>
  <si>
    <t>748121142</t>
  </si>
  <si>
    <t>34814435R</t>
  </si>
  <si>
    <t>34814435R1</t>
  </si>
  <si>
    <t>34814435R2</t>
  </si>
  <si>
    <t>34814435R3</t>
  </si>
  <si>
    <t>34814435R3a</t>
  </si>
  <si>
    <t>34814435R3aa</t>
  </si>
  <si>
    <t>34814435R3b</t>
  </si>
  <si>
    <t>3481443585R</t>
  </si>
  <si>
    <t>3481443585R1</t>
  </si>
  <si>
    <t>3481443585R2</t>
  </si>
  <si>
    <t>3481443585R3</t>
  </si>
  <si>
    <t>3481443585R4</t>
  </si>
  <si>
    <t>3481443585R5</t>
  </si>
  <si>
    <t>748121110R</t>
  </si>
  <si>
    <t>3481448130R6</t>
  </si>
  <si>
    <t>3481443585R6</t>
  </si>
  <si>
    <t>748121211</t>
  </si>
  <si>
    <t>348381000R</t>
  </si>
  <si>
    <t>74899220R</t>
  </si>
  <si>
    <t>748992300</t>
  </si>
  <si>
    <t>749115515</t>
  </si>
  <si>
    <t>340520000</t>
  </si>
  <si>
    <t>749322286</t>
  </si>
  <si>
    <t>340550876</t>
  </si>
  <si>
    <t>749300748</t>
  </si>
  <si>
    <t>340550123</t>
  </si>
  <si>
    <t>749115555</t>
  </si>
  <si>
    <t>340521555</t>
  </si>
  <si>
    <t>749008122</t>
  </si>
  <si>
    <t>340520874</t>
  </si>
  <si>
    <t>749115547</t>
  </si>
  <si>
    <t>340521048</t>
  </si>
  <si>
    <t>749115549</t>
  </si>
  <si>
    <t>340521518</t>
  </si>
  <si>
    <t>340521515</t>
  </si>
  <si>
    <t>340521868</t>
  </si>
  <si>
    <t>74991111R</t>
  </si>
  <si>
    <t>340550847R</t>
  </si>
  <si>
    <t>013254000</t>
  </si>
  <si>
    <t>013254000R</t>
  </si>
  <si>
    <t>071103000</t>
  </si>
  <si>
    <t>092103001</t>
  </si>
  <si>
    <t>092100008</t>
  </si>
  <si>
    <t>340520545R</t>
  </si>
  <si>
    <t>09210012</t>
  </si>
  <si>
    <t>092203041</t>
  </si>
  <si>
    <t>110101AD01</t>
  </si>
  <si>
    <t>110101AD02</t>
  </si>
  <si>
    <t>110101AD03</t>
  </si>
  <si>
    <t>110101AD04</t>
  </si>
  <si>
    <t>110101AD05</t>
  </si>
  <si>
    <t>110101AD06</t>
  </si>
  <si>
    <t>110101AD07</t>
  </si>
  <si>
    <t>111212111R00</t>
  </si>
  <si>
    <t>111212121R00</t>
  </si>
  <si>
    <t>112101101RT1</t>
  </si>
  <si>
    <t>112201101RT1</t>
  </si>
  <si>
    <t>113401AD01</t>
  </si>
  <si>
    <t>132201211R00</t>
  </si>
  <si>
    <t>132201219R00</t>
  </si>
  <si>
    <t>167101101R00</t>
  </si>
  <si>
    <t>184807111R00</t>
  </si>
  <si>
    <t>184807112R00</t>
  </si>
  <si>
    <t>185805AD01</t>
  </si>
  <si>
    <t>960111222RT1</t>
  </si>
  <si>
    <t>960111229RT1</t>
  </si>
  <si>
    <t>960111223R01</t>
  </si>
  <si>
    <t>961044111R00</t>
  </si>
  <si>
    <t>961044111R01</t>
  </si>
  <si>
    <t>961044111R02</t>
  </si>
  <si>
    <t>961044111R03</t>
  </si>
  <si>
    <t>962031113R00</t>
  </si>
  <si>
    <t>962031113R01</t>
  </si>
  <si>
    <t>962031113R02</t>
  </si>
  <si>
    <t>962031113R03</t>
  </si>
  <si>
    <t>962031116R00</t>
  </si>
  <si>
    <t>962031116R01</t>
  </si>
  <si>
    <t>962031116R02</t>
  </si>
  <si>
    <t>962031116R03</t>
  </si>
  <si>
    <t>962032231R00</t>
  </si>
  <si>
    <t>962032233R01</t>
  </si>
  <si>
    <t>963012520R00</t>
  </si>
  <si>
    <t>963013540RT1</t>
  </si>
  <si>
    <t>963013610R01</t>
  </si>
  <si>
    <t>963013610R02</t>
  </si>
  <si>
    <t>965042141RT4</t>
  </si>
  <si>
    <t>965042241RT5</t>
  </si>
  <si>
    <t>965043341RT3</t>
  </si>
  <si>
    <t>965045121RT3</t>
  </si>
  <si>
    <t>965049111RT2</t>
  </si>
  <si>
    <t>965049112RT2</t>
  </si>
  <si>
    <t>965081713RA1</t>
  </si>
  <si>
    <t>965081713RT1</t>
  </si>
  <si>
    <t>965081923R00</t>
  </si>
  <si>
    <t>965081921RT1</t>
  </si>
  <si>
    <t>965082933R00</t>
  </si>
  <si>
    <t>966079861R00</t>
  </si>
  <si>
    <t>966079881R00</t>
  </si>
  <si>
    <t>967042712R00</t>
  </si>
  <si>
    <t>968061112RA1</t>
  </si>
  <si>
    <t>968061113RA1</t>
  </si>
  <si>
    <t>968061125R00</t>
  </si>
  <si>
    <t>968062354R00</t>
  </si>
  <si>
    <t>968062355R00</t>
  </si>
  <si>
    <t>968062356R00</t>
  </si>
  <si>
    <t>968062991RT1</t>
  </si>
  <si>
    <t>968062991RT2</t>
  </si>
  <si>
    <t>968071126RA1</t>
  </si>
  <si>
    <t>968072455R00</t>
  </si>
  <si>
    <t>968072456R00</t>
  </si>
  <si>
    <t>969711111RT1</t>
  </si>
  <si>
    <t>969712111RT1</t>
  </si>
  <si>
    <t>969712119RT1</t>
  </si>
  <si>
    <t>969713111RT1</t>
  </si>
  <si>
    <t>969721111RT1</t>
  </si>
  <si>
    <t>969725111RT1</t>
  </si>
  <si>
    <t>969725112RT1</t>
  </si>
  <si>
    <t>969725115RT1</t>
  </si>
  <si>
    <t>969725113RT1</t>
  </si>
  <si>
    <t>969725114RT1</t>
  </si>
  <si>
    <t>969731111RT1</t>
  </si>
  <si>
    <t>969731112RT1</t>
  </si>
  <si>
    <t>969735111RT1</t>
  </si>
  <si>
    <t>969740111RT1</t>
  </si>
  <si>
    <t>969764111RT1</t>
  </si>
  <si>
    <t>969764112RT1</t>
  </si>
  <si>
    <t>969766111RT1</t>
  </si>
  <si>
    <t>976071111RT1</t>
  </si>
  <si>
    <t>976075711R01</t>
  </si>
  <si>
    <t>976075713R01</t>
  </si>
  <si>
    <t>976075714R01</t>
  </si>
  <si>
    <t>S</t>
  </si>
  <si>
    <t>979081111R00</t>
  </si>
  <si>
    <t>979081121R00</t>
  </si>
  <si>
    <t>979082111R00</t>
  </si>
  <si>
    <t>979082121R00</t>
  </si>
  <si>
    <t>979086112R00</t>
  </si>
  <si>
    <t>979087017R00</t>
  </si>
  <si>
    <t>979087018R00</t>
  </si>
  <si>
    <t>979951112R00</t>
  </si>
  <si>
    <t>979990101R00</t>
  </si>
  <si>
    <t>979990103R00</t>
  </si>
  <si>
    <t>979990105R00</t>
  </si>
  <si>
    <t>979990111R00</t>
  </si>
  <si>
    <t>979990121R00</t>
  </si>
  <si>
    <t>979990143R00</t>
  </si>
  <si>
    <t>979990144R00</t>
  </si>
  <si>
    <t>979990161R00</t>
  </si>
  <si>
    <t>979990201R00</t>
  </si>
  <si>
    <t>M21</t>
  </si>
  <si>
    <t>742231106</t>
  </si>
  <si>
    <t>742268400</t>
  </si>
  <si>
    <t>742268405</t>
  </si>
  <si>
    <t>742268485</t>
  </si>
  <si>
    <t>35711289R</t>
  </si>
  <si>
    <t>74281111R</t>
  </si>
  <si>
    <t>827411</t>
  </si>
  <si>
    <t>827412</t>
  </si>
  <si>
    <t>827413</t>
  </si>
  <si>
    <t>827421</t>
  </si>
  <si>
    <t>827422</t>
  </si>
  <si>
    <t>827423</t>
  </si>
  <si>
    <t>827424</t>
  </si>
  <si>
    <t>827425</t>
  </si>
  <si>
    <t>827426</t>
  </si>
  <si>
    <t>827427</t>
  </si>
  <si>
    <t>827428</t>
  </si>
  <si>
    <t>827431</t>
  </si>
  <si>
    <t>827441</t>
  </si>
  <si>
    <t>827451</t>
  </si>
  <si>
    <t>827452</t>
  </si>
  <si>
    <t>827453</t>
  </si>
  <si>
    <t>827454</t>
  </si>
  <si>
    <t>827455</t>
  </si>
  <si>
    <t>827456</t>
  </si>
  <si>
    <t>827457</t>
  </si>
  <si>
    <t>827458</t>
  </si>
  <si>
    <t>827459</t>
  </si>
  <si>
    <t>8274510</t>
  </si>
  <si>
    <t>8274511</t>
  </si>
  <si>
    <t>8274512</t>
  </si>
  <si>
    <t>8274513</t>
  </si>
  <si>
    <t>8274514</t>
  </si>
  <si>
    <t>8274515</t>
  </si>
  <si>
    <t>827461</t>
  </si>
  <si>
    <t>827462</t>
  </si>
  <si>
    <t>827463</t>
  </si>
  <si>
    <t>827471</t>
  </si>
  <si>
    <t>827472</t>
  </si>
  <si>
    <t>827473</t>
  </si>
  <si>
    <t>827474</t>
  </si>
  <si>
    <t>827475</t>
  </si>
  <si>
    <t>827476</t>
  </si>
  <si>
    <t>827477</t>
  </si>
  <si>
    <t>827478</t>
  </si>
  <si>
    <t>827479</t>
  </si>
  <si>
    <t>8274710</t>
  </si>
  <si>
    <t>8274711</t>
  </si>
  <si>
    <t>827511</t>
  </si>
  <si>
    <t>827512</t>
  </si>
  <si>
    <t>827513</t>
  </si>
  <si>
    <t>827514</t>
  </si>
  <si>
    <t>827521</t>
  </si>
  <si>
    <t>827522</t>
  </si>
  <si>
    <t>827523</t>
  </si>
  <si>
    <t>827524</t>
  </si>
  <si>
    <t>827525</t>
  </si>
  <si>
    <t>827526</t>
  </si>
  <si>
    <t>827527</t>
  </si>
  <si>
    <t>827528</t>
  </si>
  <si>
    <t>827529</t>
  </si>
  <si>
    <t>8275210</t>
  </si>
  <si>
    <t>8275211</t>
  </si>
  <si>
    <t>8275212</t>
  </si>
  <si>
    <t>827531</t>
  </si>
  <si>
    <t>827532</t>
  </si>
  <si>
    <t>827533</t>
  </si>
  <si>
    <t>827541</t>
  </si>
  <si>
    <t>827551</t>
  </si>
  <si>
    <t>827552</t>
  </si>
  <si>
    <t>827553</t>
  </si>
  <si>
    <t>827554</t>
  </si>
  <si>
    <t>827555</t>
  </si>
  <si>
    <t>827556</t>
  </si>
  <si>
    <t>827557</t>
  </si>
  <si>
    <t>827558</t>
  </si>
  <si>
    <t>827559</t>
  </si>
  <si>
    <t>8275510</t>
  </si>
  <si>
    <t>8275511</t>
  </si>
  <si>
    <t>8275512</t>
  </si>
  <si>
    <t>8275513</t>
  </si>
  <si>
    <t>8275514</t>
  </si>
  <si>
    <t>8275515</t>
  </si>
  <si>
    <t>8275516</t>
  </si>
  <si>
    <t>8275517</t>
  </si>
  <si>
    <t>8275518</t>
  </si>
  <si>
    <t>827561</t>
  </si>
  <si>
    <t>827562</t>
  </si>
  <si>
    <t>827571</t>
  </si>
  <si>
    <t>827572</t>
  </si>
  <si>
    <t>827573</t>
  </si>
  <si>
    <t>827574</t>
  </si>
  <si>
    <t>827575</t>
  </si>
  <si>
    <t>827576</t>
  </si>
  <si>
    <t>827577</t>
  </si>
  <si>
    <t>827578</t>
  </si>
  <si>
    <t>827579</t>
  </si>
  <si>
    <t>8275710</t>
  </si>
  <si>
    <t>8275711</t>
  </si>
  <si>
    <t>8275712</t>
  </si>
  <si>
    <t>8275713</t>
  </si>
  <si>
    <t>827611</t>
  </si>
  <si>
    <t>827612</t>
  </si>
  <si>
    <t>827621</t>
  </si>
  <si>
    <t>827622</t>
  </si>
  <si>
    <t>827623</t>
  </si>
  <si>
    <t>827624</t>
  </si>
  <si>
    <t>827625</t>
  </si>
  <si>
    <t>827626</t>
  </si>
  <si>
    <t>827627</t>
  </si>
  <si>
    <t>827628</t>
  </si>
  <si>
    <t>827629</t>
  </si>
  <si>
    <t>827631</t>
  </si>
  <si>
    <t>827641</t>
  </si>
  <si>
    <t>827651</t>
  </si>
  <si>
    <t>827652</t>
  </si>
  <si>
    <t>827653</t>
  </si>
  <si>
    <t>827654</t>
  </si>
  <si>
    <t>827655</t>
  </si>
  <si>
    <t>827656</t>
  </si>
  <si>
    <t>827657</t>
  </si>
  <si>
    <t>827658</t>
  </si>
  <si>
    <t>827661</t>
  </si>
  <si>
    <t>827662</t>
  </si>
  <si>
    <t>827671</t>
  </si>
  <si>
    <t>827672</t>
  </si>
  <si>
    <t>827673</t>
  </si>
  <si>
    <t>827674</t>
  </si>
  <si>
    <t>827675</t>
  </si>
  <si>
    <t>827676</t>
  </si>
  <si>
    <t>827677</t>
  </si>
  <si>
    <t>827678</t>
  </si>
  <si>
    <t>0</t>
  </si>
  <si>
    <t>005122050R</t>
  </si>
  <si>
    <t>005122030R</t>
  </si>
  <si>
    <t>005122010R</t>
  </si>
  <si>
    <t>005261010R</t>
  </si>
  <si>
    <t>005124010R</t>
  </si>
  <si>
    <t>005231050R</t>
  </si>
  <si>
    <t>005231010R</t>
  </si>
  <si>
    <t>005121040R</t>
  </si>
  <si>
    <t>005121020R</t>
  </si>
  <si>
    <t>005241020R</t>
  </si>
  <si>
    <t>005241040R</t>
  </si>
  <si>
    <t>005241010R</t>
  </si>
  <si>
    <t>005241030R</t>
  </si>
  <si>
    <t>Dostavba pavilonu ZŠ speciální Jižní, Česká Lípa</t>
  </si>
  <si>
    <t>- demolice a novostavba pavilonu E</t>
  </si>
  <si>
    <t>Zkrácený popis / Varianta</t>
  </si>
  <si>
    <t>Rozměry</t>
  </si>
  <si>
    <t>Novostavba pavilonu E</t>
  </si>
  <si>
    <t>Přípravné a přidružené práce</t>
  </si>
  <si>
    <t>Prořez stromu, svah 1:4 -jihozáp.strana</t>
  </si>
  <si>
    <t>Odkopávky a prokopávky</t>
  </si>
  <si>
    <t>Sejmutí ornice s přemíst.do 100 m a pro zpět.použ.vč.převrstvení</t>
  </si>
  <si>
    <t>Hloubené vykopávky</t>
  </si>
  <si>
    <t>Hloubení nezapaž. jam hor.2 do 1000 m3</t>
  </si>
  <si>
    <t>Hloubení nezapaž. jam hor.4 do 100 m3</t>
  </si>
  <si>
    <t>Příplatek za lepivost - hloubení nezap.jam v hor.4</t>
  </si>
  <si>
    <t>Hloubení rýh š.do 200 cm hor.2 do 1000 m3</t>
  </si>
  <si>
    <t>Hloubení rýh š.do 200 cm hor.4 do 50 m3</t>
  </si>
  <si>
    <t>Přípl.za lepivost,hloubení rýh 200cm,hor.4</t>
  </si>
  <si>
    <t>Hloubení šachet v hor.2 do 100 m3</t>
  </si>
  <si>
    <t>Přemístění výkopku</t>
  </si>
  <si>
    <t>Vodorovné přemístění výkopku z hor.1-4 do 50 m -na deponii</t>
  </si>
  <si>
    <t>Vodorovné přemístění výkopku z hor.1-4 do 50 m -z deponie zpět -zásyp+násyp</t>
  </si>
  <si>
    <t>Vodorovné přemístění výkopku z hor.1-4 do 6000 m -na skládku</t>
  </si>
  <si>
    <t>Nakládání výkopku z hor.1-4 v množství nad 100 m3 -na deponii, poté pro zásyp (2x)</t>
  </si>
  <si>
    <t>Nakládání výkopku z hor.1-4 v množství nad 100 m3 -odvoz na skládku</t>
  </si>
  <si>
    <t>Konstrukce ze zemin</t>
  </si>
  <si>
    <t>Navýšení terénu u jižní hranice pozemku</t>
  </si>
  <si>
    <t>Uložení sypaniny na skl.-sypanina na výšku přes 2m -deponie</t>
  </si>
  <si>
    <t>Uložení sypaniny na skl.-sypanina na výšku přes 2m -skládka</t>
  </si>
  <si>
    <t>Zásyp jam, rýh, šachet se zhutněním -výkopkem, se zhutněním po vrstvách</t>
  </si>
  <si>
    <t>Poplatek za skládku horniny 1- 4   -výkopek-skládkovné</t>
  </si>
  <si>
    <t>Povrchové úpravy terénu</t>
  </si>
  <si>
    <t>Osetí upraveného terénu travním semenem</t>
  </si>
  <si>
    <t>Úprava pláně v zářezech, násypech v hor. 1-4, se zhutněním</t>
  </si>
  <si>
    <t>Svahování terénu v hor. 1 - 4 -vstup a únikové východy</t>
  </si>
  <si>
    <t>Úprava podloží a základové spáry</t>
  </si>
  <si>
    <t>Drenáž podél základu objektu z dren. trub d 125 mm, bet.lože, obsyp kamenivo, geotextilie,reviz.šachta</t>
  </si>
  <si>
    <t>Základy</t>
  </si>
  <si>
    <t>Polštář základu ze štěrkopísku tříděného, hutněného po vrstvách -50% stáv.přeložený, 50% nový</t>
  </si>
  <si>
    <t>Beton základových desek prostý C 16/20 podkladní, lokální</t>
  </si>
  <si>
    <t>Bednění stěn základových desek - zřízení</t>
  </si>
  <si>
    <t>Bednění stěn základových desek - odstranění</t>
  </si>
  <si>
    <t>Výztuž základových desek ze svařovaných sítí, průměr drátu  8,0, oka 150/150 mm KY80</t>
  </si>
  <si>
    <t>Napojení nových základových pasů na stávající</t>
  </si>
  <si>
    <t>Zdivo základové z bednicích tvárnic, tl. 50 cm, výplň tvárnic betonem C 25/30 XC3,XF1,XA2, vč.zdi u vstupu do 1.PP</t>
  </si>
  <si>
    <t>Beton základových pasů C25/30 XC3 XF1 XA2</t>
  </si>
  <si>
    <t>Beton základových desek C25/30 XC3 XF1 XA2</t>
  </si>
  <si>
    <t>Přibetonování stáv.zákl.pasů betonem C25/30 XC3 XF1 XA2</t>
  </si>
  <si>
    <t>Osaz.+dodávka-ocel.chránička DN125+vrtání zákl.pasem tl.500mm</t>
  </si>
  <si>
    <t>Osaz.+dodávka-ocel.chránička DN100+vrtání zákl.pasem tl.500mm</t>
  </si>
  <si>
    <t>Osaz.+dodávka-ocel.chránička DN100+vrtání zákl.pasem tl.600mm</t>
  </si>
  <si>
    <t>Bednění prostupu základem do 0,05 m2, dl.0,5 m -dl.500 1x + dl.600 2x + dl.650 1x</t>
  </si>
  <si>
    <t>Bednění prostupu základem do 0,05 m2, dl.1,0 m -dl.1100 1x</t>
  </si>
  <si>
    <t>Bednění prostupu základem do 0,05 m2, dl.1,5 m -dl.1300 1x</t>
  </si>
  <si>
    <t>Výztuž základ. pasů z betonářské oceli 10505 (R)</t>
  </si>
  <si>
    <t>Výztuž základových pasů ze svařovaných sítí, průměr drátu  5,0, oka 100/100 mm KD35 -přibetonování</t>
  </si>
  <si>
    <t>Zdi podpěrné a volné</t>
  </si>
  <si>
    <t>Vytvoření prostupů pl. do 0,02 m2 v nosných i nenosných zdech</t>
  </si>
  <si>
    <t>Vytvoření prostupů pl. do 0,05 m2 v nosných i nenosných zdech</t>
  </si>
  <si>
    <t>Vytvoření prostupů pl. do 0,10 m2 v nosných i nenosných zdech</t>
  </si>
  <si>
    <t>Přizdívka z tvárnic ztraceného bednění, tl. 15 cm, zalití tvárnic betonem C 25/30 -skladba D, bod 2</t>
  </si>
  <si>
    <t>Zdivo z keram.dutin.tvárnic na tenkovrstvou lepící maltu, tl. 300 mm</t>
  </si>
  <si>
    <t>Zdivo z keram.dutin.tvárnic na tenkovrstvou lepící maltu, tl. 300 mm -atika</t>
  </si>
  <si>
    <t>Překlad keramo-betonový plochý 115x71x1250 mm ozn.P7, P8</t>
  </si>
  <si>
    <t>Překlad keramo-betonový plochý 115x71x2250 mm ozn.P6</t>
  </si>
  <si>
    <t>Překlad keramo-betonový vysoký 70x238x1250 mm ozn.P4</t>
  </si>
  <si>
    <t>Překlad keramo-betonový vysoký 70x238x1500 mm ozn.P3</t>
  </si>
  <si>
    <t>Překlad keramo-betonový vysoký 70x238x1750 mm ozn.P2</t>
  </si>
  <si>
    <t>Překlad keramo-betonový vysoký 70x238x2000 mm ozn.P1, P5</t>
  </si>
  <si>
    <t>Nadezdívka překladů š. 115 mm na MVC 5</t>
  </si>
  <si>
    <t>Stříška zídky, plotu ze zákryt.beton.desek, šířka 500 ozn. Os09 -provedení dle PD</t>
  </si>
  <si>
    <t>Zdi přehradní a opěrné</t>
  </si>
  <si>
    <t>Osazení svahových tvárnic, vč.dodávky ozn.Os12 -úplné provedení dle popisu v PD</t>
  </si>
  <si>
    <t>Stěny a příčky</t>
  </si>
  <si>
    <t>Příčky z keram.dutin.cihel P10 tl. 80 mm</t>
  </si>
  <si>
    <t>Příčky z keram.dutin.cihel P10 tl. 115 mm</t>
  </si>
  <si>
    <t>Těsnění styku příčky se stropem EPS tl.20 mm</t>
  </si>
  <si>
    <t>Ukotvení příček k cihel.konstr. kotvami na hmožd.</t>
  </si>
  <si>
    <t>Instalační přizdívky z tvárnic plynosilikátových P2-500 tl.150mm</t>
  </si>
  <si>
    <t>Stropy a stropní konstrukce (pro pozemní stavby)</t>
  </si>
  <si>
    <t>Mtž str.panelů tl.250mm z př.bet.Spiroll vč.dodání+zálivka C16/20-XC1 a výztuž</t>
  </si>
  <si>
    <t>Dobetonávka stropů vč.bednění, podpěr.kcí a výztuže</t>
  </si>
  <si>
    <t>Prostupy ve stropech z panelů do 0,25m2 -úplné provedení</t>
  </si>
  <si>
    <t>Prostupy ve stropech z panelů přes 1m2 -kompletní provedení</t>
  </si>
  <si>
    <t>Rastrový kazetový podhled tl.12,5mm se zavěš.rastrem 600x600mm</t>
  </si>
  <si>
    <t>Akustický kazetový podhled tl.15mm se zavěš.rastrem 600x600mm</t>
  </si>
  <si>
    <t>Ztužující pásy a věnce z betonu železového C 25/30-XC1</t>
  </si>
  <si>
    <t>Ztužující pásy a věnce z betonu železového C 25/30-XC1 -obručové</t>
  </si>
  <si>
    <t>Ztužující pásy a věnce z betonu železového C 25/30-XC1 -atika -dle detailu 5</t>
  </si>
  <si>
    <t>Bednění ztužujících pásů a věnců - zřízení</t>
  </si>
  <si>
    <t>Bednění ztužujících pásů a věnců - zřízení -obručové</t>
  </si>
  <si>
    <t>Bednění ztužujících pásů a věnců - zřízení -atika</t>
  </si>
  <si>
    <t>Bednění ztužujících pásů a věnců - odstranění</t>
  </si>
  <si>
    <t>Bednění ztužujících pásů a věnců - odstranění -obručové</t>
  </si>
  <si>
    <t>Bednění ztužujících pásů a věnců - odstranění -atika</t>
  </si>
  <si>
    <t>Výztuž ztužujících pásů a věnců z oceli 10505(R)</t>
  </si>
  <si>
    <t>Výztuž ztužujících pásů a věnců z oceli 10505(R) -obručové</t>
  </si>
  <si>
    <t>Výztuž ztužujících pásů a věnců z oceli 10505(R) -atika</t>
  </si>
  <si>
    <t>Schodiště</t>
  </si>
  <si>
    <t>Nové venkovní schodiště do 1.PP -skladba J, body 1-4</t>
  </si>
  <si>
    <t>Podkladní vrstvy komunikací, letišť a ploch</t>
  </si>
  <si>
    <t>Kce okap.chodníku-geotextilie, kačírek</t>
  </si>
  <si>
    <t>Kryty pozemních komunikací, letišť a ploch dlážděných (předlažby)</t>
  </si>
  <si>
    <t>Nové chodníky z betonové dlažby -skladba G, bod 1-7</t>
  </si>
  <si>
    <t>Úprava povrchů vnitřní</t>
  </si>
  <si>
    <t>Omítka stěn vápenocementová jádrová ručně, tl.vrstvy 15 mm -skladba A, bod 7</t>
  </si>
  <si>
    <t>Štuk na stěnách vnitřní hlazený, tl.vrstvy 1 mm -skladba A, bod 8</t>
  </si>
  <si>
    <t>Začišťovací okenní lišta pro vnitř.omítku tl. 15mm</t>
  </si>
  <si>
    <t>Zakrývání výplní vnitřních otvorů</t>
  </si>
  <si>
    <t>Úprava beton.stropů penetračním uzavíracím nátěrem -skladba P3, bod 10 + P4, bod 10 + S, bod 8</t>
  </si>
  <si>
    <t>Začištění omítek kolem oken,dveří apod. s použitím suché maltové směsi</t>
  </si>
  <si>
    <t>Omítka stěrková s adhezním můstkem pod obklady</t>
  </si>
  <si>
    <t>Omítka vápenná vnitřního ostění - štuková s použitím suché maltové směsi</t>
  </si>
  <si>
    <t>Úprava beton.stěn penetračním uzavíracím nátěrem -skladba C, bod 7 + D, bod 6</t>
  </si>
  <si>
    <t>Zednické zapravení parapetu -viz detail Det3</t>
  </si>
  <si>
    <t>Příplatek za zabudované rohovníky, stěny</t>
  </si>
  <si>
    <t>Příplatek k vnitřním omítkám stěn za systémové doplňky a příslušenství</t>
  </si>
  <si>
    <t>Úprava plynosilikát.stěn adhézním můstkem -mimo obklady</t>
  </si>
  <si>
    <t>Úprava povrchů vnější</t>
  </si>
  <si>
    <t>Zakrývání výplní vnějších otvorů z lešení</t>
  </si>
  <si>
    <t>Montáž chráničky kabelu do zateplení z polystyrenu, vč. chráničky DN 40 mm</t>
  </si>
  <si>
    <t>Zateplovací systém, sokl, XPS tl. 140 mm s mozaik.omítkou -skladba B, bod 1-8</t>
  </si>
  <si>
    <t>vyrovnávací vápcem.omítka + dvojitá HI stěrka na bázi bitumenu (napojení na vodorovnou) + XPS tl.140mm + lep. stěrka se zvýš.hydrofob.,se sklotext.síťovinou 160g/m2 + HI nátěr pro sokly + zákl.nátěr + mozaik.omítka zrn.1,2mm</t>
  </si>
  <si>
    <t>Zateplovací systém, sokl, XPS tl. 140 mm s nop.folií -skladba C, body 2, 3, 4, 5</t>
  </si>
  <si>
    <t>dvojitá HI stěrka na bázi bitumenu (napojení na vodorovnou) + lep.stěrka na bázi bitumenu + XPS tl.140mm + geotextilie 500g/m2 + nopová folie, v.nopu cca 13 mm</t>
  </si>
  <si>
    <t>Zatepl.syst.-spádový klín z XPS 5-25 mm pod parapet vnější</t>
  </si>
  <si>
    <t>Zatepl.syst.-izolace XPS desky pod parapet vnitřní</t>
  </si>
  <si>
    <t>Zateplovací systém, fasáda, sendvič.desky 160 mm s omítkou silikon. -skladba A, bod 1-5</t>
  </si>
  <si>
    <t>vyrovnávací a lepící hmota do 10 mm + izolant MW+EPS šedý tl.160mm + lep.stěrka vyzt.vlákny se sklotextilní síťovinou 160g/m2 + zákl.nátěr + tenkovsrtv.silikon.probarv.omítka zrn.1,5mm</t>
  </si>
  <si>
    <t>Povrchová úprava ostění KZS se sendvič.deskami</t>
  </si>
  <si>
    <t>Příplatek ke KZS a fasádnímu systému za systémové doplňky a příslušenství</t>
  </si>
  <si>
    <t>Doplňky zatepl. systémů, okenní lišta s tkaninou</t>
  </si>
  <si>
    <t>Doplňky zatepl. systémů, podparapetní lišta s tkan</t>
  </si>
  <si>
    <t>Příplatek za okenní lištu (APU) - montáž, včetně dodávky lišty</t>
  </si>
  <si>
    <t>Podlahy a podlahové konstrukce</t>
  </si>
  <si>
    <t>Mazanina betonová tl. 8 - 12 cm C 20/25 -skladba P5, bod 3</t>
  </si>
  <si>
    <t>Litý samoniv.rychleschn.potěr CT-C30-F5 vč.dilatací v ploše tl.52mm -skladba P1, bod 3</t>
  </si>
  <si>
    <t>Litý samoniv.rychleschn.potěr CT-C30-F5 vč.dilatací v ploše tl.59mm -skladba P2, bod 3 + P3, bod 3 + P4, bod 3</t>
  </si>
  <si>
    <t>Pás dilatační mezi podlahou a svislými kcemi</t>
  </si>
  <si>
    <t>Pásek dilatační okrajový 120x10x1000 mm</t>
  </si>
  <si>
    <t>Hodinové zúčtovací sazby (HZS)</t>
  </si>
  <si>
    <t>HZS Stavební přípomoce pro profese</t>
  </si>
  <si>
    <t>Doplňující konstrukce a práce na pozemních komunikacích a zpevněných plochách</t>
  </si>
  <si>
    <t>Osazení stojat. obrub.bet. s opěrou,lože z C 12/15 ozn.Os11</t>
  </si>
  <si>
    <t>Obrubník záhonový  ABO 100-5/20 1000x50x200 mm</t>
  </si>
  <si>
    <t>Lože pod obrubníky nebo obruby dlažeb z C 12/15</t>
  </si>
  <si>
    <t>Instalace a oprava herních prvků dle popisu v PD -úplné provedenÍ vč.dopadových ploch</t>
  </si>
  <si>
    <t>Pružinové houpadlo - 2x, Dvouhoupadlo - 1x, Houpačka  - 1x, Pískoviště D=4,4m - 1x, Lavička - 2x,_x000D_
Týpí - 1x, Kočár - 1x, Hrad se skluzavkou - 1x, Socha-ČÁP A OREL - 2X</t>
  </si>
  <si>
    <t>Lešení a stavební výtahy</t>
  </si>
  <si>
    <t>Montáž lešení leh.řad.s podlahami,š.do 1 m, H 10 m</t>
  </si>
  <si>
    <t>Příplatek za každý měsíc použití lešení k pol.1031</t>
  </si>
  <si>
    <t>Demontáž lešení leh.řad.s podlahami,š.1 m, H 10 m</t>
  </si>
  <si>
    <t>Lešení lehké pomocné, výška podlahy do 1,9 m</t>
  </si>
  <si>
    <t>Lešení lehké pomocné -pro montáž podhledů</t>
  </si>
  <si>
    <t>Montáž ochranné sítě z umělých vláken</t>
  </si>
  <si>
    <t>Příplatek za každý měsíc použití sítí k pol. 4011</t>
  </si>
  <si>
    <t>Demontáž ochranné sítě z umělých vláken</t>
  </si>
  <si>
    <t>Různé dokončovací konstrukce a práce na pozemních stavbách</t>
  </si>
  <si>
    <t>Čištění mytím vnějších ploch oken a dveří oboustranně</t>
  </si>
  <si>
    <t>Vyčištění budov o výšce podlaží do 4 m</t>
  </si>
  <si>
    <t>Budovy občanské výstavby</t>
  </si>
  <si>
    <t>Přesun hmot pro budovy zděné výšky do 6 m</t>
  </si>
  <si>
    <t>Izolace proti vodě</t>
  </si>
  <si>
    <t>Izolace tlak. voda, vodorov. za stud. nátěr ALP -skladba P1, bod 9 + P2, bod 9 + P5, bod 9</t>
  </si>
  <si>
    <t>Lak asfaltový penetrační</t>
  </si>
  <si>
    <t>Izolace, tlak. voda, svis. za stud. nátěr ALP -skladba D, bod 4</t>
  </si>
  <si>
    <t>Izolace, tlak. voda, vodor. pásy NAIP přitavením -skladba P1, bod 8 + P2, bod 8 + P5, bod 8 + P4, bod 8 + P3, bod 8</t>
  </si>
  <si>
    <t>SBS modif.asf.pás tl.5mm s posypem</t>
  </si>
  <si>
    <t>Izolace, tlak. voda, svislá pásy NAIP přitavením -skladba D, bod 3</t>
  </si>
  <si>
    <t>Prostupy hydroizolací pomocí manžet v plynotěsném provedení</t>
  </si>
  <si>
    <t>Položení netk.textilie jako ochr.a separ.vrstva vč.dodávky a přesahů -skladba P1, bod 7 + P2, bod 7 + P5, bod 7 + P4, bod 7 + P3, bod 7</t>
  </si>
  <si>
    <t>Přesun hmot pro izolace proti vodě, výšky do 6 m</t>
  </si>
  <si>
    <t>Izolace střech (živičné krytiny)</t>
  </si>
  <si>
    <t>Povlaková krytina střech do 10°, za studena ALP -skladba S, bod 6</t>
  </si>
  <si>
    <t>Povlaková krytina střech do 10°, za studena ALP -vytaž.na atiku -skladba S, bod 6</t>
  </si>
  <si>
    <t>M+D Hydroizolace asf.modif.SBS pás s posypem s al vložkou vč.přesahů -skladba S, bod 1</t>
  </si>
  <si>
    <t>M+D prostupy střešní krytinou -úplné provedení</t>
  </si>
  <si>
    <t>Přesun hmot pro povlakové krytiny, výšky do 6 m</t>
  </si>
  <si>
    <t>Izolace tepelné</t>
  </si>
  <si>
    <t>Izolace tepelná podlah na sucho, jednovrstvá -skladba P5, bod 5</t>
  </si>
  <si>
    <t>Deska polystyrenová XPS  tl. 100 mm</t>
  </si>
  <si>
    <t>Izolace tepelná podlah na sucho, jednovrstvá -skladba P1, bod 6 + P2, bod 6 + P3, bod 6 + P4, bod 6 + P5, bod 6</t>
  </si>
  <si>
    <t>Deska polystyrenová EPS 150 S Stabil tl. 5-15 mm</t>
  </si>
  <si>
    <t>Izolace tepelná podlah na sucho, jednovrstvá -skladba P1, bod 5 + P2, bod 5 + P3, bod 5 + P4, bod 5</t>
  </si>
  <si>
    <t>Deska izolační PIR - Alu fólie tl. 50 mm</t>
  </si>
  <si>
    <t>Izolace tepelná podlah na sucho, dvouvrstvá -skladba P1, bod 5 + P2, bod 5 + P3, bod 5 + P4, bod 5</t>
  </si>
  <si>
    <t>Deska izolační PIR - Alu fólie tl. 60 mm</t>
  </si>
  <si>
    <t>Izolace tepelná stěn lepením -věnce</t>
  </si>
  <si>
    <t>Deska izol. z min.vlny 20x600x1000 mm</t>
  </si>
  <si>
    <t>Izolace tepelná stěn lepením -koruna věnců vnitřních</t>
  </si>
  <si>
    <t>Deska polystyrenová EPS 150 S Stabil tl. 20 mm</t>
  </si>
  <si>
    <t>Izolace tepelná stěn lepením -atiky -detail 5, také řezy</t>
  </si>
  <si>
    <t>Deska izolační PIR Alu pro střechy tl. 160mm</t>
  </si>
  <si>
    <t>Izolace tepelná stěn lepením -koruna atiky -detail 5, také řezy</t>
  </si>
  <si>
    <t>Deska izolační PIR Alu pro střechy tl. 240mm</t>
  </si>
  <si>
    <t>M+D separační PE fólie podlah s přelepením spojů -skladba P1, bod 4 + P2, bod 4 + P3, bod 4 + P4, bod 4 + P5, bod 4</t>
  </si>
  <si>
    <t>Izolace tepelná střech 1vrstvá -skladba S, bod 3</t>
  </si>
  <si>
    <t>M+D izol.tepel.střech lepení -spád.klíny z EPS 150 S 3% tl.40-310mm -skladba S, bod 3, 4</t>
  </si>
  <si>
    <t>M+D samolepící pás z modif.SBS asfaltu mech.kotvený -skladba S, bod 2</t>
  </si>
  <si>
    <t>Montáž parozábrany, ploché střechy, přelep. spojů -skladba S, bod 5</t>
  </si>
  <si>
    <t>Pás SBS modif.asf.s Al vložkou</t>
  </si>
  <si>
    <t>Přesun hmot pro izolace tepelné, výšky do 6 m</t>
  </si>
  <si>
    <t>ZTI-Vnitřní kanalizace</t>
  </si>
  <si>
    <t>D+M - Ležaté potrubí (PVC-KG systém) DN 110</t>
  </si>
  <si>
    <t xml:space="preserve">Dodávka a montáž odpadního potrubí z plastových trub KG systém - materiál PVC-U (neměkčený polyvinylchlorid - PVC) (SN 4) pro gravitační kanalizaci v zemi, vč. tvarovek, pískového podsypu,obsypu, zásypu, zemních prací (hloubka výkopu maximálně 1,4 m, zasypání rýhy potrubí dle skladby uvedené v PD, šířka výkopu 0,5 m, zemina třídy číslo 3), navrácení podkladního betonu (C 15/20 tl. 150 mm) a tlakových zkoušek.	</t>
  </si>
  <si>
    <t>D+M - Ležaté potrubí (PVC-KG systém) DN 125</t>
  </si>
  <si>
    <t>D+M - Ležaté potrubí (PVC-KG systém) DN 160</t>
  </si>
  <si>
    <t>D+M - Odpadní a připojovací potrubí (HT systém) DN 32</t>
  </si>
  <si>
    <t xml:space="preserve">Dodávka a montáž odpadního potrubí z polypropylenu, odolávající vysokým teplotám, vyráběné podle ČSN EN 1451-1 (26 dB) pro stoupací, připojovací, větrací potrubí a odvod kondenzátu od VZT, včetně tvarovek, objímek, závěsů, kotvících bodů a tlakových zkoušek.	</t>
  </si>
  <si>
    <t>D+M - Odpadní a připojovací potrubí (HT systém) DN 50</t>
  </si>
  <si>
    <t>D+M - Odpadní a připojovací potrubí (HT systém) DN 75</t>
  </si>
  <si>
    <t>D+M - Odpadní a připojovací potrubí (HT systém) DN 110</t>
  </si>
  <si>
    <t>Vyvedení a upevnění odpadních výpustek</t>
  </si>
  <si>
    <t>Dodávka a montáž instalačních armatur včetně příslušného vybavení uvedeného v popisu.</t>
  </si>
  <si>
    <t>D+M - Čistící kus DN 75</t>
  </si>
  <si>
    <t>D+M - Čistící kus DN 110</t>
  </si>
  <si>
    <t>D+M - Zátka DN 75</t>
  </si>
  <si>
    <t>D+M - Zátka DN 110</t>
  </si>
  <si>
    <t>D+M - WC - Klozet keramický závěsný</t>
  </si>
  <si>
    <t>hluboké splachování, duroplastové sedátko s poklopem a s antibakteriální úpravou, se zpomalovacím mechanizmem, nerezové úchyty, instalační sada s chromovanými krytkami</t>
  </si>
  <si>
    <t>D+M - WCi - Klozet keramický závěsný pro imobilní s prodlouženou délkou</t>
  </si>
  <si>
    <t>hluboké splachování, duroplastové sedátko bez poklou a s antibakteriální úpravou, nezové úchyty, instalační sada s chromovanými krytkami</t>
  </si>
  <si>
    <t>D+M - WCd - Klozet keramický závěsný dětský</t>
  </si>
  <si>
    <t>hluboké splachování, splachovací okraj, duroplastové barevné sedátko pro děti - design želva (s přesahem pro ochranu před vystříknutím moči), s funkcí podpory (pokopem) a s antibakteriální úpravou, nerezové úchyty, instalační sada s chromovanými krytkami</t>
  </si>
  <si>
    <t>D+M - U1 - Umyvadlo keramické závěsné 60 cm</t>
  </si>
  <si>
    <t>s otvorem pro baterii, s přepadem, glazovaná spodní strana, umyvadlový sifon chromovaný včetně umyvadlové výpusti (pilety) pevné, připojovací koleno 32 mm, odpad 32 mm, kryt na sifon s instalační sadou</t>
  </si>
  <si>
    <t>D+M - U2 - Umyvadlo keramické závěsné 55 cm</t>
  </si>
  <si>
    <t>D+M - Ui - Umyvadlo keramické závěsné 60 cm</t>
  </si>
  <si>
    <t>závěsné pro imobilní s otvorem pro baterii uprostřed, s přepadem, umyvadlový sifon podomítkový chromovaný (prostorově úsporný), připojovací koleno 32 mm, odpad 50 mm, krycí deska z nerezové oceli. Neuzavíratelná kulatá výpusť pro umyvadla, výšky 5-60 mm, chromovaná.</t>
  </si>
  <si>
    <t>D+M - Ud - Umyvadlo keramické závěsné 50 cm s dětským motivem</t>
  </si>
  <si>
    <t>D+M - Um - Keramické asymetrické umývátko 45 cm s odkládací plochou</t>
  </si>
  <si>
    <t>D+M - Sk - Sprchový nerezový žlab do keramické dlažby 90 cm</t>
  </si>
  <si>
    <t>plochý liniový odtokový žlab z nerezové oceli, stavební výška jen 90mm, určený k zabudování do sprchových koutů ke stěně, bez krytu žlábku. Složený: ze žlábku z nerezové oceli s pískovanými přírubami pro napojení hydroizolací, PP vodorovný odtok DN50 s kulovým kloubem na odtoku a vyjímatelnou zápachovou uzávěrkou 30mm. Kapacita odtoku 0,7 l/s, 4 kusy výškově stavitelných montážních nožiček (zvukově izolovaných) a stavební ochranná zátka v balení . Stavební délka 900mm. Kryt žlabu z nerezové oceli 1.4301, třída zatížení K3 (300kg), vhodný pro žlaby délky 900mm</t>
  </si>
  <si>
    <t>D+M - Vl - Výlevka keramická závěsná s plastovou sklopnou mřížkou</t>
  </si>
  <si>
    <t>instalační sada s chromovanými krytkami</t>
  </si>
  <si>
    <t>D+M - B - Bidet keramický závěsný</t>
  </si>
  <si>
    <t>D+M - Pv1 - Podlahová vpust DN 50/75 s otočným kloubem na odtoku</t>
  </si>
  <si>
    <t>odtok s plynule nastavitelným sklonem od 0 - 90° (kulový kloub), s izolačním límcem, se zápachovou uzávěrkou (výška vodního uzávěru 50 mm), s plastovým výškově stavitelným nástavcem 12-70 mm, s rámečkem 123x123 mm a mřížkou z nerezové oceli 115x11 5mm. Hydraulická kapacita  &lt; 0,5 l/s, hmotnost 0,556 kg, třída zatížení K - 300 kg, stavební výška 103 mm</t>
  </si>
  <si>
    <t>D+M - Pv2 - Kanalizační vpusť boční DN 75-110, mříž litina 250x250 mm s plovákem</t>
  </si>
  <si>
    <t>z polypropylénu s UV stabilizací, mřížka z šedé litiny DIN 1691, zátěž dle EN 124-B 125 (12,5t), výška vpusti 266-280 mm, odolnost do 70°C, lze zabudovat do portubí KG, HT DN 75-110, litinová mříž 245x245 mm zabezpečena šrouby</t>
  </si>
  <si>
    <t>D+M - Sv - Střešní vtok DN 110 s pevnou izolační přírubou a izolační svorkou, s elektrickým ohřevem (10-30W, 230V)</t>
  </si>
  <si>
    <t>"Střešní vtok DN 110 se svislým odtokem pro ploché střechy, s izolační svorkou a křídlovými maticemi z nerezové oceli, s elektrickým ohřevem se samoregulací (10-30W, 230V), se záchytným košem
Materiál PP, DN 110, hydraulická kapacita 10,7 l/s, hmotnost 1,63 kg, stavební výška 100 mm, vtoková mřížka d 145 mm + záchytný koš"</t>
  </si>
  <si>
    <t>D+M - Vh1 - Regulovatelný větrací komínek (hlavice) DN 75</t>
  </si>
  <si>
    <t>Větrací komínek (hlavice) DN 75, výška nad izolaci 500 mm, hloubka pod izolaci 200 mm, integrovaná PVC manžeta (hydroizolační fólie na bázi PVC), barva bílá, včetně dešťové krytky</t>
  </si>
  <si>
    <t>D+M - Vh2 - Regulovatelný větrací komínek (hlavice) DN 110</t>
  </si>
  <si>
    <t>Větrací komínek (hlavice) DN 110, výška nad izolaci 500 mm, hloubka pod izolaci 200 mm, integrovaná PVC manžeta (hydroizolační fólie na bázi PVC), barva bílá, včetně dešťové krytky</t>
  </si>
  <si>
    <t>D+M - Pč - Kompaktní přečerpávací jednotka čisté a odpadní vody se dvěma čerpadly</t>
  </si>
  <si>
    <t>Kompaktní přečerpávací jednotka čisté a odpadní vody se dvěma čerpadly a sběrnou plastovou nádobou o objemu 40 l, s vrchním poklopem pro přístup shora, 3 vstupy DN 100, výstup DN 70, instalace pod podlahu, maximální teplota přečerpávané vody 35°C, krátkodobě 60°C, řídící jednotka se snímačem hladiny, ovládání pneumatické, Hmax 12,3 m, Qmax 24 m3/h, příkon 1,1 kW, napájení 400-415V/ 3Ph</t>
  </si>
  <si>
    <t>D+M - Hp - Přivzdušňovací ventil DN50/75/110 s dvojitou izolační stěnou</t>
  </si>
  <si>
    <t>Přivzdušňovací ventil s dvojitou izolační stěnou, s masivní pryžovou membránou, s odnímatelnou mřížkou jak proti hmyzu, tak i pro čištění, odpovídá EN 12380-1 a požadavkům ČSN 756760, průtok vzduchu pro DN 110 dle zkoušek podle EN 12380 činí 37 l/s, je určen pro přivzdušnění splaškových odpadních potrubí do průtoku vody 3,7 l/s a pro přivzdušnění připojovacích potrubí do průtoku vod 30 l/sec, zařazen do třídy A1 (-20 st.C až +60 st.C) a pro použití i pod úrovní vody v zařizovacích předmětech</t>
  </si>
  <si>
    <t>D+M - K - Vodní zápachová uzávěrka DN32 pro odvod kondenzátu s hygienickým adaptérem</t>
  </si>
  <si>
    <t>Vodní zápachová uzávěrka DN32 pro odvod kondenzátu s hygienickým adaptérem, s přídavnou mechanickou zápachovou uzávěrkou (kulička), podomítkové provedení, připojení potrubí s kondenzátem průměr 20-32 mm (minimální vnitřní průměr připojovacího potrubí 18 mm), transparentní čistící vložka je vyjímatelná z podomítkového tělesa pro údržbu, délkově upravitelná stavební ochranná zátka a kryt jsou součástí balení. Minimální hloubka pro zabudování 60 mm, instalace možná pouze vertikálně, hydraulická kapacita 72 l/h, hmotnost 0,3 kg</t>
  </si>
  <si>
    <t>D+M - A1 - Příprava pro napojení kuchyňského vybavení, odpad DN 50 HT, 500 mm výška nad čistou podlahou - nový sifon</t>
  </si>
  <si>
    <t>D+M - B1 - Příprava pro napojení kuchyňského vybavení, odpad DN 50 HT, 300 mm výška nad čistou podlahou - nový sifon</t>
  </si>
  <si>
    <t>D+M - Magnetická revizní dvířka 300x150 mm s kličkou a bez otvorů</t>
  </si>
  <si>
    <t>D+M - Protipožární manžeta</t>
  </si>
  <si>
    <t>Dodávka a montáž protipožárních opatření s požární odolností dle PBŘ, včetně příslušenství.</t>
  </si>
  <si>
    <t>D+M - Požární utěsnění prostupu - min. EI 60-120 min</t>
  </si>
  <si>
    <t>Drážky pro potrubí DN 32 až 50 - 120x120 mm ve stěně + oprava a začištění omítky</t>
  </si>
  <si>
    <t>Drážky pro potrubí DN 75 až 110 - 150x150 mm ve stěně + oprava a začištění omítky</t>
  </si>
  <si>
    <t>Prostup stropní (Střešní) konstrukcí pro potrubí + oprava a začištění stropu a střechy + utěsnění</t>
  </si>
  <si>
    <t>Prostup základem pro potrubí + oprava a začištění + utěsnění</t>
  </si>
  <si>
    <t>Drážka v základu pro potrubí + oprava a začištění + utěsnění</t>
  </si>
  <si>
    <t>Ostatní bourací, přípomocné a zednické práce</t>
  </si>
  <si>
    <t>D+M - Potrubí PE 100 SDR 11 d40 (40×3,7 mm)</t>
  </si>
  <si>
    <t xml:space="preserve">Dodávka a montáž plastového kanalizačního potrubí z vysokohustotního lineárního polyetylénu PE 100 SDR 11 se svařovanými spoji pro vnější tlakové rozvody vody, včetně tvarovek, objímek, závěsů, kotvících bodů a tlakových zkoušek.	</t>
  </si>
  <si>
    <t>Tlaková zkouška potrubí do DN 200</t>
  </si>
  <si>
    <t>Pročištění potrubí do DN 200</t>
  </si>
  <si>
    <t>Zkouška těsnosti kanalizačního potrubí do DN 200</t>
  </si>
  <si>
    <t>Pojízdné lešení, pomocné konstrukce, montážní plošina v rámci výšky jednoho podlaží</t>
  </si>
  <si>
    <t>Přesun hmot</t>
  </si>
  <si>
    <t>Dokumentace skutečného provedení (3 paré) - není součástí položky ve VRN</t>
  </si>
  <si>
    <t>Koordinace - není součástí položky ve VRN</t>
  </si>
  <si>
    <t>ZTI-Vnitřní vodovod</t>
  </si>
  <si>
    <t>D+M - potrubí PP-RCT (S 3,2) - d 20x2,8 mm</t>
  </si>
  <si>
    <t xml:space="preserve">Dodávka a montáž vícevrstvé trubky s čedičovými vlákny pro rozvody studené vody, teplé vody a cirkulace z plastových trub z polypropylenu (PP-RCT) třívrstvá s čedičovým vláknem s lisovanými kovovými spojkami vč. tvarovek, objímek, závěsů, proplachu a zkoušek.	</t>
  </si>
  <si>
    <t>D+M - potrubí PP-RCT (S 3,2) - d 25x3,5 mm</t>
  </si>
  <si>
    <t>D+M - potrubí PP-RCT (S 3,2) - d 32x4,4 mm</t>
  </si>
  <si>
    <t>D+M - potrubí PP-RCT (S 3,2) - d 40x5,5 mm</t>
  </si>
  <si>
    <t>D+M - potrubí PP-RCT (S 3,2) - d 50x6,9 mm</t>
  </si>
  <si>
    <t>D+M - potrubí nerezová ocel 28x1,2 mm</t>
  </si>
  <si>
    <t>Dodávka a montáž potrubí z austenitické nerezové oceli AISI 316L, odolná proti korozi, nehořlavá, třída hořlavosti A1 podle DIN 4202-1, vhodné pro zdravotně technické instalace, spojovaných lisováním vč. tvarovek, objímek, závěsů, proplachu a zkoušek.</t>
  </si>
  <si>
    <t>D+M - potrubí nerezová ocel 35x1,5 mm</t>
  </si>
  <si>
    <t>D+M - Izolace MV tl. 30 mm + polep ALS fólií na potrubí 20-22 mm</t>
  </si>
  <si>
    <t xml:space="preserve">Dodávka a montáž potrubních izolačních pouzder s polepem ALS, jedná se o řezaná potrubní pouzdra z kamenné vlny kašírovaná hliníkovou fólií se skleněnou mřížkou, ?=0,037 W/mK. 	</t>
  </si>
  <si>
    <t>D+M - Izolace MV tl. 30 mm + polep ALS fólií na potrubí 25-28 mm</t>
  </si>
  <si>
    <t>D+M - Izolace MV tl. 30 mm + polep ALS fólií na potrubí 32-35 mm</t>
  </si>
  <si>
    <t>D+M - Izolace MV tl. 30 mm + polep ALS fólií na potrubí 40-42 mm</t>
  </si>
  <si>
    <t>D+M - Izolace MV tl. 30 mm + polep ALS fólií na potrubí 50-52 mm</t>
  </si>
  <si>
    <t>D+M - Návleková tepelná izolace PE tl. 20 mm + polep AL fólií na potrubí d 20-22 mm</t>
  </si>
  <si>
    <t>Dodávka a montáž termoizolačních trubic z pěnového polyetylenu s uzavřenou buněčnou strukturou laminované zesílenou hliníkovou fólií, ?=0,046 W/mK.</t>
  </si>
  <si>
    <t>D+M - Návleková tepelná izolace PE tl. 25 mm + polep AL fólií na potrubí d 25-28 mm</t>
  </si>
  <si>
    <t>D+M - Návleková tepelná izolace PE tl. 25 mm + polep AL fólií na potrubí d 32-35 mm</t>
  </si>
  <si>
    <t>D+M - WC - Podomítkový montážní prvek pro závěsné WC pro zděné stěny</t>
  </si>
  <si>
    <t>Podomítkový instalační modul pro WC 108 pro zazdění, se šikmým odtokem, do zděných příček, splachovací nádržka pod omítku izolovaná proti orosování s rozsahem splachování o objemu 3 až 7,5 l + Duální nerezové tlačítko k podomítkovému prvku 250x10x160 mm pro ovládání zepředu, nosnost 400 kg, včetně montážních prvků</t>
  </si>
  <si>
    <t>D+M - U - Tlačná samouzavírací baterie umyvadlová stojánková</t>
  </si>
  <si>
    <t>Tlačná samouzavírací baterie umyvadlová stojánková, typ S - systém znemožňující výtok vody při trvalém stlačení páky, možnost nastavení teploty směšované vody uživatelem, směšování vody páčkou na boku armatury, odolné/vandaluvzdorné provedení, použité materiály odolné proti korozi a vodnímu kameni, flexibilní připojovací hadice včetně uzavíracího ventilu, samočistící mechanismus se syntetickým rubínem, průtok 3 l/min, připojení 3/8", doba výtoku 7 sec / 11 sec, teplota max. 75°C, provozní tlak 0,1 - 0,5 MPa</t>
  </si>
  <si>
    <t>D+M - Ui - Umyvadlová stojánková baterie 10° s výpustí 140 mm, s ovládací lékařskou pákou</t>
  </si>
  <si>
    <t>Výška baterie 140 mm, kartuš 35 mm, keramická, připojovací hadičky flexibilní 400 mm, průměr G3/8, výpusť s táhlem a odtokovou soupravou, průtok (při 0,3 MPa) 7,64 l/min, propojovací hadice, rohový ventil s filtrem a zpětnou klapkou (2 ks), lékařská páka, včetně montážních prvků</t>
  </si>
  <si>
    <t>D+M - Ud - Tlačný samouzavírací ventil umyvadlový stojánkový na smíchanou vodu</t>
  </si>
  <si>
    <t>Samouzavírací ventil umyvadlový stojánkový,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 průtok 3 l/min, připojení 1/2", doba výtoku 7 sec / 11 sec, teplota max. 75°C, provozní tlak 0,1 - 0,5 MPa</t>
  </si>
  <si>
    <t>D+M - SK - Tlačná samouzavírací baterie sprchová směšovací do zdi a sprchová sestava nástěnná</t>
  </si>
  <si>
    <t>"Tlačná samouzavírací baterie sprchová směšovací do zdi s vodotěsným krytem, včetně krycí růžice, chromovaná ovládací hlavice, odolné/vandaluvzdorné provedení, použité materiály odolné proti korozi a vodnímu kameni, samočistící mechanismus se 
syntetickým rubínem, průtok 6 l/min, připojení 1/2"", hmotnost 2 kg, doba výtoku 30 sec ± 5, provozní tlak 0,1-0,6 MPa
Sprchový komplet včetně hadice, držáku a mýdelníku na předem namíchanou vodu, provedení chrom, připojení ze zdi, vizuální značky pro nastavení sprchování (3 pozice) na hlavici, jednoduchá údržba, připojení 1/2"", hmotnost 1,5 kg, provozní tlak min.0,02 MPa, teplota max. 85°C"</t>
  </si>
  <si>
    <t>D+M - VL - Nástěnná páková baterie a podomítkový instalační modul</t>
  </si>
  <si>
    <t>"Nástěnná páková baterie s prodlouženým ramínkem délky 250 mm, rozteč 150 mm, chromovaná, keramická kartuš 35 mm, průtok 11,4 l/min, včetně montážních prvků
Podomítkový montážní prvek pro závěsnou výlevku, se samonosným ocelovým rámem s ukotvením na zem a do zadní stěny, se splachovací nádržkou 4,5l, vč. ovládacího tlačítka start/stop. Napouštěcí ventil boční 1/2"", zabudované sítko pro zachycení nečistot, včetně montážních prvků"</t>
  </si>
  <si>
    <t>D+M - B - Bidetová stojánková baterie 10° s výpustí</t>
  </si>
  <si>
    <t>Výška baterie 140 mm, kartuš (průměr, materiál) 35 mm, keramická, připojovací hadičky: flexibilní 400 mm, průměr G3/8, výpusť: s táhlem a odtokovou soupravou, průtok (při 0,3 MPa): 15 l/min.</t>
  </si>
  <si>
    <t>D+M - Sv - Ventil skupinový termoskopický</t>
  </si>
  <si>
    <t>Skupinový termoskopický ventil, instalace do montážní šachty, včetně zpětných ventilů, bez připojovacích kolínek, provedení bílá/nikl, termoskopický systém směšování, přesnost směšování +/– 1÷2 °C při teplotních výkyvech na vstupech až o 15 °C, uzavření ventilu při výpadku studené/teplé vody na vstupu max. do 1 sec, minimální teplotní rozdíl vstupy/výstup – 12 °C, zpětné ventily a filtrační sítka na vstupech, max. doporučená rychlost proudění vody v potrubí 2 m/s, systém splňuje normu TMV3/ DO8,</t>
  </si>
  <si>
    <t>D+M - A1 - Příprava pro napojení kuchyňského vybavení - Kulový výtokový kohout s vnějším závitem DN 15</t>
  </si>
  <si>
    <t>D+M - C1 - Příprava pro napojení kuchyňského vybavení - Kulový výtokový kohout s vnějším závitem DN 20</t>
  </si>
  <si>
    <t>D+M - C2 - Příprava pro napojení kuchyňského vybavení - Kulový výtokový kohout s vnějším závitem DN 20</t>
  </si>
  <si>
    <t>D+M - Zv - Venkovní nezámrzný ventil DN 15</t>
  </si>
  <si>
    <t>"Průměr armatury ? 38 mm, material mosaz DIN EN, povrch matný chrom, hmotnost 1,77 kg, rozměry G 1/2"", vnější závit DN 15, instalační a konstrukční sada 
Sedlo ventilu je mrazuvzdorné ve zdivu pro tloušťku zdiva 200 - 500 mm, nucené přivzdušnění k automatickému vyprázdnění armatury při každém uzavření
Montážní sada - stěnová průchodka se zabudovaným ventilovým sedlem, izolovaná hadice, uchycení na stěnu zajištěné proti přetočení, upevňovací materiál, montážní krytka
Instalační sada - tělo armatury s vrškem na nástrčný klíč i ovládací rukojeť, dlouhé vřeteno se zpětnou klapkou, nástěnná rozeta s vnitřním závitem, upevňovací materiál, montážní pomůcky (pro zkracování)"</t>
  </si>
  <si>
    <t>D+M - Vv - Kulový výtokový kohout s vnějším závitem DN 20</t>
  </si>
  <si>
    <t>Kulový výtokový kohout s vnějším závitem 3/4" (DN20) a připojením na hadici, výtokový kulový kohout s vnějším závitem, pákou a hadíčmíkem, jmenovitý pracovní tlak PN 20, max teplota +90°C, materiál mosaz poniklovaná</t>
  </si>
  <si>
    <t>D+M - Zo - Stojatý zásobníkový elektrický ohřívač teplé vody o objemu 462 l</t>
  </si>
  <si>
    <t>"Objem 462 l, hmotnost (bez vody) 106 kg, provozní tlak zásobníku 1,0 MPa, maximální teplota teplé vody 80 °C, statická ztráta 110 W
Elektrická topná jednotka - výkon 2,2 kW, elektrické připojení 1 PE-N AC 230V/50Hz, elektrické krytí IP 42, zástavbová délka 440 mm, hmotnost 6,6 kg, doporučená hodnota jističe 16 A"</t>
  </si>
  <si>
    <t>D+M - H - Nástěnný hydrantový systém s tvarově stálou hadicí o světlosti 19mm (D19), délka hadice 20m</t>
  </si>
  <si>
    <t>Provedení na zeď, nerezová dvířka včetně rámečku s prosklenými dvířky (barva RAL 3000 - červená nebo RAL 9003 - bílá) o rozměru 650x650x175 mm, povrchová úprava z práškové strukturální barvy pro vnitřní prostředí, naviják, proudnice s kuželovým proudem průměru ekv. 10 mm, průtok Q &lt; 1,1 l/s, minimální průtok 0,4/35,5 MPa/l min-1, maximální pracovní tlak 1,2 MPa, připojení kulový systém 3/4" (DN 20) z poniklované mosazi, tvarově stálá hadice o světlosti 19 mm</t>
  </si>
  <si>
    <t>D+M - Odvzdušňovací ventil DN 15</t>
  </si>
  <si>
    <t>D+M - Přivzdušňovací ventil DN 15</t>
  </si>
  <si>
    <t>D+M - Připojovací ventil 3/8"</t>
  </si>
  <si>
    <t>D+M - Připojovací ventil 3/4"</t>
  </si>
  <si>
    <t>D+M - Připojovací ventil 1/2"</t>
  </si>
  <si>
    <t>D+M - Propojovací nerezové opletené hadice osazených maticemi 3/8" x 3/4" k výtokovým armaturám</t>
  </si>
  <si>
    <t>D+M - Propojovací nerezové opletené hadice osazených maticemi 3/8" x 1/2" k výtokovým armaturám</t>
  </si>
  <si>
    <t>D+M - Kulový kohout, závitový, chromovaný, páka, DN 15</t>
  </si>
  <si>
    <t>D+M - Kulový kohout, závitový, chromovaný, páka, DN 20</t>
  </si>
  <si>
    <t>D+M - Kulový kohout, závitový, chromovaný, páka, DN 25</t>
  </si>
  <si>
    <t>D+M - Kulový kohout, závitový, chromovaný, páka, DN 32</t>
  </si>
  <si>
    <t>D+M - Kulový kohout, závitový, chromovaný, páka, DN 40</t>
  </si>
  <si>
    <t>D+M - Zpětná klapka s gumovým těsněním, mosazná, DN 20</t>
  </si>
  <si>
    <t>D+M - Zpětná klapka s gumovým těsněním, mosazná, DN 25</t>
  </si>
  <si>
    <t>D+M - Zpětná klapka s gumovým těsněním, mosazná, DN 40</t>
  </si>
  <si>
    <t>D+M - Fakturační vodoměr na studenou vodu, DN 25, Q = 6,3 m3/h, t = 50 °C, včetně modulu pro dálkový odečet</t>
  </si>
  <si>
    <t>D+M - Domovní vodoměr na studenou vodu, DN 20, Q = 4,0 m3/h, t = 50 °C, včetně modulu pro dálkový odečet</t>
  </si>
  <si>
    <t>D+M - Přepážkový filtr na studenou vodu s manuálním proplachem DN 40</t>
  </si>
  <si>
    <t>Přepážkový filtr na studenou vodu s automatickým proplachem, filtrační nádoba z vysoce kvalitního plastu PN 16, mosazná příruba s připojovacím šroubením,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1/2" hadicí, pro horizontální i vertikální montáž.</t>
  </si>
  <si>
    <t>D+M - Fyzikální úpravna vody</t>
  </si>
  <si>
    <t>Fyzikální úpravna vody indukuje v potrubí nahodilé elektrické pole v obou směrech bez ohledu na proudění. Vlivem působení pole se vytvářejí krystalizační jádra. Změnou chemické rovnováhy se nadbytečné rozpuštěné látky uvolňují z roztoku a tvoří kal. Je tak zamezeno tvorbě vodního kamene na stěnách potrubí. Stěny kovového potrubí jsou navíc chráněny před korozí. Pokud jsou přítomny nerozpuštěné látky, podporuje růst vloček. Materiál potrubí nemá vliv na funkci. Umisťuje se na potrubí zevně navlečením feritového prstence, tepelná izolace není překážkou. Nutná odborná instalace na vhodné místo potrubí. Zařízení nevyžaduje údržbu, nedochází k opotřebení. Stupeň krytí IP 66.</t>
  </si>
  <si>
    <t>D+M - Elektronické cirkulační čerpadlo, časově řízené - P 4,5-10 W, 0,05/ A, 230 V, IP 42, Qmax 0,5 m3/h, včetně kabeláže, připojení a příslušenství</t>
  </si>
  <si>
    <t>D+M - Expanzní nádoba s membránou na vyrovnání zvýšeného tlaku při ohřevu teplé vody o objemu 3-33 l, 10 - 25 bar, připojení 3/4" + UA + zavěšení</t>
  </si>
  <si>
    <t>D+M - Tlakoměr 0 - 1,0 MPa, vč. tlakoměrného kohoutu</t>
  </si>
  <si>
    <t>D+M - Omezovač průtoku pV 8 Bar, DN 20</t>
  </si>
  <si>
    <t>D+M - Uzavírací armatura se zajištěním a vypouštěním zajišťující průtok expanzní nádobou DN 25, max. 16 bar</t>
  </si>
  <si>
    <t>D+M - Pojistný ventil 0,6 bar, DN 25</t>
  </si>
  <si>
    <t>D+M - Zkušební kohout pro kontrolu těsnosti zpětné armatury</t>
  </si>
  <si>
    <t>D+M - Spínací hodiny</t>
  </si>
  <si>
    <t>D+M - Kulový kohout s vypouštěním, závitový, chromovaný, páka, DN 15</t>
  </si>
  <si>
    <t>D+M - Kulový kohout s vypouštěním, závitový, chromovaný, páka, DN 40</t>
  </si>
  <si>
    <t>D+M - Filtr, závitový, mosazný, DN 40</t>
  </si>
  <si>
    <t>D+M - Přepážkový filtr na studenou vodu s manuálním proplachem DN 25</t>
  </si>
  <si>
    <t>Přepážkový filtr na studenou vodu, filtrační nádoba z vysoce kvalitního plastu PN 16, mosazná příruba s připojovacím šroubením, sendvičové síto složeno z PE podpory, nerezové síto 500 um a postříbřené jemné síto s antibakteriálním účinkem, poréznost 0,1 mm, čištění síta zpětným proplachem (odsávací lišty), nepřerušovaná dodávka filtrované vody, keramický odkalovací ventil, odvod vody do otevřeného odpadního systému 1/2" hadicí.</t>
  </si>
  <si>
    <t>D+M - Nízkotlaká UV jednotka bez stěrače a UV senzoru</t>
  </si>
  <si>
    <t>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t>
  </si>
  <si>
    <t>D+M - Rukávový filtr DN 32</t>
  </si>
  <si>
    <t>D+M - Řídící systém úpravny vody</t>
  </si>
  <si>
    <t>D+M - Průmyslový filtr z nerez oceli 304, bez automatického proplachu DN 32</t>
  </si>
  <si>
    <t>(Filtrace oplachové a dešťové vody) Filtr s pláštěm z nerezové oceli AISI 304. Vnitřní filtrační vložka je složena z trubkovitého filtru z nerezové oceli AISI 316 na který může být umístěna polyesterová ponožka nebo síto taktéž z nerezové oceli AISI 316. Poréznost filtračního síta volitelná od 0,025 mm do 2,0 mm. Pro čištění filtrační vložky je nutno odstranit kryt na spodní části filtru, který je vybaven vypouštěcím ventilem a tlakoměrem. Filter nemá mechanicky pohyblivou část a je obvykle používan pro budoucí použití automatického systému proplachu. Hodnota průtoku je uváděna při poréznosti filtračního síta 0,120 mm spolu s čistou vodou.</t>
  </si>
  <si>
    <t>D+M - Frekvenční měnič</t>
  </si>
  <si>
    <t>D+M - Tlaková nádoba bez nožiček o objemu 24 l</t>
  </si>
  <si>
    <t>D+M - Tvarovka-pětcestný ventil 1" - 91 mm</t>
  </si>
  <si>
    <t>D+M - Chlornan sodný (20 l)</t>
  </si>
  <si>
    <t>D+M - Záchytná vana</t>
  </si>
  <si>
    <t>D+M - Oční přenosná bezpečnostní sprcha.</t>
  </si>
  <si>
    <t>Prachu odolný box na zeď. Obsahuje 500 ml láhev s neutralizačním roztokem a 1000 ml láhev s fyziologickým roztokem. Láhve jsou vybaveny anatomickým nástavcem pro současný výplach obou očí. Box je označen piktogramem a vybaven zrcátkem. Vhodné pro provozy s rizikem poranění očí kontaktem s kyselinami, hydroxidy a jinými nebezpečnými chemikáliemi. Po použití neutralizačního roztoku pokračujte ve vyplachování zasaženého oka fyziologickým roztokem a to nejlépe do ošetření lékařem. Vyplachovat minimálně 2 minuty neutralizačním roztokem a minimálně 5 minut fyziologickým roztokem.</t>
  </si>
  <si>
    <t>D+M - Automatický změkčovač vody s elektronickým ovládacím ventilem s objemovým i časovým řízením, s 5-ti litry změkčovací pryskyřice</t>
  </si>
  <si>
    <t>Objem změkčené vody při T=1 mmol/l: 2,75 m3, Kapacita: 20 m3x0dH, Objem změkčovací pryskyřice: 5 litrů, Orientační průtok: 0,2-0,5 m3/hod, Spotřeba soli / regenerace: cca 0,75 kg, Spotřeba vody / regenerace: cca 50 litrů, Půdorys (š x h): 220 x 420 mm, Výška filtru: 550 mm, Výška vstupu G3/4": 385 mm, Výška odpadu hadicí: 420 mm, Hmotnost: 10 kg</t>
  </si>
  <si>
    <t>D+M - Požární utěsnění prostupu pro dvojci až čtveřici potrubí - min. EI 60-120 min</t>
  </si>
  <si>
    <t>Bourání prostupu nosnou stěnou a stropem pro dvojici až pětici potrubí do DN 50, včetně transportu suti a uložení na skládku + oprava, začištění omítk</t>
  </si>
  <si>
    <t>Bourání prostupu příčkou pro dvojici až pětici potrubí do DN 50, včetně transportu suti a uložení na skládku + oprava, začištění omítky, utěsnění pros</t>
  </si>
  <si>
    <t>Vypuštění soustavy</t>
  </si>
  <si>
    <t>Napuštění soustavy</t>
  </si>
  <si>
    <t>Napojení na stávající potrubí</t>
  </si>
  <si>
    <t>Tlaková zkouška vnitřní potrubí do DN 100</t>
  </si>
  <si>
    <t>Proplach a dezinfekce vodovodního potrubí do DN 100</t>
  </si>
  <si>
    <t>Zkouška těsnosti vodovodního potrubí do DN 100</t>
  </si>
  <si>
    <t>Vzduchotechnika</t>
  </si>
  <si>
    <t>D+M - Úsporný střešní ventilátor dvouotáčkový 800/200, vč. příslušenství.</t>
  </si>
  <si>
    <t>2 490 min-1, max. 750 m3/h, 98 W, 0,60 A, 230 V, 47/51 dB(A), 5,6 kg, krytí IP 44, připojení ? 200, pracovní teplota – 20 °C až + 60 °C, skříň z plastu</t>
  </si>
  <si>
    <t>D+M - Regulátor pro EC ventilátory, včetně kabeláže</t>
  </si>
  <si>
    <t>D+M - Nastavitelný doběhový spínač - nastavitelný 2–20 minut, jmenovité napětí 230 V/50 Hz, max. proud 1 A , včetně kabeláže</t>
  </si>
  <si>
    <t>D+M - Měření a regulace (rozváděč, kabeláž, čidla, teploty a relativní vlhkosti, regulátor, propojení, zprovoznění, vyregulování soustavy…)</t>
  </si>
  <si>
    <t>D+M - Potrubí SPIRO do O 100 mm - 40% tvarovek</t>
  </si>
  <si>
    <t xml:space="preserve">POTRUBÍ - Kruhové vzduchotechnické potrubí z falcovaného ocelového pozinkovaného plechu skupiny I v provedení SPIRO, barva přírodní pozink, včetně tvarovek.	</t>
  </si>
  <si>
    <t>D+M - Potrubí SPIRO do O 125 mm - 40% tvarovek</t>
  </si>
  <si>
    <t>D+M - Potrubí SPIRO do O 160 mm - 40% tvarovek</t>
  </si>
  <si>
    <t>D+M - Potrubí SPIRO do O 200 mm - 40% tvarovek</t>
  </si>
  <si>
    <t>D+M - Potrubí ohebné do O 102 mm</t>
  </si>
  <si>
    <t>POTRUBÍ - Ohebná Al laminátová hadice s kostrou z ocelového drátu, spirálovitě vinutou mezi dvěma vrstvami několikavrstvého Al laminátu, s tepelnou a hlukovou izolací z vrstvy minerální vaty tloušťky 25 mm, 16 kg/m3, parozábrana – zpevněný Al laminát Vnitřní hadice je perforovaná jako tlumič hluku.</t>
  </si>
  <si>
    <t>D+M - Potrubí ohebné do O 127 mm</t>
  </si>
  <si>
    <t>D+M - Potrubí ohebné do O 152 mm</t>
  </si>
  <si>
    <t>D+M - Univerzální plastový anemostat O 100 mm</t>
  </si>
  <si>
    <t>ODVODNÍ VENTIL - Univerzální plastový anemostat (pro odvod i přívod vzduchu), nastavitelné regulační listy pro regulaci průtoku a směru proudu vzduchu. Ventily jsou vyrobeny z polypropylenu, barva bílá v odstínu RAL 9003. Plastové ventily je možné čistit slabými roztoky neagresivních saponátů.</t>
  </si>
  <si>
    <t>D+M - Univerzální plastový anemostat O 125 mm</t>
  </si>
  <si>
    <t>D+M - Univerzální plastový anemostat O 150 mm</t>
  </si>
  <si>
    <t>D+M - Zpětná klapka „motýlová“  pro kruhové potrubí O 180 mm, vyrobená z galvanizované oceli</t>
  </si>
  <si>
    <t>D+M - Tlumič hluku, plášť tlumiče je z galvanizovaného plechu 200/600 mm</t>
  </si>
  <si>
    <t>D+M - Tlumič hluku soklový pro připevnění na plochou střechu 290x290x750 mm</t>
  </si>
  <si>
    <t>D+M - Pružná spojka pro kruhové potrubí O 182 mm</t>
  </si>
  <si>
    <t>D+M - Adaptér pro kruhové potrubí O 182 mm</t>
  </si>
  <si>
    <t>D+M - Volná příruba pro kruhové potrubí O 182 mm</t>
  </si>
  <si>
    <t>D+M - Zpětná klapka samotížná O 182 mm</t>
  </si>
  <si>
    <t>D+M - SPIRO přechod osový O 200 mm / O 182 mm</t>
  </si>
  <si>
    <t>D+M - Záslepka vnitřní na potrubí O 100 mm s gumovým těsněním</t>
  </si>
  <si>
    <t>D+M - Tepelná izolace na potrubí, tloušťka izolace 40 mm.</t>
  </si>
  <si>
    <t>TEPELNÁ IZOLACE vzduchovodu z kamenné vlny (minerální plsti) s kolmou orientací vláken. Lamely jsou jednostranně nalepeny na nosnou podložku, kterou tvoří hliníková fólie vyztužená skelnou mřížkou (ALS). ALS – kompozitní hliníková vrstva připojená k lamelovým rohožím pomocí tavné vrstvy lepidla, které nezhoršuje reakci na oheň. Hliníková vrstva je vybavena pevně připojenou skleněnou výztužnou mřížkou 2/2 mm. Tloušťka hliníkové fólie je 18 – 22 ?m. ? = 0,038 W/mK.</t>
  </si>
  <si>
    <t>Montážní a závěsový materiál</t>
  </si>
  <si>
    <t>Spojovací a těsnící materiál</t>
  </si>
  <si>
    <t>D+M - Malý tichý axiální ventilátor 300 se zpětnou klapkou a doběhem</t>
  </si>
  <si>
    <t>D+M - Doběhový spínač - nastavitelný 2–20 minut, 230 V/50 Hz, včetně kabeláže</t>
  </si>
  <si>
    <t>D+M - Prostorový termostat</t>
  </si>
  <si>
    <t>D+M - Měření a regulace (rozváděč, kabeláž, čidla, regulátor, propojení, zprovoznění, vyregulování soustavy…)</t>
  </si>
  <si>
    <t>POTRUBÍ - Kruhové vzduchotechnické potrubí z falcovaného ocelového pozinkovaného plechu skupiny I v provedení SPIRO, barva přírodní pozink, včetně tvarovek.</t>
  </si>
  <si>
    <t>D+M - Samotížná žaluziová klapka plastová O 160 mm s okapničkou, včetně ochrané síťky proti hmyzu</t>
  </si>
  <si>
    <t>Bourání prostupu nosnou stěnou, stropem nebo střechou pro potrubí do DN 250, včetně transportu suti a uložení na skládku + oprava, začištění omítky, u</t>
  </si>
  <si>
    <t>Bourání prostupu příčkou, včetně transportu suti a uložení na skládku + oprava, začištění omítky, utěsnění prostupu a malba</t>
  </si>
  <si>
    <t>Závěsný systém jednoho výrobce - objímky, závěsy, kotvy, příčníky, závitové tyče, konzoly, hmoždinky; vrtání do betonových a jiných konstrukcí; static</t>
  </si>
  <si>
    <t>Manuály</t>
  </si>
  <si>
    <t>Zaškolení</t>
  </si>
  <si>
    <t>Zkušební provoz</t>
  </si>
  <si>
    <t>Energie a jiná media</t>
  </si>
  <si>
    <t>Montáž VZT zařízení</t>
  </si>
  <si>
    <t>Výrobky a projektovaná zařízení, u nichž jsou uvedeny typové údaje, jsou uvedeny jako referenční zařízení určující souhrnné parametry výrobku a požadovanou cenovou hladinu výrobku._x000D_
Pokud dodavatel usoudí, že výkaz výměr není kompletní, je povinen na tuto skutečnost upozornit a chybějící práce či materiály začlenit do své nabídky._x000D_
Jednotlivé výrobky jsou ve výkazu výměr obsaženy včetně dodávky a montážních prací.			_x000D_
Výměry potrubí jsou uvedeny včetně prořezů.			_x000D_
Materiály a ostatní látky použité při realizaci nesmí mít negativní vliv na technologické procesy prováděné investorem a okolní prostředí._x000D_
Pokud to není jmenovitě uvedeno v této specifikaci, jsou součástí ceny Zhotovitele i veškeré zkoušky, potřebná měření, inspekce, uvedení zařízení do provozu, zaškolení obsluhy a revize, zpracování veškeré dílenské dokumentace, provozních předpisů, manuálů a zpracování projektu skutečného provedení._x000D_
Uchazeč (Zhotovitel) si je vědom, že je jeho povinností zahrnout do ceny i veškeré práce a materiály, které nemusí být v tomto výkazu výměr výslovně uvedené, ale jsou součástí projektu. Případné doplnění specifikaci je možno jen v samostatném výkazu  (tzn. "pod čarou" tohoto výkazu výměr). Následné změny výměr v průběhu realizace nebudou akceptovány._x000D_
Podkladem pro ocenění, stavbu, technické řešení jednotlivých konstrukcí a objednávání materiálu je projekt jako celek, přičemž stačí, aby příslušné dodávky a práce byly zmíněny v některé z jeho částí. Technické řešení jednotlivých konstrukcí nelze v žádném případě odvozovat od této specifikace, ale výlučně od projektu._x000D_
Montážní, spojovací, těsnící, závěsový materiál, vč. pomocných konstrukcí pod zařízení, vč. materiálu pro eliminaci přenosu vibrací do stavebních konstrukcí od všech zařízení, rýhovaná vícevrstvá pryž, izolátory chvění._x000D_
Veškeré zařízení bude vybíráno od prověřených výrobců v oboru. Uvedené referenční výrobky udávají technický a kvalitativní standard výrobku. 	_x000D_
Soupis výkonů je zpracován podle projektové dokumentace pro provedení stavby.</t>
  </si>
  <si>
    <t>Seřízení a zaregulování  celé soustavy, VZT rozvodů a koncových prvků</t>
  </si>
  <si>
    <t>Protokoly, revize, zkoušky, testy</t>
  </si>
  <si>
    <t>Ústřední vytápění</t>
  </si>
  <si>
    <t>D+M - Potrubí Oc 18,0x1,2 mm</t>
  </si>
  <si>
    <t xml:space="preserve">Dodávka a montáž potrubí z uhlíkové oceli, vně pozinkované E195 č. 1.0034 nebo alternativně E190 č. 1.0031 nebo jiné třídy ekvivalentního složení dle EN 10305-3, max. provozní tlak PN 16, vč. tvarovek, redukcí, přechodek, návarků a kotvení potrubí	</t>
  </si>
  <si>
    <t>D+M - Potrubí Oc 22,0x1,5 mm</t>
  </si>
  <si>
    <t>D+M - Potrubí Oc 28,0x1,5 mm</t>
  </si>
  <si>
    <t>D+M - Izolace MV tl. 30 mm + polep ALS fólií na potrubí 28</t>
  </si>
  <si>
    <t xml:space="preserve">Dodávka a montáž potrubních izolačních pouzder s polepem ALS, jedná se o řezaná potrubní pouzdra z kamenné vlny kašírovaná hliníkovou fólií se skleněnou mřížkou, ?=0,037 W/mK	</t>
  </si>
  <si>
    <t>D+M - Návleková tepelná izolace PE tl. 20 mm + polep AL fólií na potrubí d 18 mm</t>
  </si>
  <si>
    <t xml:space="preserve">Dodávka a montáž termoizolačních trubic z pěnového polyetylenu s uzavřenou buněčnou strukturou laminované zesílenou hliníkovou fólií, ?=0,046 W/mK	</t>
  </si>
  <si>
    <t>D+M - Návleková tepelná izolace PE tl. 25 mm + polep AL fólií na potrubí d 22 mm</t>
  </si>
  <si>
    <t>D+M - Trubkové otopné těleso 745.1820 - KRMM (Bílá RAL 9010)</t>
  </si>
  <si>
    <t>Trubkové otopné těleso se spodním středovým připojením zdola dolů, s připojovací roztečí 50 mm na otopnou soustavu s nuceným oběhem, včetně upevňovací sady (konzoly, vruty a hmoždinky)</t>
  </si>
  <si>
    <t>D+M - Otopné těleso deskové 21 - 4050 - E (Bílá RAL 9010)</t>
  </si>
  <si>
    <t xml:space="preserve">Dodávka a montáž energeticky úsporné deskové otopné těleso s funkcí řízeného zatékání a s univerzálním spodním připojením na otopnou soustavu s nuceným oběhem, včetně upevňovací sady (konzoly, vruty a hmoždinky)	</t>
  </si>
  <si>
    <t>D+M - Otopné těleso deskové 21 - 4080 - E (Bílá RAL 9010)</t>
  </si>
  <si>
    <t>D+M - Otopné těleso deskové 22 - 3080 - E (Bílá RAL 9010)</t>
  </si>
  <si>
    <t>D+M - Otopné těleso deskové 22 - 3120 - E (Bílá RAL 9010)</t>
  </si>
  <si>
    <t>D+M - Otopné těleso deskové 22 - 4060 - E (Bílá RAL 9010)</t>
  </si>
  <si>
    <t>D+M - Otopné těleso deskové 22 - 4120 - E (Bílá RAL 9010)</t>
  </si>
  <si>
    <t>D+M - Otopné těleso deskové 22 - 9140 - E (Bílá RAL 9010)</t>
  </si>
  <si>
    <t>D+M - Otopné těleso deskové 33 - 3120 - E (Bílá RAL 9010)</t>
  </si>
  <si>
    <t>D+M - Otopné těleso deskové 33 - 4080 - E (Bílá RAL 9010)</t>
  </si>
  <si>
    <t>D+M - Sada navrtávacích konzol 15/120 (6 ks), včetně vrutů a hmoždinek</t>
  </si>
  <si>
    <t>D+M - TRV - Připojovací armatura niklovaná pro tělesa s integrovanými ventily, pro dvoutrubkovou otopnou soustavu, dvě regulační šroubení s možností v</t>
  </si>
  <si>
    <t>D+M - HM - Integrovaná armatura rohová pro trubková otopná tělesa a pro dvoutrubkovou otopnou soustavu. V těle armatury je integrován ventil a regulač</t>
  </si>
  <si>
    <t>D+M - TH - Termostatická hlavice s vestavěným kapalinou plněným čidlem, pro tělesa s integrovaným termostatickým ventilem se závitem M 30x1,5, rozsah</t>
  </si>
  <si>
    <t>D+M - OV - Odvzdušňovací radiátorový ventil niklovaný DN 15 (1/2"), ruční ovládání klíčkem, vč. ovládacího klíčku.</t>
  </si>
  <si>
    <t>D+M - Vyregulování ventilů s termostatickým ovládáním</t>
  </si>
  <si>
    <t>D+M - Vypouštěcí nástavec k radiátorům</t>
  </si>
  <si>
    <t>D+M - Kulový kohout závitový s vypouštěním, t = 120 °C, PN16, niklovaná mosaz, provedení páka, DN 25</t>
  </si>
  <si>
    <t>Dodávka a montáž instalačních armatur, včetně objímek, závěsů, kotvících bodů a tlakových zkoušek</t>
  </si>
  <si>
    <t>D+M - Automatický odvzdušňovací ventil se zpětnou klapkou, t = 110 °C, PN10, mosaz, DN 15</t>
  </si>
  <si>
    <t>D+M - Odvzdušňovací nádobka</t>
  </si>
  <si>
    <t>D+M - Nový řídící systém MaR</t>
  </si>
  <si>
    <t>Dodávka a montáž zařízení pro Měření a Regulace, včetně příslušenství.</t>
  </si>
  <si>
    <t>D+M - Kabeláž</t>
  </si>
  <si>
    <t>D+M - Lišta plastová vkládací 60x40 mm</t>
  </si>
  <si>
    <t>D+M - Montážní a instalační materiál, trubky, chráničky</t>
  </si>
  <si>
    <t>D+M - Drobný montážní a spojovací materiál</t>
  </si>
  <si>
    <t>D+M - Montážní práce MaR - propojení čidel, ventilů, čerpadel a servopohonů s centrální regulací</t>
  </si>
  <si>
    <t>D+M - Naparametrování regulátorů a ovladačů zón</t>
  </si>
  <si>
    <t>D+M - Vyregulování okruhu vytápění v rámci první topné sezóny, nastavení teplot, průtoků, provozních parametrů, energetický management, atd.</t>
  </si>
  <si>
    <t>D+M - Inženýrské a kompletační práce</t>
  </si>
  <si>
    <t>D+M - Kompletní zkoušky a seřízení</t>
  </si>
  <si>
    <t>D+M - Revize</t>
  </si>
  <si>
    <t>D+M - Zaškolení obsluhy</t>
  </si>
  <si>
    <t>Vyregulování otopné soustavy - projekční práce</t>
  </si>
  <si>
    <t>Dodávka a montáž Instalační prefabrikátů včetně tvarovek, objímek, závěsů, kotvících bodů a tlakových zkoušek.</t>
  </si>
  <si>
    <t>Vyregulování otopné soustavy - montážní práce, včetně tlakových zkoušek a revizí</t>
  </si>
  <si>
    <t>Vyvážení všech seřizovacích armatur, včetně tlakových zkoušek a revizí</t>
  </si>
  <si>
    <t>Bourání prostupu nosnou stěnou a stropem dvojic pro potrubí do DN 50, včetně transportu suti a uložení na skládku + oprava, začištění omítky, utěsnění</t>
  </si>
  <si>
    <t>Bourání prostupu příčkou dvojic pro potrubí do DN 50, včetně transportu suti a uložení na skládku + oprava, začištění omítky, utěsnění prostupu a malb</t>
  </si>
  <si>
    <t>D+M - Ocelová chránička DN 40, délky 350 mm</t>
  </si>
  <si>
    <t>Topná zkouška celého zařízení 72 hodin</t>
  </si>
  <si>
    <t>Tlaková zkouška celého zařízení</t>
  </si>
  <si>
    <t>Vypuštění otopné soustavy</t>
  </si>
  <si>
    <t>Napuštění otopné soustavy</t>
  </si>
  <si>
    <t>Napojení na objektovou předávací stanici OPS</t>
  </si>
  <si>
    <t>D+M - Orientační štítky a značení potrubí barevnými pruhy, orientačními štítky a popisky</t>
  </si>
  <si>
    <t>Proplach soustavy</t>
  </si>
  <si>
    <t>Konstrukce klempířské</t>
  </si>
  <si>
    <t>M+D Parapety oken plech PZ lak.tl.0,6mm, rš.300mm -dle popisu v PD ozn.K1</t>
  </si>
  <si>
    <t>M+D Závětrná lišta s okapnicí plech PZ lak.tl.0,6mm,rš.400mm -dle popisu v PD ozn.K2</t>
  </si>
  <si>
    <t>Přesun hmot pro klempířské konstr., výšky do 6 m</t>
  </si>
  <si>
    <t>Konstrukce truhlářské</t>
  </si>
  <si>
    <t>Těsnění okenní spáry, ostění, PT fólie+ PP páska, folie š.100 mm, páska tl. 6 mm, š. 20 mm</t>
  </si>
  <si>
    <t>Těsnění oken.spáry,parapet,PT folie+PP folie+páska</t>
  </si>
  <si>
    <t>PT folie š.100 mm; PP folie š.100 mm+páska tl.6 mm</t>
  </si>
  <si>
    <t>M+D Plast.vchod.dveře 1500/3000mm -dle popisu v PD ozn.F2</t>
  </si>
  <si>
    <t>M+D Plast.vchod.dveře 1000/3000mm -dle popisu v PD ozn.F3</t>
  </si>
  <si>
    <t>M+D Plast.vchod.dveře 1000/2100mm (900/1970) -dle popisu v PD ozn.F10</t>
  </si>
  <si>
    <t>M+D Plast.okno 1500/2500mm -dle popisu v PD ozn.F4a + F4b</t>
  </si>
  <si>
    <t>M+D Plast.okno 1000/2500mm -dle popisu v PD ozn.F5</t>
  </si>
  <si>
    <t>M+D Plast.okno 1250/2000mm -dle popisu v PD ozn.F6</t>
  </si>
  <si>
    <t>M+D Plast.okno 750/2000mm -dle popisu v PD ozn.F7</t>
  </si>
  <si>
    <t>M+D Plast.okno 750/1500mm -dle popisu v PD ozn.F8</t>
  </si>
  <si>
    <t>M+D Plast.bodový kopulový světlík 1200/1200mm -dle PD ozn.F9</t>
  </si>
  <si>
    <t>M+D Dř.vnitř.dveře 900/1970mm vč.kování,zárubně,nátěru ozn.D2</t>
  </si>
  <si>
    <t>M+D Dř.vnitř.dveře 900/1970mm EW 15 DP3 vč.kování,zárubně,nátěru ozn.D2</t>
  </si>
  <si>
    <t>M+D Dř.vnitř.dveře 700/1970mm vč.kování,zárubně,nátěru ozn.D3</t>
  </si>
  <si>
    <t>M+D Dř.posuv.dveře 1985/2080mm vč.kování,pouzdra,nátěru ozn.D4</t>
  </si>
  <si>
    <t>M+D Dř.vnitř.dveře 900/1970mm vč.kování,zárubně,nátěru ozn.D5</t>
  </si>
  <si>
    <t>M+D Dř.vnitř.dveře 700/1970mm vč.kování,zárubně,nátěru ozn.D6</t>
  </si>
  <si>
    <t>M+D Vnitř.parapet dl.1500mm -dle popisu v PD ozn.T1</t>
  </si>
  <si>
    <t>M+D Vnitř.parapet dl.1000mm -dle popisu v PD ozn.T1</t>
  </si>
  <si>
    <t>M+D Vnitř.parapet dl.1250mm -dle popisu v PD ozn.T1</t>
  </si>
  <si>
    <t>M+D Vnitř.parapet dl.750mm -dle popisu v PD ozn.T1</t>
  </si>
  <si>
    <t>M+D Šroub.kce z OSB desky-atika -dle popisu v PD ozn.T2</t>
  </si>
  <si>
    <t>M+D Sanitární příčka pro WC -dle popisu v PD dl.1350mm ozn.T3</t>
  </si>
  <si>
    <t>M+D Dřev.svodidla dle popisu v PD ozn.T4</t>
  </si>
  <si>
    <t>Přípl.-úprava zámků pro generální klíč ozn. F2+F3+F10+D2+D3</t>
  </si>
  <si>
    <t>Přípl.-dveřní zarážky a stavěče ozn.D2+D3+D5+D6</t>
  </si>
  <si>
    <t>Přesun hmot pro truhlářské konstr., výšky do 6 m</t>
  </si>
  <si>
    <t>Konstrukce kovové doplňkové stavební</t>
  </si>
  <si>
    <t>M+D Al vchod.dveře 1500/3000mm -dle popisu v PD ozn.F1</t>
  </si>
  <si>
    <t>M+D Al vnitř.dveře 1500/2250mm -dle popisu v PD ozn.D1</t>
  </si>
  <si>
    <t>M+D Žebřík s ochr.košem -dle popisu v PD ozn.Z1</t>
  </si>
  <si>
    <t>M+D Nové doplnění zastřešení areálové komunikace -provedení dle PD ozn.Z2</t>
  </si>
  <si>
    <t>M+D Ocelové venkovní zábradlí -provedení dle popisu v PD ozn.Z3</t>
  </si>
  <si>
    <t>M+D Úprava stávaj.přístřešků 3 pole -provedení dle popisu v PD ozn.Z4</t>
  </si>
  <si>
    <t>M+D Hydrant.skříň -dle popisu v PD ozn.Os1</t>
  </si>
  <si>
    <t>M+D Přenosný hasící přístroj PHP práškový P6 21A ozn.Os2</t>
  </si>
  <si>
    <t>M+D Vnitř.čistící zóna 1500x2000mm -dle popisu v PD ozn.Os3</t>
  </si>
  <si>
    <t>M+D Shrnovací sprch.zástěna -dle popisu v PD ozn.Os4</t>
  </si>
  <si>
    <t>M+D Vybavení bezbariér.sprchy -dle popisu v PD ozn.Os5</t>
  </si>
  <si>
    <t>M+D Vybavení bezbariér.WC -dle popisu v PD ozn.Os6</t>
  </si>
  <si>
    <t>M+D Záchytný systém -dle popisu v PD ozn.Os7</t>
  </si>
  <si>
    <t>M+D Revizní dvířka pro čistící kusy kanalizace dle popisu v PD ozn.Os8</t>
  </si>
  <si>
    <t>M+D Orientační systém-dveřní tabulky dle popisu v PD ozn.Os10</t>
  </si>
  <si>
    <t>Přípl.-úprava zámků pro generální klíč ozn.F1+D1</t>
  </si>
  <si>
    <t>Přípl.-dveřní zarážky a stavěče ozn.D1</t>
  </si>
  <si>
    <t>Přesun hmot pro zámečnické konstr., výšky do 6 m</t>
  </si>
  <si>
    <t>Podlahy z dlaždic</t>
  </si>
  <si>
    <t>Stěrka hydroizolační+bandáž koutů (těsn.dilat.provazec) -vodor. -skladba P1, bod 2 + P4, bod 2 + P5, bod 2</t>
  </si>
  <si>
    <t>Stěrka hydroizolační+bandáž koutů (těsn.dilat.provazec) -svislá -skladba P1, bod 2 + P4, bod 2 + P5, bod 2</t>
  </si>
  <si>
    <t>Montáž podlahových lišt přechodových</t>
  </si>
  <si>
    <t>Lišta přechod.T pro dlažbu, kovová, ve stříbrném odstínu</t>
  </si>
  <si>
    <t>Obklad soklíků rovných do tmele výšky do 100 mm</t>
  </si>
  <si>
    <t>Soklík keramický 300x80x9 mm -dle výběru investora</t>
  </si>
  <si>
    <t>Montáž podlah keram.,hladké, tmel, 30x30 cm-sociální zázemí</t>
  </si>
  <si>
    <t>Dlaždice keramická 300x300mm, protiskluz.R10 b.bílá</t>
  </si>
  <si>
    <t>Montáž podlah keram.,hladké, tmel, 30x30 cm-ostatní místnosti</t>
  </si>
  <si>
    <t>Příplatek za spárování vodotěsnou hmotou - plošně</t>
  </si>
  <si>
    <t>Přesun hmot pro podlahy z dlaždic, výšky do 6 m</t>
  </si>
  <si>
    <t>Podlahy povlakové</t>
  </si>
  <si>
    <t>Vyrovnání podkladu samonivelační cement.stěrkou tl.1-3mm -skladba P2, bod 2 + P3, bod 2</t>
  </si>
  <si>
    <t>Provedení penetrace podkladu pod.povlak.podlahy</t>
  </si>
  <si>
    <t>Lepení podlahových soklíků z PVC a vinylu</t>
  </si>
  <si>
    <t>Soklík k přírodnímu linoleu -dle výběru investora</t>
  </si>
  <si>
    <t>Lepení povlak.podlah z pásů PVC na lepidlo disp. -skladba P2, bod 1 + P3, bod 1</t>
  </si>
  <si>
    <t>Přír.linoleum, 100% přírodní, tl.2,5mm, protiskl.R9 -odstín dle investora</t>
  </si>
  <si>
    <t>Přesun hmot pro podlahy povlakové, výšky do 6 m</t>
  </si>
  <si>
    <t>Obklady (keramické)</t>
  </si>
  <si>
    <t>Provedení penetrace podkladu-adh.můstek -práce včetně materiálu</t>
  </si>
  <si>
    <t>Zařezání obkladů u podlahy</t>
  </si>
  <si>
    <t>Příplatek za sestavení dekoru (listela, bordura)</t>
  </si>
  <si>
    <t>Listela barevná keramická -dle investora</t>
  </si>
  <si>
    <t>Obkládání stěn mozaikou flex.lep.vč.dilatací</t>
  </si>
  <si>
    <t>Obkladačka keramická -barevná mozaika -dle investora</t>
  </si>
  <si>
    <t>Obkládání ostění do tmele šířky do 300 mm</t>
  </si>
  <si>
    <t>Obkladačka keramická bílá mat -dle investora</t>
  </si>
  <si>
    <t>Obkládání parapetů do tmele šířky do 300 mm</t>
  </si>
  <si>
    <t>Příplatek za spárovací vodotěsnou hmotu - plošně</t>
  </si>
  <si>
    <t>Montáž obkladů keram.rež.flex.lep.vč.dilatací</t>
  </si>
  <si>
    <t>Obkl.vnitř.přípl.2bar.spár.tmel</t>
  </si>
  <si>
    <t>Spára podlaha - stěna, silikonem + separač.provazec</t>
  </si>
  <si>
    <t>Montáž lišt k obkladům -horní ukončovací lišta</t>
  </si>
  <si>
    <t>Lišta ukončovací horní elox.hliník pro obklady</t>
  </si>
  <si>
    <t>Montáž lišt k obkladům -nárožní lišta</t>
  </si>
  <si>
    <t>Lišta ukončovací nárožní elox.hliník pro obklady</t>
  </si>
  <si>
    <t>Montáž lišt k obkladům -koutová lišta</t>
  </si>
  <si>
    <t>Lišta ukončovací koutová elox.hliník pro obklady</t>
  </si>
  <si>
    <t>Přesun hmot pro obklady keramické, výšky do 6 m</t>
  </si>
  <si>
    <t>Malby</t>
  </si>
  <si>
    <t>Oprášení/ometení podkladu</t>
  </si>
  <si>
    <t>Broušení štuků a nových omítek</t>
  </si>
  <si>
    <t>Zakrytí podlah, včetně papírové lepenky</t>
  </si>
  <si>
    <t>Malba 2x disp.otěruvzd.paropropust.1bar M380-stěny, ostění -b.bílá -skladba A, bod 9</t>
  </si>
  <si>
    <t>Pačokování 1x vápenné mléko-stěny,ostění, místnosti H do 3,8 m -skladba A, bod 9</t>
  </si>
  <si>
    <t>Čalounické úpravy</t>
  </si>
  <si>
    <t>Žaluzie horizont.vnitřní AL lamely vč.dodávky dle výběru investora -ozn.OS13 -úplné provedení dle PD</t>
  </si>
  <si>
    <t>Přesun hmot pro zastiň. techniku, výšky do 6 m</t>
  </si>
  <si>
    <t>Zařízení velkokuchyní-gastrotechnologie</t>
  </si>
  <si>
    <t>Pracovní stůl s varnou deskou, spodní police, blok zásuvek vlevo, nerez, 1650x650x50mm</t>
  </si>
  <si>
    <t>Varná indukční deska, zapuštěná, dva vařiče, černá, dotyková 300x520x50mm, 3,7kW/230V</t>
  </si>
  <si>
    <t>Pracovní stůl s dřezem 400x400, policí, spodní prostor pro myčku, nerez, 1850x650x900mm</t>
  </si>
  <si>
    <t>Myčka na nádobí, dvouplášťové provedení, koš 500x500, 600x600x850, 230V</t>
  </si>
  <si>
    <t>Pracovní stůl s vestavěným umývadlem a policí, nerez 1000x650x900mm</t>
  </si>
  <si>
    <t>Pracovní stůl s ohřívací vodní lázní, nerez, spodní police,1300x700x900, 1,5kW/230V</t>
  </si>
  <si>
    <t>vodní lázeň pro 1 x GN 1/1 - 200 vč. základní sady GN nádob</t>
  </si>
  <si>
    <t>Výrobník čaje, nerez, 2kW/230V</t>
  </si>
  <si>
    <t>Lednice objem 360 l, digitální ovládání, nerez 600x600x180mm, 230V</t>
  </si>
  <si>
    <t>Vybavení přípravny jídla vč.kuchyňské linky</t>
  </si>
  <si>
    <t>Montáž, doprava, revize připojení technologie, zaškolení personálu</t>
  </si>
  <si>
    <t>Elektromontáže</t>
  </si>
  <si>
    <t>Vybourání otvorů ve zdivu cihelném D do 60 mm na MVC nebo MV tl do 300 mm</t>
  </si>
  <si>
    <t>Vybourání otvorů ve zdivu cihelném D do 150 mm na MVC nebo MV tl do 300 mm</t>
  </si>
  <si>
    <t>Vysekání kapes ve zdivu cihelném na MV nebo MVC pl do 0,10 m2 hl do 150 mm</t>
  </si>
  <si>
    <t>Vysekání rýh pro vodiče v omítce MC stěn š do 30 mm</t>
  </si>
  <si>
    <t>Vysekání rýh pro vodiče v omítce MC stěn š do 70 mm</t>
  </si>
  <si>
    <t>Celková prohlídka elektrického rozvodu a zařízení do 2 milionu Kč</t>
  </si>
  <si>
    <t>Montáž rozvodné skříně do 50 kg</t>
  </si>
  <si>
    <t>Demontáž rozvodné skříně do 50 kg</t>
  </si>
  <si>
    <t>Rozvaděč  R ( viz výkres č. E04 )</t>
  </si>
  <si>
    <t>Montáž trubka plastová ohebná D 29 mm uložená pevně</t>
  </si>
  <si>
    <t>trubka elektroinstalační ohebná D29 mm</t>
  </si>
  <si>
    <t>Montáž trubka plastová ohebná D 36 mm uložená pevně</t>
  </si>
  <si>
    <t>trubka elektroinstalační ohebná D36 mm</t>
  </si>
  <si>
    <t>Montáž trubka plastová ohebná D 13,5 mm uložená pevně</t>
  </si>
  <si>
    <t>trubka elektroinstalační ohebná D 13,5 mm</t>
  </si>
  <si>
    <t>Montáž krabice zapuštěná plastová kruhová typ KU68/2-1902, KO125</t>
  </si>
  <si>
    <t>krabice univerzální z PH KU 68/2-1903</t>
  </si>
  <si>
    <t>krabice přístrojová instalační KP 68/1</t>
  </si>
  <si>
    <t>krabice přístrojová odbočná s víčkem z PH KO125</t>
  </si>
  <si>
    <t>krabice přístrojová IP54</t>
  </si>
  <si>
    <t>Montáž krabice zapuštěná plastová čtyřhranná typ KO100, KO125</t>
  </si>
  <si>
    <t>Krabice  IP65</t>
  </si>
  <si>
    <t>Montáž vodič uzemňovací drát nebo lano D do 10 mm / v liště / pod omítkou</t>
  </si>
  <si>
    <t>drát průměr 10 mm FeZn</t>
  </si>
  <si>
    <t>Montáž svorka hromosvodná typ ST, SJ, SK, SZ, SR01, 02 se 3 šrouby</t>
  </si>
  <si>
    <t>svorka uzemnění  SU nerez univerzální</t>
  </si>
  <si>
    <t>Lišta LV 40x40 mm</t>
  </si>
  <si>
    <t>Demontáž stávajících rozvodů NN a MN</t>
  </si>
  <si>
    <t>Trubka korugovaná 50/41</t>
  </si>
  <si>
    <t>Trubka korugovaná 100/91</t>
  </si>
  <si>
    <t>Montáž vodič Cu izolovaný sk.1 do 1 kV žíla 0,35 až 6 mm2 do stěny</t>
  </si>
  <si>
    <t>vodič silový s Cu jádrem CY H07 V-U 2 mm2</t>
  </si>
  <si>
    <t>vodič silový s Cu jádrem CY H07 V-U 4 mm2</t>
  </si>
  <si>
    <t>vodič silový s Cu jádrem CY H07 V-U 6 mm2</t>
  </si>
  <si>
    <t>Montáž vodič Cu izolovaný sk.1 do 1 kV žíla 10 až 16 mm2 do stěny</t>
  </si>
  <si>
    <t>vodič silový s Cu jádrem CY H07 V-U 10 mm2</t>
  </si>
  <si>
    <t>vodič silový s Cu jádrem CY H07 V-U 10 mm2 - kabelové oko Cu</t>
  </si>
  <si>
    <t>Montáž kabel Cu sk.2 do 1 kV do 0,20 kg pod omítku stěn</t>
  </si>
  <si>
    <t>kabel silový s Cu jádrem CYKY-J 3x1,5 mm2</t>
  </si>
  <si>
    <t>kabel silový s Cu jádrem CYKY-O 2x1,5 mm2</t>
  </si>
  <si>
    <t>kabel sdělovací SYKFY 3x2x0,5mm2</t>
  </si>
  <si>
    <t>kabel sdělovací SYKFY 5x2x0,5mm2</t>
  </si>
  <si>
    <t>Kabel sdělovací ÚTP cat 5e</t>
  </si>
  <si>
    <t>Montáž kabel Cu sk.2 do 1 kV do 0,40 kg pod omítku stěn</t>
  </si>
  <si>
    <t>kabel silový s Cu jádrem CYKY 5x1,5 mm2</t>
  </si>
  <si>
    <t>kabel silový s Cu jádrem CHK-R 3x1,5 mm2</t>
  </si>
  <si>
    <t>kabel silový s Cu jádrem CYKY 5x2,5 mm2</t>
  </si>
  <si>
    <t>kabel silový s Cu jádrem CYKY 3x2,5 mm2</t>
  </si>
  <si>
    <t>Montáž kabel Cu sk.2 do 1 kV do 1,10 kg pod omítku stěn</t>
  </si>
  <si>
    <t>kabel silový s Cu jádrem CYKY-J 5x6mm2</t>
  </si>
  <si>
    <t>kabel silový s Cu jádrem CYKY-J 5x10mm2</t>
  </si>
  <si>
    <t>kabel silový s Cu jádrem CYKY-J 7x1,5mm2</t>
  </si>
  <si>
    <t>Ukončení vodič izolovaný do 2,5mm2 v rozváděči nebo na přístroji</t>
  </si>
  <si>
    <t>SVORKA 221-415 5x2,5</t>
  </si>
  <si>
    <t>SVORKA ST 5 NA POTRUBI</t>
  </si>
  <si>
    <t>OZNAC.STITEK C.1</t>
  </si>
  <si>
    <t>páska stahovací kabelová VPP 4/280</t>
  </si>
  <si>
    <t>Ukončení vodič izolovaný do 16 mm2 v rozváděči nebo na přístroji</t>
  </si>
  <si>
    <t>Montáž pospojení</t>
  </si>
  <si>
    <t>Sada pro ochranné pospojení</t>
  </si>
  <si>
    <t>Montáž vypínač nástěnný 1-jednopólový prostředí obyčejné nebo vlhké</t>
  </si>
  <si>
    <t>spínač jednopólový řazení 1 10A bílý, IP20, komplet</t>
  </si>
  <si>
    <t>spínač jednopólový řazení 1 10A bílý, IP44, komplet</t>
  </si>
  <si>
    <t>Regulátor intenzity osvětlení řaz. 6 , 1000W</t>
  </si>
  <si>
    <t>Termostat týdenní programovací kontakt min 4A</t>
  </si>
  <si>
    <t>Montáž přepínač nástěnný 6-střídavý prostředí obyčejné nebo vlhké</t>
  </si>
  <si>
    <t>spínač řazení 6 10A bílý IP20, komplet</t>
  </si>
  <si>
    <t>spínač řazení 6+6 10A bílý IP20, komplet</t>
  </si>
  <si>
    <t>Montáž přepínač nástěnný 7-křížový prostředí obyčejné nebo vlhké</t>
  </si>
  <si>
    <t>spínač řazení 7 10A bílý IP20</t>
  </si>
  <si>
    <t>Krabice vývodka do 5x2,5mm2</t>
  </si>
  <si>
    <t>Montáž zásuvka chráněná bezšroubové připojení v krabici L+N+PE dvojí zapojení prostř. základní,vlhké</t>
  </si>
  <si>
    <t>zásuvka 1násobná 16A IP 20 bílá komplet s přepěťovou ochranou "D"</t>
  </si>
  <si>
    <t>zásuvka 1násobná 16A IP 20 bílá komplet</t>
  </si>
  <si>
    <t>zásuvka 1násobná 16A IP 44 bílá komplet</t>
  </si>
  <si>
    <t>Montáž zásuvka chráněná bezšroubové připojení v krabici ( MN )  dvojí zapojení prostř. základní,vlhké</t>
  </si>
  <si>
    <t>zásuvka datová 2xRJ45 komplet</t>
  </si>
  <si>
    <t>zásuvka HDMI, komplet</t>
  </si>
  <si>
    <t>SOS systém pro WC imobilní</t>
  </si>
  <si>
    <t>SOS systém pro WC imobilní ( 1x centrální jednotka se zdrojem, 2x tahový spínač, 1x spínač 0/1, 1x akustické a světelné návěští , 20m kabel CMFM 2x1,5</t>
  </si>
  <si>
    <t>Zařízení detekce
a signalizace kouře  - kouřový hlásič</t>
  </si>
  <si>
    <t>RACK</t>
  </si>
  <si>
    <t>RACK ( skříň 600x600mm, PATCH 24, zdroj, vyvazovací panel, DVR 7 dní, příslušenství …... )</t>
  </si>
  <si>
    <t>Čidlo EZS-PIR</t>
  </si>
  <si>
    <t>Čidlo EZS-PIR 270° / 10m</t>
  </si>
  <si>
    <t>DT - zvonkové tablo - min 4 účastníci</t>
  </si>
  <si>
    <t>DT - el.zámek</t>
  </si>
  <si>
    <t>DT - telefon - 1 tlačítko</t>
  </si>
  <si>
    <t>EZS - ústředna</t>
  </si>
  <si>
    <t>EZS - vstupní klávesnice</t>
  </si>
  <si>
    <t>EZS - magnetický kontakt</t>
  </si>
  <si>
    <t>Tlačítko TOTAL STOP</t>
  </si>
  <si>
    <t>Tlačítko TOTAL STOP v krabici</t>
  </si>
  <si>
    <t>Kabel HDMI d=5m</t>
  </si>
  <si>
    <t>Siréna vnější</t>
  </si>
  <si>
    <t>Kamera CCTV vč. držáku</t>
  </si>
  <si>
    <t>Rámeček jednonásobný</t>
  </si>
  <si>
    <t>Rámeček dvojnásobný</t>
  </si>
  <si>
    <t>Rámeček trojnásobný</t>
  </si>
  <si>
    <t>Rámeček čtyřnásobný</t>
  </si>
  <si>
    <t>Podružný montážní materiál</t>
  </si>
  <si>
    <t>Montáž svítidlo LED bytové stropní do dvou zdrojů</t>
  </si>
  <si>
    <t>F - Svítidlo LED / žárovkové / zářivkové max 60W / IP44</t>
  </si>
  <si>
    <t>F/IR Svítidlo LED / žárovkové / zářivkové max 60W / IP44 s IR pohybovým čidlem</t>
  </si>
  <si>
    <t>I - Svítidlo LED 27W / 3300lm
závěsné / přisazené, IP40</t>
  </si>
  <si>
    <t>I/N - Svítidlo LED 27W / 3300lm
závěsné / přisazené, IP40 s invertorem 1 hod</t>
  </si>
  <si>
    <t>J - Svítidlo LED 25W / 2200lm
závěsné / přisazené, IP40</t>
  </si>
  <si>
    <t>J/N - Svítidlo LED 25W / 2200lm
závěsné / přisazené, IP40 s invertorem 1 hod</t>
  </si>
  <si>
    <t>K - Svítidlo LED 49W / 5400lm
závěsné / přisazené, IP40</t>
  </si>
  <si>
    <t>L - Svítidlo LED 28W / 2600 lm
přisazené / svěšené IP20</t>
  </si>
  <si>
    <t>M - Svítidlo LED 32W / 4200lm
závěsné / přisazené, IP65</t>
  </si>
  <si>
    <t>N - Svítidlo LED 20W/ 2600 lm
přisazené, IP65</t>
  </si>
  <si>
    <t>H - Svítidlo LED 35W / 4400lm
závěsné / přisazené, IP40</t>
  </si>
  <si>
    <t>H - Svítidlo LED 35W / 4400lm
závěsné / přisazené, IP40 s invertorem 1 hod</t>
  </si>
  <si>
    <t>M - Svítidlo LED 27W / 3300lm
závěsné / přisazené, 600x600, AL rám, mikroprizm. Kryt</t>
  </si>
  <si>
    <t>Montáž svítidlo LED  - ATYP</t>
  </si>
  <si>
    <t>D - Svítidlo LED páska 14,4 W/m
v systémové AL liště s opálovým krytem - pod linku d= 2m vč. zdroje a příslušenství</t>
  </si>
  <si>
    <t>NEBE - svítidlo LED hvězdné nebe z optických vláken vč. zdroje a příslušentsví s možností regulace</t>
  </si>
  <si>
    <t>Montáž svítidlo zářivkové bytové nástěnné přisazené 1 zdroj</t>
  </si>
  <si>
    <t>N - Svítidlo LED nouzové s piktogramy 8W/1 hod</t>
  </si>
  <si>
    <t>zkouška nouzových svítidel</t>
  </si>
  <si>
    <t>Měření intenzity osvětlení</t>
  </si>
  <si>
    <t>zemnící drát FeZn d10</t>
  </si>
  <si>
    <t>svorka do dvou šroubů</t>
  </si>
  <si>
    <t>Svorka AB vč. pásky Cu</t>
  </si>
  <si>
    <t>zemnící drát AlMgSi d8 polotvrdý</t>
  </si>
  <si>
    <t>zemnicí páska FeZn 30/4</t>
  </si>
  <si>
    <t>zemnící páska FeZn 30/4</t>
  </si>
  <si>
    <t>Svorka zkušební ZS</t>
  </si>
  <si>
    <t>Hromosvodový vodič s izolací CUI d=5m vč. ukončení, kotvícího a podružného materiálu</t>
  </si>
  <si>
    <t>Podpěra PV</t>
  </si>
  <si>
    <t>Zemnící tyč 1,5m</t>
  </si>
  <si>
    <t>Zemní sonda ( do 0,5x0,5x0,8 m ) - odkrytí / zakrytí a provizorní úprava povrchu</t>
  </si>
  <si>
    <t>Podružný, spojovací, připojovací, kotevní a upevňovací materiál, svorky a - veškeré příslušenství, asfaltový nátěr</t>
  </si>
  <si>
    <t>Dokumentace skutečného provedení stavby</t>
  </si>
  <si>
    <t>Koordinace vypnutí stavby, prozatímní napájení staveništního rozvaděče</t>
  </si>
  <si>
    <t>práce ve výšce nad 3m</t>
  </si>
  <si>
    <t>Náklady na zkušební provoz</t>
  </si>
  <si>
    <t>Stavební přípomoce</t>
  </si>
  <si>
    <t>Materiál pro stavební přípomoce / zához rýh pro vodiče a kabely</t>
  </si>
  <si>
    <t>Opatření proti prašnosti vč. úklidu</t>
  </si>
  <si>
    <t>Geodetické zaměření přívodů NN a MN</t>
  </si>
  <si>
    <t>Ekologická likvidace odpadů</t>
  </si>
  <si>
    <t>Demolice pavilonu E</t>
  </si>
  <si>
    <t>Odpojení stavby od médií</t>
  </si>
  <si>
    <t>Vytýčení stávajících sítí -platí i pro SO01</t>
  </si>
  <si>
    <t>Zjištění stavu dotčených sousedních objektů</t>
  </si>
  <si>
    <t>Ochrana stávajících sítí na staveništi</t>
  </si>
  <si>
    <t>Demontáž oplocení</t>
  </si>
  <si>
    <t>Dočasné zpevnění plochy vč.přejezdu podezdívky</t>
  </si>
  <si>
    <t>Zakrytí oplocení staveniště ochrannými sítěmi</t>
  </si>
  <si>
    <t>Odstranění nevhodných dřevin výšky do 1m, svah do 1:5</t>
  </si>
  <si>
    <t>Odstranění nevhodných dřevin výšky nad 1m, svah do 1:5</t>
  </si>
  <si>
    <t>Kácení stromů listnatých o průměru kmene 10-30cm vč.odvozu</t>
  </si>
  <si>
    <t>Odstranění pařezů o průměru 10-30cm vč.odvozu a likvidace</t>
  </si>
  <si>
    <t>Demontáž stáv.herních prvků a bezpečné uskladnění během stavby</t>
  </si>
  <si>
    <t>Hloubení rýh š.do 200 cm hor.3 do 100 m3,STROJNĚ -pro vybourání základů</t>
  </si>
  <si>
    <t>Přípl.za lepivost,hloubení rýh 200cm,hor.3,STROJNĚ</t>
  </si>
  <si>
    <t>Vodorovné přemístění výkopku z hor.1-4 do 50 m -deponie výkopku</t>
  </si>
  <si>
    <t>Vodorovné přemístění výkopku z hor.1-4 do 50 m -z deponie-zásyp</t>
  </si>
  <si>
    <t>Nakládání výkopku z hor.1-4 v množství do 100 m3 -odvoz na deponii</t>
  </si>
  <si>
    <t>Nakládání výkopku z hor.1-4 v množství do 100 m3 -z deponie pro zásypy</t>
  </si>
  <si>
    <t>Uložení sypaniny na deponii-sypanina na výšku přes 2m</t>
  </si>
  <si>
    <t>Zásyp jam,rýh,šachet výkopkem se zhut.po vrstvách -po bour.základů</t>
  </si>
  <si>
    <t>Ochrana stromu bedněním - zřízení</t>
  </si>
  <si>
    <t>Ochrana stromu bedněním - odstranění</t>
  </si>
  <si>
    <t>Zrušení neudržovaných záhonů a náletu</t>
  </si>
  <si>
    <t>Lešení lehké pomocné pro bourání a rozebírání vč.přesunu hmot</t>
  </si>
  <si>
    <t>Bourání konstrukcí</t>
  </si>
  <si>
    <t>Bourání boletických panelů tl.100mm -kompletní provedení</t>
  </si>
  <si>
    <t>Příplatek za manipulaci s materiálem obsahujícím azbest</t>
  </si>
  <si>
    <t>Vybourání střešních desek SZD tl.90mm</t>
  </si>
  <si>
    <t>Vybourání izol.desek Vistemat tl.40mm -kompletní provedení</t>
  </si>
  <si>
    <t>Bourání základů z betonu prostého -terasa</t>
  </si>
  <si>
    <t>Bourání základů z betonu prostého</t>
  </si>
  <si>
    <t>Ubourání koruny pasů základových</t>
  </si>
  <si>
    <t>Ubourání koruny patek základových</t>
  </si>
  <si>
    <t>Bourání příček z cihel pálených plných tl. 60 mm</t>
  </si>
  <si>
    <t>Bourání příček z cihel pálených plných tl.70mm</t>
  </si>
  <si>
    <t>Bourání příček z cihel pálených plných tl.100mm</t>
  </si>
  <si>
    <t>Bourání příček z cihel pálených plných tl.125mm</t>
  </si>
  <si>
    <t>Bourání příček z cihel pálených plných tl. 150 mm</t>
  </si>
  <si>
    <t>Bourání příček z cihel pálených tl.155mm</t>
  </si>
  <si>
    <t>Bourání příček cihelných tl.160mm</t>
  </si>
  <si>
    <t>Bourání příček z cihel pálených tl.200mm</t>
  </si>
  <si>
    <t>Bourání zdiva z cihel pálených na MVC</t>
  </si>
  <si>
    <t>Bourání zdiva z cihel pálených na MVC-suterén</t>
  </si>
  <si>
    <t>Vybourání revizní šachty</t>
  </si>
  <si>
    <t>Bourání stropů z panelů žb. š.30 cm, tl. nad 14 cm</t>
  </si>
  <si>
    <t>Vybourání podhledů s omítkou</t>
  </si>
  <si>
    <t>Vybourání zastropení podlah.kanálů z PZD desek</t>
  </si>
  <si>
    <t>Vybourání boků podlah.kanálů</t>
  </si>
  <si>
    <t>Bourání mazanin betonových tl. 10 cm, nad 4 m2</t>
  </si>
  <si>
    <t>Bourání mazanin betonových tl. nad 10 cm, nad 4 m2 -terasa</t>
  </si>
  <si>
    <t>Bourání podkladů bet., potěr tl. 10 cm, nad 4 m2</t>
  </si>
  <si>
    <t>Bourání podkladů-perlit.potěr tl.40mm -střecha</t>
  </si>
  <si>
    <t>Příplatek, bourání mazanin se svař. síťí tl. 10 cm</t>
  </si>
  <si>
    <t>Příplatek, bourání mazanin se svař.síťí nad 10 cm</t>
  </si>
  <si>
    <t>Bourání dlaždic keramických tl.10 mm, nad 1m2 vč.soklu</t>
  </si>
  <si>
    <t>Bourání dlažeb keramických tl.10 mm, nad 1 m2 -závětří</t>
  </si>
  <si>
    <t>Bourání dlažeb betonových  tl. 4cm,pl.nad 1 m2 -terasa</t>
  </si>
  <si>
    <t>Demontáž PVC vč.soklu a podložky -vč.likvidace na skládce</t>
  </si>
  <si>
    <t>Odstranění násypu tl. do 20 cm, plocha nad 2 m2 -štěrkopísk.podsyp</t>
  </si>
  <si>
    <t>Přerušení ocelových profilů průřezu do 2 cm2</t>
  </si>
  <si>
    <t>Přerušení ocelových profilů průřezu do 7 cm2</t>
  </si>
  <si>
    <t>Přisekání ploch základů,zdiva beton.-začištění koruny základů</t>
  </si>
  <si>
    <t>Vyvěšení dřevěných okenních křídel pl.do 1,5m2 vč.likvidace</t>
  </si>
  <si>
    <t>Vyvěšení dřevěných okenních křídel pl.nad 1,5m2 vč.likvidace</t>
  </si>
  <si>
    <t>Vyvěšení dřevěných dveřních křídel pl.do 2m2 vč.likvidace</t>
  </si>
  <si>
    <t>Vybourání dřevěných rámů oken dvojitých pl. 1 m2</t>
  </si>
  <si>
    <t>Vybourání dřevěných rámů oken dvojitých pl. 2 m2</t>
  </si>
  <si>
    <t>Vybourání dřevěných rámů oken dvojitých pl. 4 m2</t>
  </si>
  <si>
    <t>Vybourání dřevěných obkladů -stěny a atika</t>
  </si>
  <si>
    <t>Vybourání dřevěných obkladů -podbití přesahů</t>
  </si>
  <si>
    <t>Vyvěšení kovových křídel dveří nad 2m2 vč.likvidace</t>
  </si>
  <si>
    <t>Vybourání kovových dveřních zárubní pl. do 2 m2</t>
  </si>
  <si>
    <t>Vybourání kovových dveřních zárubní pl. nad 2 m2</t>
  </si>
  <si>
    <t>Vybourání izol.proti vodě -2x asf.lepenka</t>
  </si>
  <si>
    <t>Odstranění živičné krytiny střech do 10° 3vrstvy</t>
  </si>
  <si>
    <t>Příplatek za odstranění každé další vrstvy -opravy</t>
  </si>
  <si>
    <t>Vybourání tepelné izolace podlah -polystyren tl.40mm vč.likvidace</t>
  </si>
  <si>
    <t>Demontáž rozvodů ZTI</t>
  </si>
  <si>
    <t>Demontáž zařiz.předmětů-WC mísa vč.přísl.</t>
  </si>
  <si>
    <t>Demontáž zařiz.předmětů-umyvadlo vč.přísl.</t>
  </si>
  <si>
    <t>Demontáž zařiz.předmětů-sprch.baterie vč.přísl.</t>
  </si>
  <si>
    <t>Demontáž zařiz.předmětů-sprch.kout vč.přísl.</t>
  </si>
  <si>
    <t>Demontáž zařiz.předmětů-dřez,výlevka vč.přísl.</t>
  </si>
  <si>
    <t>Demontáž zařiz.předmětů-umyv.baterie vč.přísl.</t>
  </si>
  <si>
    <t>Demontáž zařiz.předmětů-el.akum.zásobník vč.přísl.</t>
  </si>
  <si>
    <t>Demontáž rozvodů ÚT</t>
  </si>
  <si>
    <t>Demontáž rozvodů uvnitř podlah.kanálů</t>
  </si>
  <si>
    <t>Demontáž radiátorů vč.přísl.</t>
  </si>
  <si>
    <t>Demontáž elektroinstalace-zařízení,hromosvod,STA</t>
  </si>
  <si>
    <t>Demontáž oplechování atiky rš.610mm -do suti</t>
  </si>
  <si>
    <t>Demontáž oplechování střechy rš.450mm -do suti</t>
  </si>
  <si>
    <t>Demontáž kuchyňské linky vč.přísl.</t>
  </si>
  <si>
    <t>Vybourání kovových zábradlí -terasa vč.likvidace na skládce</t>
  </si>
  <si>
    <t>Rozebrání ocel.roštu z válc.profilů -střecha, vč.likvidace</t>
  </si>
  <si>
    <t>Vybourání drobných zámečnických výrobků vč.likvidace</t>
  </si>
  <si>
    <t>Vybourání nosných ocel.sloupků vč.likvidace</t>
  </si>
  <si>
    <t>Přesuny sutí</t>
  </si>
  <si>
    <t>Odvoz suti a vybour. hmot na skládku do 1 km</t>
  </si>
  <si>
    <t>Příplatek k odvozu za každý další 1 km</t>
  </si>
  <si>
    <t>Vnitrostaveništní doprava suti do 10 m</t>
  </si>
  <si>
    <t>Příplatek k vnitrost. dopravě suti za dalších 5 m</t>
  </si>
  <si>
    <t>Nakládání nebo překládání suti a vybouraných hmot</t>
  </si>
  <si>
    <t>Odvoz konstrukcí z AZC na skládku do 5 km</t>
  </si>
  <si>
    <t>Odvoz na skládku  AZC, příplatek za dalších 5 km</t>
  </si>
  <si>
    <t>Ekologická likvidace železného šrotu na skládce, vč.odvozu a rozřezání (možno uvést i zápornou hodnotu)</t>
  </si>
  <si>
    <t>Poplatek za sklád.suti-směs-omítky, tmely, násypy apod.</t>
  </si>
  <si>
    <t>Poplatek za skládku suti - beton do 30x30 cm</t>
  </si>
  <si>
    <t>Poplatek za skládku suti-cihel.výrobky do 30x30 cm</t>
  </si>
  <si>
    <t>Poplatek za skládku suti - stavební keramika</t>
  </si>
  <si>
    <t>Poplatek za skládku suti - asfaltové pásy</t>
  </si>
  <si>
    <t>Poplatek za skládku suti - polystyren</t>
  </si>
  <si>
    <t>Poplatek za skládku suti - minerální vata</t>
  </si>
  <si>
    <t>Poplatek za skládku suti - dřevo</t>
  </si>
  <si>
    <t>Poplatek za skládku suti-azbestocementové výrobky</t>
  </si>
  <si>
    <t>Přeložka přípojky NN a SEK</t>
  </si>
  <si>
    <t>Kontrola přívodů</t>
  </si>
  <si>
    <t>Přeložka skříně SP/HDS v koordinaci s ČEZ</t>
  </si>
  <si>
    <t>Přeložka skříně UR - v koordinaci s CETIN</t>
  </si>
  <si>
    <t>Přípojnice hlavního /lokálního pospojení</t>
  </si>
  <si>
    <t>Koordinace s provozovateli sítí a investorem</t>
  </si>
  <si>
    <t>Přeložka přípojky teplovodu pavilonu E</t>
  </si>
  <si>
    <t>Trubní vedení</t>
  </si>
  <si>
    <t>Demontáž - Potrubí ocelové do DN 50, vč. tvarovek, výkopů a uvedení do původního stavu</t>
  </si>
  <si>
    <t>Demontáž - Odstranění armatur předávací staníce, vč. Příslušenství</t>
  </si>
  <si>
    <t>Demontáž a zpětná montáž předávací stanice - Zajištění dodávky majitele teplovodu</t>
  </si>
  <si>
    <t>Hloubení rýh šířky do 1000 mm pro odstraněné potrubí, včetně hutněného zasypání výkopu</t>
  </si>
  <si>
    <t>Zemní práce zahrnují eventuelní čerpání vody, zřízení a odstranění pažení, přemístění výkopu, uložení na skládku, hloubení zapažených i nezapažených rýh šířky přes 600 do 2 000 mm (hloubka výkopů 1 000-2 000 mm), případné obetonování potrubí a zasypání rýhy potrubí dle skladby uvedené v PD, navrácení stávajícího povrchu do původního stavu, s urovnáním dna do předepsaného profilu a spádu, zemina třídy číslo 2-3</t>
  </si>
  <si>
    <t>Hloubení rýh šířky do 1000 mm pro nové potrubí, včetně hutněného zasypání výkopu</t>
  </si>
  <si>
    <t>Montážní jáma pro napojení potrubí 1000x1000x1500 mm, včetně pažení</t>
  </si>
  <si>
    <t>Montážní jáma v objektu 1200x600x1300 mm, včetně pažení</t>
  </si>
  <si>
    <t>D+M - Zemní výstražná fólie</t>
  </si>
  <si>
    <t>D+M - Stavební drenáž včetně obsypu</t>
  </si>
  <si>
    <t>D+M - Podsyp a obsyp - zhutněné pískové lóže tl. 100 mm, max. frakce 8 mm</t>
  </si>
  <si>
    <t>D+M - Obsyp štěrkopískem (pískem), max. frakce 16 mm, min. 200 mm</t>
  </si>
  <si>
    <t>D+M - Zásyp jam, rýh, šachet se zhutněním</t>
  </si>
  <si>
    <t>D+M - Předizolované ocelové potrubí DN 20 (26,9x2,6 mm) / D 110 mm (izolační třída 2), s detekcí, PN25</t>
  </si>
  <si>
    <t xml:space="preserve">"Dodávka a montáž předizolovaného potrubního systému, medionosná ocelová trubka dle EN 253 je izolovaná tvrdou polyuretanovou pěnou nadouvanou cyklopentanem. Plášťová trubka je z vysokohustotního polyetylenu chrání předizolované potrubí před vnějšími vlivy, vč. tvarovek, pískového podsypu,obsypu, zásypu, zemních prací (hloubka výkopu maximálně 2,0 m, zasypání rýhy potrubí dle skladby uvedené v PD, šířka výkopu 0,8 m, zemina třídy číslo 3) a tlakových zkoušek. Maximální pracovní teplota potrubí je 142 °C (krátkodobě 150°C). Systém splňuje požadavky evropských norem EN 253, EN 448, EN 488 a EN 489, včetně požadavků evropského sdružení EUROHEAT &amp; POWER a německé asociace AGFW/FW401.
"			</t>
  </si>
  <si>
    <t>D+M - Potrubí PE d125 (125x4,8 mm), včetně utěsnění a obetonování prostupu</t>
  </si>
  <si>
    <t>Dodávka a montáž ochranného potrubí z polyetylenu je určeno pro ochranu tlakových aplikací uložených v zemi. PE potrubí černé s oranžovými pruhy SDR 25</t>
  </si>
  <si>
    <t>D+M - Koleno 90° DN 20 (26,9x2,6 mm) / D 110 mm (izolační třída 2), s detekcí, PN25</t>
  </si>
  <si>
    <t xml:space="preserve">Dodávka a montáž prefabrikátů pro tlakové potrubí v zemi, včetně příslušného vybavení uvedeného v popisu, obetonování, zemních prací, pískového podsypu a obsypu a zkoušek.	</t>
  </si>
  <si>
    <t>D+M - 2x Oblouk (koleno) 90°, DN (26,9x2,6 mm) / D 110 (izolační třída 2), s detekcí, PN26</t>
  </si>
  <si>
    <t>D+M - Spojka DN 20 (26,9x2,6 mm) / D 110 mm (izolační třída 2), s detekcí, PN 25</t>
  </si>
  <si>
    <t>D+M - Pěnový dilatační polštář tloušťky 40 mm / 1000 mm</t>
  </si>
  <si>
    <t>D+M - Těsnící kroužek D 110 proti vnikání zemní vlhkosti</t>
  </si>
  <si>
    <t>D+M - Koncové těsnění DN 20 (26,9x2,6 mm) / D 110 mm (izolační třída 2)</t>
  </si>
  <si>
    <t>D+M - Kulový kohout DN 20, závitový, chromovaný, páka, PN 10, včetně propojení s uzávěrem KK 25</t>
  </si>
  <si>
    <t>D+M - Montážní sada - smršťovací rukávy, uzavírací páska, těsnící páska (mastik ) odvz. zátky, tavné zátky, podpěry a konektory detekčního vodiče</t>
  </si>
  <si>
    <t>D+M - Směsné lahve</t>
  </si>
  <si>
    <t>D+M - Materiál pro propojení kontrolního systému</t>
  </si>
  <si>
    <t>D+M - Kulový kohout VEXVE typ 100 přivařovací DN 15/4,0</t>
  </si>
  <si>
    <t>D+M - Kulový kohout VEXVE typ 100 přivařovací DN 25/4,0</t>
  </si>
  <si>
    <t>D+M - Kulový kohout VEXVE typ 101 /G  přivařovací  se zátkou DN 15/4,0</t>
  </si>
  <si>
    <t>D+M - Potrubí ocelové včetně tvarovek, nátěrů a tepelné izolace s povrchovou úpravou DN 15</t>
  </si>
  <si>
    <t>D+M - Potrubí ocelové včetně tvarovek, nátěrů a tepelné izolace s povrchovou úpravou DN 25</t>
  </si>
  <si>
    <t>Prostup základem, včetně utěsnění (velikost prostupu dle PD) + oprava</t>
  </si>
  <si>
    <t>Prostup podlahou, včetně utěsnění (velikost prostupu dle PD) + oprava</t>
  </si>
  <si>
    <t>Tlakové zkoušky těsnosti potrubí - příprava do DN 50</t>
  </si>
  <si>
    <t>Hlavní tlaková zkouška vzduchem 0,6 MPa do DN 50</t>
  </si>
  <si>
    <t>Čištění potrubí do DN 50</t>
  </si>
  <si>
    <t>Výchozí revize</t>
  </si>
  <si>
    <t>Radiografická kontrola jakosti svařovaných spojů</t>
  </si>
  <si>
    <t>Montáž, zapojení a zprovoznění stávající OPS</t>
  </si>
  <si>
    <t>Napojení na stávající potrubí vč. utěsnění</t>
  </si>
  <si>
    <t>Geodetické zaměření skutečného provedení s polohopisem</t>
  </si>
  <si>
    <t>Areálová kanalizace</t>
  </si>
  <si>
    <t>Demontáž - Potrubí kameninové/plastové do DN 250, vč. tvarovek, ekologické likvidace, výkopů a uvedení do původního stavu</t>
  </si>
  <si>
    <t xml:space="preserve">Demontáž stávajícího potrubí a instalačních prefabrikátů, včetně zemních prací, armatur, příslušensví a ekologické likvidace odpadu.	</t>
  </si>
  <si>
    <t>Demontáž - LS - Stávající lapač střešních splavenin, včetně potrubí, výkopů, příslušenství a ekologické likvidace</t>
  </si>
  <si>
    <t>Demontáž - DS - Venkovní dešťová vpusť - odstranit, včetně armatur a potrubí a ekologické likvidace</t>
  </si>
  <si>
    <t>Demontáž - Stávající betonová revizní šachta Ř 1000 mm, včetně potrubí, výkopů, základů, příslušenství a ekologické likvidace</t>
  </si>
  <si>
    <t>Hloubení rýh šířky do 800 mm pro odstraněné potrubí, včetně hutněného zasypání výkopu</t>
  </si>
  <si>
    <t>Zemní práce zahrnují eventuelní čerpání vody, zřízení a odstranění pažení, přemístění výkopu, uložení na skládku, hloubení zapažených i nezapažených rýh šířky přes 600 do 2 000 mm (hloubka výkopů 1 000-3 500 mm), případné obetonování potrubí a zasypání rýhy potrubí dle skladby uvedené v PD, navrácení stávajícího povrchu do původního stavu, s urovnáním dna do předepsaného profilu a spádu v hornině třídy 3.</t>
  </si>
  <si>
    <t>Hloubení rýh šířky do 800 mm pro nové potrubí, včetně hutněného zasypání výkopu</t>
  </si>
  <si>
    <t>Montážní jáma pro kanalizační šachty 1000x1000x2000 mm, včetně pažení</t>
  </si>
  <si>
    <t>Montážní jáma pro kanalizační šachty 1500x1500x2000 mm, včetně pažení</t>
  </si>
  <si>
    <t>Montážní jáma pro akumulační jímku 2500x2500x2500 mm, včetně pažení</t>
  </si>
  <si>
    <t>Montážní jáma pro retenční nádrž 4000x4000x3000 mm, včetně pažení</t>
  </si>
  <si>
    <t>Montážní jáma pro čerpací šachtu 1500x1500x3000 mm, včetně pažení</t>
  </si>
  <si>
    <t>D+M - Podsyp - zhutněné pískové lóže tl. 100 mm, max. frakce 8 mm</t>
  </si>
  <si>
    <t>D+M - Obsyp štěrkopískem (pískem), max. frakce 16 mm, min. 300 mm</t>
  </si>
  <si>
    <t>D+M - Ležaté potrubí PVC-KG DN 160 (182x4,0 mm)</t>
  </si>
  <si>
    <t>Dodávka a montáž odpadního potrubí z plastových trub KG systém - materiál PVC-U (neměkčený polyvinylchlorid - PVC) (SN 4) pro gravitační kanalizaci v zemi, vč. tvarovek, pískového podsypu,obsypu, zásypu, zemních prací (hloubka výkopu maximálně 2,0 m, zasypání rýhy potrubí dle skladby uvedené v PD, šířka výkopu 0,8 m, zemina třídy číslo 2-3) a tlakových zkoušek.</t>
  </si>
  <si>
    <t>D+M - Ležaté potrubí PVC-KG DN 200 (200x4,9 mm)</t>
  </si>
  <si>
    <t>D+M - Ležaté potrubí PVC-KG DN 250 (250x6,2 mm)</t>
  </si>
  <si>
    <t>Dodávka a montáž plastového vodovodního potrubí z vysokohustotního lineárního polyetylénu PE 100 SDR 11 se svařovanými spoji pro vnější tlakové rozvody vody, vč. tvarovek, pískového podsypu,obsypu, zásypu, zemních prací (hloubka výkopu maximálně 2,0 m, zasypání rýhy potrubí dle skladby uvedené v PD, šířka výkopu 0,8 m, zemina třídy číslo 3) a tlakových zkoušek.</t>
  </si>
  <si>
    <t>D+M - Plastová revizní šachta RŠ 01 a DŠ 01 O 425 s teleskopiskou rourou a litinovým poklopem D400, včetně příslušenství, betonáže, osazení, montáže a</t>
  </si>
  <si>
    <t xml:space="preserve">Dodávka a montáž prefabrikátů pro gravitační kanalizaci v zemi, včetně příslušného vybavení uvedeného v popisu, obetonování, zemních prací, pískového podsypu a obsypu a zkoušek.	</t>
  </si>
  <si>
    <t>D+M - Plastová revizní šachta DŠ 03 O 425 s teleskopiskou rourou a litinovou mříží B125, včetně příslušenství, betonáže, osazení, montáže a zemních pr</t>
  </si>
  <si>
    <t>D+M - Plastová revizní šachta DŠ 02 O 600 s litinovým poklopem D400 a betonovým prstencem, včetně příslušenství, betonáže, osazení, montáže a zemních</t>
  </si>
  <si>
    <t>D+M - Betonová revizní šachta RŠ 02 O 1000 s litinovým poklopem D400, včetně příslušenství, betonáže, osazení, montáže a zemních prací</t>
  </si>
  <si>
    <t>D+M - RN - Retenční nádrž o objemu 18 m3, včetně vtupního prstence, poklopu, betonáže, osazení, montáže a zemních prací</t>
  </si>
  <si>
    <t>dvouplášťová nádrž válcová s ocelovou výztuží mezi plastovými plášti - je určená jako ztracené nepropustné bednění i pod hladinu podzemní vody. Užitný objem nádrže je 18,9 m3, průměr nádrže: venkovní/vnitřní 3670/3370  mm. Celková výška H = 2620 mm, hmotnost nádrže 2 220 kg</t>
  </si>
  <si>
    <t>D+M - AN - Akumulační jímka 6 m3, včetně vtupního prstence, poklopu, betonáže, osazení, montáže a zemních prací</t>
  </si>
  <si>
    <t>dvouplášťová nádrž válcová s ocelovou výztuží mezi plastovými plášti - je určená jako ztracené nepropustné bednění i pod hladinu podzemní vody. Užitný objem nádrže je 5,5 m3, průměr nádrže: venkovní/vnitřní 2240/1940  mm. Celková výška H = 2370 mm, hmotnost nádrže 1 130 kg</t>
  </si>
  <si>
    <t>D+M - Čerpací jímka z polyesteru s klapkou a s ventilem pro jedno čerpadlo, včetně vystrojení čerpadly a armaturami</t>
  </si>
  <si>
    <t>D+M - Čerpadlo 0,55 kW 1,7 A Tri, včetně příslušenství</t>
  </si>
  <si>
    <t>D+M -  Bezpe nostní mříž z nerezové oceli pro čerpací jímku, včetně příslušenství</t>
  </si>
  <si>
    <t>D+M -  Plovákový spínač typu MS1, 10 m kabel, včetně příslušenství</t>
  </si>
  <si>
    <t>D+M - Pilíř k rozvaděči typu RCSR, pro instalaci samostatně stojící, včetně příslušenství</t>
  </si>
  <si>
    <t>D+M - Rozvaděč pro jedno čerpadlo 380 V, včetně příslušenství</t>
  </si>
  <si>
    <t>D+M - Záloha pitné vody pro systém upravy dešťové vody</t>
  </si>
  <si>
    <t>D+M - Ponorné drenážní čerpadlo se spínací skříní s plovákem, 5/7F 1,5kW, 230V, kabel délky 20 m</t>
  </si>
  <si>
    <t>D+M - Systém úpravny dešťové vody (RN), včetně příslušenství, armatur, vystrojení, potrubí a kabelu dle PD</t>
  </si>
  <si>
    <t>Systém obsahuje: Biologický separátor, Sifon se zamezením vstupu hlodavcům, Centrální tlaková stanice s ponorným čerpadlem, H 40 m, Sací koš s plovákem, Tlakový spínač pro dopouštění pitné vody s kabelem 20 m, Stěnová průchodka „voda-elektro“, Řídící jednotka s připojovací hadicí pro vstup pitné vody, s kulový ventilem, Připojovací hadice pro výstup dešťové vody, s kulovým ventilem, Potrubí pro přívod pitné vody</t>
  </si>
  <si>
    <t>D+M - Automatická tlaková stanice s řídící jednotkou včetně hladinových sond H 40, řídící jednotka s připojovací hadicí pro vstup pitné vody, s kulový</t>
  </si>
  <si>
    <t>D+M - Vírový ventil, DN 200, 0,2 l/s</t>
  </si>
  <si>
    <t>D+M - Kanalizační zpětná klapka DN 160</t>
  </si>
  <si>
    <t>Betonářstké práce - AN, RN, ČŠ</t>
  </si>
  <si>
    <t>Tlaková zkouška potrubí do DN 250</t>
  </si>
  <si>
    <t>Pročištění potrubí do DN 250</t>
  </si>
  <si>
    <t>Zkouška těsnosti kanalizačního potrubí do DN 250</t>
  </si>
  <si>
    <t>Tlaková zkouška potrubí do DN 100</t>
  </si>
  <si>
    <t>Revize vodovodu do DN 100</t>
  </si>
  <si>
    <t>Instalace systému úpravy dešťové vody včetně, uvedení do provozu, zaškolení obsluhy, práce technika, dopravní náklady balné a manipulace</t>
  </si>
  <si>
    <t>Doprava nadměrného nákladu</t>
  </si>
  <si>
    <t>Areálový vodovod</t>
  </si>
  <si>
    <t>Demontáž - Potrubí ocelové/PE do DN 50, včetně tvarovek, výkopů a uvedení do původního stavu</t>
  </si>
  <si>
    <t>Demontáž - Vodoměrních armatur ve stávajícím objektu</t>
  </si>
  <si>
    <t>Hloubení rýh šířky do 600 mm pro odstraněné potrubí, včetně hutněného zasypání výkopu</t>
  </si>
  <si>
    <t>Hloubení rýh šířky do 600 mm pro nové potrubí, včetně hutněného zasypání výkopu</t>
  </si>
  <si>
    <t>Montážní jáma 1500x1500x2000 mm, včetně pažení</t>
  </si>
  <si>
    <t>D+M - Signalizační (propojovací) vodič CYKY 6x6 mm</t>
  </si>
  <si>
    <t>D+M - Potrubí PE 100 SDR 11 d50 (50×4,6 mm)</t>
  </si>
  <si>
    <t>D+M - Potrubí PE d75 (75×3,0 mm), včetně utěsnění a obetonování prostupu</t>
  </si>
  <si>
    <t>Dodávka a montáž ochranného potrubí z polyetylenu je určeno pro ochranu tlakových aplikací uložených v zemi. PE potrubí černé SDR 25</t>
  </si>
  <si>
    <t>D+M - Elektrospojka PE 100 SDR 11 - d50 PN10/16</t>
  </si>
  <si>
    <t>D+M - Přechodka PE - nerez, závit d50 / DN 40</t>
  </si>
  <si>
    <t>D+M - Přechodová spojka PE/ocel DN 40/d50</t>
  </si>
  <si>
    <t>D+M - Kulový kohout PE 100 SDR 11 - d50, PN10/20</t>
  </si>
  <si>
    <t>D+M - Zemní souprava teleskopická pro KK, s fixací dl. 1,1 - 1,8 m</t>
  </si>
  <si>
    <t>D+M - Kruhový plovoucí poklop pro KK, s fixací</t>
  </si>
  <si>
    <t>D+M - Fixační podložka pod poklop pro KK</t>
  </si>
  <si>
    <t>D+M - HUV - Kulový kohout, chromovaný, DN 40</t>
  </si>
  <si>
    <t>Napojení na stávající potrubí, včetně utěsnění</t>
  </si>
  <si>
    <t>Vedlejší rozpočtové náklady</t>
  </si>
  <si>
    <t>Všeobecné konstrukce a práce</t>
  </si>
  <si>
    <t>Fotodokumentace díla (dle SoD čl. II odst. 2.5.10.)</t>
  </si>
  <si>
    <t>Provoz dalšího subjektu (dle SoD čl. II odst. 2.5.9.)</t>
  </si>
  <si>
    <t>Provozní a územní vlivy (dle čl. II odst. 2.5.8.)</t>
  </si>
  <si>
    <t>Pojištění stavby (dle SoD čl. II odst. 2.5.7.)</t>
  </si>
  <si>
    <t>Koordinační činnost (dle SoD čl. II odst. 2.5.6.)</t>
  </si>
  <si>
    <t>Kompletační činnost (dle SoD čl. II odst. 2.5.5)</t>
  </si>
  <si>
    <t>Revize a zkoušky (dle SoD čl. II odst. 2.5.4.)</t>
  </si>
  <si>
    <t>Měření (dle SoD či. II odst. 2.5.3)</t>
  </si>
  <si>
    <t>Zařízení staveniště -vybudování, provoz, odstranění (dle SoD čl. II odst. 2.5.2.)</t>
  </si>
  <si>
    <t>Geodetické práce před výstavbou, vytýčení a ochrana inž.sítí (dle SoD čl. II odst. 2.5.11.)</t>
  </si>
  <si>
    <t>Geodetické práce po výstavbě (dle SoD čl. II odst. 2.5.12)</t>
  </si>
  <si>
    <t>Dokumentace skut.provedení stavby (dle SoD čl. II odst. 2.5.1)</t>
  </si>
  <si>
    <t>Výrobní a dílenská dokumentace (dle SoD čl. II odst. 2.5.13)</t>
  </si>
  <si>
    <t>Doba výstavby:</t>
  </si>
  <si>
    <t>Začátek výstavby:</t>
  </si>
  <si>
    <t>Konec výstavby:</t>
  </si>
  <si>
    <t>Zpracováno dne:</t>
  </si>
  <si>
    <t>MJ</t>
  </si>
  <si>
    <t>kus</t>
  </si>
  <si>
    <t>m3</t>
  </si>
  <si>
    <t>m2</t>
  </si>
  <si>
    <t>m</t>
  </si>
  <si>
    <t>t</t>
  </si>
  <si>
    <t>h</t>
  </si>
  <si>
    <t>kg</t>
  </si>
  <si>
    <t>set</t>
  </si>
  <si>
    <t>ks</t>
  </si>
  <si>
    <t>kpl</t>
  </si>
  <si>
    <t>hod</t>
  </si>
  <si>
    <t>sada</t>
  </si>
  <si>
    <t>100 kus</t>
  </si>
  <si>
    <t>KS</t>
  </si>
  <si>
    <t>soubor</t>
  </si>
  <si>
    <t>hod.</t>
  </si>
  <si>
    <t>soub</t>
  </si>
  <si>
    <t>Množství</t>
  </si>
  <si>
    <t>Objednatel:</t>
  </si>
  <si>
    <t>Projektant:</t>
  </si>
  <si>
    <t>Zhotovitel:</t>
  </si>
  <si>
    <t>Zpracoval:</t>
  </si>
  <si>
    <t>Cena/MJ</t>
  </si>
  <si>
    <t>(Kč)</t>
  </si>
  <si>
    <t> </t>
  </si>
  <si>
    <t>Náklady (Kč)</t>
  </si>
  <si>
    <t>Dodávka</t>
  </si>
  <si>
    <t>Celkem:</t>
  </si>
  <si>
    <t>Montáž</t>
  </si>
  <si>
    <t>Celkem</t>
  </si>
  <si>
    <t>Cenová</t>
  </si>
  <si>
    <t>soustava</t>
  </si>
  <si>
    <t>RTS II / 2021</t>
  </si>
  <si>
    <t>Přesuny</t>
  </si>
  <si>
    <t>Typ skupiny</t>
  </si>
  <si>
    <t>HSV mat</t>
  </si>
  <si>
    <t>HSV prac</t>
  </si>
  <si>
    <t>PSV mat</t>
  </si>
  <si>
    <t>PSV prac</t>
  </si>
  <si>
    <t>Mont mat</t>
  </si>
  <si>
    <t>Mont prac</t>
  </si>
  <si>
    <t>Ostatní mat.</t>
  </si>
  <si>
    <t>SO01</t>
  </si>
  <si>
    <t>SO02</t>
  </si>
  <si>
    <t>SO03</t>
  </si>
  <si>
    <t>SO04</t>
  </si>
  <si>
    <t>SO05</t>
  </si>
  <si>
    <t>SO06</t>
  </si>
  <si>
    <t>VRN</t>
  </si>
  <si>
    <t>11_</t>
  </si>
  <si>
    <t>12_</t>
  </si>
  <si>
    <t>13_</t>
  </si>
  <si>
    <t>16_</t>
  </si>
  <si>
    <t>17_</t>
  </si>
  <si>
    <t>18_</t>
  </si>
  <si>
    <t>21_</t>
  </si>
  <si>
    <t>27_</t>
  </si>
  <si>
    <t>31_</t>
  </si>
  <si>
    <t>32_</t>
  </si>
  <si>
    <t>34_</t>
  </si>
  <si>
    <t>41_</t>
  </si>
  <si>
    <t>43_</t>
  </si>
  <si>
    <t>56_</t>
  </si>
  <si>
    <t>59_</t>
  </si>
  <si>
    <t>61_</t>
  </si>
  <si>
    <t>62_</t>
  </si>
  <si>
    <t>63_</t>
  </si>
  <si>
    <t>90_</t>
  </si>
  <si>
    <t>91_</t>
  </si>
  <si>
    <t>94_</t>
  </si>
  <si>
    <t>95_</t>
  </si>
  <si>
    <t>H01_</t>
  </si>
  <si>
    <t>711_</t>
  </si>
  <si>
    <t>712_</t>
  </si>
  <si>
    <t>713_</t>
  </si>
  <si>
    <t>721_</t>
  </si>
  <si>
    <t>722_</t>
  </si>
  <si>
    <t>728_</t>
  </si>
  <si>
    <t>730_</t>
  </si>
  <si>
    <t>764_</t>
  </si>
  <si>
    <t>766_</t>
  </si>
  <si>
    <t>767_</t>
  </si>
  <si>
    <t>771_</t>
  </si>
  <si>
    <t>776_</t>
  </si>
  <si>
    <t>781_</t>
  </si>
  <si>
    <t>784_</t>
  </si>
  <si>
    <t>786_</t>
  </si>
  <si>
    <t>791_</t>
  </si>
  <si>
    <t>M21+22_</t>
  </si>
  <si>
    <t>96_</t>
  </si>
  <si>
    <t>S_</t>
  </si>
  <si>
    <t>M21_</t>
  </si>
  <si>
    <t>8_</t>
  </si>
  <si>
    <t>0_</t>
  </si>
  <si>
    <t>SO01_1_</t>
  </si>
  <si>
    <t>SO01_2_</t>
  </si>
  <si>
    <t>SO01_3_</t>
  </si>
  <si>
    <t>SO01_4_</t>
  </si>
  <si>
    <t>SO01_5_</t>
  </si>
  <si>
    <t>SO01_6_</t>
  </si>
  <si>
    <t>SO01_9_</t>
  </si>
  <si>
    <t>SO01_71_</t>
  </si>
  <si>
    <t>SO01_72_</t>
  </si>
  <si>
    <t>SO01_73_</t>
  </si>
  <si>
    <t>SO01_76_</t>
  </si>
  <si>
    <t>SO01_77_</t>
  </si>
  <si>
    <t>SO01_78_</t>
  </si>
  <si>
    <t>SO01_79_</t>
  </si>
  <si>
    <t>SO02_1_</t>
  </si>
  <si>
    <t>SO02_9_</t>
  </si>
  <si>
    <t>SO03_9_</t>
  </si>
  <si>
    <t>SO04_8_</t>
  </si>
  <si>
    <t>SO05_8_</t>
  </si>
  <si>
    <t>SO06_8_</t>
  </si>
  <si>
    <t>VRN_0_</t>
  </si>
  <si>
    <t>SO01_</t>
  </si>
  <si>
    <t>SO02_</t>
  </si>
  <si>
    <t>SO03_</t>
  </si>
  <si>
    <t>SO04_</t>
  </si>
  <si>
    <t>SO05_</t>
  </si>
  <si>
    <t>SO06_</t>
  </si>
  <si>
    <t>VRN_</t>
  </si>
  <si>
    <t>MAT</t>
  </si>
  <si>
    <t>WORK</t>
  </si>
  <si>
    <t>CELK</t>
  </si>
  <si>
    <t>ISWORK</t>
  </si>
  <si>
    <t>P</t>
  </si>
  <si>
    <t>M</t>
  </si>
  <si>
    <t>GROUPCODE</t>
  </si>
  <si>
    <t>Slepý stavební rozpočet - rekapitulace</t>
  </si>
  <si>
    <t>Objekt</t>
  </si>
  <si>
    <t>Zkrácený popis</t>
  </si>
  <si>
    <t>Náklady (Kč) - dodávka</t>
  </si>
  <si>
    <t>Náklady (Kč) - Montáž</t>
  </si>
  <si>
    <t>Náklady (Kč) - celkem</t>
  </si>
  <si>
    <t>F</t>
  </si>
  <si>
    <t>T</t>
  </si>
  <si>
    <t>Výkaz výměr</t>
  </si>
  <si>
    <t>4,6</t>
  </si>
  <si>
    <t>(1,0+4,6+1,0)*4</t>
  </si>
  <si>
    <t>(36,10+25,6+12,9+3,0+40,5+19,55+27,1)*2</t>
  </si>
  <si>
    <t>(19,95*12,55+12,0*1,75)*0,2</t>
  </si>
  <si>
    <t>(7,05*20,57*2,425)*0,72</t>
  </si>
  <si>
    <t>(11,25*2,89*2,425)*0,72</t>
  </si>
  <si>
    <t>(7,05*20,57*2,425)*0,28</t>
  </si>
  <si>
    <t>(11,25*2,89*2,425)*0,28</t>
  </si>
  <si>
    <t>120,544</t>
  </si>
  <si>
    <t>(18,95*0,85*1,2+13,6*0,6*1,2+4,85*0,85*1,2+2,0*0,85*2,6+17,55*1,5*0,6+17,55*1,5*0,6)*0,72</t>
  </si>
  <si>
    <t>(11,92*0,6*0,6+9,5*0,85*2,6+9,01*0,75*1,1+8,75*1,1*2,6+5,95*0,75*0,6+5,95*0,75*1,2)*0,72</t>
  </si>
  <si>
    <t>(3,0*1,3*2,2+14,55*1,3*1,2+16,5*1,05*0,6)*0,72</t>
  </si>
  <si>
    <t>(18,95*0,85*1,2+13,6*0,6*1,2+4,85*0,85*1,2+2,0*0,85*2,6+17,55*1,5*0,6+17,55*1,5*0,6)*0,28</t>
  </si>
  <si>
    <t>(11,92*0,6*0,6+9,5*0,85*2,6+9,01*0,75*1,1+8,75*1,1*2,6+5,95*0,75*0,6+5,95*0,75*1,2)*0,28</t>
  </si>
  <si>
    <t>(3,0*1,3*2,2+14,55*1,3*1,2+16,5*1,05*0,6)*0,28</t>
  </si>
  <si>
    <t>49,708</t>
  </si>
  <si>
    <t>0,5*0,5*1,23*6</t>
  </si>
  <si>
    <t>(0,81+4,0)*1,2*2,95+(1,156+1,28)*1,2*3,45+(1,21*1,2*1,075)</t>
  </si>
  <si>
    <t>(3,46+7,95+2,77)*1,2*2,3+(3,46+1,23)*1,2*3,45</t>
  </si>
  <si>
    <t>87,226</t>
  </si>
  <si>
    <t>215,655+250</t>
  </si>
  <si>
    <t>465,655</t>
  </si>
  <si>
    <t>(309,969+120,544+127,82+49,708+1,845)-465,655</t>
  </si>
  <si>
    <t>465,655*2</t>
  </si>
  <si>
    <t>144,231</t>
  </si>
  <si>
    <t>500*0,5</t>
  </si>
  <si>
    <t>(7,05*20,57*2,425+11,25*2,89*2,425)-(19,075*7,05*2,425+9,25*1,39*2,425)</t>
  </si>
  <si>
    <t>(127,82+49,708)*0,27+7,0*5,4*2,5</t>
  </si>
  <si>
    <t>108,52</t>
  </si>
  <si>
    <t>(0,8*4)*2,0*3+(1,5*4)*2,0*2</t>
  </si>
  <si>
    <t>43,2</t>
  </si>
  <si>
    <t>10,9*2,7+1,66*1,5*4</t>
  </si>
  <si>
    <t>5,15*2+2,6+1,95*2+9,55+6,9</t>
  </si>
  <si>
    <t>18,65*5,05*0,15+18,65*21,0*0,15</t>
  </si>
  <si>
    <t>(18,65+5,05)*0,15*2+(18,65*21,0)*0,15*2</t>
  </si>
  <si>
    <t>(18,65*5,05+18,65*21,0)*2*1,25*0,005398</t>
  </si>
  <si>
    <t>(17,71*2+6,65)*2,5+(6,65*0,5)+(6,65*2,45)+(4,85*0,75)+(10,5*2,5)</t>
  </si>
  <si>
    <t>(0,5*1,0)+(0,5*1,5)+(0,5*2,0)+(0,5*2,5)+(5,6+17,55*2+5,05)*2,525+(11,46*2,5)</t>
  </si>
  <si>
    <t>(8,7*0,2*0,6)+(0,9+1,4)*0,8*0,6+(5,55*1,05*0,6)</t>
  </si>
  <si>
    <t>(17,425*1,5*0,6)+(9,25+0,89*3)*0,5*0,6+(6,1*0,6*0,6)+(17,55*0,8*0,6)+(0,5*0,6*0,55)</t>
  </si>
  <si>
    <t>(6,35*0,6*0,6)+(17,0*1,3*0,6)+(5,95*0,75*0,6)+(5,95*0,6*0,6)+(16,85*1,1*0,6)</t>
  </si>
  <si>
    <t>(12,175+4,825+0,3)*0,4*0,6+(1,9+1,45+1,6+1,95+2,75)*0,15*0,6+(6,241*0,25*0,8)+(0,979*0,25*1,35)</t>
  </si>
  <si>
    <t>(0,5*0,25*1,95)+(2,28*0,55*1,95)</t>
  </si>
  <si>
    <t>1+2+1</t>
  </si>
  <si>
    <t>302,349*0,01795</t>
  </si>
  <si>
    <t>(12,175+4,825+0,3+1,9+1,45+1,6+1,95+2,75)*0,6*2*1,25*0,00308</t>
  </si>
  <si>
    <t>(6,241*0,8+0,979*1,35)*2*1,25*0,00308</t>
  </si>
  <si>
    <t>(0,5+2,28)*1,95*2*1,25*0,00308</t>
  </si>
  <si>
    <t>0,15+0,265*2+0,115</t>
  </si>
  <si>
    <t>0,3</t>
  </si>
  <si>
    <t>0,115+0,3*2+0,265</t>
  </si>
  <si>
    <t>0,08+0,115</t>
  </si>
  <si>
    <t>18,65*2,6</t>
  </si>
  <si>
    <t>(18,65*2+25,45*2+6,85*2+18,05*2)*3,55</t>
  </si>
  <si>
    <t>-0,75*2,0*4-1,25*2,0*4-0,75*1,5*4-1,5*2,5*13-1,5*3,0*4-1,0*2,5*3-1,0*3,0</t>
  </si>
  <si>
    <t>-1,5*2,25-1,25*2,25*2-1,1*2,25*4</t>
  </si>
  <si>
    <t>(18,65*2+25,45*2)*0,25</t>
  </si>
  <si>
    <t>6+4</t>
  </si>
  <si>
    <t>72+4</t>
  </si>
  <si>
    <t>1,25*10+2,25*7</t>
  </si>
  <si>
    <t>11,0</t>
  </si>
  <si>
    <t>(2,15+3,25)*3,75</t>
  </si>
  <si>
    <t>-0,8*2,02*2</t>
  </si>
  <si>
    <t>(8,85*2+3,25+2,4+2,185+1,81*2+6,15*2+1,81*3+9,0*2+3,25*2+2,0*2+2,785*2)*3,75</t>
  </si>
  <si>
    <t>-1,0*2,1*9-1,0*2,02*6-0,8*2,02*3</t>
  </si>
  <si>
    <t>3,9*2,525</t>
  </si>
  <si>
    <t>2,15+3,25+80,955+3,9</t>
  </si>
  <si>
    <t>3,75*26+3,75*8</t>
  </si>
  <si>
    <t>(3,2*2+3,25+1,81+1,65+2,15)*3,75</t>
  </si>
  <si>
    <t>(18,05*25,69)-1,2*1,2</t>
  </si>
  <si>
    <t>(18,05*4,14)</t>
  </si>
  <si>
    <t>(18,05*0,06*0,25)</t>
  </si>
  <si>
    <t>3+1+1+3</t>
  </si>
  <si>
    <t>1,2*1,2</t>
  </si>
  <si>
    <t>48,6+18,6+2,9+1,1+1,2+1,2+1,2+3,6+3,6+1,2+3,1+5,3+5,1+2,7+3,8+2,7+2,2+5,3+11,4+11,4+16,0+23,7+5,1</t>
  </si>
  <si>
    <t>60,1+60,1+65,5+65,5</t>
  </si>
  <si>
    <t>(6,85*0,3*0,23)*2+(18,05*0,3*0,25)*2+(18,65+25,45)*2*0,28*0,25+(4,05*0,5*0,25)</t>
  </si>
  <si>
    <t>(26,05*0,3*0,25)*2+(18,05*0,18*0,25)*2</t>
  </si>
  <si>
    <t>(4,9*0,5*0,25)*2+(17,65*0,25*0,25)*2</t>
  </si>
  <si>
    <t>(18,05+26,05)*2*0,3*0,09</t>
  </si>
  <si>
    <t>(6,85*0,38)*2*2+(18,05*0,40)*2*2+(18,65+25,45)*2*2*0,40+(4,05*0,4)*2</t>
  </si>
  <si>
    <t>(26,05*0,40)*2+(18,05*0,40)*2</t>
  </si>
  <si>
    <t>(4,9*0,40)*2+(17,65*0,40)*2</t>
  </si>
  <si>
    <t>(18,05+26,05)*2*(0,24+0,25)</t>
  </si>
  <si>
    <t>10,333*0,165</t>
  </si>
  <si>
    <t>8,963*0,165</t>
  </si>
  <si>
    <t>2,381*0,165</t>
  </si>
  <si>
    <t>3,6*1,25</t>
  </si>
  <si>
    <t>50,2*0,35</t>
  </si>
  <si>
    <t>74,0</t>
  </si>
  <si>
    <t>(27,9*3,35-1,0*2,5*2-1,5*3,0-1,1*2,25*2-1,5*2,25)+(18,3*3,35-1,5*2,25-0,8*2,02*3-1,0*2,02*4)</t>
  </si>
  <si>
    <t>(5,56*0,45)+(6,32*0,45)*2+(7,59*3,35-1,25*2,25-1,0*2,02)*2+(7,92*0,45)+(6,89*3,35-1,0*2,02*2)</t>
  </si>
  <si>
    <t>(32,57*3,35-1,5*2,5*3-0,75*2,0-1,5*3,0-1,0*2,25-1,0*2,1*2-1,0*2,02)+(9,34*3,35-1,0*2,02-1,25*2,0)</t>
  </si>
  <si>
    <t>(9,53*2,5-1,0*2,1*3-0,8*2,02*2)+(7,04*1,25-0,75*0,9)+(7,6*1,25-0,75*0,9)+(9,55*0,45)</t>
  </si>
  <si>
    <t>(32,57*3,35-1,5*2,5*3-0,75*2,0-1,5*3,0-1,25*2,25-1,0*2,12*2-1,0*2,02)+(9,34*3,35-1,0*2,02-1,25*2,0)</t>
  </si>
  <si>
    <t>(13,5*3,35-1,0*2,1*2)+(32,57*3,35-1,5*2,5*3-1,5*3,0-1,25*2,0-0,75*2,0-1,0*2,1*2-1,1*2,25)</t>
  </si>
  <si>
    <t>(13,5*2,55-1,0*2,1*2-1,0*2,02-7,85*1,5)+(32,57*3,35-1,5*2,5*3-1,5*3,0-1,25*2,0-0,75*2,0-9,4875)</t>
  </si>
  <si>
    <t>(16,8*1,25-0,75*0,9*2)+(22,1*3,35-1,5*2,5-1,0*2,5-1,1*2,25)+(8,87*3,35-1,0*3,0)</t>
  </si>
  <si>
    <t>7,5+7,5*4+7,0+6,5*6+6,5*7+6,0*3+5,25*4+4,75*4+3,75*4+5,1*2</t>
  </si>
  <si>
    <t>4,5+4,5*4+3,0+3,75*6+3,75*7+2,5*3+2,5*4+1,5*4+1,125*4+2,05*2</t>
  </si>
  <si>
    <t>34,0+34,0+432,2</t>
  </si>
  <si>
    <t>7,2+120,398-19,075</t>
  </si>
  <si>
    <t>(7,5+7,5*4+7,0+6,5*6+6,5*7+6,0*3+5,25*4+4,75*4+3,75*4+5,1*2)*0,25</t>
  </si>
  <si>
    <t>-(0,6*2+0,6*2+0,6*4)*0,25</t>
  </si>
  <si>
    <t>(5,6*3+5,5)*0,2+(6,0*0,25)+(5,75*0,3)*2</t>
  </si>
  <si>
    <t>(8,75+3,9)*2*2,3*2-1,0*2,05*2</t>
  </si>
  <si>
    <t>(1,5*13+1,0*3+1,25*4+0,75*8)*0,25</t>
  </si>
  <si>
    <t>212,2+1,25*6+2,25*16+1,0+1,1*2+1,5+3,3*3</t>
  </si>
  <si>
    <t>779,569+61,26</t>
  </si>
  <si>
    <t>(3,2*2+3,25+1,81+1,65+2,15)*1,25</t>
  </si>
  <si>
    <t>(18,65*0,15)+(18,65*0,75)+(26,05*2-8,5)*0,45</t>
  </si>
  <si>
    <t>(4,9+18,65+4,9)*2,4-1,0*2,05*2+(21,15*1,36)+(6,5*2,4)+(14,65*1,36)+(18,65*0,75)</t>
  </si>
  <si>
    <t>1,5*6+1,5*7+1,0*3+1,25*4+0,75*4+0,75*4</t>
  </si>
  <si>
    <t>(18,97+26,05)*2*4,3</t>
  </si>
  <si>
    <t>-4,5*5-3,0-3,75*13-2,5*7-1,5*4-1,125*4</t>
  </si>
  <si>
    <t>(7,5*5+7,0+6,5*13+6,0*3+5,25*4+4,75*4+3,75*4+5,1*2)*0,16</t>
  </si>
  <si>
    <t>36,405+142,456+284,922</t>
  </si>
  <si>
    <t>68,0*0,087</t>
  </si>
  <si>
    <t>;ztratné 5%; 0,2958</t>
  </si>
  <si>
    <t>48,6+2,9+1,1+1,2*3+1,2+3,1+11,4+16,0+5,1</t>
  </si>
  <si>
    <t>18,6+3,6+3,6+60,1+60,1+5,3+11,4+65,5+65,5+23,7</t>
  </si>
  <si>
    <t>5,3</t>
  </si>
  <si>
    <t>5,1+2,7+3,8+2,7+2,2</t>
  </si>
  <si>
    <t>349,708+64,5</t>
  </si>
  <si>
    <t>414,208</t>
  </si>
  <si>
    <t>;ztratné 5%; 20,7104</t>
  </si>
  <si>
    <t>;ztratné 5%; 4,75</t>
  </si>
  <si>
    <t>95,0*0,3*0,15</t>
  </si>
  <si>
    <t>(19,97+26,37)*2*(4,75+1,2)+(4,8*2,0)</t>
  </si>
  <si>
    <t>561,046*2</t>
  </si>
  <si>
    <t>500,2*0,92</t>
  </si>
  <si>
    <t>181,0+251,2</t>
  </si>
  <si>
    <t>(18,77+2,0+13,8)*2*(3,87+1,2)</t>
  </si>
  <si>
    <t>(19,97+26,37)*2*(4,75+1,2)</t>
  </si>
  <si>
    <t>551,446*2</t>
  </si>
  <si>
    <t>432,2+68,0</t>
  </si>
  <si>
    <t>(1,4*1,8)+(1,545*2,84)+(1,4*0,9)*9+(2,15*0,74)+(1,4*0,9)*3+(1,4*0,9)+(1,4*0,9)*7</t>
  </si>
  <si>
    <t>67,398</t>
  </si>
  <si>
    <t>(17,95*13,8)</t>
  </si>
  <si>
    <t>(18,77+4,25)*2*0,6*0,85</t>
  </si>
  <si>
    <t>(4,0+0,81)*0,3*0,6+(1,56+1,82)*1,1*0,6+(1,21*0,5*0,6)</t>
  </si>
  <si>
    <t>(3,48+7,95+2,77+1,23)*0,4*0,6+(3,46*0,7*0,6)</t>
  </si>
  <si>
    <t>(2,98*0,3+7,22*0,5+18,65*0,5+4,35*0,5+2,6*0,3+6,65*0,5+11,01*0,5)*0,25</t>
  </si>
  <si>
    <t>(1,35*0,5+5,55*0,5+2,7*0,3+1,5*0,3+7,2*0,3+2,8*0,3)*0,25</t>
  </si>
  <si>
    <t>(0,7*0,2*2+0,8*0,65*2+0,7*0,1*2+0,85*0,85*2)*0,25</t>
  </si>
  <si>
    <t>(6,0*2,84)-0,8*2,02</t>
  </si>
  <si>
    <t>(1,435*2,84)</t>
  </si>
  <si>
    <t>(3,325+1,615+11,95+5,9+3,79*2+3,69+3,665)*2,84</t>
  </si>
  <si>
    <t>-0,9*2,02*6-0,7*2,02</t>
  </si>
  <si>
    <t>(2,365*2,84)</t>
  </si>
  <si>
    <t>(9,03*2,84)-0,9*2,02*4</t>
  </si>
  <si>
    <t>(1,415*2,84)</t>
  </si>
  <si>
    <t>(3,79*2,84)-0,9*2,02</t>
  </si>
  <si>
    <t>(2,88*2,84)-0,9*2,02</t>
  </si>
  <si>
    <t>(12,35+9,37)*3,87*0,41</t>
  </si>
  <si>
    <t>(8,2+6,8+5,4*2)*0,6*2,6-1,3*2,1*0,6+(0,5*0,5*2,6)+(1,4*0,79*2,6)+(2,5*0,45*1,85)+(0,5*0,65*1,85)</t>
  </si>
  <si>
    <t>2,0</t>
  </si>
  <si>
    <t>7,0*5,4*0,15</t>
  </si>
  <si>
    <t>52,9+4,7+1,3+1,4+4,1+1,6+7,6+5,3+3,3+4,9+4,5+3,7+12,8+12,3+71,0</t>
  </si>
  <si>
    <t>(8,85*0,7)+(6,1+3,45+8,955)*0,8+(3,3*1,0)+(5,75*0,8)+(3,4+0,85)*0,5+(1,75+9,3+8,45)*0,7+(4,4*0,5)</t>
  </si>
  <si>
    <t>(1,7+3,523+8,955)*2*0,6</t>
  </si>
  <si>
    <t>13,77*18,77*0,1</t>
  </si>
  <si>
    <t>18,77*4,25*0,15</t>
  </si>
  <si>
    <t>95,7*0,1</t>
  </si>
  <si>
    <t>25,846+11,966</t>
  </si>
  <si>
    <t>9,57</t>
  </si>
  <si>
    <t>1,3+1,4+4,1+1,6+7,6+5,3+3,3+4,9+4,5+3,7+12,8+12,3</t>
  </si>
  <si>
    <t>7,415*2,9+10,535*1,0</t>
  </si>
  <si>
    <t>18,77*4,25</t>
  </si>
  <si>
    <t>52,9+4,7+71,0</t>
  </si>
  <si>
    <t>13,77*18,77*0,2</t>
  </si>
  <si>
    <t>(2,98*0,3+7,22*0,5+18,65*0,5+4,35*0,5+2,6*0,3+6,65*0,5+11,01*0,5)</t>
  </si>
  <si>
    <t>(1,35*0,5+5,55*0,5+2,7*0,3+1,5*0,3+7,2*0,3+2,8*0,3)</t>
  </si>
  <si>
    <t>(0,7*0,2*2+0,8*0,65*2+0,7*0,1*2+0,85*0,85*2)</t>
  </si>
  <si>
    <t>5,04</t>
  </si>
  <si>
    <t>1,484</t>
  </si>
  <si>
    <t>50,4</t>
  </si>
  <si>
    <t>26,462</t>
  </si>
  <si>
    <t>20,79</t>
  </si>
  <si>
    <t>13,77*18,77*2</t>
  </si>
  <si>
    <t>247,71/2</t>
  </si>
  <si>
    <t>13,889+930,841+151,664+5,1+50,651+243,403+1,521+2,776+46,398+30,049+16,122+62,152+36,848+14,607+0,02</t>
  </si>
  <si>
    <t>18,65*5,05+18,65*21,0</t>
  </si>
  <si>
    <t>485,833*0,3</t>
  </si>
  <si>
    <t>18,65*2,775</t>
  </si>
  <si>
    <t>51,754*0,3</t>
  </si>
  <si>
    <t>485,833</t>
  </si>
  <si>
    <t>;ztratné 15%; 72,87495</t>
  </si>
  <si>
    <t>;ztratné 15%; 7,7631</t>
  </si>
  <si>
    <t>3,238</t>
  </si>
  <si>
    <t>(18,65*26,05)</t>
  </si>
  <si>
    <t>485,833/3</t>
  </si>
  <si>
    <t>(18,05+25,45)*2*0,25</t>
  </si>
  <si>
    <t>21,75/3</t>
  </si>
  <si>
    <t>(18,97*26,37)+(1,2*4)*0,25</t>
  </si>
  <si>
    <t>2,929</t>
  </si>
  <si>
    <t>;ztratné 5%; 3,4</t>
  </si>
  <si>
    <t>93,0+317,4+5,3+16,5+68,0</t>
  </si>
  <si>
    <t>500,2</t>
  </si>
  <si>
    <t>;ztratné 5%; 25,01</t>
  </si>
  <si>
    <t>93,0+317,4+5,3+16,5</t>
  </si>
  <si>
    <t>432,2</t>
  </si>
  <si>
    <t>;ztratné 5%; 21,61</t>
  </si>
  <si>
    <t>(26,05*0,25)*2+(18,05*0,25)*2</t>
  </si>
  <si>
    <t>(4,9*0,25)*2+(17,65*0,25)*2</t>
  </si>
  <si>
    <t>(18,65+25,45)*2*0,25+(4,05*0,25)</t>
  </si>
  <si>
    <t>56,388</t>
  </si>
  <si>
    <t>;ztratné 5%; 2,8194</t>
  </si>
  <si>
    <t>(6,85*0,3)*2</t>
  </si>
  <si>
    <t>4,11</t>
  </si>
  <si>
    <t>;ztratné 5%; 0,2055</t>
  </si>
  <si>
    <t>(18,05+25,45)*2*0,48</t>
  </si>
  <si>
    <t>41,76</t>
  </si>
  <si>
    <t>(18,05+26,05)*2*0,3</t>
  </si>
  <si>
    <t>26,46</t>
  </si>
  <si>
    <t>;ztratné 5%; 1,323</t>
  </si>
  <si>
    <t>(17,73*25,13)</t>
  </si>
  <si>
    <t>445,555</t>
  </si>
  <si>
    <t>;ztratné 5%; 22,27775</t>
  </si>
  <si>
    <t>501,439</t>
  </si>
  <si>
    <t>;ztratné 15%; 75,21585</t>
  </si>
  <si>
    <t>12,645</t>
  </si>
  <si>
    <t>33,5</t>
  </si>
  <si>
    <t>0,519</t>
  </si>
  <si>
    <t>7,5*4+7,0+6,5*13+6,0*3+5,25*4+4,75*4+3,75*4+5,1*2</t>
  </si>
  <si>
    <t>1,5*13+1,0*3+1,25*4+0,75*8</t>
  </si>
  <si>
    <t>2+2</t>
  </si>
  <si>
    <t>6+7</t>
  </si>
  <si>
    <t>2+1</t>
  </si>
  <si>
    <t>1+1</t>
  </si>
  <si>
    <t>90,7</t>
  </si>
  <si>
    <t>4+1+2+8+3</t>
  </si>
  <si>
    <t>(1+1)*8+3+1+2</t>
  </si>
  <si>
    <t>7,157</t>
  </si>
  <si>
    <t>1470</t>
  </si>
  <si>
    <t>8,6</t>
  </si>
  <si>
    <t>1+2</t>
  </si>
  <si>
    <t>3,875</t>
  </si>
  <si>
    <t>93,0+16,5+68,0</t>
  </si>
  <si>
    <t>(23,8+4,89+4,93+10,5+8,44)*0,3</t>
  </si>
  <si>
    <t>(4,76+5,52+5,52+6,92+6,24+6,8+8,65+14,8)*0,3+(0,9+0,9)*1,8</t>
  </si>
  <si>
    <t>(50,4*0,3)</t>
  </si>
  <si>
    <t>1,5+0,9*4+0,7*3+0,9*3+0,9*2+0,9*4</t>
  </si>
  <si>
    <t>15,3</t>
  </si>
  <si>
    <t>;ztratné 10%; 1,53</t>
  </si>
  <si>
    <t>(23,8+4,89+4,93+10,5+8,44)+50,4</t>
  </si>
  <si>
    <t>;ztratné 5%; 5,148</t>
  </si>
  <si>
    <t>108,108*3,33</t>
  </si>
  <si>
    <t>;ztratné 5%; 18</t>
  </si>
  <si>
    <t>2,9+1,1+1,2+1,2+1,2+1,2+3,1+2,7+3,8+2,7+2,2+11,4+16,0</t>
  </si>
  <si>
    <t>39,1</t>
  </si>
  <si>
    <t>;ztratné 5%; 1,955</t>
  </si>
  <si>
    <t>177,5-50,7</t>
  </si>
  <si>
    <t>126,8</t>
  </si>
  <si>
    <t>;ztratné 5%; 6,34</t>
  </si>
  <si>
    <t>177,5</t>
  </si>
  <si>
    <t>5,149</t>
  </si>
  <si>
    <t>317,4+5,3</t>
  </si>
  <si>
    <t>322,7</t>
  </si>
  <si>
    <t>10,4+5,34+5,34+28,57+8,34+28,57+8,34+11,5+28,07+26,82+21,1</t>
  </si>
  <si>
    <t>182,39</t>
  </si>
  <si>
    <t>;ztratné 5%; 9,1195</t>
  </si>
  <si>
    <t>;ztratné 10%; 32,27</t>
  </si>
  <si>
    <t>1,317</t>
  </si>
  <si>
    <t>7,2+1,2+0,75+135,406</t>
  </si>
  <si>
    <t>4,76+5,52+5,52+6,92+6,24+6,8+8,65+14,8+7,85</t>
  </si>
  <si>
    <t>4,76+5,52+5,52+6,92+6,24+6,8+8,65+14,8</t>
  </si>
  <si>
    <t>59,21</t>
  </si>
  <si>
    <t>;ztratné 5%; 2,9605</t>
  </si>
  <si>
    <t>(1,5*1,2)*4</t>
  </si>
  <si>
    <t>7,8</t>
  </si>
  <si>
    <t>;ztratné 5%; 0,39</t>
  </si>
  <si>
    <t>(0,6*2+0,6*2+0,6*4)*0,25</t>
  </si>
  <si>
    <t>1,2</t>
  </si>
  <si>
    <t>;ztratné 15%; 0,18</t>
  </si>
  <si>
    <t>(0,75+0,75+0,75*2)*0,25</t>
  </si>
  <si>
    <t>0,75</t>
  </si>
  <si>
    <t>;ztratné 15%; 0,1125</t>
  </si>
  <si>
    <t>(5,56*2,1-0,8*2,02)+(6,32*2,1-0,8*2,02)*2+(7,92*2,1-1,0*2,02)</t>
  </si>
  <si>
    <t>(7,04*2,1-0,8*2,02-0,75*0,6)+(7,6*2,1-0,8*2,02-0,75*0,6)</t>
  </si>
  <si>
    <t>(9,55*2,1-1,0*2,1)+(16,8*2,1-1,0*2,1*2)+(7,85*1,5)</t>
  </si>
  <si>
    <t>135,406</t>
  </si>
  <si>
    <t>;ztratné 5%; 6,7703</t>
  </si>
  <si>
    <t>5,56+6,32*2+7,92+7,04+7,6+8,65+14,8</t>
  </si>
  <si>
    <t>64,21</t>
  </si>
  <si>
    <t>;ztratné 5%; 3,2105</t>
  </si>
  <si>
    <t>(1+1+2+2)*2,1+(2+2+4)*0,6+2*1,5</t>
  </si>
  <si>
    <t>20,4</t>
  </si>
  <si>
    <t>;ztratné 5%; 1,02</t>
  </si>
  <si>
    <t>(4+5+5+4+4+4+4+4+4)*2,1+2*1,5</t>
  </si>
  <si>
    <t>82,8</t>
  </si>
  <si>
    <t>;ztratné 5%; 4,14</t>
  </si>
  <si>
    <t>2,996</t>
  </si>
  <si>
    <t>823,712</t>
  </si>
  <si>
    <t>(27,9*3,3-1,0*2,5*2-1,5*3,0-1,1*2,25*2-1,5*2,25)+(18,3*3,3-1,5*2,25-0,8*2,02*3-1,0*2,02*4)</t>
  </si>
  <si>
    <t>(5,56*0,4)+(6,32*0,4)*2+(7,59*3,3-1,25*2,25-1,0*2,02)*2+(7,92*0,4)+(6,89*3,3-1,0*2,02*2)</t>
  </si>
  <si>
    <t>(32,57*3,3-1,5*2,5*3-0,75*2,0-1,5*3,0-1,0*2,25-1,0*2,1*2-1,0*2,02)+(9,34*3,3-1,0*2,02-1,25*2,0)</t>
  </si>
  <si>
    <t>(9,53*2,5-1,0*2,1*3-0,8*2,02*2)+(7,04*1,2-0,75*0,9)+(7,6*1,2-0,75*0,9)+(9,55*0,4)</t>
  </si>
  <si>
    <t>(32,57*3,3-1,5*2,5*3-0,75*2,0-1,5*3,0-1,25*2,25-1,0*2,12*2-1,0*2,02)+(9,34*3,3-1,0*2,02-1,25*2,0)</t>
  </si>
  <si>
    <t>(13,5*3,3-1,0*2,1*2)+(32,57*3,3-1,5*2,5*3-1,5*3,0-1,25*2,0-0,75*2,0-1,0*2,1*2-1,1*2,25)</t>
  </si>
  <si>
    <t>(13,5*2,5-1,0*2,1*2-1,0*2,02-7,85*1,5)+(32,57*3,3-1,5*2,5*3-1,5*3,0-1,25*2,0-0,75*2,0-9,4875)</t>
  </si>
  <si>
    <t>(16,8*1,2-0,75*0,9*2)+(22,1*3,3-1,5*2,5-1,0*2,5-1,1*2,25)+(8,87*3,3-1,0*3,0)</t>
  </si>
  <si>
    <t>61,26</t>
  </si>
  <si>
    <t>1,5*3,0*4+1,5*2,5*13+1,0*2,5*3+1,25*2,0*4+0,75*2,0*4</t>
  </si>
  <si>
    <t>0,345</t>
  </si>
  <si>
    <t>73,806+295,859+192,39+3,837+8,111+0,306+0,372+4,939</t>
  </si>
  <si>
    <t>579,62*4</t>
  </si>
  <si>
    <t>579,62</t>
  </si>
  <si>
    <t>13,547</t>
  </si>
  <si>
    <t>13,547*6</t>
  </si>
  <si>
    <t>3,373+0,14</t>
  </si>
  <si>
    <t>1,436+72,37</t>
  </si>
  <si>
    <t>49,047+82,308+9,09+13,264+124,305+8,775+9,07</t>
  </si>
  <si>
    <t>192,39</t>
  </si>
  <si>
    <t>1,897+1,94</t>
  </si>
  <si>
    <t>4,9+2,468+0,743</t>
  </si>
  <si>
    <t>0,306</t>
  </si>
  <si>
    <t>0,372</t>
  </si>
  <si>
    <t>3,25+1,689</t>
  </si>
  <si>
    <t>Potřebné množství</t>
  </si>
  <si>
    <t>Rozpočtové náklady v Kč</t>
  </si>
  <si>
    <t>A</t>
  </si>
  <si>
    <t>HSV</t>
  </si>
  <si>
    <t>PSV</t>
  </si>
  <si>
    <t>"M"</t>
  </si>
  <si>
    <t>Ostatní materiál</t>
  </si>
  <si>
    <t>Přesun hmot a sutí</t>
  </si>
  <si>
    <t>ZRN celkem</t>
  </si>
  <si>
    <t>Základ 0%</t>
  </si>
  <si>
    <t>Základ 15%</t>
  </si>
  <si>
    <t>Základ 21%</t>
  </si>
  <si>
    <t>Projektant</t>
  </si>
  <si>
    <t>Datum, razítko a podpis</t>
  </si>
  <si>
    <t>Základní rozpočtové náklady</t>
  </si>
  <si>
    <t>Dodávky</t>
  </si>
  <si>
    <t>Krycí list slepého rozpočtu</t>
  </si>
  <si>
    <t>B</t>
  </si>
  <si>
    <t>Práce přesčas</t>
  </si>
  <si>
    <t>Bez pevné podl.</t>
  </si>
  <si>
    <t>Kulturní památka</t>
  </si>
  <si>
    <t>DN celkem</t>
  </si>
  <si>
    <t>DN celkem z obj.</t>
  </si>
  <si>
    <t>DPH 15%</t>
  </si>
  <si>
    <t>DPH 21%</t>
  </si>
  <si>
    <t>Objednatel</t>
  </si>
  <si>
    <t>Doplňkové náklady</t>
  </si>
  <si>
    <t>C</t>
  </si>
  <si>
    <t>Zařízení staveniště</t>
  </si>
  <si>
    <t>Mimostav. doprava</t>
  </si>
  <si>
    <t>Územní vlivy</t>
  </si>
  <si>
    <t>Provozní vlivy</t>
  </si>
  <si>
    <t>Ostatní</t>
  </si>
  <si>
    <t>NUS z rozpočtu</t>
  </si>
  <si>
    <t>NUS celkem</t>
  </si>
  <si>
    <t>NUS celkem z obj.</t>
  </si>
  <si>
    <t>ORN celkem</t>
  </si>
  <si>
    <t>ORN celkem z obj.</t>
  </si>
  <si>
    <t>Celkem bez DPH</t>
  </si>
  <si>
    <t>Celkem včetně DPH</t>
  </si>
  <si>
    <t>Zhotovitel</t>
  </si>
  <si>
    <t>IČ/DIČ:</t>
  </si>
  <si>
    <t>Položek:</t>
  </si>
  <si>
    <t>Datum:</t>
  </si>
  <si>
    <t>Náklady na umístění stavby (NUS)</t>
  </si>
  <si>
    <t>Demontáž stávajícího potrubí a instalačních prefabrikátů, včetně zemních prací, armatur, příslušensví a ekologické likvidace odpadu			_x000D_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</si>
</sst>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0"/>
      <name val="Arial"/>
    </font>
    <font>
      <sz val="10"/>
      <color indexed="8"/>
      <name val="Arial"/>
      <charset val="238"/>
    </font>
    <font>
      <sz val="18"/>
      <color indexed="8"/>
      <name val="Arial"/>
      <charset val="238"/>
    </font>
    <font>
      <b/>
      <sz val="10"/>
      <color indexed="8"/>
      <name val="Arial"/>
      <charset val="238"/>
    </font>
    <font>
      <sz val="10"/>
      <color indexed="56"/>
      <name val="Arial"/>
      <charset val="238"/>
    </font>
    <font>
      <sz val="10"/>
      <color indexed="61"/>
      <name val="Arial"/>
      <charset val="238"/>
    </font>
    <font>
      <sz val="10"/>
      <color indexed="62"/>
      <name val="Arial"/>
      <charset val="238"/>
    </font>
    <font>
      <i/>
      <sz val="8"/>
      <color indexed="8"/>
      <name val="Arial"/>
      <charset val="238"/>
    </font>
    <font>
      <b/>
      <sz val="10"/>
      <color indexed="54"/>
      <name val="Arial"/>
      <charset val="238"/>
    </font>
    <font>
      <b/>
      <sz val="10"/>
      <color indexed="56"/>
      <name val="Arial"/>
      <charset val="238"/>
    </font>
    <font>
      <i/>
      <sz val="10"/>
      <color indexed="58"/>
      <name val="Arial"/>
      <charset val="238"/>
    </font>
    <font>
      <i/>
      <sz val="10"/>
      <color indexed="59"/>
      <name val="Arial"/>
      <charset val="238"/>
    </font>
    <font>
      <i/>
      <sz val="9"/>
      <color indexed="63"/>
      <name val="Arial"/>
      <charset val="238"/>
    </font>
    <font>
      <i/>
      <sz val="9"/>
      <color indexed="50"/>
      <name val="Arial"/>
      <charset val="238"/>
    </font>
    <font>
      <i/>
      <sz val="9"/>
      <color indexed="61"/>
      <name val="Arial"/>
      <charset val="238"/>
    </font>
    <font>
      <i/>
      <sz val="9"/>
      <color indexed="62"/>
      <name val="Arial"/>
      <charset val="238"/>
    </font>
    <font>
      <b/>
      <sz val="18"/>
      <color indexed="8"/>
      <name val="Arial"/>
      <charset val="238"/>
    </font>
    <font>
      <b/>
      <sz val="20"/>
      <color indexed="8"/>
      <name val="Arial"/>
      <charset val="238"/>
    </font>
    <font>
      <b/>
      <sz val="12"/>
      <color indexed="8"/>
      <name val="Arial"/>
      <charset val="238"/>
    </font>
    <font>
      <sz val="12"/>
      <color indexed="8"/>
      <name val="Arial"/>
      <charset val="238"/>
    </font>
    <font>
      <b/>
      <sz val="11"/>
      <color indexed="8"/>
      <name val="Arial"/>
      <charset val="238"/>
    </font>
    <font>
      <sz val="10"/>
      <color indexed="12"/>
      <name val="Arial"/>
      <charset val="238"/>
    </font>
    <font>
      <sz val="10"/>
      <color indexed="10"/>
      <name val="Arial"/>
      <charset val="238"/>
    </font>
    <font>
      <b/>
      <sz val="10"/>
      <color indexed="10"/>
      <name val="Arial"/>
      <charset val="238"/>
    </font>
    <font>
      <b/>
      <sz val="10"/>
      <color rgb="FFFF0000"/>
      <name val="Arial"/>
      <family val="2"/>
      <charset val="238"/>
    </font>
  </fonts>
  <fills count="6">
    <fill>
      <patternFill patternType="none"/>
    </fill>
    <fill>
      <patternFill patternType="gray125"/>
    </fill>
    <fill>
      <patternFill patternType="solid">
        <fgColor indexed="55"/>
        <bgColor indexed="9"/>
      </patternFill>
    </fill>
    <fill>
      <patternFill patternType="solid">
        <fgColor indexed="57"/>
        <bgColor indexed="9"/>
      </patternFill>
    </fill>
    <fill>
      <patternFill patternType="solid">
        <fgColor indexed="22"/>
        <bgColor indexed="9"/>
      </patternFill>
    </fill>
    <fill>
      <patternFill patternType="solid">
        <fgColor rgb="FFFFFF00"/>
        <bgColor indexed="64"/>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200">
    <xf numFmtId="0" fontId="1" fillId="0" borderId="0" xfId="0" applyFont="1" applyAlignment="1">
      <alignment vertical="center"/>
    </xf>
    <xf numFmtId="49" fontId="3" fillId="0" borderId="5" xfId="0" applyNumberFormat="1" applyFont="1" applyFill="1" applyBorder="1" applyAlignment="1" applyProtection="1">
      <alignment horizontal="left" vertical="center"/>
    </xf>
    <xf numFmtId="49" fontId="1" fillId="0" borderId="6" xfId="0" applyNumberFormat="1" applyFont="1" applyFill="1" applyBorder="1" applyAlignment="1" applyProtection="1">
      <alignment horizontal="left" vertical="center"/>
    </xf>
    <xf numFmtId="49" fontId="4" fillId="3" borderId="3" xfId="0" applyNumberFormat="1" applyFont="1" applyFill="1" applyBorder="1" applyAlignment="1" applyProtection="1">
      <alignment horizontal="left" vertical="center"/>
    </xf>
    <xf numFmtId="49" fontId="5" fillId="0" borderId="3" xfId="0" applyNumberFormat="1" applyFont="1" applyFill="1" applyBorder="1" applyAlignment="1" applyProtection="1">
      <alignment horizontal="left" vertical="center"/>
    </xf>
    <xf numFmtId="0" fontId="1" fillId="0" borderId="3" xfId="0" applyNumberFormat="1" applyFont="1" applyFill="1" applyBorder="1" applyAlignment="1" applyProtection="1">
      <alignment vertical="center"/>
    </xf>
    <xf numFmtId="49" fontId="6" fillId="0" borderId="3" xfId="0" applyNumberFormat="1" applyFont="1" applyFill="1" applyBorder="1" applyAlignment="1" applyProtection="1">
      <alignment horizontal="left" vertical="center"/>
    </xf>
    <xf numFmtId="49" fontId="5" fillId="0" borderId="8" xfId="0" applyNumberFormat="1" applyFont="1" applyFill="1" applyBorder="1" applyAlignment="1" applyProtection="1">
      <alignment horizontal="left" vertical="center"/>
    </xf>
    <xf numFmtId="0" fontId="1" fillId="0" borderId="9"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49" fontId="1" fillId="0" borderId="12"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right" vertical="top"/>
    </xf>
    <xf numFmtId="49" fontId="6" fillId="0" borderId="0"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49" fontId="4" fillId="3" borderId="0"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right" vertical="center"/>
    </xf>
    <xf numFmtId="4" fontId="6" fillId="0" borderId="0" xfId="0" applyNumberFormat="1" applyFont="1" applyFill="1" applyBorder="1" applyAlignment="1" applyProtection="1">
      <alignment horizontal="right" vertical="center"/>
    </xf>
    <xf numFmtId="4" fontId="5" fillId="0" borderId="1" xfId="0" applyNumberFormat="1" applyFont="1" applyFill="1" applyBorder="1" applyAlignment="1" applyProtection="1">
      <alignment horizontal="right" vertical="center"/>
    </xf>
    <xf numFmtId="49" fontId="3" fillId="0" borderId="16" xfId="0" applyNumberFormat="1" applyFont="1" applyFill="1" applyBorder="1" applyAlignment="1" applyProtection="1">
      <alignment horizontal="center" vertical="center"/>
    </xf>
    <xf numFmtId="49" fontId="3" fillId="0" borderId="17" xfId="0" applyNumberFormat="1" applyFont="1" applyFill="1" applyBorder="1" applyAlignment="1" applyProtection="1">
      <alignment horizontal="center" vertical="center"/>
    </xf>
    <xf numFmtId="49" fontId="3" fillId="0" borderId="19" xfId="0" applyNumberFormat="1" applyFont="1" applyFill="1" applyBorder="1" applyAlignment="1" applyProtection="1">
      <alignment horizontal="center" vertical="center"/>
    </xf>
    <xf numFmtId="49" fontId="3" fillId="0" borderId="21" xfId="0" applyNumberFormat="1" applyFont="1" applyFill="1" applyBorder="1" applyAlignment="1" applyProtection="1">
      <alignment horizontal="center" vertical="center"/>
    </xf>
    <xf numFmtId="49" fontId="3" fillId="0" borderId="23" xfId="0" applyNumberFormat="1" applyFont="1" applyFill="1" applyBorder="1" applyAlignment="1" applyProtection="1">
      <alignment horizontal="center" vertical="center"/>
    </xf>
    <xf numFmtId="49" fontId="3" fillId="0" borderId="26" xfId="0" applyNumberFormat="1" applyFont="1" applyFill="1" applyBorder="1" applyAlignment="1" applyProtection="1">
      <alignment horizontal="center" vertical="center"/>
    </xf>
    <xf numFmtId="49" fontId="3" fillId="0" borderId="27" xfId="0" applyNumberFormat="1" applyFont="1" applyFill="1" applyBorder="1" applyAlignment="1" applyProtection="1">
      <alignment horizontal="center" vertical="center"/>
    </xf>
    <xf numFmtId="49" fontId="9" fillId="3" borderId="25" xfId="0" applyNumberFormat="1" applyFont="1" applyFill="1" applyBorder="1" applyAlignment="1" applyProtection="1">
      <alignment horizontal="right" vertical="center"/>
    </xf>
    <xf numFmtId="49" fontId="5" fillId="0" borderId="25" xfId="0" applyNumberFormat="1" applyFont="1" applyFill="1" applyBorder="1" applyAlignment="1" applyProtection="1">
      <alignment horizontal="right" vertical="center"/>
    </xf>
    <xf numFmtId="49" fontId="6" fillId="0" borderId="25" xfId="0" applyNumberFormat="1" applyFont="1" applyFill="1" applyBorder="1" applyAlignment="1" applyProtection="1">
      <alignment horizontal="right" vertical="center"/>
    </xf>
    <xf numFmtId="49" fontId="5" fillId="0" borderId="28" xfId="0" applyNumberFormat="1" applyFont="1" applyFill="1" applyBorder="1" applyAlignment="1" applyProtection="1">
      <alignment horizontal="right" vertical="center"/>
    </xf>
    <xf numFmtId="0" fontId="1" fillId="0" borderId="29" xfId="0" applyNumberFormat="1" applyFont="1" applyFill="1" applyBorder="1" applyAlignment="1" applyProtection="1">
      <alignment vertical="center"/>
    </xf>
    <xf numFmtId="49" fontId="9" fillId="3" borderId="0"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horizontal="right" vertical="center"/>
    </xf>
    <xf numFmtId="49" fontId="3" fillId="0" borderId="0" xfId="0" applyNumberFormat="1" applyFont="1" applyFill="1" applyBorder="1" applyAlignment="1" applyProtection="1">
      <alignment horizontal="right" vertical="center"/>
    </xf>
    <xf numFmtId="4" fontId="9" fillId="3" borderId="0" xfId="0" applyNumberFormat="1" applyFont="1" applyFill="1" applyBorder="1" applyAlignment="1" applyProtection="1">
      <alignment horizontal="right" vertical="center"/>
    </xf>
    <xf numFmtId="4" fontId="3" fillId="0" borderId="9" xfId="0" applyNumberFormat="1" applyFont="1" applyFill="1" applyBorder="1" applyAlignment="1" applyProtection="1">
      <alignment horizontal="right" vertical="center"/>
    </xf>
    <xf numFmtId="49" fontId="3" fillId="0" borderId="30" xfId="0" applyNumberFormat="1" applyFont="1" applyFill="1" applyBorder="1" applyAlignment="1" applyProtection="1">
      <alignment horizontal="left" vertical="center"/>
    </xf>
    <xf numFmtId="49" fontId="1" fillId="0" borderId="3" xfId="0" applyNumberFormat="1" applyFont="1" applyFill="1" applyBorder="1" applyAlignment="1" applyProtection="1">
      <alignment horizontal="left" vertical="center"/>
    </xf>
    <xf numFmtId="49" fontId="3" fillId="0" borderId="31"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xf>
    <xf numFmtId="4" fontId="3" fillId="0" borderId="0"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left" vertical="center"/>
    </xf>
    <xf numFmtId="0" fontId="1" fillId="0" borderId="8" xfId="0" applyNumberFormat="1" applyFont="1" applyFill="1" applyBorder="1" applyAlignment="1" applyProtection="1">
      <alignment vertical="center"/>
    </xf>
    <xf numFmtId="49" fontId="5" fillId="0" borderId="13"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49" fontId="12" fillId="0" borderId="0" xfId="0" applyNumberFormat="1"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right" vertical="center"/>
    </xf>
    <xf numFmtId="4" fontId="14" fillId="0" borderId="0" xfId="0" applyNumberFormat="1" applyFont="1" applyFill="1" applyBorder="1" applyAlignment="1" applyProtection="1">
      <alignment horizontal="right" vertical="center"/>
    </xf>
    <xf numFmtId="4" fontId="15" fillId="0" borderId="0" xfId="0" applyNumberFormat="1" applyFont="1" applyFill="1" applyBorder="1" applyAlignment="1" applyProtection="1">
      <alignment horizontal="right" vertical="center"/>
    </xf>
    <xf numFmtId="4" fontId="14" fillId="0" borderId="1" xfId="0" applyNumberFormat="1" applyFont="1" applyFill="1" applyBorder="1" applyAlignment="1" applyProtection="1">
      <alignment horizontal="right" vertical="center"/>
    </xf>
    <xf numFmtId="49" fontId="3" fillId="0" borderId="36" xfId="0" applyNumberFormat="1" applyFont="1" applyFill="1" applyBorder="1" applyAlignment="1" applyProtection="1">
      <alignment horizontal="left" vertical="center"/>
    </xf>
    <xf numFmtId="4" fontId="5" fillId="0" borderId="14" xfId="0" applyNumberFormat="1" applyFont="1" applyFill="1" applyBorder="1" applyAlignment="1" applyProtection="1">
      <alignment horizontal="right" vertical="center"/>
    </xf>
    <xf numFmtId="4" fontId="5" fillId="0" borderId="25" xfId="0" applyNumberFormat="1" applyFont="1" applyFill="1" applyBorder="1" applyAlignment="1" applyProtection="1">
      <alignment horizontal="right" vertical="center"/>
    </xf>
    <xf numFmtId="0" fontId="1" fillId="0" borderId="25" xfId="0" applyNumberFormat="1" applyFont="1" applyFill="1" applyBorder="1" applyAlignment="1" applyProtection="1">
      <alignment vertical="center"/>
    </xf>
    <xf numFmtId="4" fontId="6" fillId="0" borderId="25" xfId="0" applyNumberFormat="1" applyFont="1" applyFill="1" applyBorder="1" applyAlignment="1" applyProtection="1">
      <alignment horizontal="right" vertical="center"/>
    </xf>
    <xf numFmtId="0" fontId="1" fillId="0" borderId="28" xfId="0" applyNumberFormat="1" applyFont="1" applyFill="1" applyBorder="1" applyAlignment="1" applyProtection="1">
      <alignment vertical="center"/>
    </xf>
    <xf numFmtId="49" fontId="17" fillId="4" borderId="38" xfId="0" applyNumberFormat="1" applyFont="1" applyFill="1" applyBorder="1" applyAlignment="1" applyProtection="1">
      <alignment horizontal="center" vertical="center"/>
    </xf>
    <xf numFmtId="49" fontId="18" fillId="0" borderId="33" xfId="0" applyNumberFormat="1" applyFont="1" applyFill="1" applyBorder="1" applyAlignment="1" applyProtection="1">
      <alignment horizontal="left" vertical="center"/>
    </xf>
    <xf numFmtId="49" fontId="18" fillId="0" borderId="39" xfId="0" applyNumberFormat="1" applyFont="1" applyFill="1" applyBorder="1" applyAlignment="1" applyProtection="1">
      <alignment horizontal="left" vertical="center"/>
    </xf>
    <xf numFmtId="0" fontId="1" fillId="0" borderId="41"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xf>
    <xf numFmtId="49" fontId="19" fillId="0" borderId="38" xfId="0" applyNumberFormat="1" applyFont="1" applyFill="1" applyBorder="1" applyAlignment="1" applyProtection="1">
      <alignment horizontal="left" vertical="center"/>
    </xf>
    <xf numFmtId="0" fontId="1" fillId="0" borderId="13" xfId="0" applyNumberFormat="1" applyFont="1" applyFill="1" applyBorder="1" applyAlignment="1" applyProtection="1">
      <alignment vertical="center"/>
    </xf>
    <xf numFmtId="0" fontId="1" fillId="0" borderId="24" xfId="0" applyNumberFormat="1" applyFont="1" applyFill="1" applyBorder="1" applyAlignment="1" applyProtection="1">
      <alignment vertical="center"/>
    </xf>
    <xf numFmtId="4" fontId="19" fillId="0" borderId="38" xfId="0" applyNumberFormat="1" applyFont="1" applyFill="1" applyBorder="1" applyAlignment="1" applyProtection="1">
      <alignment horizontal="right" vertical="center"/>
    </xf>
    <xf numFmtId="49" fontId="19" fillId="0" borderId="38" xfId="0" applyNumberFormat="1" applyFont="1" applyFill="1" applyBorder="1" applyAlignment="1" applyProtection="1">
      <alignment horizontal="right" vertical="center"/>
    </xf>
    <xf numFmtId="4" fontId="19" fillId="0" borderId="21" xfId="0" applyNumberFormat="1" applyFont="1" applyFill="1" applyBorder="1" applyAlignment="1" applyProtection="1">
      <alignment horizontal="right" vertical="center"/>
    </xf>
    <xf numFmtId="0" fontId="1" fillId="0" borderId="14" xfId="0" applyNumberFormat="1" applyFont="1" applyFill="1" applyBorder="1" applyAlignment="1" applyProtection="1">
      <alignment vertical="center"/>
    </xf>
    <xf numFmtId="0" fontId="1" fillId="0" borderId="40" xfId="0" applyNumberFormat="1" applyFont="1" applyFill="1" applyBorder="1" applyAlignment="1" applyProtection="1">
      <alignment vertical="center"/>
    </xf>
    <xf numFmtId="4" fontId="18" fillId="4" borderId="44" xfId="0" applyNumberFormat="1" applyFont="1" applyFill="1" applyBorder="1" applyAlignment="1" applyProtection="1">
      <alignment horizontal="right" vertical="center"/>
    </xf>
    <xf numFmtId="0" fontId="1" fillId="0" borderId="1" xfId="0" applyNumberFormat="1" applyFont="1" applyFill="1" applyBorder="1" applyAlignment="1" applyProtection="1"/>
    <xf numFmtId="164" fontId="5" fillId="0" borderId="13"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14"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164" fontId="15" fillId="0" borderId="0" xfId="0" applyNumberFormat="1" applyFont="1" applyFill="1" applyBorder="1" applyAlignment="1" applyProtection="1">
      <alignment horizontal="right" vertical="center"/>
    </xf>
    <xf numFmtId="49" fontId="21" fillId="0" borderId="3"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164" fontId="21" fillId="0" borderId="0" xfId="0" applyNumberFormat="1" applyFont="1" applyFill="1" applyBorder="1" applyAlignment="1" applyProtection="1">
      <alignment horizontal="right" vertical="center"/>
    </xf>
    <xf numFmtId="4" fontId="21" fillId="0" borderId="25" xfId="0" applyNumberFormat="1" applyFont="1" applyFill="1" applyBorder="1" applyAlignment="1" applyProtection="1">
      <alignment horizontal="right" vertical="center"/>
    </xf>
    <xf numFmtId="164" fontId="5" fillId="0" borderId="1" xfId="0" applyNumberFormat="1" applyFont="1" applyFill="1" applyBorder="1" applyAlignment="1" applyProtection="1">
      <alignment horizontal="right" vertical="center"/>
    </xf>
    <xf numFmtId="49" fontId="22" fillId="2" borderId="7" xfId="0" applyNumberFormat="1" applyFont="1" applyFill="1" applyBorder="1" applyAlignment="1" applyProtection="1">
      <alignment horizontal="left" vertical="center"/>
    </xf>
    <xf numFmtId="49" fontId="23" fillId="2" borderId="13" xfId="0" applyNumberFormat="1" applyFont="1" applyFill="1" applyBorder="1" applyAlignment="1" applyProtection="1">
      <alignment horizontal="left" vertical="center"/>
    </xf>
    <xf numFmtId="49" fontId="22" fillId="2" borderId="13" xfId="0" applyNumberFormat="1" applyFont="1" applyFill="1" applyBorder="1" applyAlignment="1" applyProtection="1">
      <alignment horizontal="left" vertical="center"/>
    </xf>
    <xf numFmtId="4" fontId="23" fillId="2" borderId="13" xfId="0" applyNumberFormat="1" applyFont="1" applyFill="1" applyBorder="1" applyAlignment="1" applyProtection="1">
      <alignment horizontal="right" vertical="center"/>
    </xf>
    <xf numFmtId="49" fontId="23" fillId="2" borderId="14" xfId="0" applyNumberFormat="1" applyFont="1" applyFill="1" applyBorder="1" applyAlignment="1" applyProtection="1">
      <alignment horizontal="right" vertical="center"/>
    </xf>
    <xf numFmtId="4" fontId="21" fillId="0" borderId="0" xfId="0" applyNumberFormat="1" applyFont="1" applyFill="1" applyBorder="1" applyAlignment="1" applyProtection="1">
      <alignment horizontal="right" vertical="center"/>
    </xf>
    <xf numFmtId="49" fontId="21" fillId="0" borderId="25" xfId="0" applyNumberFormat="1" applyFont="1" applyFill="1" applyBorder="1" applyAlignment="1" applyProtection="1">
      <alignment horizontal="right" vertical="center"/>
    </xf>
    <xf numFmtId="49" fontId="22" fillId="2" borderId="3" xfId="0" applyNumberFormat="1" applyFont="1" applyFill="1" applyBorder="1" applyAlignment="1" applyProtection="1">
      <alignment horizontal="left" vertical="center"/>
    </xf>
    <xf numFmtId="49" fontId="23" fillId="2" borderId="0" xfId="0" applyNumberFormat="1" applyFont="1" applyFill="1" applyBorder="1" applyAlignment="1" applyProtection="1">
      <alignment horizontal="left" vertical="center"/>
    </xf>
    <xf numFmtId="49" fontId="22" fillId="2" borderId="0" xfId="0" applyNumberFormat="1" applyFont="1" applyFill="1" applyBorder="1" applyAlignment="1" applyProtection="1">
      <alignment horizontal="left" vertical="center"/>
    </xf>
    <xf numFmtId="4" fontId="23" fillId="2" borderId="0" xfId="0" applyNumberFormat="1" applyFont="1" applyFill="1" applyBorder="1" applyAlignment="1" applyProtection="1">
      <alignment horizontal="right" vertical="center"/>
    </xf>
    <xf numFmtId="49" fontId="23" fillId="2" borderId="25"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vertical="center"/>
    </xf>
    <xf numFmtId="0" fontId="1" fillId="0" borderId="32" xfId="0" applyNumberFormat="1" applyFont="1" applyFill="1" applyBorder="1" applyAlignment="1" applyProtection="1">
      <alignment vertical="center"/>
    </xf>
    <xf numFmtId="49" fontId="3" fillId="0" borderId="36" xfId="0" applyNumberFormat="1" applyFont="1" applyFill="1" applyBorder="1" applyAlignment="1" applyProtection="1">
      <alignment horizontal="center" vertical="center"/>
    </xf>
    <xf numFmtId="49" fontId="24" fillId="0" borderId="3" xfId="0" applyNumberFormat="1" applyFont="1" applyFill="1" applyBorder="1" applyAlignment="1" applyProtection="1">
      <alignment horizontal="left" vertical="center"/>
    </xf>
    <xf numFmtId="49" fontId="24" fillId="0" borderId="0" xfId="0" applyNumberFormat="1" applyFont="1" applyFill="1" applyBorder="1" applyAlignment="1" applyProtection="1">
      <alignment horizontal="left" vertical="center"/>
    </xf>
    <xf numFmtId="4" fontId="24" fillId="0" borderId="0" xfId="0"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vertical="center"/>
      <protection locked="0"/>
    </xf>
    <xf numFmtId="4" fontId="21" fillId="0" borderId="0" xfId="0" applyNumberFormat="1" applyFont="1" applyFill="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locked="0"/>
    </xf>
    <xf numFmtId="49" fontId="5" fillId="5" borderId="3" xfId="0" applyNumberFormat="1" applyFont="1" applyFill="1" applyBorder="1" applyAlignment="1" applyProtection="1">
      <alignment horizontal="left" vertical="center"/>
    </xf>
    <xf numFmtId="49" fontId="5" fillId="5" borderId="0" xfId="0" applyNumberFormat="1" applyFont="1" applyFill="1" applyBorder="1" applyAlignment="1" applyProtection="1">
      <alignment horizontal="left" vertical="center"/>
    </xf>
    <xf numFmtId="164" fontId="5" fillId="5" borderId="0"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0" borderId="9"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left" vertical="center" wrapText="1"/>
    </xf>
    <xf numFmtId="49" fontId="1" fillId="0" borderId="24" xfId="0" applyNumberFormat="1" applyFont="1" applyFill="1" applyBorder="1" applyAlignment="1" applyProtection="1">
      <alignment horizontal="left" vertical="center"/>
    </xf>
    <xf numFmtId="0" fontId="1" fillId="0" borderId="25" xfId="0" applyNumberFormat="1" applyFont="1" applyFill="1" applyBorder="1" applyAlignment="1" applyProtection="1">
      <alignment horizontal="left" vertical="center"/>
    </xf>
    <xf numFmtId="49" fontId="1" fillId="0" borderId="25"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25" xfId="0" applyNumberFormat="1" applyFont="1" applyFill="1" applyBorder="1" applyAlignment="1" applyProtection="1">
      <alignment horizontal="left" vertical="center" wrapText="1"/>
    </xf>
    <xf numFmtId="0" fontId="1" fillId="0" borderId="28"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xf>
    <xf numFmtId="49" fontId="16" fillId="0" borderId="37" xfId="0" applyNumberFormat="1" applyFont="1" applyFill="1" applyBorder="1" applyAlignment="1" applyProtection="1">
      <alignment horizontal="center" vertical="center"/>
    </xf>
    <xf numFmtId="0" fontId="16" fillId="0" borderId="37" xfId="0" applyNumberFormat="1" applyFont="1" applyFill="1" applyBorder="1" applyAlignment="1" applyProtection="1">
      <alignment horizontal="center" vertical="center"/>
    </xf>
    <xf numFmtId="49" fontId="20" fillId="0" borderId="40" xfId="0" applyNumberFormat="1" applyFont="1" applyFill="1" applyBorder="1" applyAlignment="1" applyProtection="1">
      <alignment horizontal="left" vertical="center"/>
    </xf>
    <xf numFmtId="0" fontId="20" fillId="0" borderId="44" xfId="0" applyNumberFormat="1" applyFont="1" applyFill="1" applyBorder="1" applyAlignment="1" applyProtection="1">
      <alignment horizontal="left" vertical="center"/>
    </xf>
    <xf numFmtId="49" fontId="19" fillId="0" borderId="40" xfId="0" applyNumberFormat="1" applyFont="1" applyFill="1" applyBorder="1" applyAlignment="1" applyProtection="1">
      <alignment horizontal="left" vertical="center"/>
    </xf>
    <xf numFmtId="0" fontId="19" fillId="0" borderId="44" xfId="0" applyNumberFormat="1" applyFont="1" applyFill="1" applyBorder="1" applyAlignment="1" applyProtection="1">
      <alignment horizontal="left" vertical="center"/>
    </xf>
    <xf numFmtId="49" fontId="18" fillId="0" borderId="40" xfId="0" applyNumberFormat="1" applyFont="1" applyFill="1" applyBorder="1" applyAlignment="1" applyProtection="1">
      <alignment horizontal="left" vertical="center"/>
    </xf>
    <xf numFmtId="0" fontId="18" fillId="0" borderId="44" xfId="0" applyNumberFormat="1" applyFont="1" applyFill="1" applyBorder="1" applyAlignment="1" applyProtection="1">
      <alignment horizontal="left" vertical="center"/>
    </xf>
    <xf numFmtId="49" fontId="18" fillId="4" borderId="40" xfId="0" applyNumberFormat="1" applyFont="1" applyFill="1" applyBorder="1" applyAlignment="1" applyProtection="1">
      <alignment horizontal="left" vertical="center"/>
    </xf>
    <xf numFmtId="0" fontId="18" fillId="4" borderId="37" xfId="0" applyNumberFormat="1" applyFont="1" applyFill="1" applyBorder="1" applyAlignment="1" applyProtection="1">
      <alignment horizontal="left" vertical="center"/>
    </xf>
    <xf numFmtId="49" fontId="19" fillId="0" borderId="42" xfId="0" applyNumberFormat="1" applyFont="1" applyFill="1" applyBorder="1" applyAlignment="1" applyProtection="1">
      <alignment horizontal="left" vertical="center"/>
      <protection locked="0"/>
    </xf>
    <xf numFmtId="0" fontId="19" fillId="0" borderId="13" xfId="0" applyNumberFormat="1" applyFont="1" applyFill="1" applyBorder="1" applyAlignment="1" applyProtection="1">
      <alignment horizontal="left" vertical="center"/>
      <protection locked="0"/>
    </xf>
    <xf numFmtId="0" fontId="19" fillId="0" borderId="45" xfId="0" applyNumberFormat="1" applyFont="1" applyFill="1" applyBorder="1" applyAlignment="1" applyProtection="1">
      <alignment horizontal="left" vertical="center"/>
      <protection locked="0"/>
    </xf>
    <xf numFmtId="49" fontId="19" fillId="0" borderId="29" xfId="0" applyNumberFormat="1" applyFont="1" applyFill="1" applyBorder="1" applyAlignment="1" applyProtection="1">
      <alignment horizontal="left" vertical="center"/>
      <protection locked="0"/>
    </xf>
    <xf numFmtId="0" fontId="19" fillId="0" borderId="0" xfId="0" applyNumberFormat="1" applyFont="1" applyFill="1" applyBorder="1" applyAlignment="1" applyProtection="1">
      <alignment horizontal="left" vertical="center"/>
      <protection locked="0"/>
    </xf>
    <xf numFmtId="0" fontId="19" fillId="0" borderId="46" xfId="0" applyNumberFormat="1" applyFont="1" applyFill="1" applyBorder="1" applyAlignment="1" applyProtection="1">
      <alignment horizontal="left" vertical="center"/>
      <protection locked="0"/>
    </xf>
    <xf numFmtId="49" fontId="19" fillId="0" borderId="43" xfId="0" applyNumberFormat="1" applyFont="1" applyFill="1" applyBorder="1" applyAlignment="1" applyProtection="1">
      <alignment horizontal="left" vertical="center"/>
      <protection locked="0"/>
    </xf>
    <xf numFmtId="0" fontId="19" fillId="0" borderId="10" xfId="0" applyNumberFormat="1" applyFont="1" applyFill="1" applyBorder="1" applyAlignment="1" applyProtection="1">
      <alignment horizontal="left" vertical="center"/>
      <protection locked="0"/>
    </xf>
    <xf numFmtId="0" fontId="19" fillId="0" borderId="47" xfId="0" applyNumberFormat="1"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center"/>
    </xf>
    <xf numFmtId="49" fontId="1" fillId="0" borderId="9"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xf>
    <xf numFmtId="0" fontId="3" fillId="0" borderId="13" xfId="0" applyNumberFormat="1" applyFont="1" applyFill="1" applyBorder="1" applyAlignment="1" applyProtection="1">
      <alignment horizontal="left" vertical="center"/>
    </xf>
    <xf numFmtId="0" fontId="3" fillId="0" borderId="14" xfId="0" applyNumberFormat="1" applyFont="1" applyFill="1" applyBorder="1" applyAlignment="1" applyProtection="1">
      <alignment horizontal="left" vertical="center"/>
    </xf>
    <xf numFmtId="49" fontId="3" fillId="0" borderId="18" xfId="0" applyNumberFormat="1" applyFont="1" applyFill="1" applyBorder="1" applyAlignment="1" applyProtection="1">
      <alignment horizontal="center" vertical="center"/>
    </xf>
    <xf numFmtId="0" fontId="3" fillId="0" borderId="20" xfId="0" applyNumberFormat="1" applyFont="1" applyFill="1" applyBorder="1" applyAlignment="1" applyProtection="1">
      <alignment horizontal="center" vertical="center"/>
    </xf>
    <xf numFmtId="0" fontId="3" fillId="0" borderId="2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left" vertical="center"/>
    </xf>
    <xf numFmtId="0" fontId="3" fillId="0" borderId="10" xfId="0" applyNumberFormat="1" applyFont="1" applyFill="1" applyBorder="1" applyAlignment="1" applyProtection="1">
      <alignment horizontal="left" vertical="center"/>
    </xf>
    <xf numFmtId="0" fontId="3" fillId="0" borderId="15" xfId="0" applyNumberFormat="1" applyFont="1" applyFill="1" applyBorder="1" applyAlignment="1" applyProtection="1">
      <alignment horizontal="left" vertical="center"/>
    </xf>
    <xf numFmtId="49" fontId="23" fillId="2" borderId="13" xfId="0" applyNumberFormat="1" applyFont="1" applyFill="1" applyBorder="1" applyAlignment="1" applyProtection="1">
      <alignment horizontal="left" vertical="center"/>
    </xf>
    <xf numFmtId="0" fontId="8" fillId="2" borderId="13"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xf>
    <xf numFmtId="0" fontId="9" fillId="3"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left" vertical="center"/>
    </xf>
    <xf numFmtId="0" fontId="1" fillId="0" borderId="10" xfId="0" applyNumberFormat="1" applyFont="1" applyFill="1" applyBorder="1" applyAlignment="1" applyProtection="1">
      <alignment horizontal="left" vertical="center"/>
    </xf>
    <xf numFmtId="0" fontId="1" fillId="0" borderId="15"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49" fontId="23" fillId="2" borderId="0" xfId="0" applyNumberFormat="1" applyFont="1" applyFill="1" applyBorder="1" applyAlignment="1" applyProtection="1">
      <alignment horizontal="left" vertical="center"/>
    </xf>
    <xf numFmtId="0" fontId="8" fillId="2" borderId="0" xfId="0" applyNumberFormat="1" applyFont="1" applyFill="1" applyBorder="1" applyAlignment="1" applyProtection="1">
      <alignment horizontal="left" vertical="center"/>
    </xf>
    <xf numFmtId="49" fontId="5" fillId="5" borderId="0" xfId="0" applyNumberFormat="1" applyFont="1" applyFill="1" applyBorder="1" applyAlignment="1" applyProtection="1">
      <alignment horizontal="left" vertical="center"/>
    </xf>
    <xf numFmtId="0" fontId="5" fillId="5" borderId="0"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49" fontId="3" fillId="0" borderId="9" xfId="0" applyNumberFormat="1" applyFont="1" applyFill="1" applyBorder="1" applyAlignment="1" applyProtection="1">
      <alignment horizontal="left" vertical="center"/>
    </xf>
    <xf numFmtId="49" fontId="3" fillId="0" borderId="34" xfId="0" applyNumberFormat="1" applyFont="1" applyFill="1" applyBorder="1" applyAlignment="1" applyProtection="1">
      <alignment horizontal="left" vertical="center"/>
    </xf>
    <xf numFmtId="0" fontId="3" fillId="0" borderId="35" xfId="0" applyNumberFormat="1" applyFont="1" applyFill="1" applyBorder="1" applyAlignment="1" applyProtection="1">
      <alignment horizontal="left" vertical="center"/>
    </xf>
    <xf numFmtId="49" fontId="5" fillId="0" borderId="13"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49" fontId="13" fillId="0" borderId="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left" vertic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000000"/>
      <rgbColor rgb="00000000"/>
      <rgbColor rgb="00000000"/>
      <rgbColor rgb="00DBDBDB"/>
      <rgbColor rgb="00000000"/>
      <rgbColor rgb="00C0C0C0"/>
      <rgbColor rgb="00000000"/>
      <rgbColor rgb="00C0C0C0"/>
      <rgbColor rgb="00000000"/>
      <rgbColor rgb="00000000"/>
      <rgbColor rgb="00000000"/>
      <rgbColor rgb="00000000"/>
      <rgbColor rgb="00000000"/>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4097" name="Picture 1">
          <a:extLst>
            <a:ext uri="{FF2B5EF4-FFF2-40B4-BE49-F238E27FC236}">
              <a16:creationId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447675</xdr:colOff>
      <xdr:row>0</xdr:row>
      <xdr:rowOff>885825</xdr:rowOff>
    </xdr:to>
    <xdr:pic>
      <xdr:nvPicPr>
        <xdr:cNvPr id="2049" name="Picture 1">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9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657225</xdr:colOff>
      <xdr:row>0</xdr:row>
      <xdr:rowOff>885825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48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3073" name="Picture 1">
          <a:extLst>
            <a:ext uri="{FF2B5EF4-FFF2-40B4-BE49-F238E27FC236}">
              <a16:creationId xmlns:a16="http://schemas.microsoft.com/office/drawing/2014/main" id="{00000000-0008-0000-03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tabSelected="1" topLeftCell="A7" workbookViewId="0">
      <selection activeCell="G33" sqref="G33:I33"/>
    </sheetView>
  </sheetViews>
  <sheetFormatPr defaultColWidth="11.5703125" defaultRowHeight="12.75" x14ac:dyDescent="0.2"/>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2.85546875" customWidth="1"/>
    <col min="9" max="9" width="22.85546875" customWidth="1"/>
  </cols>
  <sheetData>
    <row r="1" spans="1:10" ht="72.95" customHeight="1" x14ac:dyDescent="0.2">
      <c r="A1" s="80"/>
      <c r="B1" s="53"/>
      <c r="C1" s="116" t="s">
        <v>3325</v>
      </c>
      <c r="D1" s="117"/>
      <c r="E1" s="117"/>
      <c r="F1" s="117"/>
      <c r="G1" s="117"/>
      <c r="H1" s="117"/>
      <c r="I1" s="117"/>
    </row>
    <row r="2" spans="1:10" x14ac:dyDescent="0.2">
      <c r="A2" s="118" t="s">
        <v>1</v>
      </c>
      <c r="B2" s="119"/>
      <c r="C2" s="122" t="str">
        <f>'Stavební rozpočet'!C2</f>
        <v>Dostavba pavilonu ZŠ speciální Jižní, Česká Lípa</v>
      </c>
      <c r="D2" s="123"/>
      <c r="E2" s="125" t="s">
        <v>2870</v>
      </c>
      <c r="F2" s="125" t="str">
        <f>'Stavební rozpočet'!J2</f>
        <v> </v>
      </c>
      <c r="G2" s="119"/>
      <c r="H2" s="125" t="s">
        <v>3350</v>
      </c>
      <c r="I2" s="126"/>
      <c r="J2" s="5"/>
    </row>
    <row r="3" spans="1:10" x14ac:dyDescent="0.2">
      <c r="A3" s="120"/>
      <c r="B3" s="121"/>
      <c r="C3" s="124"/>
      <c r="D3" s="124"/>
      <c r="E3" s="121"/>
      <c r="F3" s="121"/>
      <c r="G3" s="121"/>
      <c r="H3" s="121"/>
      <c r="I3" s="127"/>
      <c r="J3" s="5"/>
    </row>
    <row r="4" spans="1:10" x14ac:dyDescent="0.2">
      <c r="A4" s="129" t="s">
        <v>2</v>
      </c>
      <c r="B4" s="121"/>
      <c r="C4" s="130" t="str">
        <f>'Stavební rozpočet'!C4</f>
        <v>- demolice a novostavba pavilonu E</v>
      </c>
      <c r="D4" s="121"/>
      <c r="E4" s="130" t="s">
        <v>2871</v>
      </c>
      <c r="F4" s="130" t="str">
        <f>'Stavební rozpočet'!J4</f>
        <v> </v>
      </c>
      <c r="G4" s="121"/>
      <c r="H4" s="130" t="s">
        <v>3350</v>
      </c>
      <c r="I4" s="128"/>
      <c r="J4" s="5"/>
    </row>
    <row r="5" spans="1:10" x14ac:dyDescent="0.2">
      <c r="A5" s="120"/>
      <c r="B5" s="121"/>
      <c r="C5" s="121"/>
      <c r="D5" s="121"/>
      <c r="E5" s="121"/>
      <c r="F5" s="121"/>
      <c r="G5" s="121"/>
      <c r="H5" s="121"/>
      <c r="I5" s="127"/>
      <c r="J5" s="5"/>
    </row>
    <row r="6" spans="1:10" x14ac:dyDescent="0.2">
      <c r="A6" s="129" t="s">
        <v>3</v>
      </c>
      <c r="B6" s="121"/>
      <c r="C6" s="130" t="str">
        <f>'Stavební rozpočet'!C6</f>
        <v xml:space="preserve"> </v>
      </c>
      <c r="D6" s="121"/>
      <c r="E6" s="130" t="s">
        <v>2872</v>
      </c>
      <c r="F6" s="130" t="str">
        <f>'Stavební rozpočet'!J6</f>
        <v> </v>
      </c>
      <c r="G6" s="121"/>
      <c r="H6" s="130" t="s">
        <v>3350</v>
      </c>
      <c r="I6" s="128"/>
      <c r="J6" s="5"/>
    </row>
    <row r="7" spans="1:10" x14ac:dyDescent="0.2">
      <c r="A7" s="120"/>
      <c r="B7" s="121"/>
      <c r="C7" s="121"/>
      <c r="D7" s="121"/>
      <c r="E7" s="121"/>
      <c r="F7" s="121"/>
      <c r="G7" s="121"/>
      <c r="H7" s="121"/>
      <c r="I7" s="127"/>
      <c r="J7" s="5"/>
    </row>
    <row r="8" spans="1:10" x14ac:dyDescent="0.2">
      <c r="A8" s="129" t="s">
        <v>2848</v>
      </c>
      <c r="B8" s="121"/>
      <c r="C8" s="130"/>
      <c r="D8" s="121"/>
      <c r="E8" s="130" t="s">
        <v>2849</v>
      </c>
      <c r="F8" s="130"/>
      <c r="G8" s="121"/>
      <c r="H8" s="133" t="s">
        <v>3351</v>
      </c>
      <c r="I8" s="128" t="s">
        <v>956</v>
      </c>
      <c r="J8" s="5"/>
    </row>
    <row r="9" spans="1:10" x14ac:dyDescent="0.2">
      <c r="A9" s="120"/>
      <c r="B9" s="121"/>
      <c r="C9" s="121"/>
      <c r="D9" s="121"/>
      <c r="E9" s="121"/>
      <c r="F9" s="121"/>
      <c r="G9" s="121"/>
      <c r="H9" s="121"/>
      <c r="I9" s="127"/>
      <c r="J9" s="5"/>
    </row>
    <row r="10" spans="1:10" x14ac:dyDescent="0.2">
      <c r="A10" s="129" t="s">
        <v>4</v>
      </c>
      <c r="B10" s="121"/>
      <c r="C10" s="130" t="str">
        <f>'Stavební rozpočet'!C8</f>
        <v xml:space="preserve"> </v>
      </c>
      <c r="D10" s="121"/>
      <c r="E10" s="130" t="s">
        <v>2873</v>
      </c>
      <c r="F10" s="130" t="str">
        <f>'Stavební rozpočet'!J8</f>
        <v> </v>
      </c>
      <c r="G10" s="121"/>
      <c r="H10" s="133" t="s">
        <v>3352</v>
      </c>
      <c r="I10" s="131"/>
      <c r="J10" s="5"/>
    </row>
    <row r="11" spans="1:10" x14ac:dyDescent="0.2">
      <c r="A11" s="134"/>
      <c r="B11" s="135"/>
      <c r="C11" s="135"/>
      <c r="D11" s="135"/>
      <c r="E11" s="135"/>
      <c r="F11" s="135"/>
      <c r="G11" s="135"/>
      <c r="H11" s="135"/>
      <c r="I11" s="132"/>
      <c r="J11" s="5"/>
    </row>
    <row r="12" spans="1:10" ht="23.45" customHeight="1" x14ac:dyDescent="0.2">
      <c r="A12" s="136" t="s">
        <v>3310</v>
      </c>
      <c r="B12" s="137"/>
      <c r="C12" s="137"/>
      <c r="D12" s="137"/>
      <c r="E12" s="137"/>
      <c r="F12" s="137"/>
      <c r="G12" s="137"/>
      <c r="H12" s="137"/>
      <c r="I12" s="137"/>
    </row>
    <row r="13" spans="1:10" ht="26.45" customHeight="1" x14ac:dyDescent="0.2">
      <c r="A13" s="66" t="s">
        <v>3311</v>
      </c>
      <c r="B13" s="138" t="s">
        <v>3323</v>
      </c>
      <c r="C13" s="139"/>
      <c r="D13" s="66" t="s">
        <v>3326</v>
      </c>
      <c r="E13" s="138" t="s">
        <v>3335</v>
      </c>
      <c r="F13" s="139"/>
      <c r="G13" s="66" t="s">
        <v>3336</v>
      </c>
      <c r="H13" s="138" t="s">
        <v>3353</v>
      </c>
      <c r="I13" s="139"/>
      <c r="J13" s="5"/>
    </row>
    <row r="14" spans="1:10" ht="15.2" customHeight="1" x14ac:dyDescent="0.2">
      <c r="A14" s="67" t="s">
        <v>3312</v>
      </c>
      <c r="B14" s="71" t="s">
        <v>3324</v>
      </c>
      <c r="C14" s="74">
        <f>SUM('Stavební rozpočet'!AB12:AB1109)</f>
        <v>0</v>
      </c>
      <c r="D14" s="140" t="s">
        <v>3327</v>
      </c>
      <c r="E14" s="141"/>
      <c r="F14" s="74">
        <v>0</v>
      </c>
      <c r="G14" s="140" t="s">
        <v>3337</v>
      </c>
      <c r="H14" s="141"/>
      <c r="I14" s="75" t="s">
        <v>1839</v>
      </c>
      <c r="J14" s="5"/>
    </row>
    <row r="15" spans="1:10" ht="15.2" customHeight="1" x14ac:dyDescent="0.2">
      <c r="A15" s="68"/>
      <c r="B15" s="71" t="s">
        <v>2880</v>
      </c>
      <c r="C15" s="74">
        <f>SUM('Stavební rozpočet'!AC12:AC1109)</f>
        <v>0</v>
      </c>
      <c r="D15" s="140" t="s">
        <v>3328</v>
      </c>
      <c r="E15" s="141"/>
      <c r="F15" s="74">
        <v>0</v>
      </c>
      <c r="G15" s="140" t="s">
        <v>3338</v>
      </c>
      <c r="H15" s="141"/>
      <c r="I15" s="75" t="s">
        <v>1839</v>
      </c>
      <c r="J15" s="5"/>
    </row>
    <row r="16" spans="1:10" ht="15.2" customHeight="1" x14ac:dyDescent="0.2">
      <c r="A16" s="67" t="s">
        <v>3313</v>
      </c>
      <c r="B16" s="71" t="s">
        <v>3324</v>
      </c>
      <c r="C16" s="74">
        <f>SUM('Stavební rozpočet'!AD12:AD1109)</f>
        <v>0</v>
      </c>
      <c r="D16" s="140" t="s">
        <v>3329</v>
      </c>
      <c r="E16" s="141"/>
      <c r="F16" s="74">
        <v>0</v>
      </c>
      <c r="G16" s="140" t="s">
        <v>3339</v>
      </c>
      <c r="H16" s="141"/>
      <c r="I16" s="75" t="s">
        <v>1839</v>
      </c>
      <c r="J16" s="5"/>
    </row>
    <row r="17" spans="1:10" ht="15.2" customHeight="1" x14ac:dyDescent="0.2">
      <c r="A17" s="68"/>
      <c r="B17" s="71" t="s">
        <v>2880</v>
      </c>
      <c r="C17" s="74">
        <f>SUM('Stavební rozpočet'!AE12:AE1109)</f>
        <v>0</v>
      </c>
      <c r="D17" s="140"/>
      <c r="E17" s="141"/>
      <c r="F17" s="75"/>
      <c r="G17" s="140" t="s">
        <v>3340</v>
      </c>
      <c r="H17" s="141"/>
      <c r="I17" s="75" t="s">
        <v>1839</v>
      </c>
      <c r="J17" s="5"/>
    </row>
    <row r="18" spans="1:10" ht="15.2" customHeight="1" x14ac:dyDescent="0.2">
      <c r="A18" s="67" t="s">
        <v>3314</v>
      </c>
      <c r="B18" s="71" t="s">
        <v>3324</v>
      </c>
      <c r="C18" s="74">
        <f>SUM('Stavební rozpočet'!AF12:AF1109)</f>
        <v>0</v>
      </c>
      <c r="D18" s="140"/>
      <c r="E18" s="141"/>
      <c r="F18" s="75"/>
      <c r="G18" s="140" t="s">
        <v>3341</v>
      </c>
      <c r="H18" s="141"/>
      <c r="I18" s="75" t="s">
        <v>1839</v>
      </c>
      <c r="J18" s="5"/>
    </row>
    <row r="19" spans="1:10" ht="15.2" customHeight="1" x14ac:dyDescent="0.2">
      <c r="A19" s="68"/>
      <c r="B19" s="71" t="s">
        <v>2880</v>
      </c>
      <c r="C19" s="74">
        <f>SUM('Stavební rozpočet'!AG12:AG1109)</f>
        <v>0</v>
      </c>
      <c r="D19" s="140"/>
      <c r="E19" s="141"/>
      <c r="F19" s="75"/>
      <c r="G19" s="140" t="s">
        <v>3342</v>
      </c>
      <c r="H19" s="141"/>
      <c r="I19" s="75" t="s">
        <v>1839</v>
      </c>
      <c r="J19" s="5"/>
    </row>
    <row r="20" spans="1:10" ht="15.2" customHeight="1" x14ac:dyDescent="0.2">
      <c r="A20" s="142" t="s">
        <v>3315</v>
      </c>
      <c r="B20" s="143"/>
      <c r="C20" s="74">
        <f>SUM('Stavební rozpočet'!AH12:AH1109)</f>
        <v>0</v>
      </c>
      <c r="D20" s="140"/>
      <c r="E20" s="141"/>
      <c r="F20" s="75"/>
      <c r="G20" s="140"/>
      <c r="H20" s="141"/>
      <c r="I20" s="75"/>
      <c r="J20" s="5"/>
    </row>
    <row r="21" spans="1:10" ht="15.2" customHeight="1" x14ac:dyDescent="0.2">
      <c r="A21" s="142" t="s">
        <v>3316</v>
      </c>
      <c r="B21" s="143"/>
      <c r="C21" s="74">
        <f>SUM('Stavební rozpočet'!Z12:Z1109)</f>
        <v>0</v>
      </c>
      <c r="D21" s="140"/>
      <c r="E21" s="141"/>
      <c r="F21" s="75"/>
      <c r="G21" s="140"/>
      <c r="H21" s="141"/>
      <c r="I21" s="75"/>
      <c r="J21" s="5"/>
    </row>
    <row r="22" spans="1:10" ht="16.7" customHeight="1" x14ac:dyDescent="0.2">
      <c r="A22" s="142" t="s">
        <v>3317</v>
      </c>
      <c r="B22" s="143"/>
      <c r="C22" s="74">
        <f>SUM(C14:C21)</f>
        <v>0</v>
      </c>
      <c r="D22" s="142" t="s">
        <v>3330</v>
      </c>
      <c r="E22" s="143"/>
      <c r="F22" s="74">
        <f>SUM(F14:F21)</f>
        <v>0</v>
      </c>
      <c r="G22" s="142" t="s">
        <v>3343</v>
      </c>
      <c r="H22" s="143"/>
      <c r="I22" s="74">
        <f>SUM(I14:I21)</f>
        <v>0</v>
      </c>
      <c r="J22" s="5"/>
    </row>
    <row r="23" spans="1:10" ht="15.2" customHeight="1" x14ac:dyDescent="0.2">
      <c r="A23" s="8"/>
      <c r="B23" s="8"/>
      <c r="C23" s="73"/>
      <c r="D23" s="142" t="s">
        <v>3331</v>
      </c>
      <c r="E23" s="143"/>
      <c r="F23" s="76">
        <v>0</v>
      </c>
      <c r="G23" s="142" t="s">
        <v>3344</v>
      </c>
      <c r="H23" s="143"/>
      <c r="I23" s="74">
        <v>0</v>
      </c>
      <c r="J23" s="5"/>
    </row>
    <row r="24" spans="1:10" ht="15.2" customHeight="1" x14ac:dyDescent="0.2">
      <c r="D24" s="8"/>
      <c r="E24" s="8"/>
      <c r="F24" s="77"/>
      <c r="G24" s="142" t="s">
        <v>3345</v>
      </c>
      <c r="H24" s="143"/>
      <c r="I24" s="78"/>
    </row>
    <row r="25" spans="1:10" ht="15.2" customHeight="1" x14ac:dyDescent="0.2">
      <c r="F25" s="63"/>
      <c r="G25" s="142" t="s">
        <v>3346</v>
      </c>
      <c r="H25" s="143"/>
      <c r="I25" s="74">
        <v>0</v>
      </c>
      <c r="J25" s="5"/>
    </row>
    <row r="26" spans="1:10" x14ac:dyDescent="0.2">
      <c r="A26" s="53"/>
      <c r="B26" s="53"/>
      <c r="C26" s="53"/>
      <c r="G26" s="8"/>
      <c r="H26" s="8"/>
      <c r="I26" s="8"/>
    </row>
    <row r="27" spans="1:10" ht="15.2" customHeight="1" x14ac:dyDescent="0.2">
      <c r="A27" s="144" t="s">
        <v>3318</v>
      </c>
      <c r="B27" s="145"/>
      <c r="C27" s="79">
        <f>SUM('Stavební rozpočet'!AJ12:AJ1109)</f>
        <v>0</v>
      </c>
      <c r="D27" s="51"/>
      <c r="E27" s="53"/>
      <c r="F27" s="53"/>
      <c r="G27" s="53"/>
      <c r="H27" s="53"/>
      <c r="I27" s="53"/>
    </row>
    <row r="28" spans="1:10" ht="15.2" customHeight="1" x14ac:dyDescent="0.2">
      <c r="A28" s="144" t="s">
        <v>3319</v>
      </c>
      <c r="B28" s="145"/>
      <c r="C28" s="79">
        <f>SUM('Stavební rozpočet'!AK12:AK1109)</f>
        <v>0</v>
      </c>
      <c r="D28" s="144" t="s">
        <v>3332</v>
      </c>
      <c r="E28" s="145"/>
      <c r="F28" s="79">
        <f>ROUND(C28*(15/100),2)</f>
        <v>0</v>
      </c>
      <c r="G28" s="144" t="s">
        <v>3347</v>
      </c>
      <c r="H28" s="145"/>
      <c r="I28" s="79">
        <f>SUM(C27:C29)</f>
        <v>0</v>
      </c>
      <c r="J28" s="5"/>
    </row>
    <row r="29" spans="1:10" ht="15.2" customHeight="1" x14ac:dyDescent="0.2">
      <c r="A29" s="144" t="s">
        <v>3320</v>
      </c>
      <c r="B29" s="145"/>
      <c r="C29" s="79">
        <f>SUM('Stavební rozpočet'!AL12:AL1109)+(F22+I22+F23+I23+I24+I25)</f>
        <v>0</v>
      </c>
      <c r="D29" s="144" t="s">
        <v>3333</v>
      </c>
      <c r="E29" s="145"/>
      <c r="F29" s="79">
        <f>ROUND(C29*(21/100),2)</f>
        <v>0</v>
      </c>
      <c r="G29" s="144" t="s">
        <v>3348</v>
      </c>
      <c r="H29" s="145"/>
      <c r="I29" s="79">
        <f>SUM(F28:F29)+I28</f>
        <v>0</v>
      </c>
      <c r="J29" s="5"/>
    </row>
    <row r="30" spans="1:10" x14ac:dyDescent="0.2">
      <c r="A30" s="69"/>
      <c r="B30" s="69"/>
      <c r="C30" s="69"/>
      <c r="D30" s="69"/>
      <c r="E30" s="69"/>
      <c r="F30" s="69"/>
      <c r="G30" s="69"/>
      <c r="H30" s="69"/>
      <c r="I30" s="69"/>
    </row>
    <row r="31" spans="1:10" ht="14.45" customHeight="1" x14ac:dyDescent="0.2">
      <c r="A31" s="146" t="s">
        <v>3321</v>
      </c>
      <c r="B31" s="147"/>
      <c r="C31" s="148"/>
      <c r="D31" s="146" t="s">
        <v>3334</v>
      </c>
      <c r="E31" s="147"/>
      <c r="F31" s="148"/>
      <c r="G31" s="146" t="s">
        <v>3349</v>
      </c>
      <c r="H31" s="147"/>
      <c r="I31" s="148"/>
      <c r="J31" s="34"/>
    </row>
    <row r="32" spans="1:10" ht="14.45" customHeight="1" x14ac:dyDescent="0.2">
      <c r="A32" s="149"/>
      <c r="B32" s="150"/>
      <c r="C32" s="151"/>
      <c r="D32" s="149"/>
      <c r="E32" s="150"/>
      <c r="F32" s="151"/>
      <c r="G32" s="149"/>
      <c r="H32" s="150"/>
      <c r="I32" s="151"/>
      <c r="J32" s="34"/>
    </row>
    <row r="33" spans="1:10" ht="14.45" customHeight="1" x14ac:dyDescent="0.2">
      <c r="A33" s="149"/>
      <c r="B33" s="150"/>
      <c r="C33" s="151"/>
      <c r="D33" s="149"/>
      <c r="E33" s="150"/>
      <c r="F33" s="151"/>
      <c r="G33" s="149"/>
      <c r="H33" s="150"/>
      <c r="I33" s="151"/>
      <c r="J33" s="34"/>
    </row>
    <row r="34" spans="1:10" ht="14.45" customHeight="1" x14ac:dyDescent="0.2">
      <c r="A34" s="149"/>
      <c r="B34" s="150"/>
      <c r="C34" s="151"/>
      <c r="D34" s="149"/>
      <c r="E34" s="150"/>
      <c r="F34" s="151"/>
      <c r="G34" s="149"/>
      <c r="H34" s="150"/>
      <c r="I34" s="151"/>
      <c r="J34" s="34"/>
    </row>
    <row r="35" spans="1:10" ht="14.45" customHeight="1" x14ac:dyDescent="0.2">
      <c r="A35" s="152" t="s">
        <v>3322</v>
      </c>
      <c r="B35" s="153"/>
      <c r="C35" s="154"/>
      <c r="D35" s="152" t="s">
        <v>3322</v>
      </c>
      <c r="E35" s="153"/>
      <c r="F35" s="154"/>
      <c r="G35" s="152" t="s">
        <v>3322</v>
      </c>
      <c r="H35" s="153"/>
      <c r="I35" s="154"/>
      <c r="J35" s="34"/>
    </row>
    <row r="36" spans="1:10" ht="11.25" customHeight="1" x14ac:dyDescent="0.2">
      <c r="A36" s="70" t="s">
        <v>957</v>
      </c>
      <c r="B36" s="72"/>
      <c r="C36" s="72"/>
      <c r="D36" s="72"/>
      <c r="E36" s="72"/>
      <c r="F36" s="72"/>
      <c r="G36" s="72"/>
      <c r="H36" s="72"/>
      <c r="I36" s="72"/>
    </row>
    <row r="37" spans="1:10" x14ac:dyDescent="0.2">
      <c r="A37" s="130"/>
      <c r="B37" s="121"/>
      <c r="C37" s="121"/>
      <c r="D37" s="121"/>
      <c r="E37" s="121"/>
      <c r="F37" s="121"/>
      <c r="G37" s="121"/>
      <c r="H37" s="121"/>
      <c r="I37" s="121"/>
    </row>
  </sheetData>
  <sheetProtection algorithmName="SHA-512" hashValue="m986Yrkg9NnLqDyPWH30E12Itm32AlBV7EM9X43JosOIbkWuFPtgckU5XCVhhofORCTkD4+45y9yL1pc8h3MPw==" saltValue="y2EUhEltuFbVZaxFb0eOVQ==" spinCount="100000" sheet="1" objects="1" scenarios="1"/>
  <mergeCells count="83">
    <mergeCell ref="A37:I37"/>
    <mergeCell ref="A34:C34"/>
    <mergeCell ref="D34:F34"/>
    <mergeCell ref="G34:I34"/>
    <mergeCell ref="A35:C35"/>
    <mergeCell ref="D35:F35"/>
    <mergeCell ref="G35:I35"/>
    <mergeCell ref="A32:C32"/>
    <mergeCell ref="D32:F32"/>
    <mergeCell ref="G32:I32"/>
    <mergeCell ref="A33:C33"/>
    <mergeCell ref="D33:F33"/>
    <mergeCell ref="G33:I33"/>
    <mergeCell ref="A29:B29"/>
    <mergeCell ref="D29:E29"/>
    <mergeCell ref="G29:H29"/>
    <mergeCell ref="A31:C31"/>
    <mergeCell ref="D31:F31"/>
    <mergeCell ref="G31:I31"/>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I10:I11"/>
    <mergeCell ref="A8:B9"/>
    <mergeCell ref="C8:D9"/>
    <mergeCell ref="E8:E9"/>
    <mergeCell ref="F8:G9"/>
    <mergeCell ref="H8:H9"/>
    <mergeCell ref="I8:I9"/>
    <mergeCell ref="A10:B11"/>
    <mergeCell ref="C10:D11"/>
    <mergeCell ref="E10:E11"/>
    <mergeCell ref="F10:G11"/>
    <mergeCell ref="H10:H11"/>
    <mergeCell ref="I6:I7"/>
    <mergeCell ref="A4:B5"/>
    <mergeCell ref="C4:D5"/>
    <mergeCell ref="E4:E5"/>
    <mergeCell ref="F4:G5"/>
    <mergeCell ref="H4:H5"/>
    <mergeCell ref="I4:I5"/>
    <mergeCell ref="A6:B7"/>
    <mergeCell ref="C6:D7"/>
    <mergeCell ref="E6:E7"/>
    <mergeCell ref="F6:G7"/>
    <mergeCell ref="H6:H7"/>
    <mergeCell ref="C1:I1"/>
    <mergeCell ref="A2:B3"/>
    <mergeCell ref="C2:D3"/>
    <mergeCell ref="E2:E3"/>
    <mergeCell ref="F2:G3"/>
    <mergeCell ref="H2:H3"/>
    <mergeCell ref="I2:I3"/>
  </mergeCells>
  <pageMargins left="0.39400000000000002" right="0.39400000000000002" top="0.59099999999999997" bottom="0.59099999999999997"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workbookViewId="0">
      <pane ySplit="10" topLeftCell="A32" activePane="bottomLeft" state="frozenSplit"/>
      <selection pane="bottomLeft" activeCell="C15" sqref="C15:D15"/>
    </sheetView>
  </sheetViews>
  <sheetFormatPr defaultColWidth="11.5703125" defaultRowHeight="12.75" x14ac:dyDescent="0.2"/>
  <cols>
    <col min="1" max="2" width="7.140625" customWidth="1"/>
    <col min="3" max="3" width="53.140625" customWidth="1"/>
    <col min="4" max="4" width="16.140625" customWidth="1"/>
    <col min="5" max="5" width="22.140625" hidden="1" customWidth="1"/>
    <col min="6" max="6" width="21" hidden="1" customWidth="1"/>
    <col min="7" max="7" width="20.85546875" customWidth="1"/>
    <col min="8" max="9" width="0" hidden="1" customWidth="1"/>
  </cols>
  <sheetData>
    <row r="1" spans="1:9" ht="72.95" customHeight="1" x14ac:dyDescent="0.35">
      <c r="A1" s="155" t="s">
        <v>2981</v>
      </c>
      <c r="B1" s="117"/>
      <c r="C1" s="117"/>
      <c r="D1" s="117"/>
      <c r="E1" s="117"/>
      <c r="F1" s="117"/>
      <c r="G1" s="117"/>
    </row>
    <row r="2" spans="1:9" x14ac:dyDescent="0.2">
      <c r="A2" s="118" t="s">
        <v>1</v>
      </c>
      <c r="B2" s="119"/>
      <c r="C2" s="122" t="str">
        <f>'Stavební rozpočet'!C2</f>
        <v>Dostavba pavilonu ZŠ speciální Jižní, Česká Lípa</v>
      </c>
      <c r="D2" s="156" t="s">
        <v>2847</v>
      </c>
      <c r="E2" s="156" t="s">
        <v>6</v>
      </c>
      <c r="F2" s="125" t="s">
        <v>2870</v>
      </c>
      <c r="G2" s="157" t="str">
        <f>'Stavební rozpočet'!J2</f>
        <v> </v>
      </c>
      <c r="H2" s="5"/>
    </row>
    <row r="3" spans="1:9" x14ac:dyDescent="0.2">
      <c r="A3" s="120"/>
      <c r="B3" s="121"/>
      <c r="C3" s="124"/>
      <c r="D3" s="121"/>
      <c r="E3" s="121"/>
      <c r="F3" s="121"/>
      <c r="G3" s="127"/>
      <c r="H3" s="5"/>
    </row>
    <row r="4" spans="1:9" x14ac:dyDescent="0.2">
      <c r="A4" s="129" t="s">
        <v>2</v>
      </c>
      <c r="B4" s="121"/>
      <c r="C4" s="130" t="str">
        <f>'Stavební rozpočet'!C4</f>
        <v>- demolice a novostavba pavilonu E</v>
      </c>
      <c r="D4" s="133" t="s">
        <v>2848</v>
      </c>
      <c r="E4" s="133"/>
      <c r="F4" s="130" t="s">
        <v>2871</v>
      </c>
      <c r="G4" s="131" t="str">
        <f>'Stavební rozpočet'!J4</f>
        <v> </v>
      </c>
      <c r="H4" s="5"/>
    </row>
    <row r="5" spans="1:9" x14ac:dyDescent="0.2">
      <c r="A5" s="120"/>
      <c r="B5" s="121"/>
      <c r="C5" s="121"/>
      <c r="D5" s="121"/>
      <c r="E5" s="121"/>
      <c r="F5" s="121"/>
      <c r="G5" s="127"/>
      <c r="H5" s="5"/>
    </row>
    <row r="6" spans="1:9" x14ac:dyDescent="0.2">
      <c r="A6" s="129" t="s">
        <v>3</v>
      </c>
      <c r="B6" s="121"/>
      <c r="C6" s="130" t="str">
        <f>'Stavební rozpočet'!C6</f>
        <v xml:space="preserve"> </v>
      </c>
      <c r="D6" s="133" t="s">
        <v>2849</v>
      </c>
      <c r="E6" s="133" t="s">
        <v>6</v>
      </c>
      <c r="F6" s="130" t="s">
        <v>2872</v>
      </c>
      <c r="G6" s="131" t="str">
        <f>'Stavební rozpočet'!J6</f>
        <v> </v>
      </c>
      <c r="H6" s="5"/>
    </row>
    <row r="7" spans="1:9" x14ac:dyDescent="0.2">
      <c r="A7" s="120"/>
      <c r="B7" s="121"/>
      <c r="C7" s="121"/>
      <c r="D7" s="121"/>
      <c r="E7" s="121"/>
      <c r="F7" s="121"/>
      <c r="G7" s="127"/>
      <c r="H7" s="5"/>
    </row>
    <row r="8" spans="1:9" x14ac:dyDescent="0.2">
      <c r="A8" s="129" t="s">
        <v>2873</v>
      </c>
      <c r="B8" s="121"/>
      <c r="C8" s="130" t="str">
        <f>'Stavební rozpočet'!J8</f>
        <v> </v>
      </c>
      <c r="D8" s="133" t="s">
        <v>2850</v>
      </c>
      <c r="E8" s="133"/>
      <c r="F8" s="133" t="s">
        <v>2850</v>
      </c>
      <c r="G8" s="131"/>
      <c r="H8" s="5"/>
    </row>
    <row r="9" spans="1:9" ht="13.5" thickBot="1" x14ac:dyDescent="0.25">
      <c r="A9" s="120"/>
      <c r="B9" s="121"/>
      <c r="C9" s="121"/>
      <c r="D9" s="121"/>
      <c r="E9" s="121"/>
      <c r="F9" s="121"/>
      <c r="G9" s="127"/>
      <c r="H9" s="5"/>
    </row>
    <row r="10" spans="1:9" ht="13.5" thickBot="1" x14ac:dyDescent="0.25">
      <c r="A10" s="43" t="s">
        <v>2982</v>
      </c>
      <c r="B10" s="45" t="s">
        <v>958</v>
      </c>
      <c r="C10" s="46" t="s">
        <v>2983</v>
      </c>
      <c r="D10" s="104"/>
      <c r="E10" s="47" t="s">
        <v>2984</v>
      </c>
      <c r="F10" s="47" t="s">
        <v>2985</v>
      </c>
      <c r="G10" s="105" t="s">
        <v>2986</v>
      </c>
      <c r="H10" s="103"/>
    </row>
    <row r="11" spans="1:9" x14ac:dyDescent="0.2">
      <c r="A11" s="106" t="s">
        <v>2894</v>
      </c>
      <c r="B11" s="107"/>
      <c r="C11" s="158" t="s">
        <v>1857</v>
      </c>
      <c r="D11" s="159"/>
      <c r="E11" s="108">
        <f>'Stavební rozpočet'!J12</f>
        <v>0</v>
      </c>
      <c r="F11" s="108">
        <f>'Stavební rozpočet'!K12</f>
        <v>0</v>
      </c>
      <c r="G11" s="108">
        <f>'Stavební rozpočet'!L12</f>
        <v>0</v>
      </c>
      <c r="H11" s="36" t="s">
        <v>2987</v>
      </c>
      <c r="I11" s="36">
        <f t="shared" ref="I11:I42" si="0">IF(H11="F",0,G11)</f>
        <v>0</v>
      </c>
    </row>
    <row r="12" spans="1:9" x14ac:dyDescent="0.2">
      <c r="A12" s="44" t="s">
        <v>2894</v>
      </c>
      <c r="B12" s="17" t="s">
        <v>17</v>
      </c>
      <c r="C12" s="133" t="s">
        <v>1858</v>
      </c>
      <c r="D12" s="121"/>
      <c r="E12" s="36">
        <f>'Stavební rozpočet'!J13</f>
        <v>0</v>
      </c>
      <c r="F12" s="36">
        <f>'Stavební rozpočet'!K13</f>
        <v>0</v>
      </c>
      <c r="G12" s="36">
        <f>'Stavební rozpočet'!L13</f>
        <v>0</v>
      </c>
      <c r="H12" s="36" t="s">
        <v>2988</v>
      </c>
      <c r="I12" s="36">
        <f t="shared" si="0"/>
        <v>0</v>
      </c>
    </row>
    <row r="13" spans="1:9" x14ac:dyDescent="0.2">
      <c r="A13" s="44" t="s">
        <v>2894</v>
      </c>
      <c r="B13" s="17" t="s">
        <v>18</v>
      </c>
      <c r="C13" s="133" t="s">
        <v>1860</v>
      </c>
      <c r="D13" s="121"/>
      <c r="E13" s="36">
        <f>'Stavební rozpočet'!J15</f>
        <v>0</v>
      </c>
      <c r="F13" s="36">
        <f>'Stavební rozpočet'!K15</f>
        <v>0</v>
      </c>
      <c r="G13" s="36">
        <f>'Stavební rozpočet'!L15</f>
        <v>0</v>
      </c>
      <c r="H13" s="36" t="s">
        <v>2988</v>
      </c>
      <c r="I13" s="36">
        <f t="shared" si="0"/>
        <v>0</v>
      </c>
    </row>
    <row r="14" spans="1:9" x14ac:dyDescent="0.2">
      <c r="A14" s="44" t="s">
        <v>2894</v>
      </c>
      <c r="B14" s="17" t="s">
        <v>19</v>
      </c>
      <c r="C14" s="133" t="s">
        <v>1862</v>
      </c>
      <c r="D14" s="121"/>
      <c r="E14" s="36">
        <f>'Stavební rozpočet'!J17</f>
        <v>0</v>
      </c>
      <c r="F14" s="36">
        <f>'Stavební rozpočet'!K17</f>
        <v>0</v>
      </c>
      <c r="G14" s="36">
        <f>'Stavební rozpočet'!L17</f>
        <v>0</v>
      </c>
      <c r="H14" s="36" t="s">
        <v>2988</v>
      </c>
      <c r="I14" s="36">
        <f t="shared" si="0"/>
        <v>0</v>
      </c>
    </row>
    <row r="15" spans="1:9" x14ac:dyDescent="0.2">
      <c r="A15" s="44" t="s">
        <v>2894</v>
      </c>
      <c r="B15" s="17" t="s">
        <v>22</v>
      </c>
      <c r="C15" s="133" t="s">
        <v>1870</v>
      </c>
      <c r="D15" s="121"/>
      <c r="E15" s="36">
        <f>'Stavební rozpočet'!J25</f>
        <v>0</v>
      </c>
      <c r="F15" s="36">
        <f>'Stavební rozpočet'!K25</f>
        <v>0</v>
      </c>
      <c r="G15" s="36">
        <f>'Stavební rozpočet'!L25</f>
        <v>0</v>
      </c>
      <c r="H15" s="36" t="s">
        <v>2988</v>
      </c>
      <c r="I15" s="36">
        <f t="shared" si="0"/>
        <v>0</v>
      </c>
    </row>
    <row r="16" spans="1:9" x14ac:dyDescent="0.2">
      <c r="A16" s="44" t="s">
        <v>2894</v>
      </c>
      <c r="B16" s="17" t="s">
        <v>23</v>
      </c>
      <c r="C16" s="133" t="s">
        <v>1876</v>
      </c>
      <c r="D16" s="121"/>
      <c r="E16" s="36">
        <f>'Stavební rozpočet'!J31</f>
        <v>0</v>
      </c>
      <c r="F16" s="36">
        <f>'Stavební rozpočet'!K31</f>
        <v>0</v>
      </c>
      <c r="G16" s="36">
        <f>'Stavební rozpočet'!L31</f>
        <v>0</v>
      </c>
      <c r="H16" s="36" t="s">
        <v>2988</v>
      </c>
      <c r="I16" s="36">
        <f t="shared" si="0"/>
        <v>0</v>
      </c>
    </row>
    <row r="17" spans="1:9" x14ac:dyDescent="0.2">
      <c r="A17" s="44" t="s">
        <v>2894</v>
      </c>
      <c r="B17" s="17" t="s">
        <v>24</v>
      </c>
      <c r="C17" s="133" t="s">
        <v>1882</v>
      </c>
      <c r="D17" s="121"/>
      <c r="E17" s="36">
        <f>'Stavební rozpočet'!J37</f>
        <v>0</v>
      </c>
      <c r="F17" s="36">
        <f>'Stavební rozpočet'!K37</f>
        <v>0</v>
      </c>
      <c r="G17" s="36">
        <f>'Stavební rozpočet'!L37</f>
        <v>0</v>
      </c>
      <c r="H17" s="36" t="s">
        <v>2988</v>
      </c>
      <c r="I17" s="36">
        <f t="shared" si="0"/>
        <v>0</v>
      </c>
    </row>
    <row r="18" spans="1:9" x14ac:dyDescent="0.2">
      <c r="A18" s="44" t="s">
        <v>2894</v>
      </c>
      <c r="B18" s="17" t="s">
        <v>27</v>
      </c>
      <c r="C18" s="133" t="s">
        <v>1886</v>
      </c>
      <c r="D18" s="121"/>
      <c r="E18" s="36">
        <f>'Stavební rozpočet'!J41</f>
        <v>0</v>
      </c>
      <c r="F18" s="36">
        <f>'Stavební rozpočet'!K41</f>
        <v>0</v>
      </c>
      <c r="G18" s="36">
        <f>'Stavební rozpočet'!L41</f>
        <v>0</v>
      </c>
      <c r="H18" s="36" t="s">
        <v>2988</v>
      </c>
      <c r="I18" s="36">
        <f t="shared" si="0"/>
        <v>0</v>
      </c>
    </row>
    <row r="19" spans="1:9" x14ac:dyDescent="0.2">
      <c r="A19" s="44" t="s">
        <v>2894</v>
      </c>
      <c r="B19" s="17" t="s">
        <v>33</v>
      </c>
      <c r="C19" s="133" t="s">
        <v>1888</v>
      </c>
      <c r="D19" s="121"/>
      <c r="E19" s="36">
        <f>'Stavební rozpočet'!J43</f>
        <v>0</v>
      </c>
      <c r="F19" s="36">
        <f>'Stavební rozpočet'!K43</f>
        <v>0</v>
      </c>
      <c r="G19" s="36">
        <f>'Stavební rozpočet'!L43</f>
        <v>0</v>
      </c>
      <c r="H19" s="36" t="s">
        <v>2988</v>
      </c>
      <c r="I19" s="36">
        <f t="shared" si="0"/>
        <v>0</v>
      </c>
    </row>
    <row r="20" spans="1:9" x14ac:dyDescent="0.2">
      <c r="A20" s="44" t="s">
        <v>2894</v>
      </c>
      <c r="B20" s="17" t="s">
        <v>37</v>
      </c>
      <c r="C20" s="133" t="s">
        <v>1907</v>
      </c>
      <c r="D20" s="121"/>
      <c r="E20" s="36">
        <f>'Stavební rozpočet'!J62</f>
        <v>0</v>
      </c>
      <c r="F20" s="36">
        <f>'Stavební rozpočet'!K62</f>
        <v>0</v>
      </c>
      <c r="G20" s="36">
        <f>'Stavební rozpočet'!L62</f>
        <v>0</v>
      </c>
      <c r="H20" s="36" t="s">
        <v>2988</v>
      </c>
      <c r="I20" s="36">
        <f t="shared" si="0"/>
        <v>0</v>
      </c>
    </row>
    <row r="21" spans="1:9" x14ac:dyDescent="0.2">
      <c r="A21" s="44" t="s">
        <v>2894</v>
      </c>
      <c r="B21" s="17" t="s">
        <v>38</v>
      </c>
      <c r="C21" s="133" t="s">
        <v>1922</v>
      </c>
      <c r="D21" s="121"/>
      <c r="E21" s="36">
        <f>'Stavební rozpočet'!J77</f>
        <v>0</v>
      </c>
      <c r="F21" s="36">
        <f>'Stavební rozpočet'!K77</f>
        <v>0</v>
      </c>
      <c r="G21" s="36">
        <f>'Stavební rozpočet'!L77</f>
        <v>0</v>
      </c>
      <c r="H21" s="36" t="s">
        <v>2988</v>
      </c>
      <c r="I21" s="36">
        <f t="shared" si="0"/>
        <v>0</v>
      </c>
    </row>
    <row r="22" spans="1:9" x14ac:dyDescent="0.2">
      <c r="A22" s="44" t="s">
        <v>2894</v>
      </c>
      <c r="B22" s="17" t="s">
        <v>40</v>
      </c>
      <c r="C22" s="133" t="s">
        <v>1924</v>
      </c>
      <c r="D22" s="121"/>
      <c r="E22" s="36">
        <f>'Stavební rozpočet'!J79</f>
        <v>0</v>
      </c>
      <c r="F22" s="36">
        <f>'Stavební rozpočet'!K79</f>
        <v>0</v>
      </c>
      <c r="G22" s="36">
        <f>'Stavební rozpočet'!L79</f>
        <v>0</v>
      </c>
      <c r="H22" s="36" t="s">
        <v>2988</v>
      </c>
      <c r="I22" s="36">
        <f t="shared" si="0"/>
        <v>0</v>
      </c>
    </row>
    <row r="23" spans="1:9" x14ac:dyDescent="0.2">
      <c r="A23" s="44" t="s">
        <v>2894</v>
      </c>
      <c r="B23" s="17" t="s">
        <v>47</v>
      </c>
      <c r="C23" s="133" t="s">
        <v>1930</v>
      </c>
      <c r="D23" s="121"/>
      <c r="E23" s="36">
        <f>'Stavební rozpočet'!J85</f>
        <v>0</v>
      </c>
      <c r="F23" s="36">
        <f>'Stavební rozpočet'!K85</f>
        <v>0</v>
      </c>
      <c r="G23" s="36">
        <f>'Stavební rozpočet'!L85</f>
        <v>0</v>
      </c>
      <c r="H23" s="36" t="s">
        <v>2988</v>
      </c>
      <c r="I23" s="36">
        <f t="shared" si="0"/>
        <v>0</v>
      </c>
    </row>
    <row r="24" spans="1:9" x14ac:dyDescent="0.2">
      <c r="A24" s="44" t="s">
        <v>2894</v>
      </c>
      <c r="B24" s="17" t="s">
        <v>49</v>
      </c>
      <c r="C24" s="133" t="s">
        <v>1949</v>
      </c>
      <c r="D24" s="121"/>
      <c r="E24" s="36">
        <f>'Stavební rozpočet'!J104</f>
        <v>0</v>
      </c>
      <c r="F24" s="36">
        <f>'Stavební rozpočet'!K104</f>
        <v>0</v>
      </c>
      <c r="G24" s="36">
        <f>'Stavební rozpočet'!L104</f>
        <v>0</v>
      </c>
      <c r="H24" s="36" t="s">
        <v>2988</v>
      </c>
      <c r="I24" s="36">
        <f t="shared" si="0"/>
        <v>0</v>
      </c>
    </row>
    <row r="25" spans="1:9" x14ac:dyDescent="0.2">
      <c r="A25" s="44" t="s">
        <v>2894</v>
      </c>
      <c r="B25" s="17" t="s">
        <v>62</v>
      </c>
      <c r="C25" s="133" t="s">
        <v>1951</v>
      </c>
      <c r="D25" s="121"/>
      <c r="E25" s="36">
        <f>'Stavební rozpočet'!J106</f>
        <v>0</v>
      </c>
      <c r="F25" s="36">
        <f>'Stavební rozpočet'!K106</f>
        <v>0</v>
      </c>
      <c r="G25" s="36">
        <f>'Stavební rozpočet'!L106</f>
        <v>0</v>
      </c>
      <c r="H25" s="36" t="s">
        <v>2988</v>
      </c>
      <c r="I25" s="36">
        <f t="shared" si="0"/>
        <v>0</v>
      </c>
    </row>
    <row r="26" spans="1:9" x14ac:dyDescent="0.2">
      <c r="A26" s="44" t="s">
        <v>2894</v>
      </c>
      <c r="B26" s="17" t="s">
        <v>65</v>
      </c>
      <c r="C26" s="133" t="s">
        <v>1953</v>
      </c>
      <c r="D26" s="121"/>
      <c r="E26" s="36">
        <f>'Stavební rozpočet'!J108</f>
        <v>0</v>
      </c>
      <c r="F26" s="36">
        <f>'Stavební rozpočet'!K108</f>
        <v>0</v>
      </c>
      <c r="G26" s="36">
        <f>'Stavební rozpočet'!L108</f>
        <v>0</v>
      </c>
      <c r="H26" s="36" t="s">
        <v>2988</v>
      </c>
      <c r="I26" s="36">
        <f t="shared" si="0"/>
        <v>0</v>
      </c>
    </row>
    <row r="27" spans="1:9" x14ac:dyDescent="0.2">
      <c r="A27" s="44" t="s">
        <v>2894</v>
      </c>
      <c r="B27" s="17" t="s">
        <v>67</v>
      </c>
      <c r="C27" s="133" t="s">
        <v>1955</v>
      </c>
      <c r="D27" s="121"/>
      <c r="E27" s="36">
        <f>'Stavební rozpočet'!J110</f>
        <v>0</v>
      </c>
      <c r="F27" s="36">
        <f>'Stavební rozpočet'!K110</f>
        <v>0</v>
      </c>
      <c r="G27" s="36">
        <f>'Stavební rozpočet'!L110</f>
        <v>0</v>
      </c>
      <c r="H27" s="36" t="s">
        <v>2988</v>
      </c>
      <c r="I27" s="36">
        <f t="shared" si="0"/>
        <v>0</v>
      </c>
    </row>
    <row r="28" spans="1:9" x14ac:dyDescent="0.2">
      <c r="A28" s="44" t="s">
        <v>2894</v>
      </c>
      <c r="B28" s="17" t="s">
        <v>68</v>
      </c>
      <c r="C28" s="133" t="s">
        <v>1969</v>
      </c>
      <c r="D28" s="121"/>
      <c r="E28" s="36">
        <f>'Stavební rozpočet'!J124</f>
        <v>0</v>
      </c>
      <c r="F28" s="36">
        <f>'Stavební rozpočet'!K124</f>
        <v>0</v>
      </c>
      <c r="G28" s="36">
        <f>'Stavební rozpočet'!L124</f>
        <v>0</v>
      </c>
      <c r="H28" s="36" t="s">
        <v>2988</v>
      </c>
      <c r="I28" s="36">
        <f t="shared" si="0"/>
        <v>0</v>
      </c>
    </row>
    <row r="29" spans="1:9" x14ac:dyDescent="0.2">
      <c r="A29" s="44" t="s">
        <v>2894</v>
      </c>
      <c r="B29" s="17" t="s">
        <v>69</v>
      </c>
      <c r="C29" s="133" t="s">
        <v>1985</v>
      </c>
      <c r="D29" s="121"/>
      <c r="E29" s="36">
        <f>'Stavební rozpočet'!J140</f>
        <v>0</v>
      </c>
      <c r="F29" s="36">
        <f>'Stavební rozpočet'!K140</f>
        <v>0</v>
      </c>
      <c r="G29" s="36">
        <f>'Stavební rozpočet'!L140</f>
        <v>0</v>
      </c>
      <c r="H29" s="36" t="s">
        <v>2988</v>
      </c>
      <c r="I29" s="36">
        <f t="shared" si="0"/>
        <v>0</v>
      </c>
    </row>
    <row r="30" spans="1:9" x14ac:dyDescent="0.2">
      <c r="A30" s="44" t="s">
        <v>2894</v>
      </c>
      <c r="B30" s="17" t="s">
        <v>96</v>
      </c>
      <c r="C30" s="133" t="s">
        <v>1991</v>
      </c>
      <c r="D30" s="121"/>
      <c r="E30" s="36">
        <f>'Stavební rozpočet'!J146</f>
        <v>0</v>
      </c>
      <c r="F30" s="36">
        <f>'Stavební rozpočet'!K146</f>
        <v>0</v>
      </c>
      <c r="G30" s="36">
        <f>'Stavební rozpočet'!L146</f>
        <v>0</v>
      </c>
      <c r="H30" s="36" t="s">
        <v>2988</v>
      </c>
      <c r="I30" s="36">
        <f t="shared" si="0"/>
        <v>0</v>
      </c>
    </row>
    <row r="31" spans="1:9" x14ac:dyDescent="0.2">
      <c r="A31" s="44" t="s">
        <v>2894</v>
      </c>
      <c r="B31" s="17" t="s">
        <v>97</v>
      </c>
      <c r="C31" s="133" t="s">
        <v>1993</v>
      </c>
      <c r="D31" s="121"/>
      <c r="E31" s="36">
        <f>'Stavební rozpočet'!J148</f>
        <v>0</v>
      </c>
      <c r="F31" s="36">
        <f>'Stavební rozpočet'!K148</f>
        <v>0</v>
      </c>
      <c r="G31" s="36">
        <f>'Stavební rozpočet'!L148</f>
        <v>0</v>
      </c>
      <c r="H31" s="36" t="s">
        <v>2988</v>
      </c>
      <c r="I31" s="36">
        <f t="shared" si="0"/>
        <v>0</v>
      </c>
    </row>
    <row r="32" spans="1:9" x14ac:dyDescent="0.2">
      <c r="A32" s="44" t="s">
        <v>2894</v>
      </c>
      <c r="B32" s="17" t="s">
        <v>100</v>
      </c>
      <c r="C32" s="133" t="s">
        <v>1999</v>
      </c>
      <c r="D32" s="121"/>
      <c r="E32" s="36">
        <f>'Stavební rozpočet'!J154</f>
        <v>0</v>
      </c>
      <c r="F32" s="36">
        <f>'Stavební rozpočet'!K154</f>
        <v>0</v>
      </c>
      <c r="G32" s="36">
        <f>'Stavební rozpočet'!L154</f>
        <v>0</v>
      </c>
      <c r="H32" s="36" t="s">
        <v>2988</v>
      </c>
      <c r="I32" s="36">
        <f t="shared" si="0"/>
        <v>0</v>
      </c>
    </row>
    <row r="33" spans="1:9" x14ac:dyDescent="0.2">
      <c r="A33" s="44" t="s">
        <v>2894</v>
      </c>
      <c r="B33" s="17" t="s">
        <v>101</v>
      </c>
      <c r="C33" s="133" t="s">
        <v>2008</v>
      </c>
      <c r="D33" s="121"/>
      <c r="E33" s="36">
        <f>'Stavební rozpočet'!J163</f>
        <v>0</v>
      </c>
      <c r="F33" s="36">
        <f>'Stavební rozpočet'!K163</f>
        <v>0</v>
      </c>
      <c r="G33" s="36">
        <f>'Stavební rozpočet'!L163</f>
        <v>0</v>
      </c>
      <c r="H33" s="36" t="s">
        <v>2988</v>
      </c>
      <c r="I33" s="36">
        <f t="shared" si="0"/>
        <v>0</v>
      </c>
    </row>
    <row r="34" spans="1:9" x14ac:dyDescent="0.2">
      <c r="A34" s="44" t="s">
        <v>2894</v>
      </c>
      <c r="B34" s="17" t="s">
        <v>1074</v>
      </c>
      <c r="C34" s="133" t="s">
        <v>2011</v>
      </c>
      <c r="D34" s="121"/>
      <c r="E34" s="36">
        <f>'Stavební rozpočet'!J166</f>
        <v>0</v>
      </c>
      <c r="F34" s="36">
        <f>'Stavební rozpočet'!K166</f>
        <v>0</v>
      </c>
      <c r="G34" s="36">
        <f>'Stavební rozpočet'!L166</f>
        <v>0</v>
      </c>
      <c r="H34" s="36" t="s">
        <v>2988</v>
      </c>
      <c r="I34" s="36">
        <f t="shared" si="0"/>
        <v>0</v>
      </c>
    </row>
    <row r="35" spans="1:9" x14ac:dyDescent="0.2">
      <c r="A35" s="44" t="s">
        <v>2894</v>
      </c>
      <c r="B35" s="17" t="s">
        <v>717</v>
      </c>
      <c r="C35" s="133" t="s">
        <v>2013</v>
      </c>
      <c r="D35" s="121"/>
      <c r="E35" s="36">
        <f>'Stavební rozpočet'!J168</f>
        <v>0</v>
      </c>
      <c r="F35" s="36">
        <f>'Stavební rozpočet'!K168</f>
        <v>0</v>
      </c>
      <c r="G35" s="36">
        <f>'Stavební rozpočet'!L168</f>
        <v>0</v>
      </c>
      <c r="H35" s="36" t="s">
        <v>2988</v>
      </c>
      <c r="I35" s="36">
        <f t="shared" si="0"/>
        <v>0</v>
      </c>
    </row>
    <row r="36" spans="1:9" x14ac:dyDescent="0.2">
      <c r="A36" s="44" t="s">
        <v>2894</v>
      </c>
      <c r="B36" s="17" t="s">
        <v>718</v>
      </c>
      <c r="C36" s="133" t="s">
        <v>2023</v>
      </c>
      <c r="D36" s="121"/>
      <c r="E36" s="36">
        <f>'Stavební rozpočet'!J180</f>
        <v>0</v>
      </c>
      <c r="F36" s="36">
        <f>'Stavební rozpočet'!K180</f>
        <v>0</v>
      </c>
      <c r="G36" s="36">
        <f>'Stavební rozpočet'!L180</f>
        <v>0</v>
      </c>
      <c r="H36" s="36" t="s">
        <v>2988</v>
      </c>
      <c r="I36" s="36">
        <f t="shared" si="0"/>
        <v>0</v>
      </c>
    </row>
    <row r="37" spans="1:9" x14ac:dyDescent="0.2">
      <c r="A37" s="44" t="s">
        <v>2894</v>
      </c>
      <c r="B37" s="17" t="s">
        <v>719</v>
      </c>
      <c r="C37" s="133" t="s">
        <v>2029</v>
      </c>
      <c r="D37" s="121"/>
      <c r="E37" s="36">
        <f>'Stavební rozpočet'!J188</f>
        <v>0</v>
      </c>
      <c r="F37" s="36">
        <f>'Stavební rozpočet'!K188</f>
        <v>0</v>
      </c>
      <c r="G37" s="36">
        <f>'Stavební rozpočet'!L188</f>
        <v>0</v>
      </c>
      <c r="H37" s="36" t="s">
        <v>2988</v>
      </c>
      <c r="I37" s="36">
        <f t="shared" si="0"/>
        <v>0</v>
      </c>
    </row>
    <row r="38" spans="1:9" x14ac:dyDescent="0.2">
      <c r="A38" s="44" t="s">
        <v>2894</v>
      </c>
      <c r="B38" s="17" t="s">
        <v>727</v>
      </c>
      <c r="C38" s="133" t="s">
        <v>2053</v>
      </c>
      <c r="D38" s="121"/>
      <c r="E38" s="36">
        <f>'Stavební rozpočet'!J214</f>
        <v>0</v>
      </c>
      <c r="F38" s="36">
        <f>'Stavební rozpočet'!K214</f>
        <v>0</v>
      </c>
      <c r="G38" s="36">
        <f>'Stavební rozpočet'!L214</f>
        <v>0</v>
      </c>
      <c r="H38" s="36" t="s">
        <v>2988</v>
      </c>
      <c r="I38" s="36">
        <f t="shared" si="0"/>
        <v>0</v>
      </c>
    </row>
    <row r="39" spans="1:9" x14ac:dyDescent="0.2">
      <c r="A39" s="44" t="s">
        <v>2894</v>
      </c>
      <c r="B39" s="17" t="s">
        <v>728</v>
      </c>
      <c r="C39" s="133" t="s">
        <v>2124</v>
      </c>
      <c r="D39" s="121"/>
      <c r="E39" s="36">
        <f>'Stavební rozpočet'!J289</f>
        <v>0</v>
      </c>
      <c r="F39" s="36">
        <f>'Stavební rozpočet'!K289</f>
        <v>0</v>
      </c>
      <c r="G39" s="36">
        <f>'Stavební rozpočet'!L289</f>
        <v>0</v>
      </c>
      <c r="H39" s="36" t="s">
        <v>2988</v>
      </c>
      <c r="I39" s="36">
        <f t="shared" si="0"/>
        <v>0</v>
      </c>
    </row>
    <row r="40" spans="1:9" x14ac:dyDescent="0.2">
      <c r="A40" s="44" t="s">
        <v>2894</v>
      </c>
      <c r="B40" s="17" t="s">
        <v>734</v>
      </c>
      <c r="C40" s="133" t="s">
        <v>2229</v>
      </c>
      <c r="D40" s="121"/>
      <c r="E40" s="36">
        <f>'Stavební rozpočet'!J400</f>
        <v>0</v>
      </c>
      <c r="F40" s="36">
        <f>'Stavební rozpočet'!K400</f>
        <v>0</v>
      </c>
      <c r="G40" s="36">
        <f>'Stavební rozpočet'!L400</f>
        <v>0</v>
      </c>
      <c r="H40" s="36" t="s">
        <v>2988</v>
      </c>
      <c r="I40" s="36">
        <f t="shared" si="0"/>
        <v>0</v>
      </c>
    </row>
    <row r="41" spans="1:9" x14ac:dyDescent="0.2">
      <c r="A41" s="44" t="s">
        <v>2894</v>
      </c>
      <c r="B41" s="17" t="s">
        <v>736</v>
      </c>
      <c r="C41" s="133" t="s">
        <v>2278</v>
      </c>
      <c r="D41" s="121"/>
      <c r="E41" s="36">
        <f>'Stavební rozpočet'!J460</f>
        <v>0</v>
      </c>
      <c r="F41" s="36">
        <f>'Stavební rozpočet'!K460</f>
        <v>0</v>
      </c>
      <c r="G41" s="36">
        <f>'Stavební rozpočet'!L460</f>
        <v>0</v>
      </c>
      <c r="H41" s="36" t="s">
        <v>2988</v>
      </c>
      <c r="I41" s="36">
        <f t="shared" si="0"/>
        <v>0</v>
      </c>
    </row>
    <row r="42" spans="1:9" x14ac:dyDescent="0.2">
      <c r="A42" s="44" t="s">
        <v>2894</v>
      </c>
      <c r="B42" s="17" t="s">
        <v>770</v>
      </c>
      <c r="C42" s="133" t="s">
        <v>2338</v>
      </c>
      <c r="D42" s="121"/>
      <c r="E42" s="36">
        <f>'Stavební rozpočet'!J525</f>
        <v>0</v>
      </c>
      <c r="F42" s="36">
        <f>'Stavební rozpočet'!K525</f>
        <v>0</v>
      </c>
      <c r="G42" s="36">
        <f>'Stavební rozpočet'!L525</f>
        <v>0</v>
      </c>
      <c r="H42" s="36" t="s">
        <v>2988</v>
      </c>
      <c r="I42" s="36">
        <f t="shared" si="0"/>
        <v>0</v>
      </c>
    </row>
    <row r="43" spans="1:9" x14ac:dyDescent="0.2">
      <c r="A43" s="44" t="s">
        <v>2894</v>
      </c>
      <c r="B43" s="17" t="s">
        <v>772</v>
      </c>
      <c r="C43" s="133" t="s">
        <v>2342</v>
      </c>
      <c r="D43" s="121"/>
      <c r="E43" s="36">
        <f>'Stavební rozpočet'!J529</f>
        <v>0</v>
      </c>
      <c r="F43" s="36">
        <f>'Stavební rozpočet'!K529</f>
        <v>0</v>
      </c>
      <c r="G43" s="36">
        <f>'Stavební rozpočet'!L529</f>
        <v>0</v>
      </c>
      <c r="H43" s="36" t="s">
        <v>2988</v>
      </c>
      <c r="I43" s="36">
        <f t="shared" ref="I43:I70" si="1">IF(H43="F",0,G43)</f>
        <v>0</v>
      </c>
    </row>
    <row r="44" spans="1:9" x14ac:dyDescent="0.2">
      <c r="A44" s="44" t="s">
        <v>2894</v>
      </c>
      <c r="B44" s="17" t="s">
        <v>773</v>
      </c>
      <c r="C44" s="133" t="s">
        <v>2371</v>
      </c>
      <c r="D44" s="121"/>
      <c r="E44" s="36">
        <f>'Stavební rozpočet'!J558</f>
        <v>0</v>
      </c>
      <c r="F44" s="36">
        <f>'Stavební rozpočet'!K558</f>
        <v>0</v>
      </c>
      <c r="G44" s="36">
        <f>'Stavební rozpočet'!L558</f>
        <v>0</v>
      </c>
      <c r="H44" s="36" t="s">
        <v>2988</v>
      </c>
      <c r="I44" s="36">
        <f t="shared" si="1"/>
        <v>0</v>
      </c>
    </row>
    <row r="45" spans="1:9" x14ac:dyDescent="0.2">
      <c r="A45" s="44" t="s">
        <v>2894</v>
      </c>
      <c r="B45" s="17" t="s">
        <v>777</v>
      </c>
      <c r="C45" s="133" t="s">
        <v>2390</v>
      </c>
      <c r="D45" s="121"/>
      <c r="E45" s="36">
        <f>'Stavební rozpočet'!J577</f>
        <v>0</v>
      </c>
      <c r="F45" s="36">
        <f>'Stavební rozpočet'!K577</f>
        <v>0</v>
      </c>
      <c r="G45" s="36">
        <f>'Stavební rozpočet'!L577</f>
        <v>0</v>
      </c>
      <c r="H45" s="36" t="s">
        <v>2988</v>
      </c>
      <c r="I45" s="36">
        <f t="shared" si="1"/>
        <v>0</v>
      </c>
    </row>
    <row r="46" spans="1:9" x14ac:dyDescent="0.2">
      <c r="A46" s="44" t="s">
        <v>2894</v>
      </c>
      <c r="B46" s="17" t="s">
        <v>782</v>
      </c>
      <c r="C46" s="133" t="s">
        <v>2402</v>
      </c>
      <c r="D46" s="121"/>
      <c r="E46" s="36">
        <f>'Stavební rozpočet'!J590</f>
        <v>0</v>
      </c>
      <c r="F46" s="36">
        <f>'Stavební rozpočet'!K590</f>
        <v>0</v>
      </c>
      <c r="G46" s="36">
        <f>'Stavební rozpočet'!L590</f>
        <v>0</v>
      </c>
      <c r="H46" s="36" t="s">
        <v>2988</v>
      </c>
      <c r="I46" s="36">
        <f t="shared" si="1"/>
        <v>0</v>
      </c>
    </row>
    <row r="47" spans="1:9" x14ac:dyDescent="0.2">
      <c r="A47" s="44" t="s">
        <v>2894</v>
      </c>
      <c r="B47" s="17" t="s">
        <v>787</v>
      </c>
      <c r="C47" s="133" t="s">
        <v>2410</v>
      </c>
      <c r="D47" s="121"/>
      <c r="E47" s="36">
        <f>'Stavební rozpočet'!J598</f>
        <v>0</v>
      </c>
      <c r="F47" s="36">
        <f>'Stavební rozpočet'!K598</f>
        <v>0</v>
      </c>
      <c r="G47" s="36">
        <f>'Stavební rozpočet'!L598</f>
        <v>0</v>
      </c>
      <c r="H47" s="36" t="s">
        <v>2988</v>
      </c>
      <c r="I47" s="36">
        <f t="shared" si="1"/>
        <v>0</v>
      </c>
    </row>
    <row r="48" spans="1:9" x14ac:dyDescent="0.2">
      <c r="A48" s="44" t="s">
        <v>2894</v>
      </c>
      <c r="B48" s="17" t="s">
        <v>790</v>
      </c>
      <c r="C48" s="133" t="s">
        <v>2431</v>
      </c>
      <c r="D48" s="121"/>
      <c r="E48" s="36">
        <f>'Stavební rozpočet'!J621</f>
        <v>0</v>
      </c>
      <c r="F48" s="36">
        <f>'Stavební rozpočet'!K621</f>
        <v>0</v>
      </c>
      <c r="G48" s="36">
        <f>'Stavební rozpočet'!L621</f>
        <v>0</v>
      </c>
      <c r="H48" s="36" t="s">
        <v>2988</v>
      </c>
      <c r="I48" s="36">
        <f t="shared" si="1"/>
        <v>0</v>
      </c>
    </row>
    <row r="49" spans="1:9" x14ac:dyDescent="0.2">
      <c r="A49" s="44" t="s">
        <v>2894</v>
      </c>
      <c r="B49" s="17" t="s">
        <v>792</v>
      </c>
      <c r="C49" s="133" t="s">
        <v>2437</v>
      </c>
      <c r="D49" s="121"/>
      <c r="E49" s="36">
        <f>'Stavební rozpočet'!J627</f>
        <v>0</v>
      </c>
      <c r="F49" s="36">
        <f>'Stavební rozpočet'!K627</f>
        <v>0</v>
      </c>
      <c r="G49" s="36">
        <f>'Stavební rozpočet'!L627</f>
        <v>0</v>
      </c>
      <c r="H49" s="36" t="s">
        <v>2988</v>
      </c>
      <c r="I49" s="36">
        <f t="shared" si="1"/>
        <v>0</v>
      </c>
    </row>
    <row r="50" spans="1:9" x14ac:dyDescent="0.2">
      <c r="A50" s="44" t="s">
        <v>2894</v>
      </c>
      <c r="B50" s="17" t="s">
        <v>797</v>
      </c>
      <c r="C50" s="133" t="s">
        <v>2440</v>
      </c>
      <c r="D50" s="121"/>
      <c r="E50" s="36">
        <f>'Stavební rozpočet'!J630</f>
        <v>0</v>
      </c>
      <c r="F50" s="36">
        <f>'Stavební rozpočet'!K630</f>
        <v>0</v>
      </c>
      <c r="G50" s="36">
        <f>'Stavební rozpočet'!L630</f>
        <v>0</v>
      </c>
      <c r="H50" s="36" t="s">
        <v>2988</v>
      </c>
      <c r="I50" s="36">
        <f t="shared" si="1"/>
        <v>0</v>
      </c>
    </row>
    <row r="51" spans="1:9" x14ac:dyDescent="0.2">
      <c r="A51" s="44" t="s">
        <v>2894</v>
      </c>
      <c r="B51" s="17" t="s">
        <v>1448</v>
      </c>
      <c r="C51" s="133" t="s">
        <v>2452</v>
      </c>
      <c r="D51" s="121"/>
      <c r="E51" s="36">
        <f>'Stavební rozpočet'!J642</f>
        <v>0</v>
      </c>
      <c r="F51" s="36">
        <f>'Stavební rozpočet'!K642</f>
        <v>0</v>
      </c>
      <c r="G51" s="36">
        <f>'Stavební rozpočet'!L642</f>
        <v>0</v>
      </c>
      <c r="H51" s="36" t="s">
        <v>2988</v>
      </c>
      <c r="I51" s="36">
        <f t="shared" si="1"/>
        <v>0</v>
      </c>
    </row>
    <row r="52" spans="1:9" x14ac:dyDescent="0.2">
      <c r="A52" s="106" t="s">
        <v>2895</v>
      </c>
      <c r="B52" s="107"/>
      <c r="C52" s="158" t="s">
        <v>2596</v>
      </c>
      <c r="D52" s="159"/>
      <c r="E52" s="108">
        <f>'Stavební rozpočet'!J815</f>
        <v>0</v>
      </c>
      <c r="F52" s="108">
        <f>'Stavební rozpočet'!K815</f>
        <v>0</v>
      </c>
      <c r="G52" s="108">
        <f>'Stavební rozpočet'!L815</f>
        <v>0</v>
      </c>
      <c r="H52" s="36" t="s">
        <v>2987</v>
      </c>
      <c r="I52" s="36">
        <f t="shared" si="1"/>
        <v>0</v>
      </c>
    </row>
    <row r="53" spans="1:9" x14ac:dyDescent="0.2">
      <c r="A53" s="44" t="s">
        <v>2895</v>
      </c>
      <c r="B53" s="17" t="s">
        <v>17</v>
      </c>
      <c r="C53" s="133" t="s">
        <v>1858</v>
      </c>
      <c r="D53" s="121"/>
      <c r="E53" s="36">
        <f>'Stavební rozpočet'!J816</f>
        <v>0</v>
      </c>
      <c r="F53" s="36">
        <f>'Stavební rozpočet'!K816</f>
        <v>0</v>
      </c>
      <c r="G53" s="36">
        <f>'Stavební rozpočet'!L816</f>
        <v>0</v>
      </c>
      <c r="H53" s="36" t="s">
        <v>2988</v>
      </c>
      <c r="I53" s="36">
        <f t="shared" si="1"/>
        <v>0</v>
      </c>
    </row>
    <row r="54" spans="1:9" x14ac:dyDescent="0.2">
      <c r="A54" s="44" t="s">
        <v>2895</v>
      </c>
      <c r="B54" s="17" t="s">
        <v>19</v>
      </c>
      <c r="C54" s="133" t="s">
        <v>1862</v>
      </c>
      <c r="D54" s="121"/>
      <c r="E54" s="36">
        <f>'Stavební rozpočet'!J829</f>
        <v>0</v>
      </c>
      <c r="F54" s="36">
        <f>'Stavební rozpočet'!K829</f>
        <v>0</v>
      </c>
      <c r="G54" s="36">
        <f>'Stavební rozpočet'!L829</f>
        <v>0</v>
      </c>
      <c r="H54" s="36" t="s">
        <v>2988</v>
      </c>
      <c r="I54" s="36">
        <f t="shared" si="1"/>
        <v>0</v>
      </c>
    </row>
    <row r="55" spans="1:9" x14ac:dyDescent="0.2">
      <c r="A55" s="44" t="s">
        <v>2895</v>
      </c>
      <c r="B55" s="17" t="s">
        <v>22</v>
      </c>
      <c r="C55" s="133" t="s">
        <v>1870</v>
      </c>
      <c r="D55" s="121"/>
      <c r="E55" s="36">
        <f>'Stavební rozpočet'!J832</f>
        <v>0</v>
      </c>
      <c r="F55" s="36">
        <f>'Stavební rozpočet'!K832</f>
        <v>0</v>
      </c>
      <c r="G55" s="36">
        <f>'Stavební rozpočet'!L832</f>
        <v>0</v>
      </c>
      <c r="H55" s="36" t="s">
        <v>2988</v>
      </c>
      <c r="I55" s="36">
        <f t="shared" si="1"/>
        <v>0</v>
      </c>
    </row>
    <row r="56" spans="1:9" x14ac:dyDescent="0.2">
      <c r="A56" s="44" t="s">
        <v>2895</v>
      </c>
      <c r="B56" s="17" t="s">
        <v>23</v>
      </c>
      <c r="C56" s="133" t="s">
        <v>1876</v>
      </c>
      <c r="D56" s="121"/>
      <c r="E56" s="36">
        <f>'Stavební rozpočet'!J837</f>
        <v>0</v>
      </c>
      <c r="F56" s="36">
        <f>'Stavební rozpočet'!K837</f>
        <v>0</v>
      </c>
      <c r="G56" s="36">
        <f>'Stavební rozpočet'!L837</f>
        <v>0</v>
      </c>
      <c r="H56" s="36" t="s">
        <v>2988</v>
      </c>
      <c r="I56" s="36">
        <f t="shared" si="1"/>
        <v>0</v>
      </c>
    </row>
    <row r="57" spans="1:9" x14ac:dyDescent="0.2">
      <c r="A57" s="44" t="s">
        <v>2895</v>
      </c>
      <c r="B57" s="17" t="s">
        <v>24</v>
      </c>
      <c r="C57" s="133" t="s">
        <v>1882</v>
      </c>
      <c r="D57" s="121"/>
      <c r="E57" s="36">
        <f>'Stavební rozpočet'!J840</f>
        <v>0</v>
      </c>
      <c r="F57" s="36">
        <f>'Stavební rozpočet'!K840</f>
        <v>0</v>
      </c>
      <c r="G57" s="36">
        <f>'Stavební rozpočet'!L840</f>
        <v>0</v>
      </c>
      <c r="H57" s="36" t="s">
        <v>2988</v>
      </c>
      <c r="I57" s="36">
        <f t="shared" si="1"/>
        <v>0</v>
      </c>
    </row>
    <row r="58" spans="1:9" x14ac:dyDescent="0.2">
      <c r="A58" s="44" t="s">
        <v>2895</v>
      </c>
      <c r="B58" s="17" t="s">
        <v>100</v>
      </c>
      <c r="C58" s="133" t="s">
        <v>1999</v>
      </c>
      <c r="D58" s="121"/>
      <c r="E58" s="36">
        <f>'Stavební rozpočet'!J844</f>
        <v>0</v>
      </c>
      <c r="F58" s="36">
        <f>'Stavební rozpočet'!K844</f>
        <v>0</v>
      </c>
      <c r="G58" s="36">
        <f>'Stavební rozpočet'!L844</f>
        <v>0</v>
      </c>
      <c r="H58" s="36" t="s">
        <v>2988</v>
      </c>
      <c r="I58" s="36">
        <f t="shared" si="1"/>
        <v>0</v>
      </c>
    </row>
    <row r="59" spans="1:9" x14ac:dyDescent="0.2">
      <c r="A59" s="44" t="s">
        <v>2895</v>
      </c>
      <c r="B59" s="17" t="s">
        <v>102</v>
      </c>
      <c r="C59" s="133" t="s">
        <v>2621</v>
      </c>
      <c r="D59" s="121"/>
      <c r="E59" s="36">
        <f>'Stavební rozpočet'!J846</f>
        <v>0</v>
      </c>
      <c r="F59" s="36">
        <f>'Stavební rozpočet'!K846</f>
        <v>0</v>
      </c>
      <c r="G59" s="36">
        <f>'Stavební rozpočet'!L846</f>
        <v>0</v>
      </c>
      <c r="H59" s="36" t="s">
        <v>2988</v>
      </c>
      <c r="I59" s="36">
        <f t="shared" si="1"/>
        <v>0</v>
      </c>
    </row>
    <row r="60" spans="1:9" x14ac:dyDescent="0.2">
      <c r="A60" s="44" t="s">
        <v>2895</v>
      </c>
      <c r="B60" s="17" t="s">
        <v>1688</v>
      </c>
      <c r="C60" s="133" t="s">
        <v>2693</v>
      </c>
      <c r="D60" s="121"/>
      <c r="E60" s="36">
        <f>'Stavební rozpočet'!J918</f>
        <v>0</v>
      </c>
      <c r="F60" s="36">
        <f>'Stavební rozpočet'!K918</f>
        <v>0</v>
      </c>
      <c r="G60" s="36">
        <f>'Stavební rozpočet'!L918</f>
        <v>0</v>
      </c>
      <c r="H60" s="36" t="s">
        <v>2988</v>
      </c>
      <c r="I60" s="36">
        <f t="shared" si="1"/>
        <v>0</v>
      </c>
    </row>
    <row r="61" spans="1:9" x14ac:dyDescent="0.2">
      <c r="A61" s="106" t="s">
        <v>2896</v>
      </c>
      <c r="B61" s="107"/>
      <c r="C61" s="158" t="s">
        <v>2711</v>
      </c>
      <c r="D61" s="159"/>
      <c r="E61" s="108">
        <f>'Stavební rozpočet'!J936</f>
        <v>0</v>
      </c>
      <c r="F61" s="108">
        <f>'Stavební rozpočet'!K936</f>
        <v>0</v>
      </c>
      <c r="G61" s="108">
        <f>'Stavební rozpočet'!L936</f>
        <v>0</v>
      </c>
      <c r="H61" s="36" t="s">
        <v>2987</v>
      </c>
      <c r="I61" s="36">
        <f t="shared" si="1"/>
        <v>0</v>
      </c>
    </row>
    <row r="62" spans="1:9" x14ac:dyDescent="0.2">
      <c r="A62" s="44" t="s">
        <v>2896</v>
      </c>
      <c r="B62" s="17" t="s">
        <v>1706</v>
      </c>
      <c r="C62" s="133" t="s">
        <v>2452</v>
      </c>
      <c r="D62" s="121"/>
      <c r="E62" s="36">
        <f>'Stavební rozpočet'!J937</f>
        <v>0</v>
      </c>
      <c r="F62" s="36">
        <f>'Stavební rozpočet'!K937</f>
        <v>0</v>
      </c>
      <c r="G62" s="36">
        <f>'Stavební rozpočet'!L937</f>
        <v>0</v>
      </c>
      <c r="H62" s="36" t="s">
        <v>2988</v>
      </c>
      <c r="I62" s="36">
        <f t="shared" si="1"/>
        <v>0</v>
      </c>
    </row>
    <row r="63" spans="1:9" x14ac:dyDescent="0.2">
      <c r="A63" s="106" t="s">
        <v>2897</v>
      </c>
      <c r="B63" s="107"/>
      <c r="C63" s="158" t="s">
        <v>2717</v>
      </c>
      <c r="D63" s="159"/>
      <c r="E63" s="108">
        <f>'Stavební rozpočet'!J944</f>
        <v>0</v>
      </c>
      <c r="F63" s="108">
        <f>'Stavební rozpočet'!K944</f>
        <v>0</v>
      </c>
      <c r="G63" s="108">
        <f>'Stavební rozpočet'!L944</f>
        <v>0</v>
      </c>
      <c r="H63" s="36" t="s">
        <v>2987</v>
      </c>
      <c r="I63" s="36">
        <f t="shared" si="1"/>
        <v>0</v>
      </c>
    </row>
    <row r="64" spans="1:9" x14ac:dyDescent="0.2">
      <c r="A64" s="44" t="s">
        <v>2897</v>
      </c>
      <c r="B64" s="17" t="s">
        <v>14</v>
      </c>
      <c r="C64" s="133" t="s">
        <v>2718</v>
      </c>
      <c r="D64" s="121"/>
      <c r="E64" s="36">
        <f>'Stavební rozpočet'!J945</f>
        <v>0</v>
      </c>
      <c r="F64" s="36">
        <f>'Stavební rozpočet'!K945</f>
        <v>0</v>
      </c>
      <c r="G64" s="36">
        <f>'Stavební rozpočet'!L945</f>
        <v>0</v>
      </c>
      <c r="H64" s="36" t="s">
        <v>2988</v>
      </c>
      <c r="I64" s="36">
        <f t="shared" si="1"/>
        <v>0</v>
      </c>
    </row>
    <row r="65" spans="1:9" x14ac:dyDescent="0.2">
      <c r="A65" s="106" t="s">
        <v>2898</v>
      </c>
      <c r="B65" s="107"/>
      <c r="C65" s="158" t="s">
        <v>2762</v>
      </c>
      <c r="D65" s="159"/>
      <c r="E65" s="108">
        <f>'Stavební rozpočet'!J994</f>
        <v>0</v>
      </c>
      <c r="F65" s="108">
        <f>'Stavební rozpočet'!K994</f>
        <v>0</v>
      </c>
      <c r="G65" s="108">
        <f>'Stavební rozpočet'!L994</f>
        <v>0</v>
      </c>
      <c r="H65" s="36" t="s">
        <v>2987</v>
      </c>
      <c r="I65" s="36">
        <f t="shared" si="1"/>
        <v>0</v>
      </c>
    </row>
    <row r="66" spans="1:9" x14ac:dyDescent="0.2">
      <c r="A66" s="44" t="s">
        <v>2898</v>
      </c>
      <c r="B66" s="17" t="s">
        <v>14</v>
      </c>
      <c r="C66" s="133" t="s">
        <v>2718</v>
      </c>
      <c r="D66" s="121"/>
      <c r="E66" s="36">
        <f>'Stavební rozpočet'!J995</f>
        <v>0</v>
      </c>
      <c r="F66" s="36">
        <f>'Stavební rozpočet'!K995</f>
        <v>0</v>
      </c>
      <c r="G66" s="36">
        <f>'Stavební rozpočet'!L995</f>
        <v>0</v>
      </c>
      <c r="H66" s="36" t="s">
        <v>2988</v>
      </c>
      <c r="I66" s="36">
        <f t="shared" si="1"/>
        <v>0</v>
      </c>
    </row>
    <row r="67" spans="1:9" x14ac:dyDescent="0.2">
      <c r="A67" s="106" t="s">
        <v>2899</v>
      </c>
      <c r="B67" s="107"/>
      <c r="C67" s="158" t="s">
        <v>2813</v>
      </c>
      <c r="D67" s="159"/>
      <c r="E67" s="108">
        <f>'Stavební rozpočet'!J1057</f>
        <v>0</v>
      </c>
      <c r="F67" s="108">
        <f>'Stavební rozpočet'!K1057</f>
        <v>0</v>
      </c>
      <c r="G67" s="108">
        <f>'Stavební rozpočet'!L1057</f>
        <v>0</v>
      </c>
      <c r="H67" s="36" t="s">
        <v>2987</v>
      </c>
      <c r="I67" s="36">
        <f t="shared" si="1"/>
        <v>0</v>
      </c>
    </row>
    <row r="68" spans="1:9" x14ac:dyDescent="0.2">
      <c r="A68" s="44" t="s">
        <v>2899</v>
      </c>
      <c r="B68" s="17" t="s">
        <v>14</v>
      </c>
      <c r="C68" s="133" t="s">
        <v>2718</v>
      </c>
      <c r="D68" s="121"/>
      <c r="E68" s="36">
        <f>'Stavební rozpočet'!J1058</f>
        <v>0</v>
      </c>
      <c r="F68" s="36">
        <f>'Stavební rozpočet'!K1058</f>
        <v>0</v>
      </c>
      <c r="G68" s="36">
        <f>'Stavební rozpočet'!L1058</f>
        <v>0</v>
      </c>
      <c r="H68" s="36" t="s">
        <v>2988</v>
      </c>
      <c r="I68" s="36">
        <f t="shared" si="1"/>
        <v>0</v>
      </c>
    </row>
    <row r="69" spans="1:9" x14ac:dyDescent="0.2">
      <c r="A69" s="106" t="s">
        <v>2900</v>
      </c>
      <c r="B69" s="107"/>
      <c r="C69" s="158" t="s">
        <v>2832</v>
      </c>
      <c r="D69" s="159"/>
      <c r="E69" s="108">
        <f>'Stavební rozpočet'!J1095</f>
        <v>0</v>
      </c>
      <c r="F69" s="108">
        <f>'Stavební rozpočet'!K1095</f>
        <v>0</v>
      </c>
      <c r="G69" s="108">
        <f>'Stavební rozpočet'!L1095</f>
        <v>0</v>
      </c>
      <c r="H69" s="36" t="s">
        <v>2987</v>
      </c>
      <c r="I69" s="36">
        <f t="shared" si="1"/>
        <v>0</v>
      </c>
    </row>
    <row r="70" spans="1:9" x14ac:dyDescent="0.2">
      <c r="A70" s="44" t="s">
        <v>2900</v>
      </c>
      <c r="B70" s="17" t="s">
        <v>1839</v>
      </c>
      <c r="C70" s="133" t="s">
        <v>2833</v>
      </c>
      <c r="D70" s="121"/>
      <c r="E70" s="36">
        <f>'Stavební rozpočet'!J1096</f>
        <v>0</v>
      </c>
      <c r="F70" s="36">
        <f>'Stavební rozpočet'!K1096</f>
        <v>0</v>
      </c>
      <c r="G70" s="36">
        <f>'Stavební rozpočet'!L1096</f>
        <v>0</v>
      </c>
      <c r="H70" s="36" t="s">
        <v>2988</v>
      </c>
      <c r="I70" s="36">
        <f t="shared" si="1"/>
        <v>0</v>
      </c>
    </row>
    <row r="71" spans="1:9" x14ac:dyDescent="0.2">
      <c r="F71" s="48" t="s">
        <v>2879</v>
      </c>
      <c r="G71" s="49">
        <f>SUM(I11:I70)</f>
        <v>0</v>
      </c>
    </row>
  </sheetData>
  <sheetProtection algorithmName="SHA-512" hashValue="RLabYtuElblU4SLpaWMquWu76FuCX3c7xoj73fuzJfRXrED/2rvTiUHz82pSFGssq/yG39qlEGed8FMyDboNKA==" saltValue="iiM3AsjayPAVP5UetOXIDg==" spinCount="100000" sheet="1" objects="1" scenarios="1"/>
  <mergeCells count="85">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G8:G9"/>
    <mergeCell ref="A6:B7"/>
    <mergeCell ref="C6:C7"/>
    <mergeCell ref="D6:D7"/>
    <mergeCell ref="E6:E7"/>
    <mergeCell ref="F6:F7"/>
    <mergeCell ref="G6:G7"/>
    <mergeCell ref="A8:B9"/>
    <mergeCell ref="C8:C9"/>
    <mergeCell ref="D8:D9"/>
    <mergeCell ref="E8:E9"/>
    <mergeCell ref="F8:F9"/>
    <mergeCell ref="G4:G5"/>
    <mergeCell ref="A1:G1"/>
    <mergeCell ref="A2:B3"/>
    <mergeCell ref="C2:C3"/>
    <mergeCell ref="D2:D3"/>
    <mergeCell ref="E2:E3"/>
    <mergeCell ref="F2:F3"/>
    <mergeCell ref="G2:G3"/>
    <mergeCell ref="A4:B5"/>
    <mergeCell ref="C4:C5"/>
    <mergeCell ref="D4:D5"/>
    <mergeCell ref="E4:E5"/>
    <mergeCell ref="F4:F5"/>
  </mergeCells>
  <pageMargins left="0.39400000000000002" right="0.39400000000000002" top="0.59099999999999997" bottom="0.59099999999999997" header="0.5" footer="0.5"/>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1112"/>
  <sheetViews>
    <sheetView workbookViewId="0">
      <pane ySplit="11" topLeftCell="A916" activePane="bottomLeft" state="frozenSplit"/>
      <selection pane="bottomLeft" activeCell="C924" sqref="C924:F924"/>
    </sheetView>
  </sheetViews>
  <sheetFormatPr defaultColWidth="11.5703125" defaultRowHeight="12.75" x14ac:dyDescent="0.2"/>
  <cols>
    <col min="1" max="1" width="3.7109375" customWidth="1"/>
    <col min="2" max="2" width="14.28515625" customWidth="1"/>
    <col min="3" max="3" width="1.42578125" customWidth="1"/>
    <col min="4" max="4" width="129.28515625" customWidth="1"/>
    <col min="7" max="7" width="7.42578125" customWidth="1"/>
    <col min="8" max="8" width="12.85546875" customWidth="1"/>
    <col min="9" max="9" width="12" customWidth="1"/>
    <col min="10" max="11" width="14.28515625" hidden="1" customWidth="1"/>
    <col min="12" max="12" width="14.28515625" customWidth="1"/>
    <col min="13" max="13" width="11.7109375" hidden="1" customWidth="1"/>
    <col min="25" max="64" width="12.140625" hidden="1" customWidth="1"/>
  </cols>
  <sheetData>
    <row r="1" spans="1:64" ht="72.95" customHeight="1" x14ac:dyDescent="0.35">
      <c r="A1" s="155" t="s">
        <v>0</v>
      </c>
      <c r="B1" s="117"/>
      <c r="C1" s="117"/>
      <c r="D1" s="117"/>
      <c r="E1" s="117"/>
      <c r="F1" s="117"/>
      <c r="G1" s="117"/>
      <c r="H1" s="117"/>
      <c r="I1" s="117"/>
      <c r="J1" s="117"/>
      <c r="K1" s="117"/>
      <c r="L1" s="117"/>
      <c r="M1" s="117"/>
    </row>
    <row r="2" spans="1:64" x14ac:dyDescent="0.2">
      <c r="A2" s="118" t="s">
        <v>1</v>
      </c>
      <c r="B2" s="119"/>
      <c r="C2" s="122" t="s">
        <v>1853</v>
      </c>
      <c r="D2" s="123"/>
      <c r="E2" s="156" t="s">
        <v>2847</v>
      </c>
      <c r="F2" s="119"/>
      <c r="G2" s="156" t="s">
        <v>6</v>
      </c>
      <c r="H2" s="119"/>
      <c r="I2" s="125" t="s">
        <v>2870</v>
      </c>
      <c r="J2" s="156" t="s">
        <v>2876</v>
      </c>
      <c r="K2" s="119"/>
      <c r="L2" s="119"/>
      <c r="M2" s="160"/>
      <c r="N2" s="5"/>
    </row>
    <row r="3" spans="1:64" x14ac:dyDescent="0.2">
      <c r="A3" s="120"/>
      <c r="B3" s="121"/>
      <c r="C3" s="124"/>
      <c r="D3" s="124"/>
      <c r="E3" s="121"/>
      <c r="F3" s="121"/>
      <c r="G3" s="121"/>
      <c r="H3" s="121"/>
      <c r="I3" s="121"/>
      <c r="J3" s="121"/>
      <c r="K3" s="121"/>
      <c r="L3" s="121"/>
      <c r="M3" s="127"/>
      <c r="N3" s="5"/>
    </row>
    <row r="4" spans="1:64" x14ac:dyDescent="0.2">
      <c r="A4" s="129" t="s">
        <v>2</v>
      </c>
      <c r="B4" s="121"/>
      <c r="C4" s="130" t="s">
        <v>1854</v>
      </c>
      <c r="D4" s="121"/>
      <c r="E4" s="133" t="s">
        <v>2848</v>
      </c>
      <c r="F4" s="121"/>
      <c r="G4" s="133"/>
      <c r="H4" s="121"/>
      <c r="I4" s="130" t="s">
        <v>2871</v>
      </c>
      <c r="J4" s="133" t="s">
        <v>2876</v>
      </c>
      <c r="K4" s="121"/>
      <c r="L4" s="121"/>
      <c r="M4" s="127"/>
      <c r="N4" s="5"/>
    </row>
    <row r="5" spans="1:64" x14ac:dyDescent="0.2">
      <c r="A5" s="120"/>
      <c r="B5" s="121"/>
      <c r="C5" s="121"/>
      <c r="D5" s="121"/>
      <c r="E5" s="121"/>
      <c r="F5" s="121"/>
      <c r="G5" s="121"/>
      <c r="H5" s="121"/>
      <c r="I5" s="121"/>
      <c r="J5" s="121"/>
      <c r="K5" s="121"/>
      <c r="L5" s="121"/>
      <c r="M5" s="127"/>
      <c r="N5" s="5"/>
    </row>
    <row r="6" spans="1:64" x14ac:dyDescent="0.2">
      <c r="A6" s="129" t="s">
        <v>3</v>
      </c>
      <c r="B6" s="121"/>
      <c r="C6" s="130" t="s">
        <v>6</v>
      </c>
      <c r="D6" s="121"/>
      <c r="E6" s="133" t="s">
        <v>2849</v>
      </c>
      <c r="F6" s="121"/>
      <c r="G6" s="133"/>
      <c r="H6" s="121"/>
      <c r="I6" s="130" t="s">
        <v>2872</v>
      </c>
      <c r="J6" s="133" t="s">
        <v>2876</v>
      </c>
      <c r="K6" s="121"/>
      <c r="L6" s="121"/>
      <c r="M6" s="127"/>
      <c r="N6" s="5"/>
    </row>
    <row r="7" spans="1:64" x14ac:dyDescent="0.2">
      <c r="A7" s="120"/>
      <c r="B7" s="121"/>
      <c r="C7" s="121"/>
      <c r="D7" s="121"/>
      <c r="E7" s="121"/>
      <c r="F7" s="121"/>
      <c r="G7" s="121"/>
      <c r="H7" s="121"/>
      <c r="I7" s="121"/>
      <c r="J7" s="121"/>
      <c r="K7" s="121"/>
      <c r="L7" s="121"/>
      <c r="M7" s="127"/>
      <c r="N7" s="5"/>
    </row>
    <row r="8" spans="1:64" x14ac:dyDescent="0.2">
      <c r="A8" s="129" t="s">
        <v>4</v>
      </c>
      <c r="B8" s="121"/>
      <c r="C8" s="130" t="s">
        <v>6</v>
      </c>
      <c r="D8" s="121"/>
      <c r="E8" s="133" t="s">
        <v>2850</v>
      </c>
      <c r="F8" s="121"/>
      <c r="G8" s="133"/>
      <c r="H8" s="121"/>
      <c r="I8" s="130" t="s">
        <v>2873</v>
      </c>
      <c r="J8" s="133" t="s">
        <v>2876</v>
      </c>
      <c r="K8" s="121"/>
      <c r="L8" s="121"/>
      <c r="M8" s="127"/>
      <c r="N8" s="5"/>
    </row>
    <row r="9" spans="1:64" x14ac:dyDescent="0.2">
      <c r="A9" s="176"/>
      <c r="B9" s="177"/>
      <c r="C9" s="177"/>
      <c r="D9" s="177"/>
      <c r="E9" s="177"/>
      <c r="F9" s="177"/>
      <c r="G9" s="177"/>
      <c r="H9" s="177"/>
      <c r="I9" s="177"/>
      <c r="J9" s="177"/>
      <c r="K9" s="177"/>
      <c r="L9" s="177"/>
      <c r="M9" s="178"/>
      <c r="N9" s="5"/>
    </row>
    <row r="10" spans="1:64" x14ac:dyDescent="0.2">
      <c r="A10" s="1" t="s">
        <v>5</v>
      </c>
      <c r="B10" s="10" t="s">
        <v>958</v>
      </c>
      <c r="C10" s="161" t="s">
        <v>1855</v>
      </c>
      <c r="D10" s="162"/>
      <c r="E10" s="162"/>
      <c r="F10" s="163"/>
      <c r="G10" s="10" t="s">
        <v>2851</v>
      </c>
      <c r="H10" s="19" t="s">
        <v>2869</v>
      </c>
      <c r="I10" s="23" t="s">
        <v>2874</v>
      </c>
      <c r="J10" s="164" t="s">
        <v>2877</v>
      </c>
      <c r="K10" s="165"/>
      <c r="L10" s="166"/>
      <c r="M10" s="28" t="s">
        <v>2882</v>
      </c>
      <c r="N10" s="34"/>
      <c r="BK10" s="35" t="s">
        <v>2977</v>
      </c>
      <c r="BL10" s="40" t="s">
        <v>2980</v>
      </c>
    </row>
    <row r="11" spans="1:64" x14ac:dyDescent="0.2">
      <c r="A11" s="2" t="s">
        <v>6</v>
      </c>
      <c r="B11" s="11" t="s">
        <v>6</v>
      </c>
      <c r="C11" s="167" t="s">
        <v>1856</v>
      </c>
      <c r="D11" s="168"/>
      <c r="E11" s="168"/>
      <c r="F11" s="169"/>
      <c r="G11" s="11" t="s">
        <v>6</v>
      </c>
      <c r="H11" s="11" t="s">
        <v>6</v>
      </c>
      <c r="I11" s="24" t="s">
        <v>2875</v>
      </c>
      <c r="J11" s="25" t="s">
        <v>2878</v>
      </c>
      <c r="K11" s="26" t="s">
        <v>2880</v>
      </c>
      <c r="L11" s="27" t="s">
        <v>2881</v>
      </c>
      <c r="M11" s="29" t="s">
        <v>2883</v>
      </c>
      <c r="N11" s="34"/>
      <c r="Z11" s="35" t="s">
        <v>2885</v>
      </c>
      <c r="AA11" s="35" t="s">
        <v>2886</v>
      </c>
      <c r="AB11" s="35" t="s">
        <v>2887</v>
      </c>
      <c r="AC11" s="35" t="s">
        <v>2888</v>
      </c>
      <c r="AD11" s="35" t="s">
        <v>2889</v>
      </c>
      <c r="AE11" s="35" t="s">
        <v>2890</v>
      </c>
      <c r="AF11" s="35" t="s">
        <v>2891</v>
      </c>
      <c r="AG11" s="35" t="s">
        <v>2892</v>
      </c>
      <c r="AH11" s="35" t="s">
        <v>2893</v>
      </c>
      <c r="BH11" s="35" t="s">
        <v>2974</v>
      </c>
      <c r="BI11" s="35" t="s">
        <v>2975</v>
      </c>
      <c r="BJ11" s="35" t="s">
        <v>2976</v>
      </c>
    </row>
    <row r="12" spans="1:64" x14ac:dyDescent="0.2">
      <c r="A12" s="91"/>
      <c r="B12" s="92"/>
      <c r="C12" s="170" t="s">
        <v>1857</v>
      </c>
      <c r="D12" s="171"/>
      <c r="E12" s="171"/>
      <c r="F12" s="171"/>
      <c r="G12" s="93" t="s">
        <v>6</v>
      </c>
      <c r="H12" s="93" t="s">
        <v>6</v>
      </c>
      <c r="I12" s="93" t="s">
        <v>6</v>
      </c>
      <c r="J12" s="94">
        <f>J13+J15+J17+J25+J31+J37+J41+J43+J62+J77+J79+J85+J104+J106+J108+J110+J124+J140+J146+J148+J154+J163+J166+J168+J180+J188+J214+J289+J400+J460+J525+J529+J558+J577+J590+J598+J621+J627+J630+J642</f>
        <v>0</v>
      </c>
      <c r="K12" s="94">
        <f>K13+K15+K17+K25+K31+K37+K41+K43+K62+K77+K79+K85+K104+K106+K108+K110+K124+K140+K146+K148+K154+K163+K166+K168+K180+K188+K214+K289+K400+K460+K525+K529+K558+K577+K590+K598+K621+K627+K630+K642</f>
        <v>0</v>
      </c>
      <c r="L12" s="94">
        <f>L13+L15+L17+L25+L31+L37+L41+L43+L62+L77+L79+L85+L104+L106+L108+L110+L124+L140+L146+L148+L154+L163+L166+L168+L180+L188+L214+L289+L400+L460+L525+L529+L558+L577+L590+L598+L621+L627+L630+L642</f>
        <v>0</v>
      </c>
      <c r="M12" s="95"/>
      <c r="N12" s="5"/>
    </row>
    <row r="13" spans="1:64" x14ac:dyDescent="0.2">
      <c r="A13" s="3"/>
      <c r="B13" s="12" t="s">
        <v>17</v>
      </c>
      <c r="C13" s="172" t="s">
        <v>1858</v>
      </c>
      <c r="D13" s="173"/>
      <c r="E13" s="173"/>
      <c r="F13" s="173"/>
      <c r="G13" s="18" t="s">
        <v>6</v>
      </c>
      <c r="H13" s="18" t="s">
        <v>6</v>
      </c>
      <c r="I13" s="18" t="s">
        <v>6</v>
      </c>
      <c r="J13" s="41">
        <f>SUM(J14:J14)</f>
        <v>0</v>
      </c>
      <c r="K13" s="41">
        <f>SUM(K14:K14)</f>
        <v>0</v>
      </c>
      <c r="L13" s="41">
        <f>SUM(L14:L14)</f>
        <v>0</v>
      </c>
      <c r="M13" s="30"/>
      <c r="N13" s="5"/>
      <c r="AI13" s="35" t="s">
        <v>2894</v>
      </c>
      <c r="AS13" s="41">
        <f>SUM(AJ14:AJ14)</f>
        <v>0</v>
      </c>
      <c r="AT13" s="41">
        <f>SUM(AK14:AK14)</f>
        <v>0</v>
      </c>
      <c r="AU13" s="41">
        <f>SUM(AL14:AL14)</f>
        <v>0</v>
      </c>
    </row>
    <row r="14" spans="1:64" x14ac:dyDescent="0.2">
      <c r="A14" s="4" t="s">
        <v>7</v>
      </c>
      <c r="B14" s="13" t="s">
        <v>959</v>
      </c>
      <c r="C14" s="174" t="s">
        <v>1859</v>
      </c>
      <c r="D14" s="175"/>
      <c r="E14" s="175"/>
      <c r="F14" s="175"/>
      <c r="G14" s="13" t="s">
        <v>2852</v>
      </c>
      <c r="H14" s="82">
        <v>1</v>
      </c>
      <c r="I14" s="109">
        <v>0</v>
      </c>
      <c r="J14" s="20">
        <f>H14*AO14</f>
        <v>0</v>
      </c>
      <c r="K14" s="20">
        <f>H14*AP14</f>
        <v>0</v>
      </c>
      <c r="L14" s="20">
        <f>H14*I14</f>
        <v>0</v>
      </c>
      <c r="M14" s="31" t="s">
        <v>2884</v>
      </c>
      <c r="N14" s="5"/>
      <c r="Z14" s="36">
        <f>IF(AQ14="5",BJ14,0)</f>
        <v>0</v>
      </c>
      <c r="AB14" s="36">
        <f>IF(AQ14="1",BH14,0)</f>
        <v>0</v>
      </c>
      <c r="AC14" s="36">
        <f>IF(AQ14="1",BI14,0)</f>
        <v>0</v>
      </c>
      <c r="AD14" s="36">
        <f>IF(AQ14="7",BH14,0)</f>
        <v>0</v>
      </c>
      <c r="AE14" s="36">
        <f>IF(AQ14="7",BI14,0)</f>
        <v>0</v>
      </c>
      <c r="AF14" s="36">
        <f>IF(AQ14="2",BH14,0)</f>
        <v>0</v>
      </c>
      <c r="AG14" s="36">
        <f>IF(AQ14="2",BI14,0)</f>
        <v>0</v>
      </c>
      <c r="AH14" s="36">
        <f>IF(AQ14="0",BJ14,0)</f>
        <v>0</v>
      </c>
      <c r="AI14" s="35" t="s">
        <v>2894</v>
      </c>
      <c r="AJ14" s="20">
        <f>IF(AN14=0,L14,0)</f>
        <v>0</v>
      </c>
      <c r="AK14" s="20">
        <f>IF(AN14=15,L14,0)</f>
        <v>0</v>
      </c>
      <c r="AL14" s="20">
        <f>IF(AN14=21,L14,0)</f>
        <v>0</v>
      </c>
      <c r="AN14" s="36">
        <v>21</v>
      </c>
      <c r="AO14" s="36">
        <f>I14*0</f>
        <v>0</v>
      </c>
      <c r="AP14" s="36">
        <f>I14*(1-0)</f>
        <v>0</v>
      </c>
      <c r="AQ14" s="37" t="s">
        <v>7</v>
      </c>
      <c r="AV14" s="36">
        <f>AW14+AX14</f>
        <v>0</v>
      </c>
      <c r="AW14" s="36">
        <f>H14*AO14</f>
        <v>0</v>
      </c>
      <c r="AX14" s="36">
        <f>H14*AP14</f>
        <v>0</v>
      </c>
      <c r="AY14" s="39" t="s">
        <v>2901</v>
      </c>
      <c r="AZ14" s="39" t="s">
        <v>2946</v>
      </c>
      <c r="BA14" s="35" t="s">
        <v>2967</v>
      </c>
      <c r="BC14" s="36">
        <f>AW14+AX14</f>
        <v>0</v>
      </c>
      <c r="BD14" s="36">
        <f>I14/(100-BE14)*100</f>
        <v>0</v>
      </c>
      <c r="BE14" s="36">
        <v>0</v>
      </c>
      <c r="BF14" s="36">
        <f>14</f>
        <v>14</v>
      </c>
      <c r="BH14" s="20">
        <f>H14*AO14</f>
        <v>0</v>
      </c>
      <c r="BI14" s="20">
        <f>H14*AP14</f>
        <v>0</v>
      </c>
      <c r="BJ14" s="20">
        <f>H14*I14</f>
        <v>0</v>
      </c>
      <c r="BK14" s="20" t="s">
        <v>2978</v>
      </c>
      <c r="BL14" s="36">
        <v>11</v>
      </c>
    </row>
    <row r="15" spans="1:64" x14ac:dyDescent="0.2">
      <c r="A15" s="3"/>
      <c r="B15" s="12" t="s">
        <v>18</v>
      </c>
      <c r="C15" s="172" t="s">
        <v>1860</v>
      </c>
      <c r="D15" s="173"/>
      <c r="E15" s="173"/>
      <c r="F15" s="173"/>
      <c r="G15" s="18" t="s">
        <v>6</v>
      </c>
      <c r="H15" s="18" t="s">
        <v>6</v>
      </c>
      <c r="I15" s="18" t="s">
        <v>6</v>
      </c>
      <c r="J15" s="41">
        <f>SUM(J16:J16)</f>
        <v>0</v>
      </c>
      <c r="K15" s="41">
        <f>SUM(K16:K16)</f>
        <v>0</v>
      </c>
      <c r="L15" s="41">
        <f>SUM(L16:L16)</f>
        <v>0</v>
      </c>
      <c r="M15" s="30"/>
      <c r="N15" s="5"/>
      <c r="AI15" s="35" t="s">
        <v>2894</v>
      </c>
      <c r="AS15" s="41">
        <f>SUM(AJ16:AJ16)</f>
        <v>0</v>
      </c>
      <c r="AT15" s="41">
        <f>SUM(AK16:AK16)</f>
        <v>0</v>
      </c>
      <c r="AU15" s="41">
        <f>SUM(AL16:AL16)</f>
        <v>0</v>
      </c>
    </row>
    <row r="16" spans="1:64" x14ac:dyDescent="0.2">
      <c r="A16" s="4" t="s">
        <v>8</v>
      </c>
      <c r="B16" s="13" t="s">
        <v>960</v>
      </c>
      <c r="C16" s="174" t="s">
        <v>1861</v>
      </c>
      <c r="D16" s="175"/>
      <c r="E16" s="175"/>
      <c r="F16" s="175"/>
      <c r="G16" s="13" t="s">
        <v>2853</v>
      </c>
      <c r="H16" s="82">
        <v>54.274999999999999</v>
      </c>
      <c r="I16" s="109">
        <v>0</v>
      </c>
      <c r="J16" s="20">
        <f>H16*AO16</f>
        <v>0</v>
      </c>
      <c r="K16" s="20">
        <f>H16*AP16</f>
        <v>0</v>
      </c>
      <c r="L16" s="20">
        <f>H16*I16</f>
        <v>0</v>
      </c>
      <c r="M16" s="31" t="s">
        <v>2884</v>
      </c>
      <c r="N16" s="5"/>
      <c r="Z16" s="36">
        <f>IF(AQ16="5",BJ16,0)</f>
        <v>0</v>
      </c>
      <c r="AB16" s="36">
        <f>IF(AQ16="1",BH16,0)</f>
        <v>0</v>
      </c>
      <c r="AC16" s="36">
        <f>IF(AQ16="1",BI16,0)</f>
        <v>0</v>
      </c>
      <c r="AD16" s="36">
        <f>IF(AQ16="7",BH16,0)</f>
        <v>0</v>
      </c>
      <c r="AE16" s="36">
        <f>IF(AQ16="7",BI16,0)</f>
        <v>0</v>
      </c>
      <c r="AF16" s="36">
        <f>IF(AQ16="2",BH16,0)</f>
        <v>0</v>
      </c>
      <c r="AG16" s="36">
        <f>IF(AQ16="2",BI16,0)</f>
        <v>0</v>
      </c>
      <c r="AH16" s="36">
        <f>IF(AQ16="0",BJ16,0)</f>
        <v>0</v>
      </c>
      <c r="AI16" s="35" t="s">
        <v>2894</v>
      </c>
      <c r="AJ16" s="20">
        <f>IF(AN16=0,L16,0)</f>
        <v>0</v>
      </c>
      <c r="AK16" s="20">
        <f>IF(AN16=15,L16,0)</f>
        <v>0</v>
      </c>
      <c r="AL16" s="20">
        <f>IF(AN16=21,L16,0)</f>
        <v>0</v>
      </c>
      <c r="AN16" s="36">
        <v>21</v>
      </c>
      <c r="AO16" s="36">
        <f>I16*0</f>
        <v>0</v>
      </c>
      <c r="AP16" s="36">
        <f>I16*(1-0)</f>
        <v>0</v>
      </c>
      <c r="AQ16" s="37" t="s">
        <v>7</v>
      </c>
      <c r="AV16" s="36">
        <f>AW16+AX16</f>
        <v>0</v>
      </c>
      <c r="AW16" s="36">
        <f>H16*AO16</f>
        <v>0</v>
      </c>
      <c r="AX16" s="36">
        <f>H16*AP16</f>
        <v>0</v>
      </c>
      <c r="AY16" s="39" t="s">
        <v>2902</v>
      </c>
      <c r="AZ16" s="39" t="s">
        <v>2946</v>
      </c>
      <c r="BA16" s="35" t="s">
        <v>2967</v>
      </c>
      <c r="BC16" s="36">
        <f>AW16+AX16</f>
        <v>0</v>
      </c>
      <c r="BD16" s="36">
        <f>I16/(100-BE16)*100</f>
        <v>0</v>
      </c>
      <c r="BE16" s="36">
        <v>0</v>
      </c>
      <c r="BF16" s="36">
        <f>16</f>
        <v>16</v>
      </c>
      <c r="BH16" s="20">
        <f>H16*AO16</f>
        <v>0</v>
      </c>
      <c r="BI16" s="20">
        <f>H16*AP16</f>
        <v>0</v>
      </c>
      <c r="BJ16" s="20">
        <f>H16*I16</f>
        <v>0</v>
      </c>
      <c r="BK16" s="20" t="s">
        <v>2978</v>
      </c>
      <c r="BL16" s="36">
        <v>12</v>
      </c>
    </row>
    <row r="17" spans="1:64" x14ac:dyDescent="0.2">
      <c r="A17" s="3"/>
      <c r="B17" s="12" t="s">
        <v>19</v>
      </c>
      <c r="C17" s="172" t="s">
        <v>1862</v>
      </c>
      <c r="D17" s="173"/>
      <c r="E17" s="173"/>
      <c r="F17" s="173"/>
      <c r="G17" s="18" t="s">
        <v>6</v>
      </c>
      <c r="H17" s="18" t="s">
        <v>6</v>
      </c>
      <c r="I17" s="18" t="s">
        <v>6</v>
      </c>
      <c r="J17" s="41">
        <f>SUM(J18:J24)</f>
        <v>0</v>
      </c>
      <c r="K17" s="41">
        <f>SUM(K18:K24)</f>
        <v>0</v>
      </c>
      <c r="L17" s="41">
        <f>SUM(L18:L24)</f>
        <v>0</v>
      </c>
      <c r="M17" s="30"/>
      <c r="N17" s="5"/>
      <c r="AI17" s="35" t="s">
        <v>2894</v>
      </c>
      <c r="AS17" s="41">
        <f>SUM(AJ18:AJ24)</f>
        <v>0</v>
      </c>
      <c r="AT17" s="41">
        <f>SUM(AK18:AK24)</f>
        <v>0</v>
      </c>
      <c r="AU17" s="41">
        <f>SUM(AL18:AL24)</f>
        <v>0</v>
      </c>
    </row>
    <row r="18" spans="1:64" x14ac:dyDescent="0.2">
      <c r="A18" s="4" t="s">
        <v>9</v>
      </c>
      <c r="B18" s="13" t="s">
        <v>961</v>
      </c>
      <c r="C18" s="174" t="s">
        <v>1863</v>
      </c>
      <c r="D18" s="175"/>
      <c r="E18" s="175"/>
      <c r="F18" s="175"/>
      <c r="G18" s="13" t="s">
        <v>2853</v>
      </c>
      <c r="H18" s="82">
        <v>309.96899999999999</v>
      </c>
      <c r="I18" s="109">
        <v>0</v>
      </c>
      <c r="J18" s="20">
        <f t="shared" ref="J18:J24" si="0">H18*AO18</f>
        <v>0</v>
      </c>
      <c r="K18" s="20">
        <f t="shared" ref="K18:K24" si="1">H18*AP18</f>
        <v>0</v>
      </c>
      <c r="L18" s="20">
        <f t="shared" ref="L18:L24" si="2">H18*I18</f>
        <v>0</v>
      </c>
      <c r="M18" s="31" t="s">
        <v>2884</v>
      </c>
      <c r="N18" s="5"/>
      <c r="Z18" s="36">
        <f t="shared" ref="Z18:Z24" si="3">IF(AQ18="5",BJ18,0)</f>
        <v>0</v>
      </c>
      <c r="AB18" s="36">
        <f t="shared" ref="AB18:AB24" si="4">IF(AQ18="1",BH18,0)</f>
        <v>0</v>
      </c>
      <c r="AC18" s="36">
        <f t="shared" ref="AC18:AC24" si="5">IF(AQ18="1",BI18,0)</f>
        <v>0</v>
      </c>
      <c r="AD18" s="36">
        <f t="shared" ref="AD18:AD24" si="6">IF(AQ18="7",BH18,0)</f>
        <v>0</v>
      </c>
      <c r="AE18" s="36">
        <f t="shared" ref="AE18:AE24" si="7">IF(AQ18="7",BI18,0)</f>
        <v>0</v>
      </c>
      <c r="AF18" s="36">
        <f t="shared" ref="AF18:AF24" si="8">IF(AQ18="2",BH18,0)</f>
        <v>0</v>
      </c>
      <c r="AG18" s="36">
        <f t="shared" ref="AG18:AG24" si="9">IF(AQ18="2",BI18,0)</f>
        <v>0</v>
      </c>
      <c r="AH18" s="36">
        <f t="shared" ref="AH18:AH24" si="10">IF(AQ18="0",BJ18,0)</f>
        <v>0</v>
      </c>
      <c r="AI18" s="35" t="s">
        <v>2894</v>
      </c>
      <c r="AJ18" s="20">
        <f t="shared" ref="AJ18:AJ24" si="11">IF(AN18=0,L18,0)</f>
        <v>0</v>
      </c>
      <c r="AK18" s="20">
        <f t="shared" ref="AK18:AK24" si="12">IF(AN18=15,L18,0)</f>
        <v>0</v>
      </c>
      <c r="AL18" s="20">
        <f t="shared" ref="AL18:AL24" si="13">IF(AN18=21,L18,0)</f>
        <v>0</v>
      </c>
      <c r="AN18" s="36">
        <v>21</v>
      </c>
      <c r="AO18" s="36">
        <f t="shared" ref="AO18:AO24" si="14">I18*0</f>
        <v>0</v>
      </c>
      <c r="AP18" s="36">
        <f t="shared" ref="AP18:AP24" si="15">I18*(1-0)</f>
        <v>0</v>
      </c>
      <c r="AQ18" s="37" t="s">
        <v>7</v>
      </c>
      <c r="AV18" s="36">
        <f t="shared" ref="AV18:AV24" si="16">AW18+AX18</f>
        <v>0</v>
      </c>
      <c r="AW18" s="36">
        <f t="shared" ref="AW18:AW24" si="17">H18*AO18</f>
        <v>0</v>
      </c>
      <c r="AX18" s="36">
        <f t="shared" ref="AX18:AX24" si="18">H18*AP18</f>
        <v>0</v>
      </c>
      <c r="AY18" s="39" t="s">
        <v>2903</v>
      </c>
      <c r="AZ18" s="39" t="s">
        <v>2946</v>
      </c>
      <c r="BA18" s="35" t="s">
        <v>2967</v>
      </c>
      <c r="BC18" s="36">
        <f t="shared" ref="BC18:BC24" si="19">AW18+AX18</f>
        <v>0</v>
      </c>
      <c r="BD18" s="36">
        <f t="shared" ref="BD18:BD24" si="20">I18/(100-BE18)*100</f>
        <v>0</v>
      </c>
      <c r="BE18" s="36">
        <v>0</v>
      </c>
      <c r="BF18" s="36">
        <f>18</f>
        <v>18</v>
      </c>
      <c r="BH18" s="20">
        <f t="shared" ref="BH18:BH24" si="21">H18*AO18</f>
        <v>0</v>
      </c>
      <c r="BI18" s="20">
        <f t="shared" ref="BI18:BI24" si="22">H18*AP18</f>
        <v>0</v>
      </c>
      <c r="BJ18" s="20">
        <f t="shared" ref="BJ18:BJ24" si="23">H18*I18</f>
        <v>0</v>
      </c>
      <c r="BK18" s="20" t="s">
        <v>2978</v>
      </c>
      <c r="BL18" s="36">
        <v>13</v>
      </c>
    </row>
    <row r="19" spans="1:64" x14ac:dyDescent="0.2">
      <c r="A19" s="4" t="s">
        <v>10</v>
      </c>
      <c r="B19" s="13" t="s">
        <v>962</v>
      </c>
      <c r="C19" s="174" t="s">
        <v>1864</v>
      </c>
      <c r="D19" s="175"/>
      <c r="E19" s="175"/>
      <c r="F19" s="175"/>
      <c r="G19" s="13" t="s">
        <v>2853</v>
      </c>
      <c r="H19" s="82">
        <v>120.544</v>
      </c>
      <c r="I19" s="109">
        <v>0</v>
      </c>
      <c r="J19" s="20">
        <f t="shared" si="0"/>
        <v>0</v>
      </c>
      <c r="K19" s="20">
        <f t="shared" si="1"/>
        <v>0</v>
      </c>
      <c r="L19" s="20">
        <f t="shared" si="2"/>
        <v>0</v>
      </c>
      <c r="M19" s="31" t="s">
        <v>2884</v>
      </c>
      <c r="N19" s="5"/>
      <c r="Z19" s="36">
        <f t="shared" si="3"/>
        <v>0</v>
      </c>
      <c r="AB19" s="36">
        <f t="shared" si="4"/>
        <v>0</v>
      </c>
      <c r="AC19" s="36">
        <f t="shared" si="5"/>
        <v>0</v>
      </c>
      <c r="AD19" s="36">
        <f t="shared" si="6"/>
        <v>0</v>
      </c>
      <c r="AE19" s="36">
        <f t="shared" si="7"/>
        <v>0</v>
      </c>
      <c r="AF19" s="36">
        <f t="shared" si="8"/>
        <v>0</v>
      </c>
      <c r="AG19" s="36">
        <f t="shared" si="9"/>
        <v>0</v>
      </c>
      <c r="AH19" s="36">
        <f t="shared" si="10"/>
        <v>0</v>
      </c>
      <c r="AI19" s="35" t="s">
        <v>2894</v>
      </c>
      <c r="AJ19" s="20">
        <f t="shared" si="11"/>
        <v>0</v>
      </c>
      <c r="AK19" s="20">
        <f t="shared" si="12"/>
        <v>0</v>
      </c>
      <c r="AL19" s="20">
        <f t="shared" si="13"/>
        <v>0</v>
      </c>
      <c r="AN19" s="36">
        <v>21</v>
      </c>
      <c r="AO19" s="36">
        <f t="shared" si="14"/>
        <v>0</v>
      </c>
      <c r="AP19" s="36">
        <f t="shared" si="15"/>
        <v>0</v>
      </c>
      <c r="AQ19" s="37" t="s">
        <v>7</v>
      </c>
      <c r="AV19" s="36">
        <f t="shared" si="16"/>
        <v>0</v>
      </c>
      <c r="AW19" s="36">
        <f t="shared" si="17"/>
        <v>0</v>
      </c>
      <c r="AX19" s="36">
        <f t="shared" si="18"/>
        <v>0</v>
      </c>
      <c r="AY19" s="39" t="s">
        <v>2903</v>
      </c>
      <c r="AZ19" s="39" t="s">
        <v>2946</v>
      </c>
      <c r="BA19" s="35" t="s">
        <v>2967</v>
      </c>
      <c r="BC19" s="36">
        <f t="shared" si="19"/>
        <v>0</v>
      </c>
      <c r="BD19" s="36">
        <f t="shared" si="20"/>
        <v>0</v>
      </c>
      <c r="BE19" s="36">
        <v>0</v>
      </c>
      <c r="BF19" s="36">
        <f>19</f>
        <v>19</v>
      </c>
      <c r="BH19" s="20">
        <f t="shared" si="21"/>
        <v>0</v>
      </c>
      <c r="BI19" s="20">
        <f t="shared" si="22"/>
        <v>0</v>
      </c>
      <c r="BJ19" s="20">
        <f t="shared" si="23"/>
        <v>0</v>
      </c>
      <c r="BK19" s="20" t="s">
        <v>2978</v>
      </c>
      <c r="BL19" s="36">
        <v>13</v>
      </c>
    </row>
    <row r="20" spans="1:64" x14ac:dyDescent="0.2">
      <c r="A20" s="4" t="s">
        <v>11</v>
      </c>
      <c r="B20" s="13" t="s">
        <v>963</v>
      </c>
      <c r="C20" s="174" t="s">
        <v>1865</v>
      </c>
      <c r="D20" s="175"/>
      <c r="E20" s="175"/>
      <c r="F20" s="175"/>
      <c r="G20" s="13" t="s">
        <v>2853</v>
      </c>
      <c r="H20" s="82">
        <v>120.544</v>
      </c>
      <c r="I20" s="109">
        <v>0</v>
      </c>
      <c r="J20" s="20">
        <f t="shared" si="0"/>
        <v>0</v>
      </c>
      <c r="K20" s="20">
        <f t="shared" si="1"/>
        <v>0</v>
      </c>
      <c r="L20" s="20">
        <f t="shared" si="2"/>
        <v>0</v>
      </c>
      <c r="M20" s="31" t="s">
        <v>2884</v>
      </c>
      <c r="N20" s="5"/>
      <c r="Z20" s="36">
        <f t="shared" si="3"/>
        <v>0</v>
      </c>
      <c r="AB20" s="36">
        <f t="shared" si="4"/>
        <v>0</v>
      </c>
      <c r="AC20" s="36">
        <f t="shared" si="5"/>
        <v>0</v>
      </c>
      <c r="AD20" s="36">
        <f t="shared" si="6"/>
        <v>0</v>
      </c>
      <c r="AE20" s="36">
        <f t="shared" si="7"/>
        <v>0</v>
      </c>
      <c r="AF20" s="36">
        <f t="shared" si="8"/>
        <v>0</v>
      </c>
      <c r="AG20" s="36">
        <f t="shared" si="9"/>
        <v>0</v>
      </c>
      <c r="AH20" s="36">
        <f t="shared" si="10"/>
        <v>0</v>
      </c>
      <c r="AI20" s="35" t="s">
        <v>2894</v>
      </c>
      <c r="AJ20" s="20">
        <f t="shared" si="11"/>
        <v>0</v>
      </c>
      <c r="AK20" s="20">
        <f t="shared" si="12"/>
        <v>0</v>
      </c>
      <c r="AL20" s="20">
        <f t="shared" si="13"/>
        <v>0</v>
      </c>
      <c r="AN20" s="36">
        <v>21</v>
      </c>
      <c r="AO20" s="36">
        <f t="shared" si="14"/>
        <v>0</v>
      </c>
      <c r="AP20" s="36">
        <f t="shared" si="15"/>
        <v>0</v>
      </c>
      <c r="AQ20" s="37" t="s">
        <v>7</v>
      </c>
      <c r="AV20" s="36">
        <f t="shared" si="16"/>
        <v>0</v>
      </c>
      <c r="AW20" s="36">
        <f t="shared" si="17"/>
        <v>0</v>
      </c>
      <c r="AX20" s="36">
        <f t="shared" si="18"/>
        <v>0</v>
      </c>
      <c r="AY20" s="39" t="s">
        <v>2903</v>
      </c>
      <c r="AZ20" s="39" t="s">
        <v>2946</v>
      </c>
      <c r="BA20" s="35" t="s">
        <v>2967</v>
      </c>
      <c r="BC20" s="36">
        <f t="shared" si="19"/>
        <v>0</v>
      </c>
      <c r="BD20" s="36">
        <f t="shared" si="20"/>
        <v>0</v>
      </c>
      <c r="BE20" s="36">
        <v>0</v>
      </c>
      <c r="BF20" s="36">
        <f>20</f>
        <v>20</v>
      </c>
      <c r="BH20" s="20">
        <f t="shared" si="21"/>
        <v>0</v>
      </c>
      <c r="BI20" s="20">
        <f t="shared" si="22"/>
        <v>0</v>
      </c>
      <c r="BJ20" s="20">
        <f t="shared" si="23"/>
        <v>0</v>
      </c>
      <c r="BK20" s="20" t="s">
        <v>2978</v>
      </c>
      <c r="BL20" s="36">
        <v>13</v>
      </c>
    </row>
    <row r="21" spans="1:64" x14ac:dyDescent="0.2">
      <c r="A21" s="4" t="s">
        <v>12</v>
      </c>
      <c r="B21" s="13" t="s">
        <v>964</v>
      </c>
      <c r="C21" s="174" t="s">
        <v>1866</v>
      </c>
      <c r="D21" s="175"/>
      <c r="E21" s="175"/>
      <c r="F21" s="175"/>
      <c r="G21" s="13" t="s">
        <v>2853</v>
      </c>
      <c r="H21" s="82">
        <v>127.82</v>
      </c>
      <c r="I21" s="109">
        <v>0</v>
      </c>
      <c r="J21" s="20">
        <f t="shared" si="0"/>
        <v>0</v>
      </c>
      <c r="K21" s="20">
        <f t="shared" si="1"/>
        <v>0</v>
      </c>
      <c r="L21" s="20">
        <f t="shared" si="2"/>
        <v>0</v>
      </c>
      <c r="M21" s="31" t="s">
        <v>2884</v>
      </c>
      <c r="N21" s="5"/>
      <c r="Z21" s="36">
        <f t="shared" si="3"/>
        <v>0</v>
      </c>
      <c r="AB21" s="36">
        <f t="shared" si="4"/>
        <v>0</v>
      </c>
      <c r="AC21" s="36">
        <f t="shared" si="5"/>
        <v>0</v>
      </c>
      <c r="AD21" s="36">
        <f t="shared" si="6"/>
        <v>0</v>
      </c>
      <c r="AE21" s="36">
        <f t="shared" si="7"/>
        <v>0</v>
      </c>
      <c r="AF21" s="36">
        <f t="shared" si="8"/>
        <v>0</v>
      </c>
      <c r="AG21" s="36">
        <f t="shared" si="9"/>
        <v>0</v>
      </c>
      <c r="AH21" s="36">
        <f t="shared" si="10"/>
        <v>0</v>
      </c>
      <c r="AI21" s="35" t="s">
        <v>2894</v>
      </c>
      <c r="AJ21" s="20">
        <f t="shared" si="11"/>
        <v>0</v>
      </c>
      <c r="AK21" s="20">
        <f t="shared" si="12"/>
        <v>0</v>
      </c>
      <c r="AL21" s="20">
        <f t="shared" si="13"/>
        <v>0</v>
      </c>
      <c r="AN21" s="36">
        <v>21</v>
      </c>
      <c r="AO21" s="36">
        <f t="shared" si="14"/>
        <v>0</v>
      </c>
      <c r="AP21" s="36">
        <f t="shared" si="15"/>
        <v>0</v>
      </c>
      <c r="AQ21" s="37" t="s">
        <v>7</v>
      </c>
      <c r="AV21" s="36">
        <f t="shared" si="16"/>
        <v>0</v>
      </c>
      <c r="AW21" s="36">
        <f t="shared" si="17"/>
        <v>0</v>
      </c>
      <c r="AX21" s="36">
        <f t="shared" si="18"/>
        <v>0</v>
      </c>
      <c r="AY21" s="39" t="s">
        <v>2903</v>
      </c>
      <c r="AZ21" s="39" t="s">
        <v>2946</v>
      </c>
      <c r="BA21" s="35" t="s">
        <v>2967</v>
      </c>
      <c r="BC21" s="36">
        <f t="shared" si="19"/>
        <v>0</v>
      </c>
      <c r="BD21" s="36">
        <f t="shared" si="20"/>
        <v>0</v>
      </c>
      <c r="BE21" s="36">
        <v>0</v>
      </c>
      <c r="BF21" s="36">
        <f>21</f>
        <v>21</v>
      </c>
      <c r="BH21" s="20">
        <f t="shared" si="21"/>
        <v>0</v>
      </c>
      <c r="BI21" s="20">
        <f t="shared" si="22"/>
        <v>0</v>
      </c>
      <c r="BJ21" s="20">
        <f t="shared" si="23"/>
        <v>0</v>
      </c>
      <c r="BK21" s="20" t="s">
        <v>2978</v>
      </c>
      <c r="BL21" s="36">
        <v>13</v>
      </c>
    </row>
    <row r="22" spans="1:64" x14ac:dyDescent="0.2">
      <c r="A22" s="4" t="s">
        <v>13</v>
      </c>
      <c r="B22" s="13" t="s">
        <v>965</v>
      </c>
      <c r="C22" s="174" t="s">
        <v>1867</v>
      </c>
      <c r="D22" s="175"/>
      <c r="E22" s="175"/>
      <c r="F22" s="175"/>
      <c r="G22" s="13" t="s">
        <v>2853</v>
      </c>
      <c r="H22" s="82">
        <v>49.707999999999998</v>
      </c>
      <c r="I22" s="109">
        <v>0</v>
      </c>
      <c r="J22" s="20">
        <f t="shared" si="0"/>
        <v>0</v>
      </c>
      <c r="K22" s="20">
        <f t="shared" si="1"/>
        <v>0</v>
      </c>
      <c r="L22" s="20">
        <f t="shared" si="2"/>
        <v>0</v>
      </c>
      <c r="M22" s="31" t="s">
        <v>2884</v>
      </c>
      <c r="N22" s="5"/>
      <c r="Z22" s="36">
        <f t="shared" si="3"/>
        <v>0</v>
      </c>
      <c r="AB22" s="36">
        <f t="shared" si="4"/>
        <v>0</v>
      </c>
      <c r="AC22" s="36">
        <f t="shared" si="5"/>
        <v>0</v>
      </c>
      <c r="AD22" s="36">
        <f t="shared" si="6"/>
        <v>0</v>
      </c>
      <c r="AE22" s="36">
        <f t="shared" si="7"/>
        <v>0</v>
      </c>
      <c r="AF22" s="36">
        <f t="shared" si="8"/>
        <v>0</v>
      </c>
      <c r="AG22" s="36">
        <f t="shared" si="9"/>
        <v>0</v>
      </c>
      <c r="AH22" s="36">
        <f t="shared" si="10"/>
        <v>0</v>
      </c>
      <c r="AI22" s="35" t="s">
        <v>2894</v>
      </c>
      <c r="AJ22" s="20">
        <f t="shared" si="11"/>
        <v>0</v>
      </c>
      <c r="AK22" s="20">
        <f t="shared" si="12"/>
        <v>0</v>
      </c>
      <c r="AL22" s="20">
        <f t="shared" si="13"/>
        <v>0</v>
      </c>
      <c r="AN22" s="36">
        <v>21</v>
      </c>
      <c r="AO22" s="36">
        <f t="shared" si="14"/>
        <v>0</v>
      </c>
      <c r="AP22" s="36">
        <f t="shared" si="15"/>
        <v>0</v>
      </c>
      <c r="AQ22" s="37" t="s">
        <v>7</v>
      </c>
      <c r="AV22" s="36">
        <f t="shared" si="16"/>
        <v>0</v>
      </c>
      <c r="AW22" s="36">
        <f t="shared" si="17"/>
        <v>0</v>
      </c>
      <c r="AX22" s="36">
        <f t="shared" si="18"/>
        <v>0</v>
      </c>
      <c r="AY22" s="39" t="s">
        <v>2903</v>
      </c>
      <c r="AZ22" s="39" t="s">
        <v>2946</v>
      </c>
      <c r="BA22" s="35" t="s">
        <v>2967</v>
      </c>
      <c r="BC22" s="36">
        <f t="shared" si="19"/>
        <v>0</v>
      </c>
      <c r="BD22" s="36">
        <f t="shared" si="20"/>
        <v>0</v>
      </c>
      <c r="BE22" s="36">
        <v>0</v>
      </c>
      <c r="BF22" s="36">
        <f>22</f>
        <v>22</v>
      </c>
      <c r="BH22" s="20">
        <f t="shared" si="21"/>
        <v>0</v>
      </c>
      <c r="BI22" s="20">
        <f t="shared" si="22"/>
        <v>0</v>
      </c>
      <c r="BJ22" s="20">
        <f t="shared" si="23"/>
        <v>0</v>
      </c>
      <c r="BK22" s="20" t="s">
        <v>2978</v>
      </c>
      <c r="BL22" s="36">
        <v>13</v>
      </c>
    </row>
    <row r="23" spans="1:64" x14ac:dyDescent="0.2">
      <c r="A23" s="4" t="s">
        <v>14</v>
      </c>
      <c r="B23" s="13" t="s">
        <v>966</v>
      </c>
      <c r="C23" s="174" t="s">
        <v>1868</v>
      </c>
      <c r="D23" s="175"/>
      <c r="E23" s="175"/>
      <c r="F23" s="175"/>
      <c r="G23" s="13" t="s">
        <v>2853</v>
      </c>
      <c r="H23" s="82">
        <v>49.707999999999998</v>
      </c>
      <c r="I23" s="109">
        <v>0</v>
      </c>
      <c r="J23" s="20">
        <f t="shared" si="0"/>
        <v>0</v>
      </c>
      <c r="K23" s="20">
        <f t="shared" si="1"/>
        <v>0</v>
      </c>
      <c r="L23" s="20">
        <f t="shared" si="2"/>
        <v>0</v>
      </c>
      <c r="M23" s="31" t="s">
        <v>2884</v>
      </c>
      <c r="N23" s="5"/>
      <c r="Z23" s="36">
        <f t="shared" si="3"/>
        <v>0</v>
      </c>
      <c r="AB23" s="36">
        <f t="shared" si="4"/>
        <v>0</v>
      </c>
      <c r="AC23" s="36">
        <f t="shared" si="5"/>
        <v>0</v>
      </c>
      <c r="AD23" s="36">
        <f t="shared" si="6"/>
        <v>0</v>
      </c>
      <c r="AE23" s="36">
        <f t="shared" si="7"/>
        <v>0</v>
      </c>
      <c r="AF23" s="36">
        <f t="shared" si="8"/>
        <v>0</v>
      </c>
      <c r="AG23" s="36">
        <f t="shared" si="9"/>
        <v>0</v>
      </c>
      <c r="AH23" s="36">
        <f t="shared" si="10"/>
        <v>0</v>
      </c>
      <c r="AI23" s="35" t="s">
        <v>2894</v>
      </c>
      <c r="AJ23" s="20">
        <f t="shared" si="11"/>
        <v>0</v>
      </c>
      <c r="AK23" s="20">
        <f t="shared" si="12"/>
        <v>0</v>
      </c>
      <c r="AL23" s="20">
        <f t="shared" si="13"/>
        <v>0</v>
      </c>
      <c r="AN23" s="36">
        <v>21</v>
      </c>
      <c r="AO23" s="36">
        <f t="shared" si="14"/>
        <v>0</v>
      </c>
      <c r="AP23" s="36">
        <f t="shared" si="15"/>
        <v>0</v>
      </c>
      <c r="AQ23" s="37" t="s">
        <v>7</v>
      </c>
      <c r="AV23" s="36">
        <f t="shared" si="16"/>
        <v>0</v>
      </c>
      <c r="AW23" s="36">
        <f t="shared" si="17"/>
        <v>0</v>
      </c>
      <c r="AX23" s="36">
        <f t="shared" si="18"/>
        <v>0</v>
      </c>
      <c r="AY23" s="39" t="s">
        <v>2903</v>
      </c>
      <c r="AZ23" s="39" t="s">
        <v>2946</v>
      </c>
      <c r="BA23" s="35" t="s">
        <v>2967</v>
      </c>
      <c r="BC23" s="36">
        <f t="shared" si="19"/>
        <v>0</v>
      </c>
      <c r="BD23" s="36">
        <f t="shared" si="20"/>
        <v>0</v>
      </c>
      <c r="BE23" s="36">
        <v>0</v>
      </c>
      <c r="BF23" s="36">
        <f>23</f>
        <v>23</v>
      </c>
      <c r="BH23" s="20">
        <f t="shared" si="21"/>
        <v>0</v>
      </c>
      <c r="BI23" s="20">
        <f t="shared" si="22"/>
        <v>0</v>
      </c>
      <c r="BJ23" s="20">
        <f t="shared" si="23"/>
        <v>0</v>
      </c>
      <c r="BK23" s="20" t="s">
        <v>2978</v>
      </c>
      <c r="BL23" s="36">
        <v>13</v>
      </c>
    </row>
    <row r="24" spans="1:64" x14ac:dyDescent="0.2">
      <c r="A24" s="4" t="s">
        <v>15</v>
      </c>
      <c r="B24" s="13" t="s">
        <v>967</v>
      </c>
      <c r="C24" s="174" t="s">
        <v>1869</v>
      </c>
      <c r="D24" s="175"/>
      <c r="E24" s="175"/>
      <c r="F24" s="175"/>
      <c r="G24" s="13" t="s">
        <v>2853</v>
      </c>
      <c r="H24" s="82">
        <v>1.845</v>
      </c>
      <c r="I24" s="109">
        <v>0</v>
      </c>
      <c r="J24" s="20">
        <f t="shared" si="0"/>
        <v>0</v>
      </c>
      <c r="K24" s="20">
        <f t="shared" si="1"/>
        <v>0</v>
      </c>
      <c r="L24" s="20">
        <f t="shared" si="2"/>
        <v>0</v>
      </c>
      <c r="M24" s="31" t="s">
        <v>2884</v>
      </c>
      <c r="N24" s="5"/>
      <c r="Z24" s="36">
        <f t="shared" si="3"/>
        <v>0</v>
      </c>
      <c r="AB24" s="36">
        <f t="shared" si="4"/>
        <v>0</v>
      </c>
      <c r="AC24" s="36">
        <f t="shared" si="5"/>
        <v>0</v>
      </c>
      <c r="AD24" s="36">
        <f t="shared" si="6"/>
        <v>0</v>
      </c>
      <c r="AE24" s="36">
        <f t="shared" si="7"/>
        <v>0</v>
      </c>
      <c r="AF24" s="36">
        <f t="shared" si="8"/>
        <v>0</v>
      </c>
      <c r="AG24" s="36">
        <f t="shared" si="9"/>
        <v>0</v>
      </c>
      <c r="AH24" s="36">
        <f t="shared" si="10"/>
        <v>0</v>
      </c>
      <c r="AI24" s="35" t="s">
        <v>2894</v>
      </c>
      <c r="AJ24" s="20">
        <f t="shared" si="11"/>
        <v>0</v>
      </c>
      <c r="AK24" s="20">
        <f t="shared" si="12"/>
        <v>0</v>
      </c>
      <c r="AL24" s="20">
        <f t="shared" si="13"/>
        <v>0</v>
      </c>
      <c r="AN24" s="36">
        <v>21</v>
      </c>
      <c r="AO24" s="36">
        <f t="shared" si="14"/>
        <v>0</v>
      </c>
      <c r="AP24" s="36">
        <f t="shared" si="15"/>
        <v>0</v>
      </c>
      <c r="AQ24" s="37" t="s">
        <v>7</v>
      </c>
      <c r="AV24" s="36">
        <f t="shared" si="16"/>
        <v>0</v>
      </c>
      <c r="AW24" s="36">
        <f t="shared" si="17"/>
        <v>0</v>
      </c>
      <c r="AX24" s="36">
        <f t="shared" si="18"/>
        <v>0</v>
      </c>
      <c r="AY24" s="39" t="s">
        <v>2903</v>
      </c>
      <c r="AZ24" s="39" t="s">
        <v>2946</v>
      </c>
      <c r="BA24" s="35" t="s">
        <v>2967</v>
      </c>
      <c r="BC24" s="36">
        <f t="shared" si="19"/>
        <v>0</v>
      </c>
      <c r="BD24" s="36">
        <f t="shared" si="20"/>
        <v>0</v>
      </c>
      <c r="BE24" s="36">
        <v>0</v>
      </c>
      <c r="BF24" s="36">
        <f>24</f>
        <v>24</v>
      </c>
      <c r="BH24" s="20">
        <f t="shared" si="21"/>
        <v>0</v>
      </c>
      <c r="BI24" s="20">
        <f t="shared" si="22"/>
        <v>0</v>
      </c>
      <c r="BJ24" s="20">
        <f t="shared" si="23"/>
        <v>0</v>
      </c>
      <c r="BK24" s="20" t="s">
        <v>2978</v>
      </c>
      <c r="BL24" s="36">
        <v>13</v>
      </c>
    </row>
    <row r="25" spans="1:64" x14ac:dyDescent="0.2">
      <c r="A25" s="3"/>
      <c r="B25" s="12" t="s">
        <v>22</v>
      </c>
      <c r="C25" s="172" t="s">
        <v>1870</v>
      </c>
      <c r="D25" s="173"/>
      <c r="E25" s="173"/>
      <c r="F25" s="173"/>
      <c r="G25" s="18" t="s">
        <v>6</v>
      </c>
      <c r="H25" s="18" t="s">
        <v>6</v>
      </c>
      <c r="I25" s="18" t="s">
        <v>6</v>
      </c>
      <c r="J25" s="41">
        <f>SUM(J26:J30)</f>
        <v>0</v>
      </c>
      <c r="K25" s="41">
        <f>SUM(K26:K30)</f>
        <v>0</v>
      </c>
      <c r="L25" s="41">
        <f>SUM(L26:L30)</f>
        <v>0</v>
      </c>
      <c r="M25" s="30"/>
      <c r="N25" s="5"/>
      <c r="AI25" s="35" t="s">
        <v>2894</v>
      </c>
      <c r="AS25" s="41">
        <f>SUM(AJ26:AJ30)</f>
        <v>0</v>
      </c>
      <c r="AT25" s="41">
        <f>SUM(AK26:AK30)</f>
        <v>0</v>
      </c>
      <c r="AU25" s="41">
        <f>SUM(AL26:AL30)</f>
        <v>0</v>
      </c>
    </row>
    <row r="26" spans="1:64" x14ac:dyDescent="0.2">
      <c r="A26" s="4" t="s">
        <v>16</v>
      </c>
      <c r="B26" s="13" t="s">
        <v>968</v>
      </c>
      <c r="C26" s="174" t="s">
        <v>1871</v>
      </c>
      <c r="D26" s="175"/>
      <c r="E26" s="175"/>
      <c r="F26" s="175"/>
      <c r="G26" s="13" t="s">
        <v>2853</v>
      </c>
      <c r="H26" s="82">
        <v>465.65499999999997</v>
      </c>
      <c r="I26" s="109">
        <v>0</v>
      </c>
      <c r="J26" s="20">
        <f>H26*AO26</f>
        <v>0</v>
      </c>
      <c r="K26" s="20">
        <f>H26*AP26</f>
        <v>0</v>
      </c>
      <c r="L26" s="20">
        <f>H26*I26</f>
        <v>0</v>
      </c>
      <c r="M26" s="31" t="s">
        <v>2884</v>
      </c>
      <c r="N26" s="5"/>
      <c r="Z26" s="36">
        <f>IF(AQ26="5",BJ26,0)</f>
        <v>0</v>
      </c>
      <c r="AB26" s="36">
        <f>IF(AQ26="1",BH26,0)</f>
        <v>0</v>
      </c>
      <c r="AC26" s="36">
        <f>IF(AQ26="1",BI26,0)</f>
        <v>0</v>
      </c>
      <c r="AD26" s="36">
        <f>IF(AQ26="7",BH26,0)</f>
        <v>0</v>
      </c>
      <c r="AE26" s="36">
        <f>IF(AQ26="7",BI26,0)</f>
        <v>0</v>
      </c>
      <c r="AF26" s="36">
        <f>IF(AQ26="2",BH26,0)</f>
        <v>0</v>
      </c>
      <c r="AG26" s="36">
        <f>IF(AQ26="2",BI26,0)</f>
        <v>0</v>
      </c>
      <c r="AH26" s="36">
        <f>IF(AQ26="0",BJ26,0)</f>
        <v>0</v>
      </c>
      <c r="AI26" s="35" t="s">
        <v>2894</v>
      </c>
      <c r="AJ26" s="20">
        <f>IF(AN26=0,L26,0)</f>
        <v>0</v>
      </c>
      <c r="AK26" s="20">
        <f>IF(AN26=15,L26,0)</f>
        <v>0</v>
      </c>
      <c r="AL26" s="20">
        <f>IF(AN26=21,L26,0)</f>
        <v>0</v>
      </c>
      <c r="AN26" s="36">
        <v>21</v>
      </c>
      <c r="AO26" s="36">
        <f>I26*0</f>
        <v>0</v>
      </c>
      <c r="AP26" s="36">
        <f>I26*(1-0)</f>
        <v>0</v>
      </c>
      <c r="AQ26" s="37" t="s">
        <v>7</v>
      </c>
      <c r="AV26" s="36">
        <f>AW26+AX26</f>
        <v>0</v>
      </c>
      <c r="AW26" s="36">
        <f>H26*AO26</f>
        <v>0</v>
      </c>
      <c r="AX26" s="36">
        <f>H26*AP26</f>
        <v>0</v>
      </c>
      <c r="AY26" s="39" t="s">
        <v>2904</v>
      </c>
      <c r="AZ26" s="39" t="s">
        <v>2946</v>
      </c>
      <c r="BA26" s="35" t="s">
        <v>2967</v>
      </c>
      <c r="BC26" s="36">
        <f>AW26+AX26</f>
        <v>0</v>
      </c>
      <c r="BD26" s="36">
        <f>I26/(100-BE26)*100</f>
        <v>0</v>
      </c>
      <c r="BE26" s="36">
        <v>0</v>
      </c>
      <c r="BF26" s="36">
        <f>26</f>
        <v>26</v>
      </c>
      <c r="BH26" s="20">
        <f>H26*AO26</f>
        <v>0</v>
      </c>
      <c r="BI26" s="20">
        <f>H26*AP26</f>
        <v>0</v>
      </c>
      <c r="BJ26" s="20">
        <f>H26*I26</f>
        <v>0</v>
      </c>
      <c r="BK26" s="20" t="s">
        <v>2978</v>
      </c>
      <c r="BL26" s="36">
        <v>16</v>
      </c>
    </row>
    <row r="27" spans="1:64" x14ac:dyDescent="0.2">
      <c r="A27" s="4" t="s">
        <v>17</v>
      </c>
      <c r="B27" s="13" t="s">
        <v>968</v>
      </c>
      <c r="C27" s="174" t="s">
        <v>1872</v>
      </c>
      <c r="D27" s="175"/>
      <c r="E27" s="175"/>
      <c r="F27" s="175"/>
      <c r="G27" s="13" t="s">
        <v>2853</v>
      </c>
      <c r="H27" s="82">
        <v>465.65499999999997</v>
      </c>
      <c r="I27" s="109">
        <v>0</v>
      </c>
      <c r="J27" s="20">
        <f>H27*AO27</f>
        <v>0</v>
      </c>
      <c r="K27" s="20">
        <f>H27*AP27</f>
        <v>0</v>
      </c>
      <c r="L27" s="20">
        <f>H27*I27</f>
        <v>0</v>
      </c>
      <c r="M27" s="31" t="s">
        <v>2884</v>
      </c>
      <c r="N27" s="5"/>
      <c r="Z27" s="36">
        <f>IF(AQ27="5",BJ27,0)</f>
        <v>0</v>
      </c>
      <c r="AB27" s="36">
        <f>IF(AQ27="1",BH27,0)</f>
        <v>0</v>
      </c>
      <c r="AC27" s="36">
        <f>IF(AQ27="1",BI27,0)</f>
        <v>0</v>
      </c>
      <c r="AD27" s="36">
        <f>IF(AQ27="7",BH27,0)</f>
        <v>0</v>
      </c>
      <c r="AE27" s="36">
        <f>IF(AQ27="7",BI27,0)</f>
        <v>0</v>
      </c>
      <c r="AF27" s="36">
        <f>IF(AQ27="2",BH27,0)</f>
        <v>0</v>
      </c>
      <c r="AG27" s="36">
        <f>IF(AQ27="2",BI27,0)</f>
        <v>0</v>
      </c>
      <c r="AH27" s="36">
        <f>IF(AQ27="0",BJ27,0)</f>
        <v>0</v>
      </c>
      <c r="AI27" s="35" t="s">
        <v>2894</v>
      </c>
      <c r="AJ27" s="20">
        <f>IF(AN27=0,L27,0)</f>
        <v>0</v>
      </c>
      <c r="AK27" s="20">
        <f>IF(AN27=15,L27,0)</f>
        <v>0</v>
      </c>
      <c r="AL27" s="20">
        <f>IF(AN27=21,L27,0)</f>
        <v>0</v>
      </c>
      <c r="AN27" s="36">
        <v>21</v>
      </c>
      <c r="AO27" s="36">
        <f>I27*0</f>
        <v>0</v>
      </c>
      <c r="AP27" s="36">
        <f>I27*(1-0)</f>
        <v>0</v>
      </c>
      <c r="AQ27" s="37" t="s">
        <v>7</v>
      </c>
      <c r="AV27" s="36">
        <f>AW27+AX27</f>
        <v>0</v>
      </c>
      <c r="AW27" s="36">
        <f>H27*AO27</f>
        <v>0</v>
      </c>
      <c r="AX27" s="36">
        <f>H27*AP27</f>
        <v>0</v>
      </c>
      <c r="AY27" s="39" t="s">
        <v>2904</v>
      </c>
      <c r="AZ27" s="39" t="s">
        <v>2946</v>
      </c>
      <c r="BA27" s="35" t="s">
        <v>2967</v>
      </c>
      <c r="BC27" s="36">
        <f>AW27+AX27</f>
        <v>0</v>
      </c>
      <c r="BD27" s="36">
        <f>I27/(100-BE27)*100</f>
        <v>0</v>
      </c>
      <c r="BE27" s="36">
        <v>0</v>
      </c>
      <c r="BF27" s="36">
        <f>27</f>
        <v>27</v>
      </c>
      <c r="BH27" s="20">
        <f>H27*AO27</f>
        <v>0</v>
      </c>
      <c r="BI27" s="20">
        <f>H27*AP27</f>
        <v>0</v>
      </c>
      <c r="BJ27" s="20">
        <f>H27*I27</f>
        <v>0</v>
      </c>
      <c r="BK27" s="20" t="s">
        <v>2978</v>
      </c>
      <c r="BL27" s="36">
        <v>16</v>
      </c>
    </row>
    <row r="28" spans="1:64" x14ac:dyDescent="0.2">
      <c r="A28" s="4" t="s">
        <v>18</v>
      </c>
      <c r="B28" s="13" t="s">
        <v>969</v>
      </c>
      <c r="C28" s="174" t="s">
        <v>1873</v>
      </c>
      <c r="D28" s="175"/>
      <c r="E28" s="175"/>
      <c r="F28" s="175"/>
      <c r="G28" s="13" t="s">
        <v>2853</v>
      </c>
      <c r="H28" s="82">
        <v>144.23099999999999</v>
      </c>
      <c r="I28" s="109">
        <v>0</v>
      </c>
      <c r="J28" s="20">
        <f>H28*AO28</f>
        <v>0</v>
      </c>
      <c r="K28" s="20">
        <f>H28*AP28</f>
        <v>0</v>
      </c>
      <c r="L28" s="20">
        <f>H28*I28</f>
        <v>0</v>
      </c>
      <c r="M28" s="31" t="s">
        <v>2884</v>
      </c>
      <c r="N28" s="5"/>
      <c r="Z28" s="36">
        <f>IF(AQ28="5",BJ28,0)</f>
        <v>0</v>
      </c>
      <c r="AB28" s="36">
        <f>IF(AQ28="1",BH28,0)</f>
        <v>0</v>
      </c>
      <c r="AC28" s="36">
        <f>IF(AQ28="1",BI28,0)</f>
        <v>0</v>
      </c>
      <c r="AD28" s="36">
        <f>IF(AQ28="7",BH28,0)</f>
        <v>0</v>
      </c>
      <c r="AE28" s="36">
        <f>IF(AQ28="7",BI28,0)</f>
        <v>0</v>
      </c>
      <c r="AF28" s="36">
        <f>IF(AQ28="2",BH28,0)</f>
        <v>0</v>
      </c>
      <c r="AG28" s="36">
        <f>IF(AQ28="2",BI28,0)</f>
        <v>0</v>
      </c>
      <c r="AH28" s="36">
        <f>IF(AQ28="0",BJ28,0)</f>
        <v>0</v>
      </c>
      <c r="AI28" s="35" t="s">
        <v>2894</v>
      </c>
      <c r="AJ28" s="20">
        <f>IF(AN28=0,L28,0)</f>
        <v>0</v>
      </c>
      <c r="AK28" s="20">
        <f>IF(AN28=15,L28,0)</f>
        <v>0</v>
      </c>
      <c r="AL28" s="20">
        <f>IF(AN28=21,L28,0)</f>
        <v>0</v>
      </c>
      <c r="AN28" s="36">
        <v>21</v>
      </c>
      <c r="AO28" s="36">
        <f>I28*0</f>
        <v>0</v>
      </c>
      <c r="AP28" s="36">
        <f>I28*(1-0)</f>
        <v>0</v>
      </c>
      <c r="AQ28" s="37" t="s">
        <v>7</v>
      </c>
      <c r="AV28" s="36">
        <f>AW28+AX28</f>
        <v>0</v>
      </c>
      <c r="AW28" s="36">
        <f>H28*AO28</f>
        <v>0</v>
      </c>
      <c r="AX28" s="36">
        <f>H28*AP28</f>
        <v>0</v>
      </c>
      <c r="AY28" s="39" t="s">
        <v>2904</v>
      </c>
      <c r="AZ28" s="39" t="s">
        <v>2946</v>
      </c>
      <c r="BA28" s="35" t="s">
        <v>2967</v>
      </c>
      <c r="BC28" s="36">
        <f>AW28+AX28</f>
        <v>0</v>
      </c>
      <c r="BD28" s="36">
        <f>I28/(100-BE28)*100</f>
        <v>0</v>
      </c>
      <c r="BE28" s="36">
        <v>0</v>
      </c>
      <c r="BF28" s="36">
        <f>28</f>
        <v>28</v>
      </c>
      <c r="BH28" s="20">
        <f>H28*AO28</f>
        <v>0</v>
      </c>
      <c r="BI28" s="20">
        <f>H28*AP28</f>
        <v>0</v>
      </c>
      <c r="BJ28" s="20">
        <f>H28*I28</f>
        <v>0</v>
      </c>
      <c r="BK28" s="20" t="s">
        <v>2978</v>
      </c>
      <c r="BL28" s="36">
        <v>16</v>
      </c>
    </row>
    <row r="29" spans="1:64" x14ac:dyDescent="0.2">
      <c r="A29" s="4" t="s">
        <v>19</v>
      </c>
      <c r="B29" s="13" t="s">
        <v>970</v>
      </c>
      <c r="C29" s="174" t="s">
        <v>1874</v>
      </c>
      <c r="D29" s="175"/>
      <c r="E29" s="175"/>
      <c r="F29" s="175"/>
      <c r="G29" s="13" t="s">
        <v>2853</v>
      </c>
      <c r="H29" s="82">
        <v>931.31</v>
      </c>
      <c r="I29" s="109">
        <v>0</v>
      </c>
      <c r="J29" s="20">
        <f>H29*AO29</f>
        <v>0</v>
      </c>
      <c r="K29" s="20">
        <f>H29*AP29</f>
        <v>0</v>
      </c>
      <c r="L29" s="20">
        <f>H29*I29</f>
        <v>0</v>
      </c>
      <c r="M29" s="31" t="s">
        <v>2884</v>
      </c>
      <c r="N29" s="5"/>
      <c r="Z29" s="36">
        <f>IF(AQ29="5",BJ29,0)</f>
        <v>0</v>
      </c>
      <c r="AB29" s="36">
        <f>IF(AQ29="1",BH29,0)</f>
        <v>0</v>
      </c>
      <c r="AC29" s="36">
        <f>IF(AQ29="1",BI29,0)</f>
        <v>0</v>
      </c>
      <c r="AD29" s="36">
        <f>IF(AQ29="7",BH29,0)</f>
        <v>0</v>
      </c>
      <c r="AE29" s="36">
        <f>IF(AQ29="7",BI29,0)</f>
        <v>0</v>
      </c>
      <c r="AF29" s="36">
        <f>IF(AQ29="2",BH29,0)</f>
        <v>0</v>
      </c>
      <c r="AG29" s="36">
        <f>IF(AQ29="2",BI29,0)</f>
        <v>0</v>
      </c>
      <c r="AH29" s="36">
        <f>IF(AQ29="0",BJ29,0)</f>
        <v>0</v>
      </c>
      <c r="AI29" s="35" t="s">
        <v>2894</v>
      </c>
      <c r="AJ29" s="20">
        <f>IF(AN29=0,L29,0)</f>
        <v>0</v>
      </c>
      <c r="AK29" s="20">
        <f>IF(AN29=15,L29,0)</f>
        <v>0</v>
      </c>
      <c r="AL29" s="20">
        <f>IF(AN29=21,L29,0)</f>
        <v>0</v>
      </c>
      <c r="AN29" s="36">
        <v>21</v>
      </c>
      <c r="AO29" s="36">
        <f>I29*0</f>
        <v>0</v>
      </c>
      <c r="AP29" s="36">
        <f>I29*(1-0)</f>
        <v>0</v>
      </c>
      <c r="AQ29" s="37" t="s">
        <v>7</v>
      </c>
      <c r="AV29" s="36">
        <f>AW29+AX29</f>
        <v>0</v>
      </c>
      <c r="AW29" s="36">
        <f>H29*AO29</f>
        <v>0</v>
      </c>
      <c r="AX29" s="36">
        <f>H29*AP29</f>
        <v>0</v>
      </c>
      <c r="AY29" s="39" t="s">
        <v>2904</v>
      </c>
      <c r="AZ29" s="39" t="s">
        <v>2946</v>
      </c>
      <c r="BA29" s="35" t="s">
        <v>2967</v>
      </c>
      <c r="BC29" s="36">
        <f>AW29+AX29</f>
        <v>0</v>
      </c>
      <c r="BD29" s="36">
        <f>I29/(100-BE29)*100</f>
        <v>0</v>
      </c>
      <c r="BE29" s="36">
        <v>0</v>
      </c>
      <c r="BF29" s="36">
        <f>29</f>
        <v>29</v>
      </c>
      <c r="BH29" s="20">
        <f>H29*AO29</f>
        <v>0</v>
      </c>
      <c r="BI29" s="20">
        <f>H29*AP29</f>
        <v>0</v>
      </c>
      <c r="BJ29" s="20">
        <f>H29*I29</f>
        <v>0</v>
      </c>
      <c r="BK29" s="20" t="s">
        <v>2978</v>
      </c>
      <c r="BL29" s="36">
        <v>16</v>
      </c>
    </row>
    <row r="30" spans="1:64" x14ac:dyDescent="0.2">
      <c r="A30" s="4" t="s">
        <v>20</v>
      </c>
      <c r="B30" s="13" t="s">
        <v>970</v>
      </c>
      <c r="C30" s="174" t="s">
        <v>1875</v>
      </c>
      <c r="D30" s="175"/>
      <c r="E30" s="175"/>
      <c r="F30" s="175"/>
      <c r="G30" s="13" t="s">
        <v>2853</v>
      </c>
      <c r="H30" s="82">
        <v>144.23099999999999</v>
      </c>
      <c r="I30" s="109">
        <v>0</v>
      </c>
      <c r="J30" s="20">
        <f>H30*AO30</f>
        <v>0</v>
      </c>
      <c r="K30" s="20">
        <f>H30*AP30</f>
        <v>0</v>
      </c>
      <c r="L30" s="20">
        <f>H30*I30</f>
        <v>0</v>
      </c>
      <c r="M30" s="31" t="s">
        <v>2884</v>
      </c>
      <c r="N30" s="5"/>
      <c r="Z30" s="36">
        <f>IF(AQ30="5",BJ30,0)</f>
        <v>0</v>
      </c>
      <c r="AB30" s="36">
        <f>IF(AQ30="1",BH30,0)</f>
        <v>0</v>
      </c>
      <c r="AC30" s="36">
        <f>IF(AQ30="1",BI30,0)</f>
        <v>0</v>
      </c>
      <c r="AD30" s="36">
        <f>IF(AQ30="7",BH30,0)</f>
        <v>0</v>
      </c>
      <c r="AE30" s="36">
        <f>IF(AQ30="7",BI30,0)</f>
        <v>0</v>
      </c>
      <c r="AF30" s="36">
        <f>IF(AQ30="2",BH30,0)</f>
        <v>0</v>
      </c>
      <c r="AG30" s="36">
        <f>IF(AQ30="2",BI30,0)</f>
        <v>0</v>
      </c>
      <c r="AH30" s="36">
        <f>IF(AQ30="0",BJ30,0)</f>
        <v>0</v>
      </c>
      <c r="AI30" s="35" t="s">
        <v>2894</v>
      </c>
      <c r="AJ30" s="20">
        <f>IF(AN30=0,L30,0)</f>
        <v>0</v>
      </c>
      <c r="AK30" s="20">
        <f>IF(AN30=15,L30,0)</f>
        <v>0</v>
      </c>
      <c r="AL30" s="20">
        <f>IF(AN30=21,L30,0)</f>
        <v>0</v>
      </c>
      <c r="AN30" s="36">
        <v>21</v>
      </c>
      <c r="AO30" s="36">
        <f>I30*0</f>
        <v>0</v>
      </c>
      <c r="AP30" s="36">
        <f>I30*(1-0)</f>
        <v>0</v>
      </c>
      <c r="AQ30" s="37" t="s">
        <v>7</v>
      </c>
      <c r="AV30" s="36">
        <f>AW30+AX30</f>
        <v>0</v>
      </c>
      <c r="AW30" s="36">
        <f>H30*AO30</f>
        <v>0</v>
      </c>
      <c r="AX30" s="36">
        <f>H30*AP30</f>
        <v>0</v>
      </c>
      <c r="AY30" s="39" t="s">
        <v>2904</v>
      </c>
      <c r="AZ30" s="39" t="s">
        <v>2946</v>
      </c>
      <c r="BA30" s="35" t="s">
        <v>2967</v>
      </c>
      <c r="BC30" s="36">
        <f>AW30+AX30</f>
        <v>0</v>
      </c>
      <c r="BD30" s="36">
        <f>I30/(100-BE30)*100</f>
        <v>0</v>
      </c>
      <c r="BE30" s="36">
        <v>0</v>
      </c>
      <c r="BF30" s="36">
        <f>30</f>
        <v>30</v>
      </c>
      <c r="BH30" s="20">
        <f>H30*AO30</f>
        <v>0</v>
      </c>
      <c r="BI30" s="20">
        <f>H30*AP30</f>
        <v>0</v>
      </c>
      <c r="BJ30" s="20">
        <f>H30*I30</f>
        <v>0</v>
      </c>
      <c r="BK30" s="20" t="s">
        <v>2978</v>
      </c>
      <c r="BL30" s="36">
        <v>16</v>
      </c>
    </row>
    <row r="31" spans="1:64" x14ac:dyDescent="0.2">
      <c r="A31" s="3"/>
      <c r="B31" s="12" t="s">
        <v>23</v>
      </c>
      <c r="C31" s="172" t="s">
        <v>1876</v>
      </c>
      <c r="D31" s="173"/>
      <c r="E31" s="173"/>
      <c r="F31" s="173"/>
      <c r="G31" s="18" t="s">
        <v>6</v>
      </c>
      <c r="H31" s="18" t="s">
        <v>6</v>
      </c>
      <c r="I31" s="18" t="s">
        <v>6</v>
      </c>
      <c r="J31" s="41">
        <f>SUM(J32:J36)</f>
        <v>0</v>
      </c>
      <c r="K31" s="41">
        <f>SUM(K32:K36)</f>
        <v>0</v>
      </c>
      <c r="L31" s="41">
        <f>SUM(L32:L36)</f>
        <v>0</v>
      </c>
      <c r="M31" s="30"/>
      <c r="N31" s="5"/>
      <c r="AI31" s="35" t="s">
        <v>2894</v>
      </c>
      <c r="AS31" s="41">
        <f>SUM(AJ32:AJ36)</f>
        <v>0</v>
      </c>
      <c r="AT31" s="41">
        <f>SUM(AK32:AK36)</f>
        <v>0</v>
      </c>
      <c r="AU31" s="41">
        <f>SUM(AL32:AL36)</f>
        <v>0</v>
      </c>
    </row>
    <row r="32" spans="1:64" x14ac:dyDescent="0.2">
      <c r="A32" s="4" t="s">
        <v>21</v>
      </c>
      <c r="B32" s="13" t="s">
        <v>971</v>
      </c>
      <c r="C32" s="174" t="s">
        <v>1877</v>
      </c>
      <c r="D32" s="175"/>
      <c r="E32" s="175"/>
      <c r="F32" s="175"/>
      <c r="G32" s="13" t="s">
        <v>2853</v>
      </c>
      <c r="H32" s="82">
        <v>250</v>
      </c>
      <c r="I32" s="109">
        <v>0</v>
      </c>
      <c r="J32" s="20">
        <f>H32*AO32</f>
        <v>0</v>
      </c>
      <c r="K32" s="20">
        <f>H32*AP32</f>
        <v>0</v>
      </c>
      <c r="L32" s="20">
        <f>H32*I32</f>
        <v>0</v>
      </c>
      <c r="M32" s="31" t="s">
        <v>2884</v>
      </c>
      <c r="N32" s="5"/>
      <c r="Z32" s="36">
        <f>IF(AQ32="5",BJ32,0)</f>
        <v>0</v>
      </c>
      <c r="AB32" s="36">
        <f>IF(AQ32="1",BH32,0)</f>
        <v>0</v>
      </c>
      <c r="AC32" s="36">
        <f>IF(AQ32="1",BI32,0)</f>
        <v>0</v>
      </c>
      <c r="AD32" s="36">
        <f>IF(AQ32="7",BH32,0)</f>
        <v>0</v>
      </c>
      <c r="AE32" s="36">
        <f>IF(AQ32="7",BI32,0)</f>
        <v>0</v>
      </c>
      <c r="AF32" s="36">
        <f>IF(AQ32="2",BH32,0)</f>
        <v>0</v>
      </c>
      <c r="AG32" s="36">
        <f>IF(AQ32="2",BI32,0)</f>
        <v>0</v>
      </c>
      <c r="AH32" s="36">
        <f>IF(AQ32="0",BJ32,0)</f>
        <v>0</v>
      </c>
      <c r="AI32" s="35" t="s">
        <v>2894</v>
      </c>
      <c r="AJ32" s="20">
        <f>IF(AN32=0,L32,0)</f>
        <v>0</v>
      </c>
      <c r="AK32" s="20">
        <f>IF(AN32=15,L32,0)</f>
        <v>0</v>
      </c>
      <c r="AL32" s="20">
        <f>IF(AN32=21,L32,0)</f>
        <v>0</v>
      </c>
      <c r="AN32" s="36">
        <v>21</v>
      </c>
      <c r="AO32" s="36">
        <f>I32*0</f>
        <v>0</v>
      </c>
      <c r="AP32" s="36">
        <f>I32*(1-0)</f>
        <v>0</v>
      </c>
      <c r="AQ32" s="37" t="s">
        <v>7</v>
      </c>
      <c r="AV32" s="36">
        <f>AW32+AX32</f>
        <v>0</v>
      </c>
      <c r="AW32" s="36">
        <f>H32*AO32</f>
        <v>0</v>
      </c>
      <c r="AX32" s="36">
        <f>H32*AP32</f>
        <v>0</v>
      </c>
      <c r="AY32" s="39" t="s">
        <v>2905</v>
      </c>
      <c r="AZ32" s="39" t="s">
        <v>2946</v>
      </c>
      <c r="BA32" s="35" t="s">
        <v>2967</v>
      </c>
      <c r="BC32" s="36">
        <f>AW32+AX32</f>
        <v>0</v>
      </c>
      <c r="BD32" s="36">
        <f>I32/(100-BE32)*100</f>
        <v>0</v>
      </c>
      <c r="BE32" s="36">
        <v>0</v>
      </c>
      <c r="BF32" s="36">
        <f>32</f>
        <v>32</v>
      </c>
      <c r="BH32" s="20">
        <f>H32*AO32</f>
        <v>0</v>
      </c>
      <c r="BI32" s="20">
        <f>H32*AP32</f>
        <v>0</v>
      </c>
      <c r="BJ32" s="20">
        <f>H32*I32</f>
        <v>0</v>
      </c>
      <c r="BK32" s="20" t="s">
        <v>2978</v>
      </c>
      <c r="BL32" s="36">
        <v>17</v>
      </c>
    </row>
    <row r="33" spans="1:64" x14ac:dyDescent="0.2">
      <c r="A33" s="4" t="s">
        <v>22</v>
      </c>
      <c r="B33" s="13" t="s">
        <v>972</v>
      </c>
      <c r="C33" s="174" t="s">
        <v>1878</v>
      </c>
      <c r="D33" s="175"/>
      <c r="E33" s="175"/>
      <c r="F33" s="175"/>
      <c r="G33" s="13" t="s">
        <v>2853</v>
      </c>
      <c r="H33" s="82">
        <v>465.65499999999997</v>
      </c>
      <c r="I33" s="109">
        <v>0</v>
      </c>
      <c r="J33" s="20">
        <f>H33*AO33</f>
        <v>0</v>
      </c>
      <c r="K33" s="20">
        <f>H33*AP33</f>
        <v>0</v>
      </c>
      <c r="L33" s="20">
        <f>H33*I33</f>
        <v>0</v>
      </c>
      <c r="M33" s="31" t="s">
        <v>2884</v>
      </c>
      <c r="N33" s="5"/>
      <c r="Z33" s="36">
        <f>IF(AQ33="5",BJ33,0)</f>
        <v>0</v>
      </c>
      <c r="AB33" s="36">
        <f>IF(AQ33="1",BH33,0)</f>
        <v>0</v>
      </c>
      <c r="AC33" s="36">
        <f>IF(AQ33="1",BI33,0)</f>
        <v>0</v>
      </c>
      <c r="AD33" s="36">
        <f>IF(AQ33="7",BH33,0)</f>
        <v>0</v>
      </c>
      <c r="AE33" s="36">
        <f>IF(AQ33="7",BI33,0)</f>
        <v>0</v>
      </c>
      <c r="AF33" s="36">
        <f>IF(AQ33="2",BH33,0)</f>
        <v>0</v>
      </c>
      <c r="AG33" s="36">
        <f>IF(AQ33="2",BI33,0)</f>
        <v>0</v>
      </c>
      <c r="AH33" s="36">
        <f>IF(AQ33="0",BJ33,0)</f>
        <v>0</v>
      </c>
      <c r="AI33" s="35" t="s">
        <v>2894</v>
      </c>
      <c r="AJ33" s="20">
        <f>IF(AN33=0,L33,0)</f>
        <v>0</v>
      </c>
      <c r="AK33" s="20">
        <f>IF(AN33=15,L33,0)</f>
        <v>0</v>
      </c>
      <c r="AL33" s="20">
        <f>IF(AN33=21,L33,0)</f>
        <v>0</v>
      </c>
      <c r="AN33" s="36">
        <v>21</v>
      </c>
      <c r="AO33" s="36">
        <f>I33*0</f>
        <v>0</v>
      </c>
      <c r="AP33" s="36">
        <f>I33*(1-0)</f>
        <v>0</v>
      </c>
      <c r="AQ33" s="37" t="s">
        <v>7</v>
      </c>
      <c r="AV33" s="36">
        <f>AW33+AX33</f>
        <v>0</v>
      </c>
      <c r="AW33" s="36">
        <f>H33*AO33</f>
        <v>0</v>
      </c>
      <c r="AX33" s="36">
        <f>H33*AP33</f>
        <v>0</v>
      </c>
      <c r="AY33" s="39" t="s">
        <v>2905</v>
      </c>
      <c r="AZ33" s="39" t="s">
        <v>2946</v>
      </c>
      <c r="BA33" s="35" t="s">
        <v>2967</v>
      </c>
      <c r="BC33" s="36">
        <f>AW33+AX33</f>
        <v>0</v>
      </c>
      <c r="BD33" s="36">
        <f>I33/(100-BE33)*100</f>
        <v>0</v>
      </c>
      <c r="BE33" s="36">
        <v>0</v>
      </c>
      <c r="BF33" s="36">
        <f>33</f>
        <v>33</v>
      </c>
      <c r="BH33" s="20">
        <f>H33*AO33</f>
        <v>0</v>
      </c>
      <c r="BI33" s="20">
        <f>H33*AP33</f>
        <v>0</v>
      </c>
      <c r="BJ33" s="20">
        <f>H33*I33</f>
        <v>0</v>
      </c>
      <c r="BK33" s="20" t="s">
        <v>2978</v>
      </c>
      <c r="BL33" s="36">
        <v>17</v>
      </c>
    </row>
    <row r="34" spans="1:64" x14ac:dyDescent="0.2">
      <c r="A34" s="4" t="s">
        <v>23</v>
      </c>
      <c r="B34" s="13" t="s">
        <v>972</v>
      </c>
      <c r="C34" s="174" t="s">
        <v>1879</v>
      </c>
      <c r="D34" s="175"/>
      <c r="E34" s="175"/>
      <c r="F34" s="175"/>
      <c r="G34" s="13" t="s">
        <v>2853</v>
      </c>
      <c r="H34" s="82">
        <v>144.23099999999999</v>
      </c>
      <c r="I34" s="109">
        <v>0</v>
      </c>
      <c r="J34" s="20">
        <f>H34*AO34</f>
        <v>0</v>
      </c>
      <c r="K34" s="20">
        <f>H34*AP34</f>
        <v>0</v>
      </c>
      <c r="L34" s="20">
        <f>H34*I34</f>
        <v>0</v>
      </c>
      <c r="M34" s="31" t="s">
        <v>2884</v>
      </c>
      <c r="N34" s="5"/>
      <c r="Z34" s="36">
        <f>IF(AQ34="5",BJ34,0)</f>
        <v>0</v>
      </c>
      <c r="AB34" s="36">
        <f>IF(AQ34="1",BH34,0)</f>
        <v>0</v>
      </c>
      <c r="AC34" s="36">
        <f>IF(AQ34="1",BI34,0)</f>
        <v>0</v>
      </c>
      <c r="AD34" s="36">
        <f>IF(AQ34="7",BH34,0)</f>
        <v>0</v>
      </c>
      <c r="AE34" s="36">
        <f>IF(AQ34="7",BI34,0)</f>
        <v>0</v>
      </c>
      <c r="AF34" s="36">
        <f>IF(AQ34="2",BH34,0)</f>
        <v>0</v>
      </c>
      <c r="AG34" s="36">
        <f>IF(AQ34="2",BI34,0)</f>
        <v>0</v>
      </c>
      <c r="AH34" s="36">
        <f>IF(AQ34="0",BJ34,0)</f>
        <v>0</v>
      </c>
      <c r="AI34" s="35" t="s">
        <v>2894</v>
      </c>
      <c r="AJ34" s="20">
        <f>IF(AN34=0,L34,0)</f>
        <v>0</v>
      </c>
      <c r="AK34" s="20">
        <f>IF(AN34=15,L34,0)</f>
        <v>0</v>
      </c>
      <c r="AL34" s="20">
        <f>IF(AN34=21,L34,0)</f>
        <v>0</v>
      </c>
      <c r="AN34" s="36">
        <v>21</v>
      </c>
      <c r="AO34" s="36">
        <f>I34*0</f>
        <v>0</v>
      </c>
      <c r="AP34" s="36">
        <f>I34*(1-0)</f>
        <v>0</v>
      </c>
      <c r="AQ34" s="37" t="s">
        <v>7</v>
      </c>
      <c r="AV34" s="36">
        <f>AW34+AX34</f>
        <v>0</v>
      </c>
      <c r="AW34" s="36">
        <f>H34*AO34</f>
        <v>0</v>
      </c>
      <c r="AX34" s="36">
        <f>H34*AP34</f>
        <v>0</v>
      </c>
      <c r="AY34" s="39" t="s">
        <v>2905</v>
      </c>
      <c r="AZ34" s="39" t="s">
        <v>2946</v>
      </c>
      <c r="BA34" s="35" t="s">
        <v>2967</v>
      </c>
      <c r="BC34" s="36">
        <f>AW34+AX34</f>
        <v>0</v>
      </c>
      <c r="BD34" s="36">
        <f>I34/(100-BE34)*100</f>
        <v>0</v>
      </c>
      <c r="BE34" s="36">
        <v>0</v>
      </c>
      <c r="BF34" s="36">
        <f>34</f>
        <v>34</v>
      </c>
      <c r="BH34" s="20">
        <f>H34*AO34</f>
        <v>0</v>
      </c>
      <c r="BI34" s="20">
        <f>H34*AP34</f>
        <v>0</v>
      </c>
      <c r="BJ34" s="20">
        <f>H34*I34</f>
        <v>0</v>
      </c>
      <c r="BK34" s="20" t="s">
        <v>2978</v>
      </c>
      <c r="BL34" s="36">
        <v>17</v>
      </c>
    </row>
    <row r="35" spans="1:64" x14ac:dyDescent="0.2">
      <c r="A35" s="4" t="s">
        <v>24</v>
      </c>
      <c r="B35" s="13" t="s">
        <v>973</v>
      </c>
      <c r="C35" s="174" t="s">
        <v>1880</v>
      </c>
      <c r="D35" s="175"/>
      <c r="E35" s="175"/>
      <c r="F35" s="175"/>
      <c r="G35" s="13" t="s">
        <v>2853</v>
      </c>
      <c r="H35" s="82">
        <v>215.655</v>
      </c>
      <c r="I35" s="109">
        <v>0</v>
      </c>
      <c r="J35" s="20">
        <f>H35*AO35</f>
        <v>0</v>
      </c>
      <c r="K35" s="20">
        <f>H35*AP35</f>
        <v>0</v>
      </c>
      <c r="L35" s="20">
        <f>H35*I35</f>
        <v>0</v>
      </c>
      <c r="M35" s="31" t="s">
        <v>2884</v>
      </c>
      <c r="N35" s="5"/>
      <c r="Z35" s="36">
        <f>IF(AQ35="5",BJ35,0)</f>
        <v>0</v>
      </c>
      <c r="AB35" s="36">
        <f>IF(AQ35="1",BH35,0)</f>
        <v>0</v>
      </c>
      <c r="AC35" s="36">
        <f>IF(AQ35="1",BI35,0)</f>
        <v>0</v>
      </c>
      <c r="AD35" s="36">
        <f>IF(AQ35="7",BH35,0)</f>
        <v>0</v>
      </c>
      <c r="AE35" s="36">
        <f>IF(AQ35="7",BI35,0)</f>
        <v>0</v>
      </c>
      <c r="AF35" s="36">
        <f>IF(AQ35="2",BH35,0)</f>
        <v>0</v>
      </c>
      <c r="AG35" s="36">
        <f>IF(AQ35="2",BI35,0)</f>
        <v>0</v>
      </c>
      <c r="AH35" s="36">
        <f>IF(AQ35="0",BJ35,0)</f>
        <v>0</v>
      </c>
      <c r="AI35" s="35" t="s">
        <v>2894</v>
      </c>
      <c r="AJ35" s="20">
        <f>IF(AN35=0,L35,0)</f>
        <v>0</v>
      </c>
      <c r="AK35" s="20">
        <f>IF(AN35=15,L35,0)</f>
        <v>0</v>
      </c>
      <c r="AL35" s="20">
        <f>IF(AN35=21,L35,0)</f>
        <v>0</v>
      </c>
      <c r="AN35" s="36">
        <v>21</v>
      </c>
      <c r="AO35" s="36">
        <f>I35*0</f>
        <v>0</v>
      </c>
      <c r="AP35" s="36">
        <f>I35*(1-0)</f>
        <v>0</v>
      </c>
      <c r="AQ35" s="37" t="s">
        <v>7</v>
      </c>
      <c r="AV35" s="36">
        <f>AW35+AX35</f>
        <v>0</v>
      </c>
      <c r="AW35" s="36">
        <f>H35*AO35</f>
        <v>0</v>
      </c>
      <c r="AX35" s="36">
        <f>H35*AP35</f>
        <v>0</v>
      </c>
      <c r="AY35" s="39" t="s">
        <v>2905</v>
      </c>
      <c r="AZ35" s="39" t="s">
        <v>2946</v>
      </c>
      <c r="BA35" s="35" t="s">
        <v>2967</v>
      </c>
      <c r="BC35" s="36">
        <f>AW35+AX35</f>
        <v>0</v>
      </c>
      <c r="BD35" s="36">
        <f>I35/(100-BE35)*100</f>
        <v>0</v>
      </c>
      <c r="BE35" s="36">
        <v>0</v>
      </c>
      <c r="BF35" s="36">
        <f>35</f>
        <v>35</v>
      </c>
      <c r="BH35" s="20">
        <f>H35*AO35</f>
        <v>0</v>
      </c>
      <c r="BI35" s="20">
        <f>H35*AP35</f>
        <v>0</v>
      </c>
      <c r="BJ35" s="20">
        <f>H35*I35</f>
        <v>0</v>
      </c>
      <c r="BK35" s="20" t="s">
        <v>2978</v>
      </c>
      <c r="BL35" s="36">
        <v>17</v>
      </c>
    </row>
    <row r="36" spans="1:64" x14ac:dyDescent="0.2">
      <c r="A36" s="4" t="s">
        <v>25</v>
      </c>
      <c r="B36" s="13" t="s">
        <v>974</v>
      </c>
      <c r="C36" s="174" t="s">
        <v>1881</v>
      </c>
      <c r="D36" s="175"/>
      <c r="E36" s="175"/>
      <c r="F36" s="175"/>
      <c r="G36" s="13" t="s">
        <v>2853</v>
      </c>
      <c r="H36" s="82">
        <v>144.23099999999999</v>
      </c>
      <c r="I36" s="109">
        <v>0</v>
      </c>
      <c r="J36" s="20">
        <f>H36*AO36</f>
        <v>0</v>
      </c>
      <c r="K36" s="20">
        <f>H36*AP36</f>
        <v>0</v>
      </c>
      <c r="L36" s="20">
        <f>H36*I36</f>
        <v>0</v>
      </c>
      <c r="M36" s="31" t="s">
        <v>2884</v>
      </c>
      <c r="N36" s="5"/>
      <c r="Z36" s="36">
        <f>IF(AQ36="5",BJ36,0)</f>
        <v>0</v>
      </c>
      <c r="AB36" s="36">
        <f>IF(AQ36="1",BH36,0)</f>
        <v>0</v>
      </c>
      <c r="AC36" s="36">
        <f>IF(AQ36="1",BI36,0)</f>
        <v>0</v>
      </c>
      <c r="AD36" s="36">
        <f>IF(AQ36="7",BH36,0)</f>
        <v>0</v>
      </c>
      <c r="AE36" s="36">
        <f>IF(AQ36="7",BI36,0)</f>
        <v>0</v>
      </c>
      <c r="AF36" s="36">
        <f>IF(AQ36="2",BH36,0)</f>
        <v>0</v>
      </c>
      <c r="AG36" s="36">
        <f>IF(AQ36="2",BI36,0)</f>
        <v>0</v>
      </c>
      <c r="AH36" s="36">
        <f>IF(AQ36="0",BJ36,0)</f>
        <v>0</v>
      </c>
      <c r="AI36" s="35" t="s">
        <v>2894</v>
      </c>
      <c r="AJ36" s="20">
        <f>IF(AN36=0,L36,0)</f>
        <v>0</v>
      </c>
      <c r="AK36" s="20">
        <f>IF(AN36=15,L36,0)</f>
        <v>0</v>
      </c>
      <c r="AL36" s="20">
        <f>IF(AN36=21,L36,0)</f>
        <v>0</v>
      </c>
      <c r="AN36" s="36">
        <v>21</v>
      </c>
      <c r="AO36" s="36">
        <f>I36*0</f>
        <v>0</v>
      </c>
      <c r="AP36" s="36">
        <f>I36*(1-0)</f>
        <v>0</v>
      </c>
      <c r="AQ36" s="37" t="s">
        <v>7</v>
      </c>
      <c r="AV36" s="36">
        <f>AW36+AX36</f>
        <v>0</v>
      </c>
      <c r="AW36" s="36">
        <f>H36*AO36</f>
        <v>0</v>
      </c>
      <c r="AX36" s="36">
        <f>H36*AP36</f>
        <v>0</v>
      </c>
      <c r="AY36" s="39" t="s">
        <v>2905</v>
      </c>
      <c r="AZ36" s="39" t="s">
        <v>2946</v>
      </c>
      <c r="BA36" s="35" t="s">
        <v>2967</v>
      </c>
      <c r="BC36" s="36">
        <f>AW36+AX36</f>
        <v>0</v>
      </c>
      <c r="BD36" s="36">
        <f>I36/(100-BE36)*100</f>
        <v>0</v>
      </c>
      <c r="BE36" s="36">
        <v>0</v>
      </c>
      <c r="BF36" s="36">
        <f>36</f>
        <v>36</v>
      </c>
      <c r="BH36" s="20">
        <f>H36*AO36</f>
        <v>0</v>
      </c>
      <c r="BI36" s="20">
        <f>H36*AP36</f>
        <v>0</v>
      </c>
      <c r="BJ36" s="20">
        <f>H36*I36</f>
        <v>0</v>
      </c>
      <c r="BK36" s="20" t="s">
        <v>2978</v>
      </c>
      <c r="BL36" s="36">
        <v>17</v>
      </c>
    </row>
    <row r="37" spans="1:64" x14ac:dyDescent="0.2">
      <c r="A37" s="3"/>
      <c r="B37" s="12" t="s">
        <v>24</v>
      </c>
      <c r="C37" s="172" t="s">
        <v>1882</v>
      </c>
      <c r="D37" s="173"/>
      <c r="E37" s="173"/>
      <c r="F37" s="173"/>
      <c r="G37" s="18" t="s">
        <v>6</v>
      </c>
      <c r="H37" s="18" t="s">
        <v>6</v>
      </c>
      <c r="I37" s="18" t="s">
        <v>6</v>
      </c>
      <c r="J37" s="41">
        <f>SUM(J38:J40)</f>
        <v>0</v>
      </c>
      <c r="K37" s="41">
        <f>SUM(K38:K40)</f>
        <v>0</v>
      </c>
      <c r="L37" s="41">
        <f>SUM(L38:L40)</f>
        <v>0</v>
      </c>
      <c r="M37" s="30"/>
      <c r="N37" s="5"/>
      <c r="AI37" s="35" t="s">
        <v>2894</v>
      </c>
      <c r="AS37" s="41">
        <f>SUM(AJ38:AJ40)</f>
        <v>0</v>
      </c>
      <c r="AT37" s="41">
        <f>SUM(AK38:AK40)</f>
        <v>0</v>
      </c>
      <c r="AU37" s="41">
        <f>SUM(AL38:AL40)</f>
        <v>0</v>
      </c>
    </row>
    <row r="38" spans="1:64" x14ac:dyDescent="0.2">
      <c r="A38" s="4" t="s">
        <v>26</v>
      </c>
      <c r="B38" s="13" t="s">
        <v>975</v>
      </c>
      <c r="C38" s="174" t="s">
        <v>1883</v>
      </c>
      <c r="D38" s="175"/>
      <c r="E38" s="175"/>
      <c r="F38" s="175"/>
      <c r="G38" s="13" t="s">
        <v>2854</v>
      </c>
      <c r="H38" s="82">
        <v>500</v>
      </c>
      <c r="I38" s="109">
        <v>0</v>
      </c>
      <c r="J38" s="20">
        <f>H38*AO38</f>
        <v>0</v>
      </c>
      <c r="K38" s="20">
        <f>H38*AP38</f>
        <v>0</v>
      </c>
      <c r="L38" s="20">
        <f>H38*I38</f>
        <v>0</v>
      </c>
      <c r="M38" s="31" t="s">
        <v>2884</v>
      </c>
      <c r="N38" s="5"/>
      <c r="Z38" s="36">
        <f>IF(AQ38="5",BJ38,0)</f>
        <v>0</v>
      </c>
      <c r="AB38" s="36">
        <f>IF(AQ38="1",BH38,0)</f>
        <v>0</v>
      </c>
      <c r="AC38" s="36">
        <f>IF(AQ38="1",BI38,0)</f>
        <v>0</v>
      </c>
      <c r="AD38" s="36">
        <f>IF(AQ38="7",BH38,0)</f>
        <v>0</v>
      </c>
      <c r="AE38" s="36">
        <f>IF(AQ38="7",BI38,0)</f>
        <v>0</v>
      </c>
      <c r="AF38" s="36">
        <f>IF(AQ38="2",BH38,0)</f>
        <v>0</v>
      </c>
      <c r="AG38" s="36">
        <f>IF(AQ38="2",BI38,0)</f>
        <v>0</v>
      </c>
      <c r="AH38" s="36">
        <f>IF(AQ38="0",BJ38,0)</f>
        <v>0</v>
      </c>
      <c r="AI38" s="35" t="s">
        <v>2894</v>
      </c>
      <c r="AJ38" s="20">
        <f>IF(AN38=0,L38,0)</f>
        <v>0</v>
      </c>
      <c r="AK38" s="20">
        <f>IF(AN38=15,L38,0)</f>
        <v>0</v>
      </c>
      <c r="AL38" s="20">
        <f>IF(AN38=21,L38,0)</f>
        <v>0</v>
      </c>
      <c r="AN38" s="36">
        <v>21</v>
      </c>
      <c r="AO38" s="36">
        <f>I38*0.021875</f>
        <v>0</v>
      </c>
      <c r="AP38" s="36">
        <f>I38*(1-0.021875)</f>
        <v>0</v>
      </c>
      <c r="AQ38" s="37" t="s">
        <v>7</v>
      </c>
      <c r="AV38" s="36">
        <f>AW38+AX38</f>
        <v>0</v>
      </c>
      <c r="AW38" s="36">
        <f>H38*AO38</f>
        <v>0</v>
      </c>
      <c r="AX38" s="36">
        <f>H38*AP38</f>
        <v>0</v>
      </c>
      <c r="AY38" s="39" t="s">
        <v>2906</v>
      </c>
      <c r="AZ38" s="39" t="s">
        <v>2946</v>
      </c>
      <c r="BA38" s="35" t="s">
        <v>2967</v>
      </c>
      <c r="BC38" s="36">
        <f>AW38+AX38</f>
        <v>0</v>
      </c>
      <c r="BD38" s="36">
        <f>I38/(100-BE38)*100</f>
        <v>0</v>
      </c>
      <c r="BE38" s="36">
        <v>0</v>
      </c>
      <c r="BF38" s="36">
        <f>38</f>
        <v>38</v>
      </c>
      <c r="BH38" s="20">
        <f>H38*AO38</f>
        <v>0</v>
      </c>
      <c r="BI38" s="20">
        <f>H38*AP38</f>
        <v>0</v>
      </c>
      <c r="BJ38" s="20">
        <f>H38*I38</f>
        <v>0</v>
      </c>
      <c r="BK38" s="20" t="s">
        <v>2978</v>
      </c>
      <c r="BL38" s="36">
        <v>18</v>
      </c>
    </row>
    <row r="39" spans="1:64" x14ac:dyDescent="0.2">
      <c r="A39" s="4" t="s">
        <v>27</v>
      </c>
      <c r="B39" s="13" t="s">
        <v>976</v>
      </c>
      <c r="C39" s="174" t="s">
        <v>1884</v>
      </c>
      <c r="D39" s="175"/>
      <c r="E39" s="175"/>
      <c r="F39" s="175"/>
      <c r="G39" s="13" t="s">
        <v>2854</v>
      </c>
      <c r="H39" s="82">
        <v>500</v>
      </c>
      <c r="I39" s="109">
        <v>0</v>
      </c>
      <c r="J39" s="20">
        <f>H39*AO39</f>
        <v>0</v>
      </c>
      <c r="K39" s="20">
        <f>H39*AP39</f>
        <v>0</v>
      </c>
      <c r="L39" s="20">
        <f>H39*I39</f>
        <v>0</v>
      </c>
      <c r="M39" s="31" t="s">
        <v>2884</v>
      </c>
      <c r="N39" s="5"/>
      <c r="Z39" s="36">
        <f>IF(AQ39="5",BJ39,0)</f>
        <v>0</v>
      </c>
      <c r="AB39" s="36">
        <f>IF(AQ39="1",BH39,0)</f>
        <v>0</v>
      </c>
      <c r="AC39" s="36">
        <f>IF(AQ39="1",BI39,0)</f>
        <v>0</v>
      </c>
      <c r="AD39" s="36">
        <f>IF(AQ39="7",BH39,0)</f>
        <v>0</v>
      </c>
      <c r="AE39" s="36">
        <f>IF(AQ39="7",BI39,0)</f>
        <v>0</v>
      </c>
      <c r="AF39" s="36">
        <f>IF(AQ39="2",BH39,0)</f>
        <v>0</v>
      </c>
      <c r="AG39" s="36">
        <f>IF(AQ39="2",BI39,0)</f>
        <v>0</v>
      </c>
      <c r="AH39" s="36">
        <f>IF(AQ39="0",BJ39,0)</f>
        <v>0</v>
      </c>
      <c r="AI39" s="35" t="s">
        <v>2894</v>
      </c>
      <c r="AJ39" s="20">
        <f>IF(AN39=0,L39,0)</f>
        <v>0</v>
      </c>
      <c r="AK39" s="20">
        <f>IF(AN39=15,L39,0)</f>
        <v>0</v>
      </c>
      <c r="AL39" s="20">
        <f>IF(AN39=21,L39,0)</f>
        <v>0</v>
      </c>
      <c r="AN39" s="36">
        <v>21</v>
      </c>
      <c r="AO39" s="36">
        <f>I39*0</f>
        <v>0</v>
      </c>
      <c r="AP39" s="36">
        <f>I39*(1-0)</f>
        <v>0</v>
      </c>
      <c r="AQ39" s="37" t="s">
        <v>7</v>
      </c>
      <c r="AV39" s="36">
        <f>AW39+AX39</f>
        <v>0</v>
      </c>
      <c r="AW39" s="36">
        <f>H39*AO39</f>
        <v>0</v>
      </c>
      <c r="AX39" s="36">
        <f>H39*AP39</f>
        <v>0</v>
      </c>
      <c r="AY39" s="39" t="s">
        <v>2906</v>
      </c>
      <c r="AZ39" s="39" t="s">
        <v>2946</v>
      </c>
      <c r="BA39" s="35" t="s">
        <v>2967</v>
      </c>
      <c r="BC39" s="36">
        <f>AW39+AX39</f>
        <v>0</v>
      </c>
      <c r="BD39" s="36">
        <f>I39/(100-BE39)*100</f>
        <v>0</v>
      </c>
      <c r="BE39" s="36">
        <v>0</v>
      </c>
      <c r="BF39" s="36">
        <f>39</f>
        <v>39</v>
      </c>
      <c r="BH39" s="20">
        <f>H39*AO39</f>
        <v>0</v>
      </c>
      <c r="BI39" s="20">
        <f>H39*AP39</f>
        <v>0</v>
      </c>
      <c r="BJ39" s="20">
        <f>H39*I39</f>
        <v>0</v>
      </c>
      <c r="BK39" s="20" t="s">
        <v>2978</v>
      </c>
      <c r="BL39" s="36">
        <v>18</v>
      </c>
    </row>
    <row r="40" spans="1:64" x14ac:dyDescent="0.2">
      <c r="A40" s="4" t="s">
        <v>28</v>
      </c>
      <c r="B40" s="13" t="s">
        <v>977</v>
      </c>
      <c r="C40" s="174" t="s">
        <v>1885</v>
      </c>
      <c r="D40" s="175"/>
      <c r="E40" s="175"/>
      <c r="F40" s="175"/>
      <c r="G40" s="13" t="s">
        <v>2854</v>
      </c>
      <c r="H40" s="82">
        <v>39.39</v>
      </c>
      <c r="I40" s="109">
        <v>0</v>
      </c>
      <c r="J40" s="20">
        <f>H40*AO40</f>
        <v>0</v>
      </c>
      <c r="K40" s="20">
        <f>H40*AP40</f>
        <v>0</v>
      </c>
      <c r="L40" s="20">
        <f>H40*I40</f>
        <v>0</v>
      </c>
      <c r="M40" s="31" t="s">
        <v>2884</v>
      </c>
      <c r="N40" s="5"/>
      <c r="Z40" s="36">
        <f>IF(AQ40="5",BJ40,0)</f>
        <v>0</v>
      </c>
      <c r="AB40" s="36">
        <f>IF(AQ40="1",BH40,0)</f>
        <v>0</v>
      </c>
      <c r="AC40" s="36">
        <f>IF(AQ40="1",BI40,0)</f>
        <v>0</v>
      </c>
      <c r="AD40" s="36">
        <f>IF(AQ40="7",BH40,0)</f>
        <v>0</v>
      </c>
      <c r="AE40" s="36">
        <f>IF(AQ40="7",BI40,0)</f>
        <v>0</v>
      </c>
      <c r="AF40" s="36">
        <f>IF(AQ40="2",BH40,0)</f>
        <v>0</v>
      </c>
      <c r="AG40" s="36">
        <f>IF(AQ40="2",BI40,0)</f>
        <v>0</v>
      </c>
      <c r="AH40" s="36">
        <f>IF(AQ40="0",BJ40,0)</f>
        <v>0</v>
      </c>
      <c r="AI40" s="35" t="s">
        <v>2894</v>
      </c>
      <c r="AJ40" s="20">
        <f>IF(AN40=0,L40,0)</f>
        <v>0</v>
      </c>
      <c r="AK40" s="20">
        <f>IF(AN40=15,L40,0)</f>
        <v>0</v>
      </c>
      <c r="AL40" s="20">
        <f>IF(AN40=21,L40,0)</f>
        <v>0</v>
      </c>
      <c r="AN40" s="36">
        <v>21</v>
      </c>
      <c r="AO40" s="36">
        <f>I40*0</f>
        <v>0</v>
      </c>
      <c r="AP40" s="36">
        <f>I40*(1-0)</f>
        <v>0</v>
      </c>
      <c r="AQ40" s="37" t="s">
        <v>7</v>
      </c>
      <c r="AV40" s="36">
        <f>AW40+AX40</f>
        <v>0</v>
      </c>
      <c r="AW40" s="36">
        <f>H40*AO40</f>
        <v>0</v>
      </c>
      <c r="AX40" s="36">
        <f>H40*AP40</f>
        <v>0</v>
      </c>
      <c r="AY40" s="39" t="s">
        <v>2906</v>
      </c>
      <c r="AZ40" s="39" t="s">
        <v>2946</v>
      </c>
      <c r="BA40" s="35" t="s">
        <v>2967</v>
      </c>
      <c r="BC40" s="36">
        <f>AW40+AX40</f>
        <v>0</v>
      </c>
      <c r="BD40" s="36">
        <f>I40/(100-BE40)*100</f>
        <v>0</v>
      </c>
      <c r="BE40" s="36">
        <v>0</v>
      </c>
      <c r="BF40" s="36">
        <f>40</f>
        <v>40</v>
      </c>
      <c r="BH40" s="20">
        <f>H40*AO40</f>
        <v>0</v>
      </c>
      <c r="BI40" s="20">
        <f>H40*AP40</f>
        <v>0</v>
      </c>
      <c r="BJ40" s="20">
        <f>H40*I40</f>
        <v>0</v>
      </c>
      <c r="BK40" s="20" t="s">
        <v>2978</v>
      </c>
      <c r="BL40" s="36">
        <v>18</v>
      </c>
    </row>
    <row r="41" spans="1:64" x14ac:dyDescent="0.2">
      <c r="A41" s="3"/>
      <c r="B41" s="12" t="s">
        <v>27</v>
      </c>
      <c r="C41" s="172" t="s">
        <v>1886</v>
      </c>
      <c r="D41" s="173"/>
      <c r="E41" s="173"/>
      <c r="F41" s="173"/>
      <c r="G41" s="18" t="s">
        <v>6</v>
      </c>
      <c r="H41" s="18" t="s">
        <v>6</v>
      </c>
      <c r="I41" s="18" t="s">
        <v>6</v>
      </c>
      <c r="J41" s="41">
        <f>SUM(J42:J42)</f>
        <v>0</v>
      </c>
      <c r="K41" s="41">
        <f>SUM(K42:K42)</f>
        <v>0</v>
      </c>
      <c r="L41" s="41">
        <f>SUM(L42:L42)</f>
        <v>0</v>
      </c>
      <c r="M41" s="30"/>
      <c r="N41" s="5"/>
      <c r="AI41" s="35" t="s">
        <v>2894</v>
      </c>
      <c r="AS41" s="41">
        <f>SUM(AJ42:AJ42)</f>
        <v>0</v>
      </c>
      <c r="AT41" s="41">
        <f>SUM(AK42:AK42)</f>
        <v>0</v>
      </c>
      <c r="AU41" s="41">
        <f>SUM(AL42:AL42)</f>
        <v>0</v>
      </c>
    </row>
    <row r="42" spans="1:64" x14ac:dyDescent="0.2">
      <c r="A42" s="4" t="s">
        <v>29</v>
      </c>
      <c r="B42" s="13" t="s">
        <v>978</v>
      </c>
      <c r="C42" s="174" t="s">
        <v>1887</v>
      </c>
      <c r="D42" s="175"/>
      <c r="E42" s="175"/>
      <c r="F42" s="175"/>
      <c r="G42" s="13" t="s">
        <v>2855</v>
      </c>
      <c r="H42" s="82">
        <v>33.25</v>
      </c>
      <c r="I42" s="109">
        <v>0</v>
      </c>
      <c r="J42" s="20">
        <f>H42*AO42</f>
        <v>0</v>
      </c>
      <c r="K42" s="20">
        <f>H42*AP42</f>
        <v>0</v>
      </c>
      <c r="L42" s="20">
        <f>H42*I42</f>
        <v>0</v>
      </c>
      <c r="M42" s="31" t="s">
        <v>2884</v>
      </c>
      <c r="N42" s="5"/>
      <c r="Z42" s="36">
        <f>IF(AQ42="5",BJ42,0)</f>
        <v>0</v>
      </c>
      <c r="AB42" s="36">
        <f>IF(AQ42="1",BH42,0)</f>
        <v>0</v>
      </c>
      <c r="AC42" s="36">
        <f>IF(AQ42="1",BI42,0)</f>
        <v>0</v>
      </c>
      <c r="AD42" s="36">
        <f>IF(AQ42="7",BH42,0)</f>
        <v>0</v>
      </c>
      <c r="AE42" s="36">
        <f>IF(AQ42="7",BI42,0)</f>
        <v>0</v>
      </c>
      <c r="AF42" s="36">
        <f>IF(AQ42="2",BH42,0)</f>
        <v>0</v>
      </c>
      <c r="AG42" s="36">
        <f>IF(AQ42="2",BI42,0)</f>
        <v>0</v>
      </c>
      <c r="AH42" s="36">
        <f>IF(AQ42="0",BJ42,0)</f>
        <v>0</v>
      </c>
      <c r="AI42" s="35" t="s">
        <v>2894</v>
      </c>
      <c r="AJ42" s="20">
        <f>IF(AN42=0,L42,0)</f>
        <v>0</v>
      </c>
      <c r="AK42" s="20">
        <f>IF(AN42=15,L42,0)</f>
        <v>0</v>
      </c>
      <c r="AL42" s="20">
        <f>IF(AN42=21,L42,0)</f>
        <v>0</v>
      </c>
      <c r="AN42" s="36">
        <v>21</v>
      </c>
      <c r="AO42" s="36">
        <f>I42*0.694239766081871</f>
        <v>0</v>
      </c>
      <c r="AP42" s="36">
        <f>I42*(1-0.694239766081871)</f>
        <v>0</v>
      </c>
      <c r="AQ42" s="37" t="s">
        <v>7</v>
      </c>
      <c r="AV42" s="36">
        <f>AW42+AX42</f>
        <v>0</v>
      </c>
      <c r="AW42" s="36">
        <f>H42*AO42</f>
        <v>0</v>
      </c>
      <c r="AX42" s="36">
        <f>H42*AP42</f>
        <v>0</v>
      </c>
      <c r="AY42" s="39" t="s">
        <v>2907</v>
      </c>
      <c r="AZ42" s="39" t="s">
        <v>2947</v>
      </c>
      <c r="BA42" s="35" t="s">
        <v>2967</v>
      </c>
      <c r="BC42" s="36">
        <f>AW42+AX42</f>
        <v>0</v>
      </c>
      <c r="BD42" s="36">
        <f>I42/(100-BE42)*100</f>
        <v>0</v>
      </c>
      <c r="BE42" s="36">
        <v>0</v>
      </c>
      <c r="BF42" s="36">
        <f>42</f>
        <v>42</v>
      </c>
      <c r="BH42" s="20">
        <f>H42*AO42</f>
        <v>0</v>
      </c>
      <c r="BI42" s="20">
        <f>H42*AP42</f>
        <v>0</v>
      </c>
      <c r="BJ42" s="20">
        <f>H42*I42</f>
        <v>0</v>
      </c>
      <c r="BK42" s="20" t="s">
        <v>2978</v>
      </c>
      <c r="BL42" s="36">
        <v>21</v>
      </c>
    </row>
    <row r="43" spans="1:64" x14ac:dyDescent="0.2">
      <c r="A43" s="3"/>
      <c r="B43" s="12" t="s">
        <v>33</v>
      </c>
      <c r="C43" s="172" t="s">
        <v>1888</v>
      </c>
      <c r="D43" s="173"/>
      <c r="E43" s="173"/>
      <c r="F43" s="173"/>
      <c r="G43" s="18" t="s">
        <v>6</v>
      </c>
      <c r="H43" s="18" t="s">
        <v>6</v>
      </c>
      <c r="I43" s="18" t="s">
        <v>6</v>
      </c>
      <c r="J43" s="41">
        <f>SUM(J44:J61)</f>
        <v>0</v>
      </c>
      <c r="K43" s="41">
        <f>SUM(K44:K61)</f>
        <v>0</v>
      </c>
      <c r="L43" s="41">
        <f>SUM(L44:L61)</f>
        <v>0</v>
      </c>
      <c r="M43" s="30"/>
      <c r="N43" s="5"/>
      <c r="AI43" s="35" t="s">
        <v>2894</v>
      </c>
      <c r="AS43" s="41">
        <f>SUM(AJ44:AJ61)</f>
        <v>0</v>
      </c>
      <c r="AT43" s="41">
        <f>SUM(AK44:AK61)</f>
        <v>0</v>
      </c>
      <c r="AU43" s="41">
        <f>SUM(AL44:AL61)</f>
        <v>0</v>
      </c>
    </row>
    <row r="44" spans="1:64" x14ac:dyDescent="0.2">
      <c r="A44" s="4" t="s">
        <v>30</v>
      </c>
      <c r="B44" s="13" t="s">
        <v>979</v>
      </c>
      <c r="C44" s="174" t="s">
        <v>1889</v>
      </c>
      <c r="D44" s="175"/>
      <c r="E44" s="175"/>
      <c r="F44" s="175"/>
      <c r="G44" s="13" t="s">
        <v>2853</v>
      </c>
      <c r="H44" s="82">
        <v>72.875</v>
      </c>
      <c r="I44" s="109">
        <v>0</v>
      </c>
      <c r="J44" s="20">
        <f t="shared" ref="J44:J61" si="24">H44*AO44</f>
        <v>0</v>
      </c>
      <c r="K44" s="20">
        <f t="shared" ref="K44:K61" si="25">H44*AP44</f>
        <v>0</v>
      </c>
      <c r="L44" s="20">
        <f t="shared" ref="L44:L61" si="26">H44*I44</f>
        <v>0</v>
      </c>
      <c r="M44" s="31" t="s">
        <v>2884</v>
      </c>
      <c r="N44" s="5"/>
      <c r="Z44" s="36">
        <f t="shared" ref="Z44:Z61" si="27">IF(AQ44="5",BJ44,0)</f>
        <v>0</v>
      </c>
      <c r="AB44" s="36">
        <f t="shared" ref="AB44:AB61" si="28">IF(AQ44="1",BH44,0)</f>
        <v>0</v>
      </c>
      <c r="AC44" s="36">
        <f t="shared" ref="AC44:AC61" si="29">IF(AQ44="1",BI44,0)</f>
        <v>0</v>
      </c>
      <c r="AD44" s="36">
        <f t="shared" ref="AD44:AD61" si="30">IF(AQ44="7",BH44,0)</f>
        <v>0</v>
      </c>
      <c r="AE44" s="36">
        <f t="shared" ref="AE44:AE61" si="31">IF(AQ44="7",BI44,0)</f>
        <v>0</v>
      </c>
      <c r="AF44" s="36">
        <f t="shared" ref="AF44:AF61" si="32">IF(AQ44="2",BH44,0)</f>
        <v>0</v>
      </c>
      <c r="AG44" s="36">
        <f t="shared" ref="AG44:AG61" si="33">IF(AQ44="2",BI44,0)</f>
        <v>0</v>
      </c>
      <c r="AH44" s="36">
        <f t="shared" ref="AH44:AH61" si="34">IF(AQ44="0",BJ44,0)</f>
        <v>0</v>
      </c>
      <c r="AI44" s="35" t="s">
        <v>2894</v>
      </c>
      <c r="AJ44" s="20">
        <f t="shared" ref="AJ44:AJ61" si="35">IF(AN44=0,L44,0)</f>
        <v>0</v>
      </c>
      <c r="AK44" s="20">
        <f t="shared" ref="AK44:AK61" si="36">IF(AN44=15,L44,0)</f>
        <v>0</v>
      </c>
      <c r="AL44" s="20">
        <f t="shared" ref="AL44:AL61" si="37">IF(AN44=21,L44,0)</f>
        <v>0</v>
      </c>
      <c r="AN44" s="36">
        <v>21</v>
      </c>
      <c r="AO44" s="36">
        <f>I44*0.592104825291181</f>
        <v>0</v>
      </c>
      <c r="AP44" s="36">
        <f>I44*(1-0.592104825291181)</f>
        <v>0</v>
      </c>
      <c r="AQ44" s="37" t="s">
        <v>7</v>
      </c>
      <c r="AV44" s="36">
        <f t="shared" ref="AV44:AV61" si="38">AW44+AX44</f>
        <v>0</v>
      </c>
      <c r="AW44" s="36">
        <f t="shared" ref="AW44:AW61" si="39">H44*AO44</f>
        <v>0</v>
      </c>
      <c r="AX44" s="36">
        <f t="shared" ref="AX44:AX61" si="40">H44*AP44</f>
        <v>0</v>
      </c>
      <c r="AY44" s="39" t="s">
        <v>2908</v>
      </c>
      <c r="AZ44" s="39" t="s">
        <v>2947</v>
      </c>
      <c r="BA44" s="35" t="s">
        <v>2967</v>
      </c>
      <c r="BC44" s="36">
        <f t="shared" ref="BC44:BC61" si="41">AW44+AX44</f>
        <v>0</v>
      </c>
      <c r="BD44" s="36">
        <f t="shared" ref="BD44:BD61" si="42">I44/(100-BE44)*100</f>
        <v>0</v>
      </c>
      <c r="BE44" s="36">
        <v>0</v>
      </c>
      <c r="BF44" s="36">
        <f>44</f>
        <v>44</v>
      </c>
      <c r="BH44" s="20">
        <f t="shared" ref="BH44:BH61" si="43">H44*AO44</f>
        <v>0</v>
      </c>
      <c r="BI44" s="20">
        <f t="shared" ref="BI44:BI61" si="44">H44*AP44</f>
        <v>0</v>
      </c>
      <c r="BJ44" s="20">
        <f t="shared" ref="BJ44:BJ61" si="45">H44*I44</f>
        <v>0</v>
      </c>
      <c r="BK44" s="20" t="s">
        <v>2978</v>
      </c>
      <c r="BL44" s="36">
        <v>27</v>
      </c>
    </row>
    <row r="45" spans="1:64" x14ac:dyDescent="0.2">
      <c r="A45" s="4" t="s">
        <v>31</v>
      </c>
      <c r="B45" s="13" t="s">
        <v>980</v>
      </c>
      <c r="C45" s="174" t="s">
        <v>1890</v>
      </c>
      <c r="D45" s="175"/>
      <c r="E45" s="175"/>
      <c r="F45" s="175"/>
      <c r="G45" s="13" t="s">
        <v>2853</v>
      </c>
      <c r="H45" s="82">
        <v>10</v>
      </c>
      <c r="I45" s="109">
        <v>0</v>
      </c>
      <c r="J45" s="20">
        <f t="shared" si="24"/>
        <v>0</v>
      </c>
      <c r="K45" s="20">
        <f t="shared" si="25"/>
        <v>0</v>
      </c>
      <c r="L45" s="20">
        <f t="shared" si="26"/>
        <v>0</v>
      </c>
      <c r="M45" s="31" t="s">
        <v>2884</v>
      </c>
      <c r="N45" s="5"/>
      <c r="Z45" s="36">
        <f t="shared" si="27"/>
        <v>0</v>
      </c>
      <c r="AB45" s="36">
        <f t="shared" si="28"/>
        <v>0</v>
      </c>
      <c r="AC45" s="36">
        <f t="shared" si="29"/>
        <v>0</v>
      </c>
      <c r="AD45" s="36">
        <f t="shared" si="30"/>
        <v>0</v>
      </c>
      <c r="AE45" s="36">
        <f t="shared" si="31"/>
        <v>0</v>
      </c>
      <c r="AF45" s="36">
        <f t="shared" si="32"/>
        <v>0</v>
      </c>
      <c r="AG45" s="36">
        <f t="shared" si="33"/>
        <v>0</v>
      </c>
      <c r="AH45" s="36">
        <f t="shared" si="34"/>
        <v>0</v>
      </c>
      <c r="AI45" s="35" t="s">
        <v>2894</v>
      </c>
      <c r="AJ45" s="20">
        <f t="shared" si="35"/>
        <v>0</v>
      </c>
      <c r="AK45" s="20">
        <f t="shared" si="36"/>
        <v>0</v>
      </c>
      <c r="AL45" s="20">
        <f t="shared" si="37"/>
        <v>0</v>
      </c>
      <c r="AN45" s="36">
        <v>21</v>
      </c>
      <c r="AO45" s="36">
        <f>I45*0.898837455830389</f>
        <v>0</v>
      </c>
      <c r="AP45" s="36">
        <f>I45*(1-0.898837455830389)</f>
        <v>0</v>
      </c>
      <c r="AQ45" s="37" t="s">
        <v>7</v>
      </c>
      <c r="AV45" s="36">
        <f t="shared" si="38"/>
        <v>0</v>
      </c>
      <c r="AW45" s="36">
        <f t="shared" si="39"/>
        <v>0</v>
      </c>
      <c r="AX45" s="36">
        <f t="shared" si="40"/>
        <v>0</v>
      </c>
      <c r="AY45" s="39" t="s">
        <v>2908</v>
      </c>
      <c r="AZ45" s="39" t="s">
        <v>2947</v>
      </c>
      <c r="BA45" s="35" t="s">
        <v>2967</v>
      </c>
      <c r="BC45" s="36">
        <f t="shared" si="41"/>
        <v>0</v>
      </c>
      <c r="BD45" s="36">
        <f t="shared" si="42"/>
        <v>0</v>
      </c>
      <c r="BE45" s="36">
        <v>0</v>
      </c>
      <c r="BF45" s="36">
        <f>45</f>
        <v>45</v>
      </c>
      <c r="BH45" s="20">
        <f t="shared" si="43"/>
        <v>0</v>
      </c>
      <c r="BI45" s="20">
        <f t="shared" si="44"/>
        <v>0</v>
      </c>
      <c r="BJ45" s="20">
        <f t="shared" si="45"/>
        <v>0</v>
      </c>
      <c r="BK45" s="20" t="s">
        <v>2978</v>
      </c>
      <c r="BL45" s="36">
        <v>27</v>
      </c>
    </row>
    <row r="46" spans="1:64" x14ac:dyDescent="0.2">
      <c r="A46" s="4" t="s">
        <v>32</v>
      </c>
      <c r="B46" s="13" t="s">
        <v>981</v>
      </c>
      <c r="C46" s="174" t="s">
        <v>1891</v>
      </c>
      <c r="D46" s="175"/>
      <c r="E46" s="175"/>
      <c r="F46" s="175"/>
      <c r="G46" s="13" t="s">
        <v>2854</v>
      </c>
      <c r="H46" s="82">
        <v>124.605</v>
      </c>
      <c r="I46" s="109">
        <v>0</v>
      </c>
      <c r="J46" s="20">
        <f t="shared" si="24"/>
        <v>0</v>
      </c>
      <c r="K46" s="20">
        <f t="shared" si="25"/>
        <v>0</v>
      </c>
      <c r="L46" s="20">
        <f t="shared" si="26"/>
        <v>0</v>
      </c>
      <c r="M46" s="31" t="s">
        <v>2884</v>
      </c>
      <c r="N46" s="5"/>
      <c r="Z46" s="36">
        <f t="shared" si="27"/>
        <v>0</v>
      </c>
      <c r="AB46" s="36">
        <f t="shared" si="28"/>
        <v>0</v>
      </c>
      <c r="AC46" s="36">
        <f t="shared" si="29"/>
        <v>0</v>
      </c>
      <c r="AD46" s="36">
        <f t="shared" si="30"/>
        <v>0</v>
      </c>
      <c r="AE46" s="36">
        <f t="shared" si="31"/>
        <v>0</v>
      </c>
      <c r="AF46" s="36">
        <f t="shared" si="32"/>
        <v>0</v>
      </c>
      <c r="AG46" s="36">
        <f t="shared" si="33"/>
        <v>0</v>
      </c>
      <c r="AH46" s="36">
        <f t="shared" si="34"/>
        <v>0</v>
      </c>
      <c r="AI46" s="35" t="s">
        <v>2894</v>
      </c>
      <c r="AJ46" s="20">
        <f t="shared" si="35"/>
        <v>0</v>
      </c>
      <c r="AK46" s="20">
        <f t="shared" si="36"/>
        <v>0</v>
      </c>
      <c r="AL46" s="20">
        <f t="shared" si="37"/>
        <v>0</v>
      </c>
      <c r="AN46" s="36">
        <v>21</v>
      </c>
      <c r="AO46" s="36">
        <f>I46*0.205438330382245</f>
        <v>0</v>
      </c>
      <c r="AP46" s="36">
        <f>I46*(1-0.205438330382245)</f>
        <v>0</v>
      </c>
      <c r="AQ46" s="37" t="s">
        <v>7</v>
      </c>
      <c r="AV46" s="36">
        <f t="shared" si="38"/>
        <v>0</v>
      </c>
      <c r="AW46" s="36">
        <f t="shared" si="39"/>
        <v>0</v>
      </c>
      <c r="AX46" s="36">
        <f t="shared" si="40"/>
        <v>0</v>
      </c>
      <c r="AY46" s="39" t="s">
        <v>2908</v>
      </c>
      <c r="AZ46" s="39" t="s">
        <v>2947</v>
      </c>
      <c r="BA46" s="35" t="s">
        <v>2967</v>
      </c>
      <c r="BC46" s="36">
        <f t="shared" si="41"/>
        <v>0</v>
      </c>
      <c r="BD46" s="36">
        <f t="shared" si="42"/>
        <v>0</v>
      </c>
      <c r="BE46" s="36">
        <v>0</v>
      </c>
      <c r="BF46" s="36">
        <f>46</f>
        <v>46</v>
      </c>
      <c r="BH46" s="20">
        <f t="shared" si="43"/>
        <v>0</v>
      </c>
      <c r="BI46" s="20">
        <f t="shared" si="44"/>
        <v>0</v>
      </c>
      <c r="BJ46" s="20">
        <f t="shared" si="45"/>
        <v>0</v>
      </c>
      <c r="BK46" s="20" t="s">
        <v>2978</v>
      </c>
      <c r="BL46" s="36">
        <v>27</v>
      </c>
    </row>
    <row r="47" spans="1:64" x14ac:dyDescent="0.2">
      <c r="A47" s="4" t="s">
        <v>33</v>
      </c>
      <c r="B47" s="13" t="s">
        <v>982</v>
      </c>
      <c r="C47" s="174" t="s">
        <v>1892</v>
      </c>
      <c r="D47" s="175"/>
      <c r="E47" s="175"/>
      <c r="F47" s="175"/>
      <c r="G47" s="13" t="s">
        <v>2854</v>
      </c>
      <c r="H47" s="82">
        <v>124.605</v>
      </c>
      <c r="I47" s="109">
        <v>0</v>
      </c>
      <c r="J47" s="20">
        <f t="shared" si="24"/>
        <v>0</v>
      </c>
      <c r="K47" s="20">
        <f t="shared" si="25"/>
        <v>0</v>
      </c>
      <c r="L47" s="20">
        <f t="shared" si="26"/>
        <v>0</v>
      </c>
      <c r="M47" s="31" t="s">
        <v>2884</v>
      </c>
      <c r="N47" s="5"/>
      <c r="Z47" s="36">
        <f t="shared" si="27"/>
        <v>0</v>
      </c>
      <c r="AB47" s="36">
        <f t="shared" si="28"/>
        <v>0</v>
      </c>
      <c r="AC47" s="36">
        <f t="shared" si="29"/>
        <v>0</v>
      </c>
      <c r="AD47" s="36">
        <f t="shared" si="30"/>
        <v>0</v>
      </c>
      <c r="AE47" s="36">
        <f t="shared" si="31"/>
        <v>0</v>
      </c>
      <c r="AF47" s="36">
        <f t="shared" si="32"/>
        <v>0</v>
      </c>
      <c r="AG47" s="36">
        <f t="shared" si="33"/>
        <v>0</v>
      </c>
      <c r="AH47" s="36">
        <f t="shared" si="34"/>
        <v>0</v>
      </c>
      <c r="AI47" s="35" t="s">
        <v>2894</v>
      </c>
      <c r="AJ47" s="20">
        <f t="shared" si="35"/>
        <v>0</v>
      </c>
      <c r="AK47" s="20">
        <f t="shared" si="36"/>
        <v>0</v>
      </c>
      <c r="AL47" s="20">
        <f t="shared" si="37"/>
        <v>0</v>
      </c>
      <c r="AN47" s="36">
        <v>21</v>
      </c>
      <c r="AO47" s="36">
        <f>I47*0</f>
        <v>0</v>
      </c>
      <c r="AP47" s="36">
        <f>I47*(1-0)</f>
        <v>0</v>
      </c>
      <c r="AQ47" s="37" t="s">
        <v>7</v>
      </c>
      <c r="AV47" s="36">
        <f t="shared" si="38"/>
        <v>0</v>
      </c>
      <c r="AW47" s="36">
        <f t="shared" si="39"/>
        <v>0</v>
      </c>
      <c r="AX47" s="36">
        <f t="shared" si="40"/>
        <v>0</v>
      </c>
      <c r="AY47" s="39" t="s">
        <v>2908</v>
      </c>
      <c r="AZ47" s="39" t="s">
        <v>2947</v>
      </c>
      <c r="BA47" s="35" t="s">
        <v>2967</v>
      </c>
      <c r="BC47" s="36">
        <f t="shared" si="41"/>
        <v>0</v>
      </c>
      <c r="BD47" s="36">
        <f t="shared" si="42"/>
        <v>0</v>
      </c>
      <c r="BE47" s="36">
        <v>0</v>
      </c>
      <c r="BF47" s="36">
        <f>47</f>
        <v>47</v>
      </c>
      <c r="BH47" s="20">
        <f t="shared" si="43"/>
        <v>0</v>
      </c>
      <c r="BI47" s="20">
        <f t="shared" si="44"/>
        <v>0</v>
      </c>
      <c r="BJ47" s="20">
        <f t="shared" si="45"/>
        <v>0</v>
      </c>
      <c r="BK47" s="20" t="s">
        <v>2978</v>
      </c>
      <c r="BL47" s="36">
        <v>27</v>
      </c>
    </row>
    <row r="48" spans="1:64" x14ac:dyDescent="0.2">
      <c r="A48" s="4" t="s">
        <v>34</v>
      </c>
      <c r="B48" s="13" t="s">
        <v>983</v>
      </c>
      <c r="C48" s="174" t="s">
        <v>1893</v>
      </c>
      <c r="D48" s="175"/>
      <c r="E48" s="175"/>
      <c r="F48" s="175"/>
      <c r="G48" s="13" t="s">
        <v>2856</v>
      </c>
      <c r="H48" s="82">
        <v>6.556</v>
      </c>
      <c r="I48" s="109">
        <v>0</v>
      </c>
      <c r="J48" s="20">
        <f t="shared" si="24"/>
        <v>0</v>
      </c>
      <c r="K48" s="20">
        <f t="shared" si="25"/>
        <v>0</v>
      </c>
      <c r="L48" s="20">
        <f t="shared" si="26"/>
        <v>0</v>
      </c>
      <c r="M48" s="31" t="s">
        <v>2884</v>
      </c>
      <c r="N48" s="5"/>
      <c r="Z48" s="36">
        <f t="shared" si="27"/>
        <v>0</v>
      </c>
      <c r="AB48" s="36">
        <f t="shared" si="28"/>
        <v>0</v>
      </c>
      <c r="AC48" s="36">
        <f t="shared" si="29"/>
        <v>0</v>
      </c>
      <c r="AD48" s="36">
        <f t="shared" si="30"/>
        <v>0</v>
      </c>
      <c r="AE48" s="36">
        <f t="shared" si="31"/>
        <v>0</v>
      </c>
      <c r="AF48" s="36">
        <f t="shared" si="32"/>
        <v>0</v>
      </c>
      <c r="AG48" s="36">
        <f t="shared" si="33"/>
        <v>0</v>
      </c>
      <c r="AH48" s="36">
        <f t="shared" si="34"/>
        <v>0</v>
      </c>
      <c r="AI48" s="35" t="s">
        <v>2894</v>
      </c>
      <c r="AJ48" s="20">
        <f t="shared" si="35"/>
        <v>0</v>
      </c>
      <c r="AK48" s="20">
        <f t="shared" si="36"/>
        <v>0</v>
      </c>
      <c r="AL48" s="20">
        <f t="shared" si="37"/>
        <v>0</v>
      </c>
      <c r="AN48" s="36">
        <v>21</v>
      </c>
      <c r="AO48" s="36">
        <f>I48*0.879227698373583</f>
        <v>0</v>
      </c>
      <c r="AP48" s="36">
        <f>I48*(1-0.879227698373583)</f>
        <v>0</v>
      </c>
      <c r="AQ48" s="37" t="s">
        <v>7</v>
      </c>
      <c r="AV48" s="36">
        <f t="shared" si="38"/>
        <v>0</v>
      </c>
      <c r="AW48" s="36">
        <f t="shared" si="39"/>
        <v>0</v>
      </c>
      <c r="AX48" s="36">
        <f t="shared" si="40"/>
        <v>0</v>
      </c>
      <c r="AY48" s="39" t="s">
        <v>2908</v>
      </c>
      <c r="AZ48" s="39" t="s">
        <v>2947</v>
      </c>
      <c r="BA48" s="35" t="s">
        <v>2967</v>
      </c>
      <c r="BC48" s="36">
        <f t="shared" si="41"/>
        <v>0</v>
      </c>
      <c r="BD48" s="36">
        <f t="shared" si="42"/>
        <v>0</v>
      </c>
      <c r="BE48" s="36">
        <v>0</v>
      </c>
      <c r="BF48" s="36">
        <f>48</f>
        <v>48</v>
      </c>
      <c r="BH48" s="20">
        <f t="shared" si="43"/>
        <v>0</v>
      </c>
      <c r="BI48" s="20">
        <f t="shared" si="44"/>
        <v>0</v>
      </c>
      <c r="BJ48" s="20">
        <f t="shared" si="45"/>
        <v>0</v>
      </c>
      <c r="BK48" s="20" t="s">
        <v>2978</v>
      </c>
      <c r="BL48" s="36">
        <v>27</v>
      </c>
    </row>
    <row r="49" spans="1:64" x14ac:dyDescent="0.2">
      <c r="A49" s="4" t="s">
        <v>35</v>
      </c>
      <c r="B49" s="13" t="s">
        <v>984</v>
      </c>
      <c r="C49" s="174" t="s">
        <v>1894</v>
      </c>
      <c r="D49" s="175"/>
      <c r="E49" s="175"/>
      <c r="F49" s="175"/>
      <c r="G49" s="13" t="s">
        <v>2852</v>
      </c>
      <c r="H49" s="82">
        <v>14</v>
      </c>
      <c r="I49" s="109">
        <v>0</v>
      </c>
      <c r="J49" s="20">
        <f t="shared" si="24"/>
        <v>0</v>
      </c>
      <c r="K49" s="20">
        <f t="shared" si="25"/>
        <v>0</v>
      </c>
      <c r="L49" s="20">
        <f t="shared" si="26"/>
        <v>0</v>
      </c>
      <c r="M49" s="31" t="s">
        <v>2884</v>
      </c>
      <c r="N49" s="5"/>
      <c r="Z49" s="36">
        <f t="shared" si="27"/>
        <v>0</v>
      </c>
      <c r="AB49" s="36">
        <f t="shared" si="28"/>
        <v>0</v>
      </c>
      <c r="AC49" s="36">
        <f t="shared" si="29"/>
        <v>0</v>
      </c>
      <c r="AD49" s="36">
        <f t="shared" si="30"/>
        <v>0</v>
      </c>
      <c r="AE49" s="36">
        <f t="shared" si="31"/>
        <v>0</v>
      </c>
      <c r="AF49" s="36">
        <f t="shared" si="32"/>
        <v>0</v>
      </c>
      <c r="AG49" s="36">
        <f t="shared" si="33"/>
        <v>0</v>
      </c>
      <c r="AH49" s="36">
        <f t="shared" si="34"/>
        <v>0</v>
      </c>
      <c r="AI49" s="35" t="s">
        <v>2894</v>
      </c>
      <c r="AJ49" s="20">
        <f t="shared" si="35"/>
        <v>0</v>
      </c>
      <c r="AK49" s="20">
        <f t="shared" si="36"/>
        <v>0</v>
      </c>
      <c r="AL49" s="20">
        <f t="shared" si="37"/>
        <v>0</v>
      </c>
      <c r="AN49" s="36">
        <v>21</v>
      </c>
      <c r="AO49" s="36">
        <f>I49*0.432719420805284</f>
        <v>0</v>
      </c>
      <c r="AP49" s="36">
        <f>I49*(1-0.432719420805284)</f>
        <v>0</v>
      </c>
      <c r="AQ49" s="37" t="s">
        <v>7</v>
      </c>
      <c r="AV49" s="36">
        <f t="shared" si="38"/>
        <v>0</v>
      </c>
      <c r="AW49" s="36">
        <f t="shared" si="39"/>
        <v>0</v>
      </c>
      <c r="AX49" s="36">
        <f t="shared" si="40"/>
        <v>0</v>
      </c>
      <c r="AY49" s="39" t="s">
        <v>2908</v>
      </c>
      <c r="AZ49" s="39" t="s">
        <v>2947</v>
      </c>
      <c r="BA49" s="35" t="s">
        <v>2967</v>
      </c>
      <c r="BC49" s="36">
        <f t="shared" si="41"/>
        <v>0</v>
      </c>
      <c r="BD49" s="36">
        <f t="shared" si="42"/>
        <v>0</v>
      </c>
      <c r="BE49" s="36">
        <v>0</v>
      </c>
      <c r="BF49" s="36">
        <f>49</f>
        <v>49</v>
      </c>
      <c r="BH49" s="20">
        <f t="shared" si="43"/>
        <v>0</v>
      </c>
      <c r="BI49" s="20">
        <f t="shared" si="44"/>
        <v>0</v>
      </c>
      <c r="BJ49" s="20">
        <f t="shared" si="45"/>
        <v>0</v>
      </c>
      <c r="BK49" s="20" t="s">
        <v>2978</v>
      </c>
      <c r="BL49" s="36">
        <v>27</v>
      </c>
    </row>
    <row r="50" spans="1:64" x14ac:dyDescent="0.2">
      <c r="A50" s="4" t="s">
        <v>36</v>
      </c>
      <c r="B50" s="13" t="s">
        <v>985</v>
      </c>
      <c r="C50" s="174" t="s">
        <v>1895</v>
      </c>
      <c r="D50" s="175"/>
      <c r="E50" s="175"/>
      <c r="F50" s="175"/>
      <c r="G50" s="13" t="s">
        <v>2854</v>
      </c>
      <c r="H50" s="82">
        <v>302.34899999999999</v>
      </c>
      <c r="I50" s="109">
        <v>0</v>
      </c>
      <c r="J50" s="20">
        <f t="shared" si="24"/>
        <v>0</v>
      </c>
      <c r="K50" s="20">
        <f t="shared" si="25"/>
        <v>0</v>
      </c>
      <c r="L50" s="20">
        <f t="shared" si="26"/>
        <v>0</v>
      </c>
      <c r="M50" s="31" t="s">
        <v>2884</v>
      </c>
      <c r="N50" s="5"/>
      <c r="Z50" s="36">
        <f t="shared" si="27"/>
        <v>0</v>
      </c>
      <c r="AB50" s="36">
        <f t="shared" si="28"/>
        <v>0</v>
      </c>
      <c r="AC50" s="36">
        <f t="shared" si="29"/>
        <v>0</v>
      </c>
      <c r="AD50" s="36">
        <f t="shared" si="30"/>
        <v>0</v>
      </c>
      <c r="AE50" s="36">
        <f t="shared" si="31"/>
        <v>0</v>
      </c>
      <c r="AF50" s="36">
        <f t="shared" si="32"/>
        <v>0</v>
      </c>
      <c r="AG50" s="36">
        <f t="shared" si="33"/>
        <v>0</v>
      </c>
      <c r="AH50" s="36">
        <f t="shared" si="34"/>
        <v>0</v>
      </c>
      <c r="AI50" s="35" t="s">
        <v>2894</v>
      </c>
      <c r="AJ50" s="20">
        <f t="shared" si="35"/>
        <v>0</v>
      </c>
      <c r="AK50" s="20">
        <f t="shared" si="36"/>
        <v>0</v>
      </c>
      <c r="AL50" s="20">
        <f t="shared" si="37"/>
        <v>0</v>
      </c>
      <c r="AN50" s="36">
        <v>21</v>
      </c>
      <c r="AO50" s="36">
        <f>I50*0.728813333333333</f>
        <v>0</v>
      </c>
      <c r="AP50" s="36">
        <f>I50*(1-0.728813333333333)</f>
        <v>0</v>
      </c>
      <c r="AQ50" s="37" t="s">
        <v>7</v>
      </c>
      <c r="AV50" s="36">
        <f t="shared" si="38"/>
        <v>0</v>
      </c>
      <c r="AW50" s="36">
        <f t="shared" si="39"/>
        <v>0</v>
      </c>
      <c r="AX50" s="36">
        <f t="shared" si="40"/>
        <v>0</v>
      </c>
      <c r="AY50" s="39" t="s">
        <v>2908</v>
      </c>
      <c r="AZ50" s="39" t="s">
        <v>2947</v>
      </c>
      <c r="BA50" s="35" t="s">
        <v>2967</v>
      </c>
      <c r="BC50" s="36">
        <f t="shared" si="41"/>
        <v>0</v>
      </c>
      <c r="BD50" s="36">
        <f t="shared" si="42"/>
        <v>0</v>
      </c>
      <c r="BE50" s="36">
        <v>0</v>
      </c>
      <c r="BF50" s="36">
        <f>50</f>
        <v>50</v>
      </c>
      <c r="BH50" s="20">
        <f t="shared" si="43"/>
        <v>0</v>
      </c>
      <c r="BI50" s="20">
        <f t="shared" si="44"/>
        <v>0</v>
      </c>
      <c r="BJ50" s="20">
        <f t="shared" si="45"/>
        <v>0</v>
      </c>
      <c r="BK50" s="20" t="s">
        <v>2978</v>
      </c>
      <c r="BL50" s="36">
        <v>27</v>
      </c>
    </row>
    <row r="51" spans="1:64" x14ac:dyDescent="0.2">
      <c r="A51" s="4" t="s">
        <v>37</v>
      </c>
      <c r="B51" s="13" t="s">
        <v>986</v>
      </c>
      <c r="C51" s="174" t="s">
        <v>1896</v>
      </c>
      <c r="D51" s="175"/>
      <c r="E51" s="175"/>
      <c r="F51" s="175"/>
      <c r="G51" s="13" t="s">
        <v>2853</v>
      </c>
      <c r="H51" s="82">
        <v>67.176000000000002</v>
      </c>
      <c r="I51" s="109">
        <v>0</v>
      </c>
      <c r="J51" s="20">
        <f t="shared" si="24"/>
        <v>0</v>
      </c>
      <c r="K51" s="20">
        <f t="shared" si="25"/>
        <v>0</v>
      </c>
      <c r="L51" s="20">
        <f t="shared" si="26"/>
        <v>0</v>
      </c>
      <c r="M51" s="31" t="s">
        <v>2884</v>
      </c>
      <c r="N51" s="5"/>
      <c r="Z51" s="36">
        <f t="shared" si="27"/>
        <v>0</v>
      </c>
      <c r="AB51" s="36">
        <f t="shared" si="28"/>
        <v>0</v>
      </c>
      <c r="AC51" s="36">
        <f t="shared" si="29"/>
        <v>0</v>
      </c>
      <c r="AD51" s="36">
        <f t="shared" si="30"/>
        <v>0</v>
      </c>
      <c r="AE51" s="36">
        <f t="shared" si="31"/>
        <v>0</v>
      </c>
      <c r="AF51" s="36">
        <f t="shared" si="32"/>
        <v>0</v>
      </c>
      <c r="AG51" s="36">
        <f t="shared" si="33"/>
        <v>0</v>
      </c>
      <c r="AH51" s="36">
        <f t="shared" si="34"/>
        <v>0</v>
      </c>
      <c r="AI51" s="35" t="s">
        <v>2894</v>
      </c>
      <c r="AJ51" s="20">
        <f t="shared" si="35"/>
        <v>0</v>
      </c>
      <c r="AK51" s="20">
        <f t="shared" si="36"/>
        <v>0</v>
      </c>
      <c r="AL51" s="20">
        <f t="shared" si="37"/>
        <v>0</v>
      </c>
      <c r="AN51" s="36">
        <v>21</v>
      </c>
      <c r="AO51" s="36">
        <f>I51*0.906593800978793</f>
        <v>0</v>
      </c>
      <c r="AP51" s="36">
        <f>I51*(1-0.906593800978793)</f>
        <v>0</v>
      </c>
      <c r="AQ51" s="37" t="s">
        <v>7</v>
      </c>
      <c r="AV51" s="36">
        <f t="shared" si="38"/>
        <v>0</v>
      </c>
      <c r="AW51" s="36">
        <f t="shared" si="39"/>
        <v>0</v>
      </c>
      <c r="AX51" s="36">
        <f t="shared" si="40"/>
        <v>0</v>
      </c>
      <c r="AY51" s="39" t="s">
        <v>2908</v>
      </c>
      <c r="AZ51" s="39" t="s">
        <v>2947</v>
      </c>
      <c r="BA51" s="35" t="s">
        <v>2967</v>
      </c>
      <c r="BC51" s="36">
        <f t="shared" si="41"/>
        <v>0</v>
      </c>
      <c r="BD51" s="36">
        <f t="shared" si="42"/>
        <v>0</v>
      </c>
      <c r="BE51" s="36">
        <v>0</v>
      </c>
      <c r="BF51" s="36">
        <f>51</f>
        <v>51</v>
      </c>
      <c r="BH51" s="20">
        <f t="shared" si="43"/>
        <v>0</v>
      </c>
      <c r="BI51" s="20">
        <f t="shared" si="44"/>
        <v>0</v>
      </c>
      <c r="BJ51" s="20">
        <f t="shared" si="45"/>
        <v>0</v>
      </c>
      <c r="BK51" s="20" t="s">
        <v>2978</v>
      </c>
      <c r="BL51" s="36">
        <v>27</v>
      </c>
    </row>
    <row r="52" spans="1:64" x14ac:dyDescent="0.2">
      <c r="A52" s="4" t="s">
        <v>38</v>
      </c>
      <c r="B52" s="13" t="s">
        <v>987</v>
      </c>
      <c r="C52" s="174" t="s">
        <v>1897</v>
      </c>
      <c r="D52" s="175"/>
      <c r="E52" s="175"/>
      <c r="F52" s="175"/>
      <c r="G52" s="13" t="s">
        <v>2853</v>
      </c>
      <c r="H52" s="82">
        <v>72.875</v>
      </c>
      <c r="I52" s="109">
        <v>0</v>
      </c>
      <c r="J52" s="20">
        <f t="shared" si="24"/>
        <v>0</v>
      </c>
      <c r="K52" s="20">
        <f t="shared" si="25"/>
        <v>0</v>
      </c>
      <c r="L52" s="20">
        <f t="shared" si="26"/>
        <v>0</v>
      </c>
      <c r="M52" s="31" t="s">
        <v>2884</v>
      </c>
      <c r="N52" s="5"/>
      <c r="Z52" s="36">
        <f t="shared" si="27"/>
        <v>0</v>
      </c>
      <c r="AB52" s="36">
        <f t="shared" si="28"/>
        <v>0</v>
      </c>
      <c r="AC52" s="36">
        <f t="shared" si="29"/>
        <v>0</v>
      </c>
      <c r="AD52" s="36">
        <f t="shared" si="30"/>
        <v>0</v>
      </c>
      <c r="AE52" s="36">
        <f t="shared" si="31"/>
        <v>0</v>
      </c>
      <c r="AF52" s="36">
        <f t="shared" si="32"/>
        <v>0</v>
      </c>
      <c r="AG52" s="36">
        <f t="shared" si="33"/>
        <v>0</v>
      </c>
      <c r="AH52" s="36">
        <f t="shared" si="34"/>
        <v>0</v>
      </c>
      <c r="AI52" s="35" t="s">
        <v>2894</v>
      </c>
      <c r="AJ52" s="20">
        <f t="shared" si="35"/>
        <v>0</v>
      </c>
      <c r="AK52" s="20">
        <f t="shared" si="36"/>
        <v>0</v>
      </c>
      <c r="AL52" s="20">
        <f t="shared" si="37"/>
        <v>0</v>
      </c>
      <c r="AN52" s="36">
        <v>21</v>
      </c>
      <c r="AO52" s="36">
        <f>I52*0.906593780684511</f>
        <v>0</v>
      </c>
      <c r="AP52" s="36">
        <f>I52*(1-0.906593780684511)</f>
        <v>0</v>
      </c>
      <c r="AQ52" s="37" t="s">
        <v>7</v>
      </c>
      <c r="AV52" s="36">
        <f t="shared" si="38"/>
        <v>0</v>
      </c>
      <c r="AW52" s="36">
        <f t="shared" si="39"/>
        <v>0</v>
      </c>
      <c r="AX52" s="36">
        <f t="shared" si="40"/>
        <v>0</v>
      </c>
      <c r="AY52" s="39" t="s">
        <v>2908</v>
      </c>
      <c r="AZ52" s="39" t="s">
        <v>2947</v>
      </c>
      <c r="BA52" s="35" t="s">
        <v>2967</v>
      </c>
      <c r="BC52" s="36">
        <f t="shared" si="41"/>
        <v>0</v>
      </c>
      <c r="BD52" s="36">
        <f t="shared" si="42"/>
        <v>0</v>
      </c>
      <c r="BE52" s="36">
        <v>0</v>
      </c>
      <c r="BF52" s="36">
        <f>52</f>
        <v>52</v>
      </c>
      <c r="BH52" s="20">
        <f t="shared" si="43"/>
        <v>0</v>
      </c>
      <c r="BI52" s="20">
        <f t="shared" si="44"/>
        <v>0</v>
      </c>
      <c r="BJ52" s="20">
        <f t="shared" si="45"/>
        <v>0</v>
      </c>
      <c r="BK52" s="20" t="s">
        <v>2978</v>
      </c>
      <c r="BL52" s="36">
        <v>27</v>
      </c>
    </row>
    <row r="53" spans="1:64" x14ac:dyDescent="0.2">
      <c r="A53" s="4" t="s">
        <v>39</v>
      </c>
      <c r="B53" s="13" t="s">
        <v>988</v>
      </c>
      <c r="C53" s="174" t="s">
        <v>1898</v>
      </c>
      <c r="D53" s="175"/>
      <c r="E53" s="175"/>
      <c r="F53" s="175"/>
      <c r="G53" s="13" t="s">
        <v>2853</v>
      </c>
      <c r="H53" s="82">
        <v>9.2880000000000003</v>
      </c>
      <c r="I53" s="109">
        <v>0</v>
      </c>
      <c r="J53" s="20">
        <f t="shared" si="24"/>
        <v>0</v>
      </c>
      <c r="K53" s="20">
        <f t="shared" si="25"/>
        <v>0</v>
      </c>
      <c r="L53" s="20">
        <f t="shared" si="26"/>
        <v>0</v>
      </c>
      <c r="M53" s="31" t="s">
        <v>2884</v>
      </c>
      <c r="N53" s="5"/>
      <c r="Z53" s="36">
        <f t="shared" si="27"/>
        <v>0</v>
      </c>
      <c r="AB53" s="36">
        <f t="shared" si="28"/>
        <v>0</v>
      </c>
      <c r="AC53" s="36">
        <f t="shared" si="29"/>
        <v>0</v>
      </c>
      <c r="AD53" s="36">
        <f t="shared" si="30"/>
        <v>0</v>
      </c>
      <c r="AE53" s="36">
        <f t="shared" si="31"/>
        <v>0</v>
      </c>
      <c r="AF53" s="36">
        <f t="shared" si="32"/>
        <v>0</v>
      </c>
      <c r="AG53" s="36">
        <f t="shared" si="33"/>
        <v>0</v>
      </c>
      <c r="AH53" s="36">
        <f t="shared" si="34"/>
        <v>0</v>
      </c>
      <c r="AI53" s="35" t="s">
        <v>2894</v>
      </c>
      <c r="AJ53" s="20">
        <f t="shared" si="35"/>
        <v>0</v>
      </c>
      <c r="AK53" s="20">
        <f t="shared" si="36"/>
        <v>0</v>
      </c>
      <c r="AL53" s="20">
        <f t="shared" si="37"/>
        <v>0</v>
      </c>
      <c r="AN53" s="36">
        <v>21</v>
      </c>
      <c r="AO53" s="36">
        <f>I53*0.901864231663998</f>
        <v>0</v>
      </c>
      <c r="AP53" s="36">
        <f>I53*(1-0.901864231663998)</f>
        <v>0</v>
      </c>
      <c r="AQ53" s="37" t="s">
        <v>7</v>
      </c>
      <c r="AV53" s="36">
        <f t="shared" si="38"/>
        <v>0</v>
      </c>
      <c r="AW53" s="36">
        <f t="shared" si="39"/>
        <v>0</v>
      </c>
      <c r="AX53" s="36">
        <f t="shared" si="40"/>
        <v>0</v>
      </c>
      <c r="AY53" s="39" t="s">
        <v>2908</v>
      </c>
      <c r="AZ53" s="39" t="s">
        <v>2947</v>
      </c>
      <c r="BA53" s="35" t="s">
        <v>2967</v>
      </c>
      <c r="BC53" s="36">
        <f t="shared" si="41"/>
        <v>0</v>
      </c>
      <c r="BD53" s="36">
        <f t="shared" si="42"/>
        <v>0</v>
      </c>
      <c r="BE53" s="36">
        <v>0</v>
      </c>
      <c r="BF53" s="36">
        <f>53</f>
        <v>53</v>
      </c>
      <c r="BH53" s="20">
        <f t="shared" si="43"/>
        <v>0</v>
      </c>
      <c r="BI53" s="20">
        <f t="shared" si="44"/>
        <v>0</v>
      </c>
      <c r="BJ53" s="20">
        <f t="shared" si="45"/>
        <v>0</v>
      </c>
      <c r="BK53" s="20" t="s">
        <v>2978</v>
      </c>
      <c r="BL53" s="36">
        <v>27</v>
      </c>
    </row>
    <row r="54" spans="1:64" x14ac:dyDescent="0.2">
      <c r="A54" s="4" t="s">
        <v>40</v>
      </c>
      <c r="B54" s="13" t="s">
        <v>989</v>
      </c>
      <c r="C54" s="174" t="s">
        <v>1899</v>
      </c>
      <c r="D54" s="175"/>
      <c r="E54" s="175"/>
      <c r="F54" s="175"/>
      <c r="G54" s="13" t="s">
        <v>2852</v>
      </c>
      <c r="H54" s="82">
        <v>2</v>
      </c>
      <c r="I54" s="109">
        <v>0</v>
      </c>
      <c r="J54" s="20">
        <f t="shared" si="24"/>
        <v>0</v>
      </c>
      <c r="K54" s="20">
        <f t="shared" si="25"/>
        <v>0</v>
      </c>
      <c r="L54" s="20">
        <f t="shared" si="26"/>
        <v>0</v>
      </c>
      <c r="M54" s="31" t="s">
        <v>2884</v>
      </c>
      <c r="N54" s="5"/>
      <c r="Z54" s="36">
        <f t="shared" si="27"/>
        <v>0</v>
      </c>
      <c r="AB54" s="36">
        <f t="shared" si="28"/>
        <v>0</v>
      </c>
      <c r="AC54" s="36">
        <f t="shared" si="29"/>
        <v>0</v>
      </c>
      <c r="AD54" s="36">
        <f t="shared" si="30"/>
        <v>0</v>
      </c>
      <c r="AE54" s="36">
        <f t="shared" si="31"/>
        <v>0</v>
      </c>
      <c r="AF54" s="36">
        <f t="shared" si="32"/>
        <v>0</v>
      </c>
      <c r="AG54" s="36">
        <f t="shared" si="33"/>
        <v>0</v>
      </c>
      <c r="AH54" s="36">
        <f t="shared" si="34"/>
        <v>0</v>
      </c>
      <c r="AI54" s="35" t="s">
        <v>2894</v>
      </c>
      <c r="AJ54" s="20">
        <f t="shared" si="35"/>
        <v>0</v>
      </c>
      <c r="AK54" s="20">
        <f t="shared" si="36"/>
        <v>0</v>
      </c>
      <c r="AL54" s="20">
        <f t="shared" si="37"/>
        <v>0</v>
      </c>
      <c r="AN54" s="36">
        <v>21</v>
      </c>
      <c r="AO54" s="36">
        <f>I54*0.570668877385959</f>
        <v>0</v>
      </c>
      <c r="AP54" s="36">
        <f>I54*(1-0.570668877385959)</f>
        <v>0</v>
      </c>
      <c r="AQ54" s="37" t="s">
        <v>7</v>
      </c>
      <c r="AV54" s="36">
        <f t="shared" si="38"/>
        <v>0</v>
      </c>
      <c r="AW54" s="36">
        <f t="shared" si="39"/>
        <v>0</v>
      </c>
      <c r="AX54" s="36">
        <f t="shared" si="40"/>
        <v>0</v>
      </c>
      <c r="AY54" s="39" t="s">
        <v>2908</v>
      </c>
      <c r="AZ54" s="39" t="s">
        <v>2947</v>
      </c>
      <c r="BA54" s="35" t="s">
        <v>2967</v>
      </c>
      <c r="BC54" s="36">
        <f t="shared" si="41"/>
        <v>0</v>
      </c>
      <c r="BD54" s="36">
        <f t="shared" si="42"/>
        <v>0</v>
      </c>
      <c r="BE54" s="36">
        <v>0</v>
      </c>
      <c r="BF54" s="36">
        <f>54</f>
        <v>54</v>
      </c>
      <c r="BH54" s="20">
        <f t="shared" si="43"/>
        <v>0</v>
      </c>
      <c r="BI54" s="20">
        <f t="shared" si="44"/>
        <v>0</v>
      </c>
      <c r="BJ54" s="20">
        <f t="shared" si="45"/>
        <v>0</v>
      </c>
      <c r="BK54" s="20" t="s">
        <v>2978</v>
      </c>
      <c r="BL54" s="36">
        <v>27</v>
      </c>
    </row>
    <row r="55" spans="1:64" x14ac:dyDescent="0.2">
      <c r="A55" s="4" t="s">
        <v>41</v>
      </c>
      <c r="B55" s="13" t="s">
        <v>990</v>
      </c>
      <c r="C55" s="174" t="s">
        <v>1900</v>
      </c>
      <c r="D55" s="175"/>
      <c r="E55" s="175"/>
      <c r="F55" s="175"/>
      <c r="G55" s="13" t="s">
        <v>2852</v>
      </c>
      <c r="H55" s="82">
        <v>2</v>
      </c>
      <c r="I55" s="109">
        <v>0</v>
      </c>
      <c r="J55" s="20">
        <f t="shared" si="24"/>
        <v>0</v>
      </c>
      <c r="K55" s="20">
        <f t="shared" si="25"/>
        <v>0</v>
      </c>
      <c r="L55" s="20">
        <f t="shared" si="26"/>
        <v>0</v>
      </c>
      <c r="M55" s="31" t="s">
        <v>2884</v>
      </c>
      <c r="N55" s="5"/>
      <c r="Z55" s="36">
        <f t="shared" si="27"/>
        <v>0</v>
      </c>
      <c r="AB55" s="36">
        <f t="shared" si="28"/>
        <v>0</v>
      </c>
      <c r="AC55" s="36">
        <f t="shared" si="29"/>
        <v>0</v>
      </c>
      <c r="AD55" s="36">
        <f t="shared" si="30"/>
        <v>0</v>
      </c>
      <c r="AE55" s="36">
        <f t="shared" si="31"/>
        <v>0</v>
      </c>
      <c r="AF55" s="36">
        <f t="shared" si="32"/>
        <v>0</v>
      </c>
      <c r="AG55" s="36">
        <f t="shared" si="33"/>
        <v>0</v>
      </c>
      <c r="AH55" s="36">
        <f t="shared" si="34"/>
        <v>0</v>
      </c>
      <c r="AI55" s="35" t="s">
        <v>2894</v>
      </c>
      <c r="AJ55" s="20">
        <f t="shared" si="35"/>
        <v>0</v>
      </c>
      <c r="AK55" s="20">
        <f t="shared" si="36"/>
        <v>0</v>
      </c>
      <c r="AL55" s="20">
        <f t="shared" si="37"/>
        <v>0</v>
      </c>
      <c r="AN55" s="36">
        <v>21</v>
      </c>
      <c r="AO55" s="36">
        <f>I55*0.570674545213119</f>
        <v>0</v>
      </c>
      <c r="AP55" s="36">
        <f>I55*(1-0.570674545213119)</f>
        <v>0</v>
      </c>
      <c r="AQ55" s="37" t="s">
        <v>7</v>
      </c>
      <c r="AV55" s="36">
        <f t="shared" si="38"/>
        <v>0</v>
      </c>
      <c r="AW55" s="36">
        <f t="shared" si="39"/>
        <v>0</v>
      </c>
      <c r="AX55" s="36">
        <f t="shared" si="40"/>
        <v>0</v>
      </c>
      <c r="AY55" s="39" t="s">
        <v>2908</v>
      </c>
      <c r="AZ55" s="39" t="s">
        <v>2947</v>
      </c>
      <c r="BA55" s="35" t="s">
        <v>2967</v>
      </c>
      <c r="BC55" s="36">
        <f t="shared" si="41"/>
        <v>0</v>
      </c>
      <c r="BD55" s="36">
        <f t="shared" si="42"/>
        <v>0</v>
      </c>
      <c r="BE55" s="36">
        <v>0</v>
      </c>
      <c r="BF55" s="36">
        <f>55</f>
        <v>55</v>
      </c>
      <c r="BH55" s="20">
        <f t="shared" si="43"/>
        <v>0</v>
      </c>
      <c r="BI55" s="20">
        <f t="shared" si="44"/>
        <v>0</v>
      </c>
      <c r="BJ55" s="20">
        <f t="shared" si="45"/>
        <v>0</v>
      </c>
      <c r="BK55" s="20" t="s">
        <v>2978</v>
      </c>
      <c r="BL55" s="36">
        <v>27</v>
      </c>
    </row>
    <row r="56" spans="1:64" x14ac:dyDescent="0.2">
      <c r="A56" s="4" t="s">
        <v>42</v>
      </c>
      <c r="B56" s="13" t="s">
        <v>991</v>
      </c>
      <c r="C56" s="174" t="s">
        <v>1901</v>
      </c>
      <c r="D56" s="175"/>
      <c r="E56" s="175"/>
      <c r="F56" s="175"/>
      <c r="G56" s="13" t="s">
        <v>2852</v>
      </c>
      <c r="H56" s="82">
        <v>1</v>
      </c>
      <c r="I56" s="109">
        <v>0</v>
      </c>
      <c r="J56" s="20">
        <f t="shared" si="24"/>
        <v>0</v>
      </c>
      <c r="K56" s="20">
        <f t="shared" si="25"/>
        <v>0</v>
      </c>
      <c r="L56" s="20">
        <f t="shared" si="26"/>
        <v>0</v>
      </c>
      <c r="M56" s="31" t="s">
        <v>2884</v>
      </c>
      <c r="N56" s="5"/>
      <c r="Z56" s="36">
        <f t="shared" si="27"/>
        <v>0</v>
      </c>
      <c r="AB56" s="36">
        <f t="shared" si="28"/>
        <v>0</v>
      </c>
      <c r="AC56" s="36">
        <f t="shared" si="29"/>
        <v>0</v>
      </c>
      <c r="AD56" s="36">
        <f t="shared" si="30"/>
        <v>0</v>
      </c>
      <c r="AE56" s="36">
        <f t="shared" si="31"/>
        <v>0</v>
      </c>
      <c r="AF56" s="36">
        <f t="shared" si="32"/>
        <v>0</v>
      </c>
      <c r="AG56" s="36">
        <f t="shared" si="33"/>
        <v>0</v>
      </c>
      <c r="AH56" s="36">
        <f t="shared" si="34"/>
        <v>0</v>
      </c>
      <c r="AI56" s="35" t="s">
        <v>2894</v>
      </c>
      <c r="AJ56" s="20">
        <f t="shared" si="35"/>
        <v>0</v>
      </c>
      <c r="AK56" s="20">
        <f t="shared" si="36"/>
        <v>0</v>
      </c>
      <c r="AL56" s="20">
        <f t="shared" si="37"/>
        <v>0</v>
      </c>
      <c r="AN56" s="36">
        <v>21</v>
      </c>
      <c r="AO56" s="36">
        <f>I56*0.570665767033887</f>
        <v>0</v>
      </c>
      <c r="AP56" s="36">
        <f>I56*(1-0.570665767033887)</f>
        <v>0</v>
      </c>
      <c r="AQ56" s="37" t="s">
        <v>7</v>
      </c>
      <c r="AV56" s="36">
        <f t="shared" si="38"/>
        <v>0</v>
      </c>
      <c r="AW56" s="36">
        <f t="shared" si="39"/>
        <v>0</v>
      </c>
      <c r="AX56" s="36">
        <f t="shared" si="40"/>
        <v>0</v>
      </c>
      <c r="AY56" s="39" t="s">
        <v>2908</v>
      </c>
      <c r="AZ56" s="39" t="s">
        <v>2947</v>
      </c>
      <c r="BA56" s="35" t="s">
        <v>2967</v>
      </c>
      <c r="BC56" s="36">
        <f t="shared" si="41"/>
        <v>0</v>
      </c>
      <c r="BD56" s="36">
        <f t="shared" si="42"/>
        <v>0</v>
      </c>
      <c r="BE56" s="36">
        <v>0</v>
      </c>
      <c r="BF56" s="36">
        <f>56</f>
        <v>56</v>
      </c>
      <c r="BH56" s="20">
        <f t="shared" si="43"/>
        <v>0</v>
      </c>
      <c r="BI56" s="20">
        <f t="shared" si="44"/>
        <v>0</v>
      </c>
      <c r="BJ56" s="20">
        <f t="shared" si="45"/>
        <v>0</v>
      </c>
      <c r="BK56" s="20" t="s">
        <v>2978</v>
      </c>
      <c r="BL56" s="36">
        <v>27</v>
      </c>
    </row>
    <row r="57" spans="1:64" x14ac:dyDescent="0.2">
      <c r="A57" s="4" t="s">
        <v>43</v>
      </c>
      <c r="B57" s="13" t="s">
        <v>992</v>
      </c>
      <c r="C57" s="174" t="s">
        <v>1902</v>
      </c>
      <c r="D57" s="175"/>
      <c r="E57" s="175"/>
      <c r="F57" s="175"/>
      <c r="G57" s="13" t="s">
        <v>2852</v>
      </c>
      <c r="H57" s="82">
        <v>4</v>
      </c>
      <c r="I57" s="109">
        <v>0</v>
      </c>
      <c r="J57" s="20">
        <f t="shared" si="24"/>
        <v>0</v>
      </c>
      <c r="K57" s="20">
        <f t="shared" si="25"/>
        <v>0</v>
      </c>
      <c r="L57" s="20">
        <f t="shared" si="26"/>
        <v>0</v>
      </c>
      <c r="M57" s="31" t="s">
        <v>2884</v>
      </c>
      <c r="N57" s="5"/>
      <c r="Z57" s="36">
        <f t="shared" si="27"/>
        <v>0</v>
      </c>
      <c r="AB57" s="36">
        <f t="shared" si="28"/>
        <v>0</v>
      </c>
      <c r="AC57" s="36">
        <f t="shared" si="29"/>
        <v>0</v>
      </c>
      <c r="AD57" s="36">
        <f t="shared" si="30"/>
        <v>0</v>
      </c>
      <c r="AE57" s="36">
        <f t="shared" si="31"/>
        <v>0</v>
      </c>
      <c r="AF57" s="36">
        <f t="shared" si="32"/>
        <v>0</v>
      </c>
      <c r="AG57" s="36">
        <f t="shared" si="33"/>
        <v>0</v>
      </c>
      <c r="AH57" s="36">
        <f t="shared" si="34"/>
        <v>0</v>
      </c>
      <c r="AI57" s="35" t="s">
        <v>2894</v>
      </c>
      <c r="AJ57" s="20">
        <f t="shared" si="35"/>
        <v>0</v>
      </c>
      <c r="AK57" s="20">
        <f t="shared" si="36"/>
        <v>0</v>
      </c>
      <c r="AL57" s="20">
        <f t="shared" si="37"/>
        <v>0</v>
      </c>
      <c r="AN57" s="36">
        <v>21</v>
      </c>
      <c r="AO57" s="36">
        <f>I57*0.572281553398058</f>
        <v>0</v>
      </c>
      <c r="AP57" s="36">
        <f>I57*(1-0.572281553398058)</f>
        <v>0</v>
      </c>
      <c r="AQ57" s="37" t="s">
        <v>7</v>
      </c>
      <c r="AV57" s="36">
        <f t="shared" si="38"/>
        <v>0</v>
      </c>
      <c r="AW57" s="36">
        <f t="shared" si="39"/>
        <v>0</v>
      </c>
      <c r="AX57" s="36">
        <f t="shared" si="40"/>
        <v>0</v>
      </c>
      <c r="AY57" s="39" t="s">
        <v>2908</v>
      </c>
      <c r="AZ57" s="39" t="s">
        <v>2947</v>
      </c>
      <c r="BA57" s="35" t="s">
        <v>2967</v>
      </c>
      <c r="BC57" s="36">
        <f t="shared" si="41"/>
        <v>0</v>
      </c>
      <c r="BD57" s="36">
        <f t="shared" si="42"/>
        <v>0</v>
      </c>
      <c r="BE57" s="36">
        <v>0</v>
      </c>
      <c r="BF57" s="36">
        <f>57</f>
        <v>57</v>
      </c>
      <c r="BH57" s="20">
        <f t="shared" si="43"/>
        <v>0</v>
      </c>
      <c r="BI57" s="20">
        <f t="shared" si="44"/>
        <v>0</v>
      </c>
      <c r="BJ57" s="20">
        <f t="shared" si="45"/>
        <v>0</v>
      </c>
      <c r="BK57" s="20" t="s">
        <v>2978</v>
      </c>
      <c r="BL57" s="36">
        <v>27</v>
      </c>
    </row>
    <row r="58" spans="1:64" x14ac:dyDescent="0.2">
      <c r="A58" s="4" t="s">
        <v>44</v>
      </c>
      <c r="B58" s="13" t="s">
        <v>993</v>
      </c>
      <c r="C58" s="174" t="s">
        <v>1903</v>
      </c>
      <c r="D58" s="175"/>
      <c r="E58" s="175"/>
      <c r="F58" s="175"/>
      <c r="G58" s="13" t="s">
        <v>2852</v>
      </c>
      <c r="H58" s="82">
        <v>1</v>
      </c>
      <c r="I58" s="109">
        <v>0</v>
      </c>
      <c r="J58" s="20">
        <f t="shared" si="24"/>
        <v>0</v>
      </c>
      <c r="K58" s="20">
        <f t="shared" si="25"/>
        <v>0</v>
      </c>
      <c r="L58" s="20">
        <f t="shared" si="26"/>
        <v>0</v>
      </c>
      <c r="M58" s="31" t="s">
        <v>2884</v>
      </c>
      <c r="N58" s="5"/>
      <c r="Z58" s="36">
        <f t="shared" si="27"/>
        <v>0</v>
      </c>
      <c r="AB58" s="36">
        <f t="shared" si="28"/>
        <v>0</v>
      </c>
      <c r="AC58" s="36">
        <f t="shared" si="29"/>
        <v>0</v>
      </c>
      <c r="AD58" s="36">
        <f t="shared" si="30"/>
        <v>0</v>
      </c>
      <c r="AE58" s="36">
        <f t="shared" si="31"/>
        <v>0</v>
      </c>
      <c r="AF58" s="36">
        <f t="shared" si="32"/>
        <v>0</v>
      </c>
      <c r="AG58" s="36">
        <f t="shared" si="33"/>
        <v>0</v>
      </c>
      <c r="AH58" s="36">
        <f t="shared" si="34"/>
        <v>0</v>
      </c>
      <c r="AI58" s="35" t="s">
        <v>2894</v>
      </c>
      <c r="AJ58" s="20">
        <f t="shared" si="35"/>
        <v>0</v>
      </c>
      <c r="AK58" s="20">
        <f t="shared" si="36"/>
        <v>0</v>
      </c>
      <c r="AL58" s="20">
        <f t="shared" si="37"/>
        <v>0</v>
      </c>
      <c r="AN58" s="36">
        <v>21</v>
      </c>
      <c r="AO58" s="36">
        <f>I58*0.67</f>
        <v>0</v>
      </c>
      <c r="AP58" s="36">
        <f>I58*(1-0.67)</f>
        <v>0</v>
      </c>
      <c r="AQ58" s="37" t="s">
        <v>7</v>
      </c>
      <c r="AV58" s="36">
        <f t="shared" si="38"/>
        <v>0</v>
      </c>
      <c r="AW58" s="36">
        <f t="shared" si="39"/>
        <v>0</v>
      </c>
      <c r="AX58" s="36">
        <f t="shared" si="40"/>
        <v>0</v>
      </c>
      <c r="AY58" s="39" t="s">
        <v>2908</v>
      </c>
      <c r="AZ58" s="39" t="s">
        <v>2947</v>
      </c>
      <c r="BA58" s="35" t="s">
        <v>2967</v>
      </c>
      <c r="BC58" s="36">
        <f t="shared" si="41"/>
        <v>0</v>
      </c>
      <c r="BD58" s="36">
        <f t="shared" si="42"/>
        <v>0</v>
      </c>
      <c r="BE58" s="36">
        <v>0</v>
      </c>
      <c r="BF58" s="36">
        <f>58</f>
        <v>58</v>
      </c>
      <c r="BH58" s="20">
        <f t="shared" si="43"/>
        <v>0</v>
      </c>
      <c r="BI58" s="20">
        <f t="shared" si="44"/>
        <v>0</v>
      </c>
      <c r="BJ58" s="20">
        <f t="shared" si="45"/>
        <v>0</v>
      </c>
      <c r="BK58" s="20" t="s">
        <v>2978</v>
      </c>
      <c r="BL58" s="36">
        <v>27</v>
      </c>
    </row>
    <row r="59" spans="1:64" x14ac:dyDescent="0.2">
      <c r="A59" s="4" t="s">
        <v>45</v>
      </c>
      <c r="B59" s="13" t="s">
        <v>994</v>
      </c>
      <c r="C59" s="174" t="s">
        <v>1904</v>
      </c>
      <c r="D59" s="175"/>
      <c r="E59" s="175"/>
      <c r="F59" s="175"/>
      <c r="G59" s="13" t="s">
        <v>2852</v>
      </c>
      <c r="H59" s="82">
        <v>1</v>
      </c>
      <c r="I59" s="109">
        <v>0</v>
      </c>
      <c r="J59" s="20">
        <f t="shared" si="24"/>
        <v>0</v>
      </c>
      <c r="K59" s="20">
        <f t="shared" si="25"/>
        <v>0</v>
      </c>
      <c r="L59" s="20">
        <f t="shared" si="26"/>
        <v>0</v>
      </c>
      <c r="M59" s="31" t="s">
        <v>2884</v>
      </c>
      <c r="N59" s="5"/>
      <c r="Z59" s="36">
        <f t="shared" si="27"/>
        <v>0</v>
      </c>
      <c r="AB59" s="36">
        <f t="shared" si="28"/>
        <v>0</v>
      </c>
      <c r="AC59" s="36">
        <f t="shared" si="29"/>
        <v>0</v>
      </c>
      <c r="AD59" s="36">
        <f t="shared" si="30"/>
        <v>0</v>
      </c>
      <c r="AE59" s="36">
        <f t="shared" si="31"/>
        <v>0</v>
      </c>
      <c r="AF59" s="36">
        <f t="shared" si="32"/>
        <v>0</v>
      </c>
      <c r="AG59" s="36">
        <f t="shared" si="33"/>
        <v>0</v>
      </c>
      <c r="AH59" s="36">
        <f t="shared" si="34"/>
        <v>0</v>
      </c>
      <c r="AI59" s="35" t="s">
        <v>2894</v>
      </c>
      <c r="AJ59" s="20">
        <f t="shared" si="35"/>
        <v>0</v>
      </c>
      <c r="AK59" s="20">
        <f t="shared" si="36"/>
        <v>0</v>
      </c>
      <c r="AL59" s="20">
        <f t="shared" si="37"/>
        <v>0</v>
      </c>
      <c r="AN59" s="36">
        <v>21</v>
      </c>
      <c r="AO59" s="36">
        <f>I59*0.651208552835451</f>
        <v>0</v>
      </c>
      <c r="AP59" s="36">
        <f>I59*(1-0.651208552835451)</f>
        <v>0</v>
      </c>
      <c r="AQ59" s="37" t="s">
        <v>7</v>
      </c>
      <c r="AV59" s="36">
        <f t="shared" si="38"/>
        <v>0</v>
      </c>
      <c r="AW59" s="36">
        <f t="shared" si="39"/>
        <v>0</v>
      </c>
      <c r="AX59" s="36">
        <f t="shared" si="40"/>
        <v>0</v>
      </c>
      <c r="AY59" s="39" t="s">
        <v>2908</v>
      </c>
      <c r="AZ59" s="39" t="s">
        <v>2947</v>
      </c>
      <c r="BA59" s="35" t="s">
        <v>2967</v>
      </c>
      <c r="BC59" s="36">
        <f t="shared" si="41"/>
        <v>0</v>
      </c>
      <c r="BD59" s="36">
        <f t="shared" si="42"/>
        <v>0</v>
      </c>
      <c r="BE59" s="36">
        <v>0</v>
      </c>
      <c r="BF59" s="36">
        <f>59</f>
        <v>59</v>
      </c>
      <c r="BH59" s="20">
        <f t="shared" si="43"/>
        <v>0</v>
      </c>
      <c r="BI59" s="20">
        <f t="shared" si="44"/>
        <v>0</v>
      </c>
      <c r="BJ59" s="20">
        <f t="shared" si="45"/>
        <v>0</v>
      </c>
      <c r="BK59" s="20" t="s">
        <v>2978</v>
      </c>
      <c r="BL59" s="36">
        <v>27</v>
      </c>
    </row>
    <row r="60" spans="1:64" x14ac:dyDescent="0.2">
      <c r="A60" s="4" t="s">
        <v>46</v>
      </c>
      <c r="B60" s="13" t="s">
        <v>995</v>
      </c>
      <c r="C60" s="174" t="s">
        <v>1905</v>
      </c>
      <c r="D60" s="175"/>
      <c r="E60" s="175"/>
      <c r="F60" s="175"/>
      <c r="G60" s="13" t="s">
        <v>2856</v>
      </c>
      <c r="H60" s="82">
        <v>5.4269999999999996</v>
      </c>
      <c r="I60" s="109">
        <v>0</v>
      </c>
      <c r="J60" s="20">
        <f t="shared" si="24"/>
        <v>0</v>
      </c>
      <c r="K60" s="20">
        <f t="shared" si="25"/>
        <v>0</v>
      </c>
      <c r="L60" s="20">
        <f t="shared" si="26"/>
        <v>0</v>
      </c>
      <c r="M60" s="31" t="s">
        <v>2884</v>
      </c>
      <c r="N60" s="5"/>
      <c r="Z60" s="36">
        <f t="shared" si="27"/>
        <v>0</v>
      </c>
      <c r="AB60" s="36">
        <f t="shared" si="28"/>
        <v>0</v>
      </c>
      <c r="AC60" s="36">
        <f t="shared" si="29"/>
        <v>0</v>
      </c>
      <c r="AD60" s="36">
        <f t="shared" si="30"/>
        <v>0</v>
      </c>
      <c r="AE60" s="36">
        <f t="shared" si="31"/>
        <v>0</v>
      </c>
      <c r="AF60" s="36">
        <f t="shared" si="32"/>
        <v>0</v>
      </c>
      <c r="AG60" s="36">
        <f t="shared" si="33"/>
        <v>0</v>
      </c>
      <c r="AH60" s="36">
        <f t="shared" si="34"/>
        <v>0</v>
      </c>
      <c r="AI60" s="35" t="s">
        <v>2894</v>
      </c>
      <c r="AJ60" s="20">
        <f t="shared" si="35"/>
        <v>0</v>
      </c>
      <c r="AK60" s="20">
        <f t="shared" si="36"/>
        <v>0</v>
      </c>
      <c r="AL60" s="20">
        <f t="shared" si="37"/>
        <v>0</v>
      </c>
      <c r="AN60" s="36">
        <v>21</v>
      </c>
      <c r="AO60" s="36">
        <f>I60*0.777649587795925</f>
        <v>0</v>
      </c>
      <c r="AP60" s="36">
        <f>I60*(1-0.777649587795925)</f>
        <v>0</v>
      </c>
      <c r="AQ60" s="37" t="s">
        <v>7</v>
      </c>
      <c r="AV60" s="36">
        <f t="shared" si="38"/>
        <v>0</v>
      </c>
      <c r="AW60" s="36">
        <f t="shared" si="39"/>
        <v>0</v>
      </c>
      <c r="AX60" s="36">
        <f t="shared" si="40"/>
        <v>0</v>
      </c>
      <c r="AY60" s="39" t="s">
        <v>2908</v>
      </c>
      <c r="AZ60" s="39" t="s">
        <v>2947</v>
      </c>
      <c r="BA60" s="35" t="s">
        <v>2967</v>
      </c>
      <c r="BC60" s="36">
        <f t="shared" si="41"/>
        <v>0</v>
      </c>
      <c r="BD60" s="36">
        <f t="shared" si="42"/>
        <v>0</v>
      </c>
      <c r="BE60" s="36">
        <v>0</v>
      </c>
      <c r="BF60" s="36">
        <f>60</f>
        <v>60</v>
      </c>
      <c r="BH60" s="20">
        <f t="shared" si="43"/>
        <v>0</v>
      </c>
      <c r="BI60" s="20">
        <f t="shared" si="44"/>
        <v>0</v>
      </c>
      <c r="BJ60" s="20">
        <f t="shared" si="45"/>
        <v>0</v>
      </c>
      <c r="BK60" s="20" t="s">
        <v>2978</v>
      </c>
      <c r="BL60" s="36">
        <v>27</v>
      </c>
    </row>
    <row r="61" spans="1:64" x14ac:dyDescent="0.2">
      <c r="A61" s="4" t="s">
        <v>47</v>
      </c>
      <c r="B61" s="13" t="s">
        <v>996</v>
      </c>
      <c r="C61" s="174" t="s">
        <v>1906</v>
      </c>
      <c r="D61" s="175"/>
      <c r="E61" s="175"/>
      <c r="F61" s="175"/>
      <c r="G61" s="13" t="s">
        <v>2856</v>
      </c>
      <c r="H61" s="82">
        <v>0.216</v>
      </c>
      <c r="I61" s="109">
        <v>0</v>
      </c>
      <c r="J61" s="20">
        <f t="shared" si="24"/>
        <v>0</v>
      </c>
      <c r="K61" s="20">
        <f t="shared" si="25"/>
        <v>0</v>
      </c>
      <c r="L61" s="20">
        <f t="shared" si="26"/>
        <v>0</v>
      </c>
      <c r="M61" s="31" t="s">
        <v>2884</v>
      </c>
      <c r="N61" s="5"/>
      <c r="Z61" s="36">
        <f t="shared" si="27"/>
        <v>0</v>
      </c>
      <c r="AB61" s="36">
        <f t="shared" si="28"/>
        <v>0</v>
      </c>
      <c r="AC61" s="36">
        <f t="shared" si="29"/>
        <v>0</v>
      </c>
      <c r="AD61" s="36">
        <f t="shared" si="30"/>
        <v>0</v>
      </c>
      <c r="AE61" s="36">
        <f t="shared" si="31"/>
        <v>0</v>
      </c>
      <c r="AF61" s="36">
        <f t="shared" si="32"/>
        <v>0</v>
      </c>
      <c r="AG61" s="36">
        <f t="shared" si="33"/>
        <v>0</v>
      </c>
      <c r="AH61" s="36">
        <f t="shared" si="34"/>
        <v>0</v>
      </c>
      <c r="AI61" s="35" t="s">
        <v>2894</v>
      </c>
      <c r="AJ61" s="20">
        <f t="shared" si="35"/>
        <v>0</v>
      </c>
      <c r="AK61" s="20">
        <f t="shared" si="36"/>
        <v>0</v>
      </c>
      <c r="AL61" s="20">
        <f t="shared" si="37"/>
        <v>0</v>
      </c>
      <c r="AN61" s="36">
        <v>21</v>
      </c>
      <c r="AO61" s="36">
        <f>I61*0.880425992192583</f>
        <v>0</v>
      </c>
      <c r="AP61" s="36">
        <f>I61*(1-0.880425992192583)</f>
        <v>0</v>
      </c>
      <c r="AQ61" s="37" t="s">
        <v>7</v>
      </c>
      <c r="AV61" s="36">
        <f t="shared" si="38"/>
        <v>0</v>
      </c>
      <c r="AW61" s="36">
        <f t="shared" si="39"/>
        <v>0</v>
      </c>
      <c r="AX61" s="36">
        <f t="shared" si="40"/>
        <v>0</v>
      </c>
      <c r="AY61" s="39" t="s">
        <v>2908</v>
      </c>
      <c r="AZ61" s="39" t="s">
        <v>2947</v>
      </c>
      <c r="BA61" s="35" t="s">
        <v>2967</v>
      </c>
      <c r="BC61" s="36">
        <f t="shared" si="41"/>
        <v>0</v>
      </c>
      <c r="BD61" s="36">
        <f t="shared" si="42"/>
        <v>0</v>
      </c>
      <c r="BE61" s="36">
        <v>0</v>
      </c>
      <c r="BF61" s="36">
        <f>61</f>
        <v>61</v>
      </c>
      <c r="BH61" s="20">
        <f t="shared" si="43"/>
        <v>0</v>
      </c>
      <c r="BI61" s="20">
        <f t="shared" si="44"/>
        <v>0</v>
      </c>
      <c r="BJ61" s="20">
        <f t="shared" si="45"/>
        <v>0</v>
      </c>
      <c r="BK61" s="20" t="s">
        <v>2978</v>
      </c>
      <c r="BL61" s="36">
        <v>27</v>
      </c>
    </row>
    <row r="62" spans="1:64" x14ac:dyDescent="0.2">
      <c r="A62" s="3"/>
      <c r="B62" s="12" t="s">
        <v>37</v>
      </c>
      <c r="C62" s="172" t="s">
        <v>1907</v>
      </c>
      <c r="D62" s="173"/>
      <c r="E62" s="173"/>
      <c r="F62" s="173"/>
      <c r="G62" s="18" t="s">
        <v>6</v>
      </c>
      <c r="H62" s="18" t="s">
        <v>6</v>
      </c>
      <c r="I62" s="18" t="s">
        <v>6</v>
      </c>
      <c r="J62" s="41">
        <f>SUM(J63:J76)</f>
        <v>0</v>
      </c>
      <c r="K62" s="41">
        <f>SUM(K63:K76)</f>
        <v>0</v>
      </c>
      <c r="L62" s="41">
        <f>SUM(L63:L76)</f>
        <v>0</v>
      </c>
      <c r="M62" s="30"/>
      <c r="N62" s="5"/>
      <c r="AI62" s="35" t="s">
        <v>2894</v>
      </c>
      <c r="AS62" s="41">
        <f>SUM(AJ63:AJ76)</f>
        <v>0</v>
      </c>
      <c r="AT62" s="41">
        <f>SUM(AK63:AK76)</f>
        <v>0</v>
      </c>
      <c r="AU62" s="41">
        <f>SUM(AL63:AL76)</f>
        <v>0</v>
      </c>
    </row>
    <row r="63" spans="1:64" x14ac:dyDescent="0.2">
      <c r="A63" s="4" t="s">
        <v>48</v>
      </c>
      <c r="B63" s="13" t="s">
        <v>997</v>
      </c>
      <c r="C63" s="174" t="s">
        <v>1908</v>
      </c>
      <c r="D63" s="175"/>
      <c r="E63" s="175"/>
      <c r="F63" s="175"/>
      <c r="G63" s="13" t="s">
        <v>2855</v>
      </c>
      <c r="H63" s="82">
        <v>0.79500000000000004</v>
      </c>
      <c r="I63" s="109">
        <v>0</v>
      </c>
      <c r="J63" s="20">
        <f t="shared" ref="J63:J76" si="46">H63*AO63</f>
        <v>0</v>
      </c>
      <c r="K63" s="20">
        <f t="shared" ref="K63:K76" si="47">H63*AP63</f>
        <v>0</v>
      </c>
      <c r="L63" s="20">
        <f t="shared" ref="L63:L76" si="48">H63*I63</f>
        <v>0</v>
      </c>
      <c r="M63" s="31" t="s">
        <v>2884</v>
      </c>
      <c r="N63" s="5"/>
      <c r="Z63" s="36">
        <f t="shared" ref="Z63:Z76" si="49">IF(AQ63="5",BJ63,0)</f>
        <v>0</v>
      </c>
      <c r="AB63" s="36">
        <f t="shared" ref="AB63:AB76" si="50">IF(AQ63="1",BH63,0)</f>
        <v>0</v>
      </c>
      <c r="AC63" s="36">
        <f t="shared" ref="AC63:AC76" si="51">IF(AQ63="1",BI63,0)</f>
        <v>0</v>
      </c>
      <c r="AD63" s="36">
        <f t="shared" ref="AD63:AD76" si="52">IF(AQ63="7",BH63,0)</f>
        <v>0</v>
      </c>
      <c r="AE63" s="36">
        <f t="shared" ref="AE63:AE76" si="53">IF(AQ63="7",BI63,0)</f>
        <v>0</v>
      </c>
      <c r="AF63" s="36">
        <f t="shared" ref="AF63:AF76" si="54">IF(AQ63="2",BH63,0)</f>
        <v>0</v>
      </c>
      <c r="AG63" s="36">
        <f t="shared" ref="AG63:AG76" si="55">IF(AQ63="2",BI63,0)</f>
        <v>0</v>
      </c>
      <c r="AH63" s="36">
        <f t="shared" ref="AH63:AH76" si="56">IF(AQ63="0",BJ63,0)</f>
        <v>0</v>
      </c>
      <c r="AI63" s="35" t="s">
        <v>2894</v>
      </c>
      <c r="AJ63" s="20">
        <f t="shared" ref="AJ63:AJ76" si="57">IF(AN63=0,L63,0)</f>
        <v>0</v>
      </c>
      <c r="AK63" s="20">
        <f t="shared" ref="AK63:AK76" si="58">IF(AN63=15,L63,0)</f>
        <v>0</v>
      </c>
      <c r="AL63" s="20">
        <f t="shared" ref="AL63:AL76" si="59">IF(AN63=21,L63,0)</f>
        <v>0</v>
      </c>
      <c r="AN63" s="36">
        <v>21</v>
      </c>
      <c r="AO63" s="36">
        <f>I63*0</f>
        <v>0</v>
      </c>
      <c r="AP63" s="36">
        <f>I63*(1-0)</f>
        <v>0</v>
      </c>
      <c r="AQ63" s="37" t="s">
        <v>7</v>
      </c>
      <c r="AV63" s="36">
        <f t="shared" ref="AV63:AV76" si="60">AW63+AX63</f>
        <v>0</v>
      </c>
      <c r="AW63" s="36">
        <f t="shared" ref="AW63:AW76" si="61">H63*AO63</f>
        <v>0</v>
      </c>
      <c r="AX63" s="36">
        <f t="shared" ref="AX63:AX76" si="62">H63*AP63</f>
        <v>0</v>
      </c>
      <c r="AY63" s="39" t="s">
        <v>2909</v>
      </c>
      <c r="AZ63" s="39" t="s">
        <v>2948</v>
      </c>
      <c r="BA63" s="35" t="s">
        <v>2967</v>
      </c>
      <c r="BC63" s="36">
        <f t="shared" ref="BC63:BC76" si="63">AW63+AX63</f>
        <v>0</v>
      </c>
      <c r="BD63" s="36">
        <f t="shared" ref="BD63:BD76" si="64">I63/(100-BE63)*100</f>
        <v>0</v>
      </c>
      <c r="BE63" s="36">
        <v>0</v>
      </c>
      <c r="BF63" s="36">
        <f>63</f>
        <v>63</v>
      </c>
      <c r="BH63" s="20">
        <f t="shared" ref="BH63:BH76" si="65">H63*AO63</f>
        <v>0</v>
      </c>
      <c r="BI63" s="20">
        <f t="shared" ref="BI63:BI76" si="66">H63*AP63</f>
        <v>0</v>
      </c>
      <c r="BJ63" s="20">
        <f t="shared" ref="BJ63:BJ76" si="67">H63*I63</f>
        <v>0</v>
      </c>
      <c r="BK63" s="20" t="s">
        <v>2978</v>
      </c>
      <c r="BL63" s="36">
        <v>31</v>
      </c>
    </row>
    <row r="64" spans="1:64" x14ac:dyDescent="0.2">
      <c r="A64" s="4" t="s">
        <v>49</v>
      </c>
      <c r="B64" s="13" t="s">
        <v>998</v>
      </c>
      <c r="C64" s="174" t="s">
        <v>1909</v>
      </c>
      <c r="D64" s="175"/>
      <c r="E64" s="175"/>
      <c r="F64" s="175"/>
      <c r="G64" s="13" t="s">
        <v>2855</v>
      </c>
      <c r="H64" s="82">
        <v>0.3</v>
      </c>
      <c r="I64" s="109">
        <v>0</v>
      </c>
      <c r="J64" s="20">
        <f t="shared" si="46"/>
        <v>0</v>
      </c>
      <c r="K64" s="20">
        <f t="shared" si="47"/>
        <v>0</v>
      </c>
      <c r="L64" s="20">
        <f t="shared" si="48"/>
        <v>0</v>
      </c>
      <c r="M64" s="31" t="s">
        <v>2884</v>
      </c>
      <c r="N64" s="5"/>
      <c r="Z64" s="36">
        <f t="shared" si="49"/>
        <v>0</v>
      </c>
      <c r="AB64" s="36">
        <f t="shared" si="50"/>
        <v>0</v>
      </c>
      <c r="AC64" s="36">
        <f t="shared" si="51"/>
        <v>0</v>
      </c>
      <c r="AD64" s="36">
        <f t="shared" si="52"/>
        <v>0</v>
      </c>
      <c r="AE64" s="36">
        <f t="shared" si="53"/>
        <v>0</v>
      </c>
      <c r="AF64" s="36">
        <f t="shared" si="54"/>
        <v>0</v>
      </c>
      <c r="AG64" s="36">
        <f t="shared" si="55"/>
        <v>0</v>
      </c>
      <c r="AH64" s="36">
        <f t="shared" si="56"/>
        <v>0</v>
      </c>
      <c r="AI64" s="35" t="s">
        <v>2894</v>
      </c>
      <c r="AJ64" s="20">
        <f t="shared" si="57"/>
        <v>0</v>
      </c>
      <c r="AK64" s="20">
        <f t="shared" si="58"/>
        <v>0</v>
      </c>
      <c r="AL64" s="20">
        <f t="shared" si="59"/>
        <v>0</v>
      </c>
      <c r="AN64" s="36">
        <v>21</v>
      </c>
      <c r="AO64" s="36">
        <f>I64*0</f>
        <v>0</v>
      </c>
      <c r="AP64" s="36">
        <f>I64*(1-0)</f>
        <v>0</v>
      </c>
      <c r="AQ64" s="37" t="s">
        <v>7</v>
      </c>
      <c r="AV64" s="36">
        <f t="shared" si="60"/>
        <v>0</v>
      </c>
      <c r="AW64" s="36">
        <f t="shared" si="61"/>
        <v>0</v>
      </c>
      <c r="AX64" s="36">
        <f t="shared" si="62"/>
        <v>0</v>
      </c>
      <c r="AY64" s="39" t="s">
        <v>2909</v>
      </c>
      <c r="AZ64" s="39" t="s">
        <v>2948</v>
      </c>
      <c r="BA64" s="35" t="s">
        <v>2967</v>
      </c>
      <c r="BC64" s="36">
        <f t="shared" si="63"/>
        <v>0</v>
      </c>
      <c r="BD64" s="36">
        <f t="shared" si="64"/>
        <v>0</v>
      </c>
      <c r="BE64" s="36">
        <v>0</v>
      </c>
      <c r="BF64" s="36">
        <f>64</f>
        <v>64</v>
      </c>
      <c r="BH64" s="20">
        <f t="shared" si="65"/>
        <v>0</v>
      </c>
      <c r="BI64" s="20">
        <f t="shared" si="66"/>
        <v>0</v>
      </c>
      <c r="BJ64" s="20">
        <f t="shared" si="67"/>
        <v>0</v>
      </c>
      <c r="BK64" s="20" t="s">
        <v>2978</v>
      </c>
      <c r="BL64" s="36">
        <v>31</v>
      </c>
    </row>
    <row r="65" spans="1:64" x14ac:dyDescent="0.2">
      <c r="A65" s="4" t="s">
        <v>50</v>
      </c>
      <c r="B65" s="13" t="s">
        <v>999</v>
      </c>
      <c r="C65" s="174" t="s">
        <v>1910</v>
      </c>
      <c r="D65" s="175"/>
      <c r="E65" s="175"/>
      <c r="F65" s="175"/>
      <c r="G65" s="13" t="s">
        <v>2855</v>
      </c>
      <c r="H65" s="82">
        <v>1.175</v>
      </c>
      <c r="I65" s="109">
        <v>0</v>
      </c>
      <c r="J65" s="20">
        <f t="shared" si="46"/>
        <v>0</v>
      </c>
      <c r="K65" s="20">
        <f t="shared" si="47"/>
        <v>0</v>
      </c>
      <c r="L65" s="20">
        <f t="shared" si="48"/>
        <v>0</v>
      </c>
      <c r="M65" s="31" t="s">
        <v>2884</v>
      </c>
      <c r="N65" s="5"/>
      <c r="Z65" s="36">
        <f t="shared" si="49"/>
        <v>0</v>
      </c>
      <c r="AB65" s="36">
        <f t="shared" si="50"/>
        <v>0</v>
      </c>
      <c r="AC65" s="36">
        <f t="shared" si="51"/>
        <v>0</v>
      </c>
      <c r="AD65" s="36">
        <f t="shared" si="52"/>
        <v>0</v>
      </c>
      <c r="AE65" s="36">
        <f t="shared" si="53"/>
        <v>0</v>
      </c>
      <c r="AF65" s="36">
        <f t="shared" si="54"/>
        <v>0</v>
      </c>
      <c r="AG65" s="36">
        <f t="shared" si="55"/>
        <v>0</v>
      </c>
      <c r="AH65" s="36">
        <f t="shared" si="56"/>
        <v>0</v>
      </c>
      <c r="AI65" s="35" t="s">
        <v>2894</v>
      </c>
      <c r="AJ65" s="20">
        <f t="shared" si="57"/>
        <v>0</v>
      </c>
      <c r="AK65" s="20">
        <f t="shared" si="58"/>
        <v>0</v>
      </c>
      <c r="AL65" s="20">
        <f t="shared" si="59"/>
        <v>0</v>
      </c>
      <c r="AN65" s="36">
        <v>21</v>
      </c>
      <c r="AO65" s="36">
        <f>I65*0</f>
        <v>0</v>
      </c>
      <c r="AP65" s="36">
        <f>I65*(1-0)</f>
        <v>0</v>
      </c>
      <c r="AQ65" s="37" t="s">
        <v>7</v>
      </c>
      <c r="AV65" s="36">
        <f t="shared" si="60"/>
        <v>0</v>
      </c>
      <c r="AW65" s="36">
        <f t="shared" si="61"/>
        <v>0</v>
      </c>
      <c r="AX65" s="36">
        <f t="shared" si="62"/>
        <v>0</v>
      </c>
      <c r="AY65" s="39" t="s">
        <v>2909</v>
      </c>
      <c r="AZ65" s="39" t="s">
        <v>2948</v>
      </c>
      <c r="BA65" s="35" t="s">
        <v>2967</v>
      </c>
      <c r="BC65" s="36">
        <f t="shared" si="63"/>
        <v>0</v>
      </c>
      <c r="BD65" s="36">
        <f t="shared" si="64"/>
        <v>0</v>
      </c>
      <c r="BE65" s="36">
        <v>0</v>
      </c>
      <c r="BF65" s="36">
        <f>65</f>
        <v>65</v>
      </c>
      <c r="BH65" s="20">
        <f t="shared" si="65"/>
        <v>0</v>
      </c>
      <c r="BI65" s="20">
        <f t="shared" si="66"/>
        <v>0</v>
      </c>
      <c r="BJ65" s="20">
        <f t="shared" si="67"/>
        <v>0</v>
      </c>
      <c r="BK65" s="20" t="s">
        <v>2978</v>
      </c>
      <c r="BL65" s="36">
        <v>31</v>
      </c>
    </row>
    <row r="66" spans="1:64" x14ac:dyDescent="0.2">
      <c r="A66" s="4" t="s">
        <v>51</v>
      </c>
      <c r="B66" s="13" t="s">
        <v>1000</v>
      </c>
      <c r="C66" s="174" t="s">
        <v>1911</v>
      </c>
      <c r="D66" s="175"/>
      <c r="E66" s="175"/>
      <c r="F66" s="175"/>
      <c r="G66" s="13" t="s">
        <v>2854</v>
      </c>
      <c r="H66" s="82">
        <v>48.49</v>
      </c>
      <c r="I66" s="109">
        <v>0</v>
      </c>
      <c r="J66" s="20">
        <f t="shared" si="46"/>
        <v>0</v>
      </c>
      <c r="K66" s="20">
        <f t="shared" si="47"/>
        <v>0</v>
      </c>
      <c r="L66" s="20">
        <f t="shared" si="48"/>
        <v>0</v>
      </c>
      <c r="M66" s="31" t="s">
        <v>2884</v>
      </c>
      <c r="N66" s="5"/>
      <c r="Z66" s="36">
        <f t="shared" si="49"/>
        <v>0</v>
      </c>
      <c r="AB66" s="36">
        <f t="shared" si="50"/>
        <v>0</v>
      </c>
      <c r="AC66" s="36">
        <f t="shared" si="51"/>
        <v>0</v>
      </c>
      <c r="AD66" s="36">
        <f t="shared" si="52"/>
        <v>0</v>
      </c>
      <c r="AE66" s="36">
        <f t="shared" si="53"/>
        <v>0</v>
      </c>
      <c r="AF66" s="36">
        <f t="shared" si="54"/>
        <v>0</v>
      </c>
      <c r="AG66" s="36">
        <f t="shared" si="55"/>
        <v>0</v>
      </c>
      <c r="AH66" s="36">
        <f t="shared" si="56"/>
        <v>0</v>
      </c>
      <c r="AI66" s="35" t="s">
        <v>2894</v>
      </c>
      <c r="AJ66" s="20">
        <f t="shared" si="57"/>
        <v>0</v>
      </c>
      <c r="AK66" s="20">
        <f t="shared" si="58"/>
        <v>0</v>
      </c>
      <c r="AL66" s="20">
        <f t="shared" si="59"/>
        <v>0</v>
      </c>
      <c r="AN66" s="36">
        <v>21</v>
      </c>
      <c r="AO66" s="36">
        <f>I66*0.638844472086115</f>
        <v>0</v>
      </c>
      <c r="AP66" s="36">
        <f>I66*(1-0.638844472086115)</f>
        <v>0</v>
      </c>
      <c r="AQ66" s="37" t="s">
        <v>7</v>
      </c>
      <c r="AV66" s="36">
        <f t="shared" si="60"/>
        <v>0</v>
      </c>
      <c r="AW66" s="36">
        <f t="shared" si="61"/>
        <v>0</v>
      </c>
      <c r="AX66" s="36">
        <f t="shared" si="62"/>
        <v>0</v>
      </c>
      <c r="AY66" s="39" t="s">
        <v>2909</v>
      </c>
      <c r="AZ66" s="39" t="s">
        <v>2948</v>
      </c>
      <c r="BA66" s="35" t="s">
        <v>2967</v>
      </c>
      <c r="BC66" s="36">
        <f t="shared" si="63"/>
        <v>0</v>
      </c>
      <c r="BD66" s="36">
        <f t="shared" si="64"/>
        <v>0</v>
      </c>
      <c r="BE66" s="36">
        <v>0</v>
      </c>
      <c r="BF66" s="36">
        <f>66</f>
        <v>66</v>
      </c>
      <c r="BH66" s="20">
        <f t="shared" si="65"/>
        <v>0</v>
      </c>
      <c r="BI66" s="20">
        <f t="shared" si="66"/>
        <v>0</v>
      </c>
      <c r="BJ66" s="20">
        <f t="shared" si="67"/>
        <v>0</v>
      </c>
      <c r="BK66" s="20" t="s">
        <v>2978</v>
      </c>
      <c r="BL66" s="36">
        <v>31</v>
      </c>
    </row>
    <row r="67" spans="1:64" x14ac:dyDescent="0.2">
      <c r="A67" s="4" t="s">
        <v>52</v>
      </c>
      <c r="B67" s="13" t="s">
        <v>1001</v>
      </c>
      <c r="C67" s="174" t="s">
        <v>1912</v>
      </c>
      <c r="D67" s="175"/>
      <c r="E67" s="175"/>
      <c r="F67" s="175"/>
      <c r="G67" s="13" t="s">
        <v>2854</v>
      </c>
      <c r="H67" s="82">
        <v>373.25</v>
      </c>
      <c r="I67" s="109">
        <v>0</v>
      </c>
      <c r="J67" s="20">
        <f t="shared" si="46"/>
        <v>0</v>
      </c>
      <c r="K67" s="20">
        <f t="shared" si="47"/>
        <v>0</v>
      </c>
      <c r="L67" s="20">
        <f t="shared" si="48"/>
        <v>0</v>
      </c>
      <c r="M67" s="31" t="s">
        <v>2884</v>
      </c>
      <c r="N67" s="5"/>
      <c r="Z67" s="36">
        <f t="shared" si="49"/>
        <v>0</v>
      </c>
      <c r="AB67" s="36">
        <f t="shared" si="50"/>
        <v>0</v>
      </c>
      <c r="AC67" s="36">
        <f t="shared" si="51"/>
        <v>0</v>
      </c>
      <c r="AD67" s="36">
        <f t="shared" si="52"/>
        <v>0</v>
      </c>
      <c r="AE67" s="36">
        <f t="shared" si="53"/>
        <v>0</v>
      </c>
      <c r="AF67" s="36">
        <f t="shared" si="54"/>
        <v>0</v>
      </c>
      <c r="AG67" s="36">
        <f t="shared" si="55"/>
        <v>0</v>
      </c>
      <c r="AH67" s="36">
        <f t="shared" si="56"/>
        <v>0</v>
      </c>
      <c r="AI67" s="35" t="s">
        <v>2894</v>
      </c>
      <c r="AJ67" s="20">
        <f t="shared" si="57"/>
        <v>0</v>
      </c>
      <c r="AK67" s="20">
        <f t="shared" si="58"/>
        <v>0</v>
      </c>
      <c r="AL67" s="20">
        <f t="shared" si="59"/>
        <v>0</v>
      </c>
      <c r="AN67" s="36">
        <v>21</v>
      </c>
      <c r="AO67" s="36">
        <f>I67*0.701142270861833</f>
        <v>0</v>
      </c>
      <c r="AP67" s="36">
        <f>I67*(1-0.701142270861833)</f>
        <v>0</v>
      </c>
      <c r="AQ67" s="37" t="s">
        <v>7</v>
      </c>
      <c r="AV67" s="36">
        <f t="shared" si="60"/>
        <v>0</v>
      </c>
      <c r="AW67" s="36">
        <f t="shared" si="61"/>
        <v>0</v>
      </c>
      <c r="AX67" s="36">
        <f t="shared" si="62"/>
        <v>0</v>
      </c>
      <c r="AY67" s="39" t="s">
        <v>2909</v>
      </c>
      <c r="AZ67" s="39" t="s">
        <v>2948</v>
      </c>
      <c r="BA67" s="35" t="s">
        <v>2967</v>
      </c>
      <c r="BC67" s="36">
        <f t="shared" si="63"/>
        <v>0</v>
      </c>
      <c r="BD67" s="36">
        <f t="shared" si="64"/>
        <v>0</v>
      </c>
      <c r="BE67" s="36">
        <v>0</v>
      </c>
      <c r="BF67" s="36">
        <f>67</f>
        <v>67</v>
      </c>
      <c r="BH67" s="20">
        <f t="shared" si="65"/>
        <v>0</v>
      </c>
      <c r="BI67" s="20">
        <f t="shared" si="66"/>
        <v>0</v>
      </c>
      <c r="BJ67" s="20">
        <f t="shared" si="67"/>
        <v>0</v>
      </c>
      <c r="BK67" s="20" t="s">
        <v>2978</v>
      </c>
      <c r="BL67" s="36">
        <v>31</v>
      </c>
    </row>
    <row r="68" spans="1:64" x14ac:dyDescent="0.2">
      <c r="A68" s="4" t="s">
        <v>53</v>
      </c>
      <c r="B68" s="13" t="s">
        <v>1001</v>
      </c>
      <c r="C68" s="174" t="s">
        <v>1913</v>
      </c>
      <c r="D68" s="175"/>
      <c r="E68" s="175"/>
      <c r="F68" s="175"/>
      <c r="G68" s="13" t="s">
        <v>2854</v>
      </c>
      <c r="H68" s="82">
        <v>22.05</v>
      </c>
      <c r="I68" s="109">
        <v>0</v>
      </c>
      <c r="J68" s="20">
        <f t="shared" si="46"/>
        <v>0</v>
      </c>
      <c r="K68" s="20">
        <f t="shared" si="47"/>
        <v>0</v>
      </c>
      <c r="L68" s="20">
        <f t="shared" si="48"/>
        <v>0</v>
      </c>
      <c r="M68" s="31" t="s">
        <v>2884</v>
      </c>
      <c r="N68" s="5"/>
      <c r="Z68" s="36">
        <f t="shared" si="49"/>
        <v>0</v>
      </c>
      <c r="AB68" s="36">
        <f t="shared" si="50"/>
        <v>0</v>
      </c>
      <c r="AC68" s="36">
        <f t="shared" si="51"/>
        <v>0</v>
      </c>
      <c r="AD68" s="36">
        <f t="shared" si="52"/>
        <v>0</v>
      </c>
      <c r="AE68" s="36">
        <f t="shared" si="53"/>
        <v>0</v>
      </c>
      <c r="AF68" s="36">
        <f t="shared" si="54"/>
        <v>0</v>
      </c>
      <c r="AG68" s="36">
        <f t="shared" si="55"/>
        <v>0</v>
      </c>
      <c r="AH68" s="36">
        <f t="shared" si="56"/>
        <v>0</v>
      </c>
      <c r="AI68" s="35" t="s">
        <v>2894</v>
      </c>
      <c r="AJ68" s="20">
        <f t="shared" si="57"/>
        <v>0</v>
      </c>
      <c r="AK68" s="20">
        <f t="shared" si="58"/>
        <v>0</v>
      </c>
      <c r="AL68" s="20">
        <f t="shared" si="59"/>
        <v>0</v>
      </c>
      <c r="AN68" s="36">
        <v>21</v>
      </c>
      <c r="AO68" s="36">
        <f>I68*0.701142270861833</f>
        <v>0</v>
      </c>
      <c r="AP68" s="36">
        <f>I68*(1-0.701142270861833)</f>
        <v>0</v>
      </c>
      <c r="AQ68" s="37" t="s">
        <v>7</v>
      </c>
      <c r="AV68" s="36">
        <f t="shared" si="60"/>
        <v>0</v>
      </c>
      <c r="AW68" s="36">
        <f t="shared" si="61"/>
        <v>0</v>
      </c>
      <c r="AX68" s="36">
        <f t="shared" si="62"/>
        <v>0</v>
      </c>
      <c r="AY68" s="39" t="s">
        <v>2909</v>
      </c>
      <c r="AZ68" s="39" t="s">
        <v>2948</v>
      </c>
      <c r="BA68" s="35" t="s">
        <v>2967</v>
      </c>
      <c r="BC68" s="36">
        <f t="shared" si="63"/>
        <v>0</v>
      </c>
      <c r="BD68" s="36">
        <f t="shared" si="64"/>
        <v>0</v>
      </c>
      <c r="BE68" s="36">
        <v>0</v>
      </c>
      <c r="BF68" s="36">
        <f>68</f>
        <v>68</v>
      </c>
      <c r="BH68" s="20">
        <f t="shared" si="65"/>
        <v>0</v>
      </c>
      <c r="BI68" s="20">
        <f t="shared" si="66"/>
        <v>0</v>
      </c>
      <c r="BJ68" s="20">
        <f t="shared" si="67"/>
        <v>0</v>
      </c>
      <c r="BK68" s="20" t="s">
        <v>2978</v>
      </c>
      <c r="BL68" s="36">
        <v>31</v>
      </c>
    </row>
    <row r="69" spans="1:64" x14ac:dyDescent="0.2">
      <c r="A69" s="4" t="s">
        <v>54</v>
      </c>
      <c r="B69" s="13" t="s">
        <v>1002</v>
      </c>
      <c r="C69" s="174" t="s">
        <v>1914</v>
      </c>
      <c r="D69" s="175"/>
      <c r="E69" s="175"/>
      <c r="F69" s="175"/>
      <c r="G69" s="13" t="s">
        <v>2852</v>
      </c>
      <c r="H69" s="82">
        <v>10</v>
      </c>
      <c r="I69" s="109">
        <v>0</v>
      </c>
      <c r="J69" s="20">
        <f t="shared" si="46"/>
        <v>0</v>
      </c>
      <c r="K69" s="20">
        <f t="shared" si="47"/>
        <v>0</v>
      </c>
      <c r="L69" s="20">
        <f t="shared" si="48"/>
        <v>0</v>
      </c>
      <c r="M69" s="31" t="s">
        <v>2884</v>
      </c>
      <c r="N69" s="5"/>
      <c r="Z69" s="36">
        <f t="shared" si="49"/>
        <v>0</v>
      </c>
      <c r="AB69" s="36">
        <f t="shared" si="50"/>
        <v>0</v>
      </c>
      <c r="AC69" s="36">
        <f t="shared" si="51"/>
        <v>0</v>
      </c>
      <c r="AD69" s="36">
        <f t="shared" si="52"/>
        <v>0</v>
      </c>
      <c r="AE69" s="36">
        <f t="shared" si="53"/>
        <v>0</v>
      </c>
      <c r="AF69" s="36">
        <f t="shared" si="54"/>
        <v>0</v>
      </c>
      <c r="AG69" s="36">
        <f t="shared" si="55"/>
        <v>0</v>
      </c>
      <c r="AH69" s="36">
        <f t="shared" si="56"/>
        <v>0</v>
      </c>
      <c r="AI69" s="35" t="s">
        <v>2894</v>
      </c>
      <c r="AJ69" s="20">
        <f t="shared" si="57"/>
        <v>0</v>
      </c>
      <c r="AK69" s="20">
        <f t="shared" si="58"/>
        <v>0</v>
      </c>
      <c r="AL69" s="20">
        <f t="shared" si="59"/>
        <v>0</v>
      </c>
      <c r="AN69" s="36">
        <v>21</v>
      </c>
      <c r="AO69" s="36">
        <f>I69*0.55583778575808</f>
        <v>0</v>
      </c>
      <c r="AP69" s="36">
        <f>I69*(1-0.55583778575808)</f>
        <v>0</v>
      </c>
      <c r="AQ69" s="37" t="s">
        <v>7</v>
      </c>
      <c r="AV69" s="36">
        <f t="shared" si="60"/>
        <v>0</v>
      </c>
      <c r="AW69" s="36">
        <f t="shared" si="61"/>
        <v>0</v>
      </c>
      <c r="AX69" s="36">
        <f t="shared" si="62"/>
        <v>0</v>
      </c>
      <c r="AY69" s="39" t="s">
        <v>2909</v>
      </c>
      <c r="AZ69" s="39" t="s">
        <v>2948</v>
      </c>
      <c r="BA69" s="35" t="s">
        <v>2967</v>
      </c>
      <c r="BC69" s="36">
        <f t="shared" si="63"/>
        <v>0</v>
      </c>
      <c r="BD69" s="36">
        <f t="shared" si="64"/>
        <v>0</v>
      </c>
      <c r="BE69" s="36">
        <v>0</v>
      </c>
      <c r="BF69" s="36">
        <f>69</f>
        <v>69</v>
      </c>
      <c r="BH69" s="20">
        <f t="shared" si="65"/>
        <v>0</v>
      </c>
      <c r="BI69" s="20">
        <f t="shared" si="66"/>
        <v>0</v>
      </c>
      <c r="BJ69" s="20">
        <f t="shared" si="67"/>
        <v>0</v>
      </c>
      <c r="BK69" s="20" t="s">
        <v>2978</v>
      </c>
      <c r="BL69" s="36">
        <v>31</v>
      </c>
    </row>
    <row r="70" spans="1:64" x14ac:dyDescent="0.2">
      <c r="A70" s="4" t="s">
        <v>55</v>
      </c>
      <c r="B70" s="13" t="s">
        <v>1003</v>
      </c>
      <c r="C70" s="174" t="s">
        <v>1915</v>
      </c>
      <c r="D70" s="175"/>
      <c r="E70" s="175"/>
      <c r="F70" s="175"/>
      <c r="G70" s="13" t="s">
        <v>2852</v>
      </c>
      <c r="H70" s="82">
        <v>7</v>
      </c>
      <c r="I70" s="109">
        <v>0</v>
      </c>
      <c r="J70" s="20">
        <f t="shared" si="46"/>
        <v>0</v>
      </c>
      <c r="K70" s="20">
        <f t="shared" si="47"/>
        <v>0</v>
      </c>
      <c r="L70" s="20">
        <f t="shared" si="48"/>
        <v>0</v>
      </c>
      <c r="M70" s="31" t="s">
        <v>2884</v>
      </c>
      <c r="N70" s="5"/>
      <c r="Z70" s="36">
        <f t="shared" si="49"/>
        <v>0</v>
      </c>
      <c r="AB70" s="36">
        <f t="shared" si="50"/>
        <v>0</v>
      </c>
      <c r="AC70" s="36">
        <f t="shared" si="51"/>
        <v>0</v>
      </c>
      <c r="AD70" s="36">
        <f t="shared" si="52"/>
        <v>0</v>
      </c>
      <c r="AE70" s="36">
        <f t="shared" si="53"/>
        <v>0</v>
      </c>
      <c r="AF70" s="36">
        <f t="shared" si="54"/>
        <v>0</v>
      </c>
      <c r="AG70" s="36">
        <f t="shared" si="55"/>
        <v>0</v>
      </c>
      <c r="AH70" s="36">
        <f t="shared" si="56"/>
        <v>0</v>
      </c>
      <c r="AI70" s="35" t="s">
        <v>2894</v>
      </c>
      <c r="AJ70" s="20">
        <f t="shared" si="57"/>
        <v>0</v>
      </c>
      <c r="AK70" s="20">
        <f t="shared" si="58"/>
        <v>0</v>
      </c>
      <c r="AL70" s="20">
        <f t="shared" si="59"/>
        <v>0</v>
      </c>
      <c r="AN70" s="36">
        <v>21</v>
      </c>
      <c r="AO70" s="36">
        <f>I70*0.622815198618307</f>
        <v>0</v>
      </c>
      <c r="AP70" s="36">
        <f>I70*(1-0.622815198618307)</f>
        <v>0</v>
      </c>
      <c r="AQ70" s="37" t="s">
        <v>7</v>
      </c>
      <c r="AV70" s="36">
        <f t="shared" si="60"/>
        <v>0</v>
      </c>
      <c r="AW70" s="36">
        <f t="shared" si="61"/>
        <v>0</v>
      </c>
      <c r="AX70" s="36">
        <f t="shared" si="62"/>
        <v>0</v>
      </c>
      <c r="AY70" s="39" t="s">
        <v>2909</v>
      </c>
      <c r="AZ70" s="39" t="s">
        <v>2948</v>
      </c>
      <c r="BA70" s="35" t="s">
        <v>2967</v>
      </c>
      <c r="BC70" s="36">
        <f t="shared" si="63"/>
        <v>0</v>
      </c>
      <c r="BD70" s="36">
        <f t="shared" si="64"/>
        <v>0</v>
      </c>
      <c r="BE70" s="36">
        <v>0</v>
      </c>
      <c r="BF70" s="36">
        <f>70</f>
        <v>70</v>
      </c>
      <c r="BH70" s="20">
        <f t="shared" si="65"/>
        <v>0</v>
      </c>
      <c r="BI70" s="20">
        <f t="shared" si="66"/>
        <v>0</v>
      </c>
      <c r="BJ70" s="20">
        <f t="shared" si="67"/>
        <v>0</v>
      </c>
      <c r="BK70" s="20" t="s">
        <v>2978</v>
      </c>
      <c r="BL70" s="36">
        <v>31</v>
      </c>
    </row>
    <row r="71" spans="1:64" x14ac:dyDescent="0.2">
      <c r="A71" s="4" t="s">
        <v>56</v>
      </c>
      <c r="B71" s="13" t="s">
        <v>1004</v>
      </c>
      <c r="C71" s="174" t="s">
        <v>1916</v>
      </c>
      <c r="D71" s="175"/>
      <c r="E71" s="175"/>
      <c r="F71" s="175"/>
      <c r="G71" s="13" t="s">
        <v>2852</v>
      </c>
      <c r="H71" s="82">
        <v>32</v>
      </c>
      <c r="I71" s="109">
        <v>0</v>
      </c>
      <c r="J71" s="20">
        <f t="shared" si="46"/>
        <v>0</v>
      </c>
      <c r="K71" s="20">
        <f t="shared" si="47"/>
        <v>0</v>
      </c>
      <c r="L71" s="20">
        <f t="shared" si="48"/>
        <v>0</v>
      </c>
      <c r="M71" s="31" t="s">
        <v>2884</v>
      </c>
      <c r="N71" s="5"/>
      <c r="Z71" s="36">
        <f t="shared" si="49"/>
        <v>0</v>
      </c>
      <c r="AB71" s="36">
        <f t="shared" si="50"/>
        <v>0</v>
      </c>
      <c r="AC71" s="36">
        <f t="shared" si="51"/>
        <v>0</v>
      </c>
      <c r="AD71" s="36">
        <f t="shared" si="52"/>
        <v>0</v>
      </c>
      <c r="AE71" s="36">
        <f t="shared" si="53"/>
        <v>0</v>
      </c>
      <c r="AF71" s="36">
        <f t="shared" si="54"/>
        <v>0</v>
      </c>
      <c r="AG71" s="36">
        <f t="shared" si="55"/>
        <v>0</v>
      </c>
      <c r="AH71" s="36">
        <f t="shared" si="56"/>
        <v>0</v>
      </c>
      <c r="AI71" s="35" t="s">
        <v>2894</v>
      </c>
      <c r="AJ71" s="20">
        <f t="shared" si="57"/>
        <v>0</v>
      </c>
      <c r="AK71" s="20">
        <f t="shared" si="58"/>
        <v>0</v>
      </c>
      <c r="AL71" s="20">
        <f t="shared" si="59"/>
        <v>0</v>
      </c>
      <c r="AN71" s="36">
        <v>21</v>
      </c>
      <c r="AO71" s="36">
        <f>I71*0.728303167420815</f>
        <v>0</v>
      </c>
      <c r="AP71" s="36">
        <f>I71*(1-0.728303167420815)</f>
        <v>0</v>
      </c>
      <c r="AQ71" s="37" t="s">
        <v>7</v>
      </c>
      <c r="AV71" s="36">
        <f t="shared" si="60"/>
        <v>0</v>
      </c>
      <c r="AW71" s="36">
        <f t="shared" si="61"/>
        <v>0</v>
      </c>
      <c r="AX71" s="36">
        <f t="shared" si="62"/>
        <v>0</v>
      </c>
      <c r="AY71" s="39" t="s">
        <v>2909</v>
      </c>
      <c r="AZ71" s="39" t="s">
        <v>2948</v>
      </c>
      <c r="BA71" s="35" t="s">
        <v>2967</v>
      </c>
      <c r="BC71" s="36">
        <f t="shared" si="63"/>
        <v>0</v>
      </c>
      <c r="BD71" s="36">
        <f t="shared" si="64"/>
        <v>0</v>
      </c>
      <c r="BE71" s="36">
        <v>0</v>
      </c>
      <c r="BF71" s="36">
        <f>71</f>
        <v>71</v>
      </c>
      <c r="BH71" s="20">
        <f t="shared" si="65"/>
        <v>0</v>
      </c>
      <c r="BI71" s="20">
        <f t="shared" si="66"/>
        <v>0</v>
      </c>
      <c r="BJ71" s="20">
        <f t="shared" si="67"/>
        <v>0</v>
      </c>
      <c r="BK71" s="20" t="s">
        <v>2978</v>
      </c>
      <c r="BL71" s="36">
        <v>31</v>
      </c>
    </row>
    <row r="72" spans="1:64" x14ac:dyDescent="0.2">
      <c r="A72" s="4" t="s">
        <v>57</v>
      </c>
      <c r="B72" s="13" t="s">
        <v>1005</v>
      </c>
      <c r="C72" s="174" t="s">
        <v>1917</v>
      </c>
      <c r="D72" s="175"/>
      <c r="E72" s="175"/>
      <c r="F72" s="175"/>
      <c r="G72" s="13" t="s">
        <v>2852</v>
      </c>
      <c r="H72" s="82">
        <v>16</v>
      </c>
      <c r="I72" s="109">
        <v>0</v>
      </c>
      <c r="J72" s="20">
        <f t="shared" si="46"/>
        <v>0</v>
      </c>
      <c r="K72" s="20">
        <f t="shared" si="47"/>
        <v>0</v>
      </c>
      <c r="L72" s="20">
        <f t="shared" si="48"/>
        <v>0</v>
      </c>
      <c r="M72" s="31" t="s">
        <v>2884</v>
      </c>
      <c r="N72" s="5"/>
      <c r="Z72" s="36">
        <f t="shared" si="49"/>
        <v>0</v>
      </c>
      <c r="AB72" s="36">
        <f t="shared" si="50"/>
        <v>0</v>
      </c>
      <c r="AC72" s="36">
        <f t="shared" si="51"/>
        <v>0</v>
      </c>
      <c r="AD72" s="36">
        <f t="shared" si="52"/>
        <v>0</v>
      </c>
      <c r="AE72" s="36">
        <f t="shared" si="53"/>
        <v>0</v>
      </c>
      <c r="AF72" s="36">
        <f t="shared" si="54"/>
        <v>0</v>
      </c>
      <c r="AG72" s="36">
        <f t="shared" si="55"/>
        <v>0</v>
      </c>
      <c r="AH72" s="36">
        <f t="shared" si="56"/>
        <v>0</v>
      </c>
      <c r="AI72" s="35" t="s">
        <v>2894</v>
      </c>
      <c r="AJ72" s="20">
        <f t="shared" si="57"/>
        <v>0</v>
      </c>
      <c r="AK72" s="20">
        <f t="shared" si="58"/>
        <v>0</v>
      </c>
      <c r="AL72" s="20">
        <f t="shared" si="59"/>
        <v>0</v>
      </c>
      <c r="AN72" s="36">
        <v>21</v>
      </c>
      <c r="AO72" s="36">
        <f>I72*0.754702380952381</f>
        <v>0</v>
      </c>
      <c r="AP72" s="36">
        <f>I72*(1-0.754702380952381)</f>
        <v>0</v>
      </c>
      <c r="AQ72" s="37" t="s">
        <v>7</v>
      </c>
      <c r="AV72" s="36">
        <f t="shared" si="60"/>
        <v>0</v>
      </c>
      <c r="AW72" s="36">
        <f t="shared" si="61"/>
        <v>0</v>
      </c>
      <c r="AX72" s="36">
        <f t="shared" si="62"/>
        <v>0</v>
      </c>
      <c r="AY72" s="39" t="s">
        <v>2909</v>
      </c>
      <c r="AZ72" s="39" t="s">
        <v>2948</v>
      </c>
      <c r="BA72" s="35" t="s">
        <v>2967</v>
      </c>
      <c r="BC72" s="36">
        <f t="shared" si="63"/>
        <v>0</v>
      </c>
      <c r="BD72" s="36">
        <f t="shared" si="64"/>
        <v>0</v>
      </c>
      <c r="BE72" s="36">
        <v>0</v>
      </c>
      <c r="BF72" s="36">
        <f>72</f>
        <v>72</v>
      </c>
      <c r="BH72" s="20">
        <f t="shared" si="65"/>
        <v>0</v>
      </c>
      <c r="BI72" s="20">
        <f t="shared" si="66"/>
        <v>0</v>
      </c>
      <c r="BJ72" s="20">
        <f t="shared" si="67"/>
        <v>0</v>
      </c>
      <c r="BK72" s="20" t="s">
        <v>2978</v>
      </c>
      <c r="BL72" s="36">
        <v>31</v>
      </c>
    </row>
    <row r="73" spans="1:64" x14ac:dyDescent="0.2">
      <c r="A73" s="4" t="s">
        <v>58</v>
      </c>
      <c r="B73" s="13" t="s">
        <v>1006</v>
      </c>
      <c r="C73" s="174" t="s">
        <v>1918</v>
      </c>
      <c r="D73" s="175"/>
      <c r="E73" s="175"/>
      <c r="F73" s="175"/>
      <c r="G73" s="13" t="s">
        <v>2852</v>
      </c>
      <c r="H73" s="82">
        <v>40</v>
      </c>
      <c r="I73" s="109">
        <v>0</v>
      </c>
      <c r="J73" s="20">
        <f t="shared" si="46"/>
        <v>0</v>
      </c>
      <c r="K73" s="20">
        <f t="shared" si="47"/>
        <v>0</v>
      </c>
      <c r="L73" s="20">
        <f t="shared" si="48"/>
        <v>0</v>
      </c>
      <c r="M73" s="31" t="s">
        <v>2884</v>
      </c>
      <c r="N73" s="5"/>
      <c r="Z73" s="36">
        <f t="shared" si="49"/>
        <v>0</v>
      </c>
      <c r="AB73" s="36">
        <f t="shared" si="50"/>
        <v>0</v>
      </c>
      <c r="AC73" s="36">
        <f t="shared" si="51"/>
        <v>0</v>
      </c>
      <c r="AD73" s="36">
        <f t="shared" si="52"/>
        <v>0</v>
      </c>
      <c r="AE73" s="36">
        <f t="shared" si="53"/>
        <v>0</v>
      </c>
      <c r="AF73" s="36">
        <f t="shared" si="54"/>
        <v>0</v>
      </c>
      <c r="AG73" s="36">
        <f t="shared" si="55"/>
        <v>0</v>
      </c>
      <c r="AH73" s="36">
        <f t="shared" si="56"/>
        <v>0</v>
      </c>
      <c r="AI73" s="35" t="s">
        <v>2894</v>
      </c>
      <c r="AJ73" s="20">
        <f t="shared" si="57"/>
        <v>0</v>
      </c>
      <c r="AK73" s="20">
        <f t="shared" si="58"/>
        <v>0</v>
      </c>
      <c r="AL73" s="20">
        <f t="shared" si="59"/>
        <v>0</v>
      </c>
      <c r="AN73" s="36">
        <v>21</v>
      </c>
      <c r="AO73" s="36">
        <f>I73*0.79153756618961</f>
        <v>0</v>
      </c>
      <c r="AP73" s="36">
        <f>I73*(1-0.79153756618961)</f>
        <v>0</v>
      </c>
      <c r="AQ73" s="37" t="s">
        <v>7</v>
      </c>
      <c r="AV73" s="36">
        <f t="shared" si="60"/>
        <v>0</v>
      </c>
      <c r="AW73" s="36">
        <f t="shared" si="61"/>
        <v>0</v>
      </c>
      <c r="AX73" s="36">
        <f t="shared" si="62"/>
        <v>0</v>
      </c>
      <c r="AY73" s="39" t="s">
        <v>2909</v>
      </c>
      <c r="AZ73" s="39" t="s">
        <v>2948</v>
      </c>
      <c r="BA73" s="35" t="s">
        <v>2967</v>
      </c>
      <c r="BC73" s="36">
        <f t="shared" si="63"/>
        <v>0</v>
      </c>
      <c r="BD73" s="36">
        <f t="shared" si="64"/>
        <v>0</v>
      </c>
      <c r="BE73" s="36">
        <v>0</v>
      </c>
      <c r="BF73" s="36">
        <f>73</f>
        <v>73</v>
      </c>
      <c r="BH73" s="20">
        <f t="shared" si="65"/>
        <v>0</v>
      </c>
      <c r="BI73" s="20">
        <f t="shared" si="66"/>
        <v>0</v>
      </c>
      <c r="BJ73" s="20">
        <f t="shared" si="67"/>
        <v>0</v>
      </c>
      <c r="BK73" s="20" t="s">
        <v>2978</v>
      </c>
      <c r="BL73" s="36">
        <v>31</v>
      </c>
    </row>
    <row r="74" spans="1:64" x14ac:dyDescent="0.2">
      <c r="A74" s="4" t="s">
        <v>59</v>
      </c>
      <c r="B74" s="13" t="s">
        <v>1007</v>
      </c>
      <c r="C74" s="174" t="s">
        <v>1919</v>
      </c>
      <c r="D74" s="175"/>
      <c r="E74" s="175"/>
      <c r="F74" s="175"/>
      <c r="G74" s="13" t="s">
        <v>2852</v>
      </c>
      <c r="H74" s="82">
        <v>76</v>
      </c>
      <c r="I74" s="109">
        <v>0</v>
      </c>
      <c r="J74" s="20">
        <f t="shared" si="46"/>
        <v>0</v>
      </c>
      <c r="K74" s="20">
        <f t="shared" si="47"/>
        <v>0</v>
      </c>
      <c r="L74" s="20">
        <f t="shared" si="48"/>
        <v>0</v>
      </c>
      <c r="M74" s="31" t="s">
        <v>2884</v>
      </c>
      <c r="N74" s="5"/>
      <c r="Z74" s="36">
        <f t="shared" si="49"/>
        <v>0</v>
      </c>
      <c r="AB74" s="36">
        <f t="shared" si="50"/>
        <v>0</v>
      </c>
      <c r="AC74" s="36">
        <f t="shared" si="51"/>
        <v>0</v>
      </c>
      <c r="AD74" s="36">
        <f t="shared" si="52"/>
        <v>0</v>
      </c>
      <c r="AE74" s="36">
        <f t="shared" si="53"/>
        <v>0</v>
      </c>
      <c r="AF74" s="36">
        <f t="shared" si="54"/>
        <v>0</v>
      </c>
      <c r="AG74" s="36">
        <f t="shared" si="55"/>
        <v>0</v>
      </c>
      <c r="AH74" s="36">
        <f t="shared" si="56"/>
        <v>0</v>
      </c>
      <c r="AI74" s="35" t="s">
        <v>2894</v>
      </c>
      <c r="AJ74" s="20">
        <f t="shared" si="57"/>
        <v>0</v>
      </c>
      <c r="AK74" s="20">
        <f t="shared" si="58"/>
        <v>0</v>
      </c>
      <c r="AL74" s="20">
        <f t="shared" si="59"/>
        <v>0</v>
      </c>
      <c r="AN74" s="36">
        <v>21</v>
      </c>
      <c r="AO74" s="36">
        <f>I74*0.813228758169935</f>
        <v>0</v>
      </c>
      <c r="AP74" s="36">
        <f>I74*(1-0.813228758169935)</f>
        <v>0</v>
      </c>
      <c r="AQ74" s="37" t="s">
        <v>7</v>
      </c>
      <c r="AV74" s="36">
        <f t="shared" si="60"/>
        <v>0</v>
      </c>
      <c r="AW74" s="36">
        <f t="shared" si="61"/>
        <v>0</v>
      </c>
      <c r="AX74" s="36">
        <f t="shared" si="62"/>
        <v>0</v>
      </c>
      <c r="AY74" s="39" t="s">
        <v>2909</v>
      </c>
      <c r="AZ74" s="39" t="s">
        <v>2948</v>
      </c>
      <c r="BA74" s="35" t="s">
        <v>2967</v>
      </c>
      <c r="BC74" s="36">
        <f t="shared" si="63"/>
        <v>0</v>
      </c>
      <c r="BD74" s="36">
        <f t="shared" si="64"/>
        <v>0</v>
      </c>
      <c r="BE74" s="36">
        <v>0</v>
      </c>
      <c r="BF74" s="36">
        <f>74</f>
        <v>74</v>
      </c>
      <c r="BH74" s="20">
        <f t="shared" si="65"/>
        <v>0</v>
      </c>
      <c r="BI74" s="20">
        <f t="shared" si="66"/>
        <v>0</v>
      </c>
      <c r="BJ74" s="20">
        <f t="shared" si="67"/>
        <v>0</v>
      </c>
      <c r="BK74" s="20" t="s">
        <v>2978</v>
      </c>
      <c r="BL74" s="36">
        <v>31</v>
      </c>
    </row>
    <row r="75" spans="1:64" x14ac:dyDescent="0.2">
      <c r="A75" s="4" t="s">
        <v>60</v>
      </c>
      <c r="B75" s="13" t="s">
        <v>1008</v>
      </c>
      <c r="C75" s="174" t="s">
        <v>1920</v>
      </c>
      <c r="D75" s="175"/>
      <c r="E75" s="175"/>
      <c r="F75" s="175"/>
      <c r="G75" s="13" t="s">
        <v>2855</v>
      </c>
      <c r="H75" s="82">
        <v>28.25</v>
      </c>
      <c r="I75" s="109">
        <v>0</v>
      </c>
      <c r="J75" s="20">
        <f t="shared" si="46"/>
        <v>0</v>
      </c>
      <c r="K75" s="20">
        <f t="shared" si="47"/>
        <v>0</v>
      </c>
      <c r="L75" s="20">
        <f t="shared" si="48"/>
        <v>0</v>
      </c>
      <c r="M75" s="31" t="s">
        <v>2884</v>
      </c>
      <c r="N75" s="5"/>
      <c r="Z75" s="36">
        <f t="shared" si="49"/>
        <v>0</v>
      </c>
      <c r="AB75" s="36">
        <f t="shared" si="50"/>
        <v>0</v>
      </c>
      <c r="AC75" s="36">
        <f t="shared" si="51"/>
        <v>0</v>
      </c>
      <c r="AD75" s="36">
        <f t="shared" si="52"/>
        <v>0</v>
      </c>
      <c r="AE75" s="36">
        <f t="shared" si="53"/>
        <v>0</v>
      </c>
      <c r="AF75" s="36">
        <f t="shared" si="54"/>
        <v>0</v>
      </c>
      <c r="AG75" s="36">
        <f t="shared" si="55"/>
        <v>0</v>
      </c>
      <c r="AH75" s="36">
        <f t="shared" si="56"/>
        <v>0</v>
      </c>
      <c r="AI75" s="35" t="s">
        <v>2894</v>
      </c>
      <c r="AJ75" s="20">
        <f t="shared" si="57"/>
        <v>0</v>
      </c>
      <c r="AK75" s="20">
        <f t="shared" si="58"/>
        <v>0</v>
      </c>
      <c r="AL75" s="20">
        <f t="shared" si="59"/>
        <v>0</v>
      </c>
      <c r="AN75" s="36">
        <v>21</v>
      </c>
      <c r="AO75" s="36">
        <f>I75*0.358208522228698</f>
        <v>0</v>
      </c>
      <c r="AP75" s="36">
        <f>I75*(1-0.358208522228698)</f>
        <v>0</v>
      </c>
      <c r="AQ75" s="37" t="s">
        <v>7</v>
      </c>
      <c r="AV75" s="36">
        <f t="shared" si="60"/>
        <v>0</v>
      </c>
      <c r="AW75" s="36">
        <f t="shared" si="61"/>
        <v>0</v>
      </c>
      <c r="AX75" s="36">
        <f t="shared" si="62"/>
        <v>0</v>
      </c>
      <c r="AY75" s="39" t="s">
        <v>2909</v>
      </c>
      <c r="AZ75" s="39" t="s">
        <v>2948</v>
      </c>
      <c r="BA75" s="35" t="s">
        <v>2967</v>
      </c>
      <c r="BC75" s="36">
        <f t="shared" si="63"/>
        <v>0</v>
      </c>
      <c r="BD75" s="36">
        <f t="shared" si="64"/>
        <v>0</v>
      </c>
      <c r="BE75" s="36">
        <v>0</v>
      </c>
      <c r="BF75" s="36">
        <f>75</f>
        <v>75</v>
      </c>
      <c r="BH75" s="20">
        <f t="shared" si="65"/>
        <v>0</v>
      </c>
      <c r="BI75" s="20">
        <f t="shared" si="66"/>
        <v>0</v>
      </c>
      <c r="BJ75" s="20">
        <f t="shared" si="67"/>
        <v>0</v>
      </c>
      <c r="BK75" s="20" t="s">
        <v>2978</v>
      </c>
      <c r="BL75" s="36">
        <v>31</v>
      </c>
    </row>
    <row r="76" spans="1:64" x14ac:dyDescent="0.2">
      <c r="A76" s="4" t="s">
        <v>61</v>
      </c>
      <c r="B76" s="13" t="s">
        <v>1009</v>
      </c>
      <c r="C76" s="174" t="s">
        <v>1921</v>
      </c>
      <c r="D76" s="175"/>
      <c r="E76" s="175"/>
      <c r="F76" s="175"/>
      <c r="G76" s="13" t="s">
        <v>2855</v>
      </c>
      <c r="H76" s="82">
        <v>11</v>
      </c>
      <c r="I76" s="109">
        <v>0</v>
      </c>
      <c r="J76" s="20">
        <f t="shared" si="46"/>
        <v>0</v>
      </c>
      <c r="K76" s="20">
        <f t="shared" si="47"/>
        <v>0</v>
      </c>
      <c r="L76" s="20">
        <f t="shared" si="48"/>
        <v>0</v>
      </c>
      <c r="M76" s="31" t="s">
        <v>2884</v>
      </c>
      <c r="N76" s="5"/>
      <c r="Z76" s="36">
        <f t="shared" si="49"/>
        <v>0</v>
      </c>
      <c r="AB76" s="36">
        <f t="shared" si="50"/>
        <v>0</v>
      </c>
      <c r="AC76" s="36">
        <f t="shared" si="51"/>
        <v>0</v>
      </c>
      <c r="AD76" s="36">
        <f t="shared" si="52"/>
        <v>0</v>
      </c>
      <c r="AE76" s="36">
        <f t="shared" si="53"/>
        <v>0</v>
      </c>
      <c r="AF76" s="36">
        <f t="shared" si="54"/>
        <v>0</v>
      </c>
      <c r="AG76" s="36">
        <f t="shared" si="55"/>
        <v>0</v>
      </c>
      <c r="AH76" s="36">
        <f t="shared" si="56"/>
        <v>0</v>
      </c>
      <c r="AI76" s="35" t="s">
        <v>2894</v>
      </c>
      <c r="AJ76" s="20">
        <f t="shared" si="57"/>
        <v>0</v>
      </c>
      <c r="AK76" s="20">
        <f t="shared" si="58"/>
        <v>0</v>
      </c>
      <c r="AL76" s="20">
        <f t="shared" si="59"/>
        <v>0</v>
      </c>
      <c r="AN76" s="36">
        <v>21</v>
      </c>
      <c r="AO76" s="36">
        <f>I76*0.864263657957245</f>
        <v>0</v>
      </c>
      <c r="AP76" s="36">
        <f>I76*(1-0.864263657957245)</f>
        <v>0</v>
      </c>
      <c r="AQ76" s="37" t="s">
        <v>7</v>
      </c>
      <c r="AV76" s="36">
        <f t="shared" si="60"/>
        <v>0</v>
      </c>
      <c r="AW76" s="36">
        <f t="shared" si="61"/>
        <v>0</v>
      </c>
      <c r="AX76" s="36">
        <f t="shared" si="62"/>
        <v>0</v>
      </c>
      <c r="AY76" s="39" t="s">
        <v>2909</v>
      </c>
      <c r="AZ76" s="39" t="s">
        <v>2948</v>
      </c>
      <c r="BA76" s="35" t="s">
        <v>2967</v>
      </c>
      <c r="BC76" s="36">
        <f t="shared" si="63"/>
        <v>0</v>
      </c>
      <c r="BD76" s="36">
        <f t="shared" si="64"/>
        <v>0</v>
      </c>
      <c r="BE76" s="36">
        <v>0</v>
      </c>
      <c r="BF76" s="36">
        <f>76</f>
        <v>76</v>
      </c>
      <c r="BH76" s="20">
        <f t="shared" si="65"/>
        <v>0</v>
      </c>
      <c r="BI76" s="20">
        <f t="shared" si="66"/>
        <v>0</v>
      </c>
      <c r="BJ76" s="20">
        <f t="shared" si="67"/>
        <v>0</v>
      </c>
      <c r="BK76" s="20" t="s">
        <v>2978</v>
      </c>
      <c r="BL76" s="36">
        <v>31</v>
      </c>
    </row>
    <row r="77" spans="1:64" x14ac:dyDescent="0.2">
      <c r="A77" s="3"/>
      <c r="B77" s="12" t="s">
        <v>38</v>
      </c>
      <c r="C77" s="172" t="s">
        <v>1922</v>
      </c>
      <c r="D77" s="173"/>
      <c r="E77" s="173"/>
      <c r="F77" s="173"/>
      <c r="G77" s="18" t="s">
        <v>6</v>
      </c>
      <c r="H77" s="18" t="s">
        <v>6</v>
      </c>
      <c r="I77" s="18" t="s">
        <v>6</v>
      </c>
      <c r="J77" s="41">
        <f>SUM(J78:J78)</f>
        <v>0</v>
      </c>
      <c r="K77" s="41">
        <f>SUM(K78:K78)</f>
        <v>0</v>
      </c>
      <c r="L77" s="41">
        <f>SUM(L78:L78)</f>
        <v>0</v>
      </c>
      <c r="M77" s="30"/>
      <c r="N77" s="5"/>
      <c r="AI77" s="35" t="s">
        <v>2894</v>
      </c>
      <c r="AS77" s="41">
        <f>SUM(AJ78:AJ78)</f>
        <v>0</v>
      </c>
      <c r="AT77" s="41">
        <f>SUM(AK78:AK78)</f>
        <v>0</v>
      </c>
      <c r="AU77" s="41">
        <f>SUM(AL78:AL78)</f>
        <v>0</v>
      </c>
    </row>
    <row r="78" spans="1:64" x14ac:dyDescent="0.2">
      <c r="A78" s="4" t="s">
        <v>62</v>
      </c>
      <c r="B78" s="13" t="s">
        <v>1010</v>
      </c>
      <c r="C78" s="174" t="s">
        <v>1923</v>
      </c>
      <c r="D78" s="175"/>
      <c r="E78" s="175"/>
      <c r="F78" s="175"/>
      <c r="G78" s="13" t="s">
        <v>2855</v>
      </c>
      <c r="H78" s="82">
        <v>60</v>
      </c>
      <c r="I78" s="109">
        <v>0</v>
      </c>
      <c r="J78" s="20">
        <f>H78*AO78</f>
        <v>0</v>
      </c>
      <c r="K78" s="20">
        <f>H78*AP78</f>
        <v>0</v>
      </c>
      <c r="L78" s="20">
        <f>H78*I78</f>
        <v>0</v>
      </c>
      <c r="M78" s="31" t="s">
        <v>2884</v>
      </c>
      <c r="N78" s="5"/>
      <c r="Z78" s="36">
        <f>IF(AQ78="5",BJ78,0)</f>
        <v>0</v>
      </c>
      <c r="AB78" s="36">
        <f>IF(AQ78="1",BH78,0)</f>
        <v>0</v>
      </c>
      <c r="AC78" s="36">
        <f>IF(AQ78="1",BI78,0)</f>
        <v>0</v>
      </c>
      <c r="AD78" s="36">
        <f>IF(AQ78="7",BH78,0)</f>
        <v>0</v>
      </c>
      <c r="AE78" s="36">
        <f>IF(AQ78="7",BI78,0)</f>
        <v>0</v>
      </c>
      <c r="AF78" s="36">
        <f>IF(AQ78="2",BH78,0)</f>
        <v>0</v>
      </c>
      <c r="AG78" s="36">
        <f>IF(AQ78="2",BI78,0)</f>
        <v>0</v>
      </c>
      <c r="AH78" s="36">
        <f>IF(AQ78="0",BJ78,0)</f>
        <v>0</v>
      </c>
      <c r="AI78" s="35" t="s">
        <v>2894</v>
      </c>
      <c r="AJ78" s="20">
        <f>IF(AN78=0,L78,0)</f>
        <v>0</v>
      </c>
      <c r="AK78" s="20">
        <f>IF(AN78=15,L78,0)</f>
        <v>0</v>
      </c>
      <c r="AL78" s="20">
        <f>IF(AN78=21,L78,0)</f>
        <v>0</v>
      </c>
      <c r="AN78" s="36">
        <v>21</v>
      </c>
      <c r="AO78" s="36">
        <f>I78*0</f>
        <v>0</v>
      </c>
      <c r="AP78" s="36">
        <f>I78*(1-0)</f>
        <v>0</v>
      </c>
      <c r="AQ78" s="37" t="s">
        <v>7</v>
      </c>
      <c r="AV78" s="36">
        <f>AW78+AX78</f>
        <v>0</v>
      </c>
      <c r="AW78" s="36">
        <f>H78*AO78</f>
        <v>0</v>
      </c>
      <c r="AX78" s="36">
        <f>H78*AP78</f>
        <v>0</v>
      </c>
      <c r="AY78" s="39" t="s">
        <v>2910</v>
      </c>
      <c r="AZ78" s="39" t="s">
        <v>2948</v>
      </c>
      <c r="BA78" s="35" t="s">
        <v>2967</v>
      </c>
      <c r="BC78" s="36">
        <f>AW78+AX78</f>
        <v>0</v>
      </c>
      <c r="BD78" s="36">
        <f>I78/(100-BE78)*100</f>
        <v>0</v>
      </c>
      <c r="BE78" s="36">
        <v>0</v>
      </c>
      <c r="BF78" s="36">
        <f>78</f>
        <v>78</v>
      </c>
      <c r="BH78" s="20">
        <f>H78*AO78</f>
        <v>0</v>
      </c>
      <c r="BI78" s="20">
        <f>H78*AP78</f>
        <v>0</v>
      </c>
      <c r="BJ78" s="20">
        <f>H78*I78</f>
        <v>0</v>
      </c>
      <c r="BK78" s="20" t="s">
        <v>2978</v>
      </c>
      <c r="BL78" s="36">
        <v>32</v>
      </c>
    </row>
    <row r="79" spans="1:64" x14ac:dyDescent="0.2">
      <c r="A79" s="3"/>
      <c r="B79" s="12" t="s">
        <v>40</v>
      </c>
      <c r="C79" s="172" t="s">
        <v>1924</v>
      </c>
      <c r="D79" s="173"/>
      <c r="E79" s="173"/>
      <c r="F79" s="173"/>
      <c r="G79" s="18" t="s">
        <v>6</v>
      </c>
      <c r="H79" s="18" t="s">
        <v>6</v>
      </c>
      <c r="I79" s="18" t="s">
        <v>6</v>
      </c>
      <c r="J79" s="41">
        <f>SUM(J80:J84)</f>
        <v>0</v>
      </c>
      <c r="K79" s="41">
        <f>SUM(K80:K84)</f>
        <v>0</v>
      </c>
      <c r="L79" s="41">
        <f>SUM(L80:L84)</f>
        <v>0</v>
      </c>
      <c r="M79" s="30"/>
      <c r="N79" s="5"/>
      <c r="AI79" s="35" t="s">
        <v>2894</v>
      </c>
      <c r="AS79" s="41">
        <f>SUM(AJ80:AJ84)</f>
        <v>0</v>
      </c>
      <c r="AT79" s="41">
        <f>SUM(AK80:AK84)</f>
        <v>0</v>
      </c>
      <c r="AU79" s="41">
        <f>SUM(AL80:AL84)</f>
        <v>0</v>
      </c>
    </row>
    <row r="80" spans="1:64" x14ac:dyDescent="0.2">
      <c r="A80" s="4" t="s">
        <v>63</v>
      </c>
      <c r="B80" s="13" t="s">
        <v>1011</v>
      </c>
      <c r="C80" s="174" t="s">
        <v>1925</v>
      </c>
      <c r="D80" s="175"/>
      <c r="E80" s="175"/>
      <c r="F80" s="175"/>
      <c r="G80" s="13" t="s">
        <v>2854</v>
      </c>
      <c r="H80" s="82">
        <v>17.018000000000001</v>
      </c>
      <c r="I80" s="109">
        <v>0</v>
      </c>
      <c r="J80" s="20">
        <f>H80*AO80</f>
        <v>0</v>
      </c>
      <c r="K80" s="20">
        <f>H80*AP80</f>
        <v>0</v>
      </c>
      <c r="L80" s="20">
        <f>H80*I80</f>
        <v>0</v>
      </c>
      <c r="M80" s="31" t="s">
        <v>2884</v>
      </c>
      <c r="N80" s="5"/>
      <c r="Z80" s="36">
        <f>IF(AQ80="5",BJ80,0)</f>
        <v>0</v>
      </c>
      <c r="AB80" s="36">
        <f>IF(AQ80="1",BH80,0)</f>
        <v>0</v>
      </c>
      <c r="AC80" s="36">
        <f>IF(AQ80="1",BI80,0)</f>
        <v>0</v>
      </c>
      <c r="AD80" s="36">
        <f>IF(AQ80="7",BH80,0)</f>
        <v>0</v>
      </c>
      <c r="AE80" s="36">
        <f>IF(AQ80="7",BI80,0)</f>
        <v>0</v>
      </c>
      <c r="AF80" s="36">
        <f>IF(AQ80="2",BH80,0)</f>
        <v>0</v>
      </c>
      <c r="AG80" s="36">
        <f>IF(AQ80="2",BI80,0)</f>
        <v>0</v>
      </c>
      <c r="AH80" s="36">
        <f>IF(AQ80="0",BJ80,0)</f>
        <v>0</v>
      </c>
      <c r="AI80" s="35" t="s">
        <v>2894</v>
      </c>
      <c r="AJ80" s="20">
        <f>IF(AN80=0,L80,0)</f>
        <v>0</v>
      </c>
      <c r="AK80" s="20">
        <f>IF(AN80=15,L80,0)</f>
        <v>0</v>
      </c>
      <c r="AL80" s="20">
        <f>IF(AN80=21,L80,0)</f>
        <v>0</v>
      </c>
      <c r="AN80" s="36">
        <v>21</v>
      </c>
      <c r="AO80" s="36">
        <f>I80*0.584199739394115</f>
        <v>0</v>
      </c>
      <c r="AP80" s="36">
        <f>I80*(1-0.584199739394115)</f>
        <v>0</v>
      </c>
      <c r="AQ80" s="37" t="s">
        <v>7</v>
      </c>
      <c r="AV80" s="36">
        <f>AW80+AX80</f>
        <v>0</v>
      </c>
      <c r="AW80" s="36">
        <f>H80*AO80</f>
        <v>0</v>
      </c>
      <c r="AX80" s="36">
        <f>H80*AP80</f>
        <v>0</v>
      </c>
      <c r="AY80" s="39" t="s">
        <v>2911</v>
      </c>
      <c r="AZ80" s="39" t="s">
        <v>2948</v>
      </c>
      <c r="BA80" s="35" t="s">
        <v>2967</v>
      </c>
      <c r="BC80" s="36">
        <f>AW80+AX80</f>
        <v>0</v>
      </c>
      <c r="BD80" s="36">
        <f>I80/(100-BE80)*100</f>
        <v>0</v>
      </c>
      <c r="BE80" s="36">
        <v>0</v>
      </c>
      <c r="BF80" s="36">
        <f>80</f>
        <v>80</v>
      </c>
      <c r="BH80" s="20">
        <f>H80*AO80</f>
        <v>0</v>
      </c>
      <c r="BI80" s="20">
        <f>H80*AP80</f>
        <v>0</v>
      </c>
      <c r="BJ80" s="20">
        <f>H80*I80</f>
        <v>0</v>
      </c>
      <c r="BK80" s="20" t="s">
        <v>2978</v>
      </c>
      <c r="BL80" s="36">
        <v>34</v>
      </c>
    </row>
    <row r="81" spans="1:64" x14ac:dyDescent="0.2">
      <c r="A81" s="4" t="s">
        <v>64</v>
      </c>
      <c r="B81" s="13" t="s">
        <v>1012</v>
      </c>
      <c r="C81" s="174" t="s">
        <v>1926</v>
      </c>
      <c r="D81" s="175"/>
      <c r="E81" s="175"/>
      <c r="F81" s="175"/>
      <c r="G81" s="13" t="s">
        <v>2854</v>
      </c>
      <c r="H81" s="82">
        <v>277.56099999999998</v>
      </c>
      <c r="I81" s="109">
        <v>0</v>
      </c>
      <c r="J81" s="20">
        <f>H81*AO81</f>
        <v>0</v>
      </c>
      <c r="K81" s="20">
        <f>H81*AP81</f>
        <v>0</v>
      </c>
      <c r="L81" s="20">
        <f>H81*I81</f>
        <v>0</v>
      </c>
      <c r="M81" s="31" t="s">
        <v>2884</v>
      </c>
      <c r="N81" s="5"/>
      <c r="Z81" s="36">
        <f>IF(AQ81="5",BJ81,0)</f>
        <v>0</v>
      </c>
      <c r="AB81" s="36">
        <f>IF(AQ81="1",BH81,0)</f>
        <v>0</v>
      </c>
      <c r="AC81" s="36">
        <f>IF(AQ81="1",BI81,0)</f>
        <v>0</v>
      </c>
      <c r="AD81" s="36">
        <f>IF(AQ81="7",BH81,0)</f>
        <v>0</v>
      </c>
      <c r="AE81" s="36">
        <f>IF(AQ81="7",BI81,0)</f>
        <v>0</v>
      </c>
      <c r="AF81" s="36">
        <f>IF(AQ81="2",BH81,0)</f>
        <v>0</v>
      </c>
      <c r="AG81" s="36">
        <f>IF(AQ81="2",BI81,0)</f>
        <v>0</v>
      </c>
      <c r="AH81" s="36">
        <f>IF(AQ81="0",BJ81,0)</f>
        <v>0</v>
      </c>
      <c r="AI81" s="35" t="s">
        <v>2894</v>
      </c>
      <c r="AJ81" s="20">
        <f>IF(AN81=0,L81,0)</f>
        <v>0</v>
      </c>
      <c r="AK81" s="20">
        <f>IF(AN81=15,L81,0)</f>
        <v>0</v>
      </c>
      <c r="AL81" s="20">
        <f>IF(AN81=21,L81,0)</f>
        <v>0</v>
      </c>
      <c r="AN81" s="36">
        <v>21</v>
      </c>
      <c r="AO81" s="36">
        <f>I81*0.622954551122192</f>
        <v>0</v>
      </c>
      <c r="AP81" s="36">
        <f>I81*(1-0.622954551122192)</f>
        <v>0</v>
      </c>
      <c r="AQ81" s="37" t="s">
        <v>7</v>
      </c>
      <c r="AV81" s="36">
        <f>AW81+AX81</f>
        <v>0</v>
      </c>
      <c r="AW81" s="36">
        <f>H81*AO81</f>
        <v>0</v>
      </c>
      <c r="AX81" s="36">
        <f>H81*AP81</f>
        <v>0</v>
      </c>
      <c r="AY81" s="39" t="s">
        <v>2911</v>
      </c>
      <c r="AZ81" s="39" t="s">
        <v>2948</v>
      </c>
      <c r="BA81" s="35" t="s">
        <v>2967</v>
      </c>
      <c r="BC81" s="36">
        <f>AW81+AX81</f>
        <v>0</v>
      </c>
      <c r="BD81" s="36">
        <f>I81/(100-BE81)*100</f>
        <v>0</v>
      </c>
      <c r="BE81" s="36">
        <v>0</v>
      </c>
      <c r="BF81" s="36">
        <f>81</f>
        <v>81</v>
      </c>
      <c r="BH81" s="20">
        <f>H81*AO81</f>
        <v>0</v>
      </c>
      <c r="BI81" s="20">
        <f>H81*AP81</f>
        <v>0</v>
      </c>
      <c r="BJ81" s="20">
        <f>H81*I81</f>
        <v>0</v>
      </c>
      <c r="BK81" s="20" t="s">
        <v>2978</v>
      </c>
      <c r="BL81" s="36">
        <v>34</v>
      </c>
    </row>
    <row r="82" spans="1:64" x14ac:dyDescent="0.2">
      <c r="A82" s="4" t="s">
        <v>65</v>
      </c>
      <c r="B82" s="13" t="s">
        <v>1013</v>
      </c>
      <c r="C82" s="174" t="s">
        <v>1927</v>
      </c>
      <c r="D82" s="175"/>
      <c r="E82" s="175"/>
      <c r="F82" s="175"/>
      <c r="G82" s="13" t="s">
        <v>2855</v>
      </c>
      <c r="H82" s="82">
        <v>90.254999999999995</v>
      </c>
      <c r="I82" s="109">
        <v>0</v>
      </c>
      <c r="J82" s="20">
        <f>H82*AO82</f>
        <v>0</v>
      </c>
      <c r="K82" s="20">
        <f>H82*AP82</f>
        <v>0</v>
      </c>
      <c r="L82" s="20">
        <f>H82*I82</f>
        <v>0</v>
      </c>
      <c r="M82" s="31" t="s">
        <v>2884</v>
      </c>
      <c r="N82" s="5"/>
      <c r="Z82" s="36">
        <f>IF(AQ82="5",BJ82,0)</f>
        <v>0</v>
      </c>
      <c r="AB82" s="36">
        <f>IF(AQ82="1",BH82,0)</f>
        <v>0</v>
      </c>
      <c r="AC82" s="36">
        <f>IF(AQ82="1",BI82,0)</f>
        <v>0</v>
      </c>
      <c r="AD82" s="36">
        <f>IF(AQ82="7",BH82,0)</f>
        <v>0</v>
      </c>
      <c r="AE82" s="36">
        <f>IF(AQ82="7",BI82,0)</f>
        <v>0</v>
      </c>
      <c r="AF82" s="36">
        <f>IF(AQ82="2",BH82,0)</f>
        <v>0</v>
      </c>
      <c r="AG82" s="36">
        <f>IF(AQ82="2",BI82,0)</f>
        <v>0</v>
      </c>
      <c r="AH82" s="36">
        <f>IF(AQ82="0",BJ82,0)</f>
        <v>0</v>
      </c>
      <c r="AI82" s="35" t="s">
        <v>2894</v>
      </c>
      <c r="AJ82" s="20">
        <f>IF(AN82=0,L82,0)</f>
        <v>0</v>
      </c>
      <c r="AK82" s="20">
        <f>IF(AN82=15,L82,0)</f>
        <v>0</v>
      </c>
      <c r="AL82" s="20">
        <f>IF(AN82=21,L82,0)</f>
        <v>0</v>
      </c>
      <c r="AN82" s="36">
        <v>21</v>
      </c>
      <c r="AO82" s="36">
        <f>I82*0.176221841212188</f>
        <v>0</v>
      </c>
      <c r="AP82" s="36">
        <f>I82*(1-0.176221841212188)</f>
        <v>0</v>
      </c>
      <c r="AQ82" s="37" t="s">
        <v>7</v>
      </c>
      <c r="AV82" s="36">
        <f>AW82+AX82</f>
        <v>0</v>
      </c>
      <c r="AW82" s="36">
        <f>H82*AO82</f>
        <v>0</v>
      </c>
      <c r="AX82" s="36">
        <f>H82*AP82</f>
        <v>0</v>
      </c>
      <c r="AY82" s="39" t="s">
        <v>2911</v>
      </c>
      <c r="AZ82" s="39" t="s">
        <v>2948</v>
      </c>
      <c r="BA82" s="35" t="s">
        <v>2967</v>
      </c>
      <c r="BC82" s="36">
        <f>AW82+AX82</f>
        <v>0</v>
      </c>
      <c r="BD82" s="36">
        <f>I82/(100-BE82)*100</f>
        <v>0</v>
      </c>
      <c r="BE82" s="36">
        <v>0</v>
      </c>
      <c r="BF82" s="36">
        <f>82</f>
        <v>82</v>
      </c>
      <c r="BH82" s="20">
        <f>H82*AO82</f>
        <v>0</v>
      </c>
      <c r="BI82" s="20">
        <f>H82*AP82</f>
        <v>0</v>
      </c>
      <c r="BJ82" s="20">
        <f>H82*I82</f>
        <v>0</v>
      </c>
      <c r="BK82" s="20" t="s">
        <v>2978</v>
      </c>
      <c r="BL82" s="36">
        <v>34</v>
      </c>
    </row>
    <row r="83" spans="1:64" x14ac:dyDescent="0.2">
      <c r="A83" s="4" t="s">
        <v>66</v>
      </c>
      <c r="B83" s="13" t="s">
        <v>1014</v>
      </c>
      <c r="C83" s="174" t="s">
        <v>1928</v>
      </c>
      <c r="D83" s="175"/>
      <c r="E83" s="175"/>
      <c r="F83" s="175"/>
      <c r="G83" s="13" t="s">
        <v>2855</v>
      </c>
      <c r="H83" s="82">
        <v>127.5</v>
      </c>
      <c r="I83" s="109">
        <v>0</v>
      </c>
      <c r="J83" s="20">
        <f>H83*AO83</f>
        <v>0</v>
      </c>
      <c r="K83" s="20">
        <f>H83*AP83</f>
        <v>0</v>
      </c>
      <c r="L83" s="20">
        <f>H83*I83</f>
        <v>0</v>
      </c>
      <c r="M83" s="31" t="s">
        <v>2884</v>
      </c>
      <c r="N83" s="5"/>
      <c r="Z83" s="36">
        <f>IF(AQ83="5",BJ83,0)</f>
        <v>0</v>
      </c>
      <c r="AB83" s="36">
        <f>IF(AQ83="1",BH83,0)</f>
        <v>0</v>
      </c>
      <c r="AC83" s="36">
        <f>IF(AQ83="1",BI83,0)</f>
        <v>0</v>
      </c>
      <c r="AD83" s="36">
        <f>IF(AQ83="7",BH83,0)</f>
        <v>0</v>
      </c>
      <c r="AE83" s="36">
        <f>IF(AQ83="7",BI83,0)</f>
        <v>0</v>
      </c>
      <c r="AF83" s="36">
        <f>IF(AQ83="2",BH83,0)</f>
        <v>0</v>
      </c>
      <c r="AG83" s="36">
        <f>IF(AQ83="2",BI83,0)</f>
        <v>0</v>
      </c>
      <c r="AH83" s="36">
        <f>IF(AQ83="0",BJ83,0)</f>
        <v>0</v>
      </c>
      <c r="AI83" s="35" t="s">
        <v>2894</v>
      </c>
      <c r="AJ83" s="20">
        <f>IF(AN83=0,L83,0)</f>
        <v>0</v>
      </c>
      <c r="AK83" s="20">
        <f>IF(AN83=15,L83,0)</f>
        <v>0</v>
      </c>
      <c r="AL83" s="20">
        <f>IF(AN83=21,L83,0)</f>
        <v>0</v>
      </c>
      <c r="AN83" s="36">
        <v>21</v>
      </c>
      <c r="AO83" s="36">
        <f>I83*0.187191011235955</f>
        <v>0</v>
      </c>
      <c r="AP83" s="36">
        <f>I83*(1-0.187191011235955)</f>
        <v>0</v>
      </c>
      <c r="AQ83" s="37" t="s">
        <v>7</v>
      </c>
      <c r="AV83" s="36">
        <f>AW83+AX83</f>
        <v>0</v>
      </c>
      <c r="AW83" s="36">
        <f>H83*AO83</f>
        <v>0</v>
      </c>
      <c r="AX83" s="36">
        <f>H83*AP83</f>
        <v>0</v>
      </c>
      <c r="AY83" s="39" t="s">
        <v>2911</v>
      </c>
      <c r="AZ83" s="39" t="s">
        <v>2948</v>
      </c>
      <c r="BA83" s="35" t="s">
        <v>2967</v>
      </c>
      <c r="BC83" s="36">
        <f>AW83+AX83</f>
        <v>0</v>
      </c>
      <c r="BD83" s="36">
        <f>I83/(100-BE83)*100</f>
        <v>0</v>
      </c>
      <c r="BE83" s="36">
        <v>0</v>
      </c>
      <c r="BF83" s="36">
        <f>83</f>
        <v>83</v>
      </c>
      <c r="BH83" s="20">
        <f>H83*AO83</f>
        <v>0</v>
      </c>
      <c r="BI83" s="20">
        <f>H83*AP83</f>
        <v>0</v>
      </c>
      <c r="BJ83" s="20">
        <f>H83*I83</f>
        <v>0</v>
      </c>
      <c r="BK83" s="20" t="s">
        <v>2978</v>
      </c>
      <c r="BL83" s="36">
        <v>34</v>
      </c>
    </row>
    <row r="84" spans="1:64" x14ac:dyDescent="0.2">
      <c r="A84" s="4" t="s">
        <v>67</v>
      </c>
      <c r="B84" s="13" t="s">
        <v>1015</v>
      </c>
      <c r="C84" s="174" t="s">
        <v>1929</v>
      </c>
      <c r="D84" s="175"/>
      <c r="E84" s="175"/>
      <c r="F84" s="175"/>
      <c r="G84" s="13" t="s">
        <v>2854</v>
      </c>
      <c r="H84" s="82">
        <v>57.225000000000001</v>
      </c>
      <c r="I84" s="109">
        <v>0</v>
      </c>
      <c r="J84" s="20">
        <f>H84*AO84</f>
        <v>0</v>
      </c>
      <c r="K84" s="20">
        <f>H84*AP84</f>
        <v>0</v>
      </c>
      <c r="L84" s="20">
        <f>H84*I84</f>
        <v>0</v>
      </c>
      <c r="M84" s="31" t="s">
        <v>2884</v>
      </c>
      <c r="N84" s="5"/>
      <c r="Z84" s="36">
        <f>IF(AQ84="5",BJ84,0)</f>
        <v>0</v>
      </c>
      <c r="AB84" s="36">
        <f>IF(AQ84="1",BH84,0)</f>
        <v>0</v>
      </c>
      <c r="AC84" s="36">
        <f>IF(AQ84="1",BI84,0)</f>
        <v>0</v>
      </c>
      <c r="AD84" s="36">
        <f>IF(AQ84="7",BH84,0)</f>
        <v>0</v>
      </c>
      <c r="AE84" s="36">
        <f>IF(AQ84="7",BI84,0)</f>
        <v>0</v>
      </c>
      <c r="AF84" s="36">
        <f>IF(AQ84="2",BH84,0)</f>
        <v>0</v>
      </c>
      <c r="AG84" s="36">
        <f>IF(AQ84="2",BI84,0)</f>
        <v>0</v>
      </c>
      <c r="AH84" s="36">
        <f>IF(AQ84="0",BJ84,0)</f>
        <v>0</v>
      </c>
      <c r="AI84" s="35" t="s">
        <v>2894</v>
      </c>
      <c r="AJ84" s="20">
        <f>IF(AN84=0,L84,0)</f>
        <v>0</v>
      </c>
      <c r="AK84" s="20">
        <f>IF(AN84=15,L84,0)</f>
        <v>0</v>
      </c>
      <c r="AL84" s="20">
        <f>IF(AN84=21,L84,0)</f>
        <v>0</v>
      </c>
      <c r="AN84" s="36">
        <v>21</v>
      </c>
      <c r="AO84" s="36">
        <f>I84*0.712513227513227</f>
        <v>0</v>
      </c>
      <c r="AP84" s="36">
        <f>I84*(1-0.712513227513227)</f>
        <v>0</v>
      </c>
      <c r="AQ84" s="37" t="s">
        <v>7</v>
      </c>
      <c r="AV84" s="36">
        <f>AW84+AX84</f>
        <v>0</v>
      </c>
      <c r="AW84" s="36">
        <f>H84*AO84</f>
        <v>0</v>
      </c>
      <c r="AX84" s="36">
        <f>H84*AP84</f>
        <v>0</v>
      </c>
      <c r="AY84" s="39" t="s">
        <v>2911</v>
      </c>
      <c r="AZ84" s="39" t="s">
        <v>2948</v>
      </c>
      <c r="BA84" s="35" t="s">
        <v>2967</v>
      </c>
      <c r="BC84" s="36">
        <f>AW84+AX84</f>
        <v>0</v>
      </c>
      <c r="BD84" s="36">
        <f>I84/(100-BE84)*100</f>
        <v>0</v>
      </c>
      <c r="BE84" s="36">
        <v>0</v>
      </c>
      <c r="BF84" s="36">
        <f>84</f>
        <v>84</v>
      </c>
      <c r="BH84" s="20">
        <f>H84*AO84</f>
        <v>0</v>
      </c>
      <c r="BI84" s="20">
        <f>H84*AP84</f>
        <v>0</v>
      </c>
      <c r="BJ84" s="20">
        <f>H84*I84</f>
        <v>0</v>
      </c>
      <c r="BK84" s="20" t="s">
        <v>2978</v>
      </c>
      <c r="BL84" s="36">
        <v>34</v>
      </c>
    </row>
    <row r="85" spans="1:64" x14ac:dyDescent="0.2">
      <c r="A85" s="3"/>
      <c r="B85" s="12" t="s">
        <v>47</v>
      </c>
      <c r="C85" s="172" t="s">
        <v>1930</v>
      </c>
      <c r="D85" s="173"/>
      <c r="E85" s="173"/>
      <c r="F85" s="173"/>
      <c r="G85" s="18" t="s">
        <v>6</v>
      </c>
      <c r="H85" s="18" t="s">
        <v>6</v>
      </c>
      <c r="I85" s="18" t="s">
        <v>6</v>
      </c>
      <c r="J85" s="41">
        <f>SUM(J86:J103)</f>
        <v>0</v>
      </c>
      <c r="K85" s="41">
        <f>SUM(K86:K103)</f>
        <v>0</v>
      </c>
      <c r="L85" s="41">
        <f>SUM(L86:L103)</f>
        <v>0</v>
      </c>
      <c r="M85" s="30"/>
      <c r="N85" s="5"/>
      <c r="AI85" s="35" t="s">
        <v>2894</v>
      </c>
      <c r="AS85" s="41">
        <f>SUM(AJ86:AJ103)</f>
        <v>0</v>
      </c>
      <c r="AT85" s="41">
        <f>SUM(AK86:AK103)</f>
        <v>0</v>
      </c>
      <c r="AU85" s="41">
        <f>SUM(AL86:AL103)</f>
        <v>0</v>
      </c>
    </row>
    <row r="86" spans="1:64" x14ac:dyDescent="0.2">
      <c r="A86" s="4" t="s">
        <v>68</v>
      </c>
      <c r="B86" s="13" t="s">
        <v>1016</v>
      </c>
      <c r="C86" s="174" t="s">
        <v>1931</v>
      </c>
      <c r="D86" s="175"/>
      <c r="E86" s="175"/>
      <c r="F86" s="175"/>
      <c r="G86" s="13" t="s">
        <v>2854</v>
      </c>
      <c r="H86" s="82">
        <v>536.99199999999996</v>
      </c>
      <c r="I86" s="109">
        <v>0</v>
      </c>
      <c r="J86" s="20">
        <f t="shared" ref="J86:J103" si="68">H86*AO86</f>
        <v>0</v>
      </c>
      <c r="K86" s="20">
        <f t="shared" ref="K86:K103" si="69">H86*AP86</f>
        <v>0</v>
      </c>
      <c r="L86" s="20">
        <f t="shared" ref="L86:L103" si="70">H86*I86</f>
        <v>0</v>
      </c>
      <c r="M86" s="31" t="s">
        <v>2884</v>
      </c>
      <c r="N86" s="5"/>
      <c r="Z86" s="36">
        <f t="shared" ref="Z86:Z103" si="71">IF(AQ86="5",BJ86,0)</f>
        <v>0</v>
      </c>
      <c r="AB86" s="36">
        <f t="shared" ref="AB86:AB103" si="72">IF(AQ86="1",BH86,0)</f>
        <v>0</v>
      </c>
      <c r="AC86" s="36">
        <f t="shared" ref="AC86:AC103" si="73">IF(AQ86="1",BI86,0)</f>
        <v>0</v>
      </c>
      <c r="AD86" s="36">
        <f t="shared" ref="AD86:AD103" si="74">IF(AQ86="7",BH86,0)</f>
        <v>0</v>
      </c>
      <c r="AE86" s="36">
        <f t="shared" ref="AE86:AE103" si="75">IF(AQ86="7",BI86,0)</f>
        <v>0</v>
      </c>
      <c r="AF86" s="36">
        <f t="shared" ref="AF86:AF103" si="76">IF(AQ86="2",BH86,0)</f>
        <v>0</v>
      </c>
      <c r="AG86" s="36">
        <f t="shared" ref="AG86:AG103" si="77">IF(AQ86="2",BI86,0)</f>
        <v>0</v>
      </c>
      <c r="AH86" s="36">
        <f t="shared" ref="AH86:AH103" si="78">IF(AQ86="0",BJ86,0)</f>
        <v>0</v>
      </c>
      <c r="AI86" s="35" t="s">
        <v>2894</v>
      </c>
      <c r="AJ86" s="20">
        <f t="shared" ref="AJ86:AJ103" si="79">IF(AN86=0,L86,0)</f>
        <v>0</v>
      </c>
      <c r="AK86" s="20">
        <f t="shared" ref="AK86:AK103" si="80">IF(AN86=15,L86,0)</f>
        <v>0</v>
      </c>
      <c r="AL86" s="20">
        <f t="shared" ref="AL86:AL103" si="81">IF(AN86=21,L86,0)</f>
        <v>0</v>
      </c>
      <c r="AN86" s="36">
        <v>21</v>
      </c>
      <c r="AO86" s="36">
        <f>I86*0.272582588804687</f>
        <v>0</v>
      </c>
      <c r="AP86" s="36">
        <f>I86*(1-0.272582588804687)</f>
        <v>0</v>
      </c>
      <c r="AQ86" s="37" t="s">
        <v>7</v>
      </c>
      <c r="AV86" s="36">
        <f t="shared" ref="AV86:AV103" si="82">AW86+AX86</f>
        <v>0</v>
      </c>
      <c r="AW86" s="36">
        <f t="shared" ref="AW86:AW103" si="83">H86*AO86</f>
        <v>0</v>
      </c>
      <c r="AX86" s="36">
        <f t="shared" ref="AX86:AX103" si="84">H86*AP86</f>
        <v>0</v>
      </c>
      <c r="AY86" s="39" t="s">
        <v>2912</v>
      </c>
      <c r="AZ86" s="39" t="s">
        <v>2949</v>
      </c>
      <c r="BA86" s="35" t="s">
        <v>2967</v>
      </c>
      <c r="BC86" s="36">
        <f t="shared" ref="BC86:BC103" si="85">AW86+AX86</f>
        <v>0</v>
      </c>
      <c r="BD86" s="36">
        <f t="shared" ref="BD86:BD103" si="86">I86/(100-BE86)*100</f>
        <v>0</v>
      </c>
      <c r="BE86" s="36">
        <v>0</v>
      </c>
      <c r="BF86" s="36">
        <f>86</f>
        <v>86</v>
      </c>
      <c r="BH86" s="20">
        <f t="shared" ref="BH86:BH103" si="87">H86*AO86</f>
        <v>0</v>
      </c>
      <c r="BI86" s="20">
        <f t="shared" ref="BI86:BI103" si="88">H86*AP86</f>
        <v>0</v>
      </c>
      <c r="BJ86" s="20">
        <f t="shared" ref="BJ86:BJ103" si="89">H86*I86</f>
        <v>0</v>
      </c>
      <c r="BK86" s="20" t="s">
        <v>2978</v>
      </c>
      <c r="BL86" s="36">
        <v>41</v>
      </c>
    </row>
    <row r="87" spans="1:64" x14ac:dyDescent="0.2">
      <c r="A87" s="4" t="s">
        <v>69</v>
      </c>
      <c r="B87" s="13" t="s">
        <v>1017</v>
      </c>
      <c r="C87" s="174" t="s">
        <v>1932</v>
      </c>
      <c r="D87" s="175"/>
      <c r="E87" s="175"/>
      <c r="F87" s="175"/>
      <c r="G87" s="13" t="s">
        <v>2853</v>
      </c>
      <c r="H87" s="82">
        <v>0.27100000000000002</v>
      </c>
      <c r="I87" s="109">
        <v>0</v>
      </c>
      <c r="J87" s="20">
        <f t="shared" si="68"/>
        <v>0</v>
      </c>
      <c r="K87" s="20">
        <f t="shared" si="69"/>
        <v>0</v>
      </c>
      <c r="L87" s="20">
        <f t="shared" si="70"/>
        <v>0</v>
      </c>
      <c r="M87" s="31" t="s">
        <v>2884</v>
      </c>
      <c r="N87" s="5"/>
      <c r="Z87" s="36">
        <f t="shared" si="71"/>
        <v>0</v>
      </c>
      <c r="AB87" s="36">
        <f t="shared" si="72"/>
        <v>0</v>
      </c>
      <c r="AC87" s="36">
        <f t="shared" si="73"/>
        <v>0</v>
      </c>
      <c r="AD87" s="36">
        <f t="shared" si="74"/>
        <v>0</v>
      </c>
      <c r="AE87" s="36">
        <f t="shared" si="75"/>
        <v>0</v>
      </c>
      <c r="AF87" s="36">
        <f t="shared" si="76"/>
        <v>0</v>
      </c>
      <c r="AG87" s="36">
        <f t="shared" si="77"/>
        <v>0</v>
      </c>
      <c r="AH87" s="36">
        <f t="shared" si="78"/>
        <v>0</v>
      </c>
      <c r="AI87" s="35" t="s">
        <v>2894</v>
      </c>
      <c r="AJ87" s="20">
        <f t="shared" si="79"/>
        <v>0</v>
      </c>
      <c r="AK87" s="20">
        <f t="shared" si="80"/>
        <v>0</v>
      </c>
      <c r="AL87" s="20">
        <f t="shared" si="81"/>
        <v>0</v>
      </c>
      <c r="AN87" s="36">
        <v>21</v>
      </c>
      <c r="AO87" s="36">
        <f>I87*0.419560630274384</f>
        <v>0</v>
      </c>
      <c r="AP87" s="36">
        <f>I87*(1-0.419560630274384)</f>
        <v>0</v>
      </c>
      <c r="AQ87" s="37" t="s">
        <v>7</v>
      </c>
      <c r="AV87" s="36">
        <f t="shared" si="82"/>
        <v>0</v>
      </c>
      <c r="AW87" s="36">
        <f t="shared" si="83"/>
        <v>0</v>
      </c>
      <c r="AX87" s="36">
        <f t="shared" si="84"/>
        <v>0</v>
      </c>
      <c r="AY87" s="39" t="s">
        <v>2912</v>
      </c>
      <c r="AZ87" s="39" t="s">
        <v>2949</v>
      </c>
      <c r="BA87" s="35" t="s">
        <v>2967</v>
      </c>
      <c r="BC87" s="36">
        <f t="shared" si="85"/>
        <v>0</v>
      </c>
      <c r="BD87" s="36">
        <f t="shared" si="86"/>
        <v>0</v>
      </c>
      <c r="BE87" s="36">
        <v>0</v>
      </c>
      <c r="BF87" s="36">
        <f>87</f>
        <v>87</v>
      </c>
      <c r="BH87" s="20">
        <f t="shared" si="87"/>
        <v>0</v>
      </c>
      <c r="BI87" s="20">
        <f t="shared" si="88"/>
        <v>0</v>
      </c>
      <c r="BJ87" s="20">
        <f t="shared" si="89"/>
        <v>0</v>
      </c>
      <c r="BK87" s="20" t="s">
        <v>2978</v>
      </c>
      <c r="BL87" s="36">
        <v>41</v>
      </c>
    </row>
    <row r="88" spans="1:64" x14ac:dyDescent="0.2">
      <c r="A88" s="4" t="s">
        <v>70</v>
      </c>
      <c r="B88" s="13" t="s">
        <v>1018</v>
      </c>
      <c r="C88" s="174" t="s">
        <v>1933</v>
      </c>
      <c r="D88" s="175"/>
      <c r="E88" s="175"/>
      <c r="F88" s="175"/>
      <c r="G88" s="13" t="s">
        <v>2852</v>
      </c>
      <c r="H88" s="82">
        <v>8</v>
      </c>
      <c r="I88" s="109">
        <v>0</v>
      </c>
      <c r="J88" s="20">
        <f t="shared" si="68"/>
        <v>0</v>
      </c>
      <c r="K88" s="20">
        <f t="shared" si="69"/>
        <v>0</v>
      </c>
      <c r="L88" s="20">
        <f t="shared" si="70"/>
        <v>0</v>
      </c>
      <c r="M88" s="31" t="s">
        <v>2884</v>
      </c>
      <c r="N88" s="5"/>
      <c r="Z88" s="36">
        <f t="shared" si="71"/>
        <v>0</v>
      </c>
      <c r="AB88" s="36">
        <f t="shared" si="72"/>
        <v>0</v>
      </c>
      <c r="AC88" s="36">
        <f t="shared" si="73"/>
        <v>0</v>
      </c>
      <c r="AD88" s="36">
        <f t="shared" si="74"/>
        <v>0</v>
      </c>
      <c r="AE88" s="36">
        <f t="shared" si="75"/>
        <v>0</v>
      </c>
      <c r="AF88" s="36">
        <f t="shared" si="76"/>
        <v>0</v>
      </c>
      <c r="AG88" s="36">
        <f t="shared" si="77"/>
        <v>0</v>
      </c>
      <c r="AH88" s="36">
        <f t="shared" si="78"/>
        <v>0</v>
      </c>
      <c r="AI88" s="35" t="s">
        <v>2894</v>
      </c>
      <c r="AJ88" s="20">
        <f t="shared" si="79"/>
        <v>0</v>
      </c>
      <c r="AK88" s="20">
        <f t="shared" si="80"/>
        <v>0</v>
      </c>
      <c r="AL88" s="20">
        <f t="shared" si="81"/>
        <v>0</v>
      </c>
      <c r="AN88" s="36">
        <v>21</v>
      </c>
      <c r="AO88" s="36">
        <f>I88*0.122992935131663</f>
        <v>0</v>
      </c>
      <c r="AP88" s="36">
        <f>I88*(1-0.122992935131663)</f>
        <v>0</v>
      </c>
      <c r="AQ88" s="37" t="s">
        <v>7</v>
      </c>
      <c r="AV88" s="36">
        <f t="shared" si="82"/>
        <v>0</v>
      </c>
      <c r="AW88" s="36">
        <f t="shared" si="83"/>
        <v>0</v>
      </c>
      <c r="AX88" s="36">
        <f t="shared" si="84"/>
        <v>0</v>
      </c>
      <c r="AY88" s="39" t="s">
        <v>2912</v>
      </c>
      <c r="AZ88" s="39" t="s">
        <v>2949</v>
      </c>
      <c r="BA88" s="35" t="s">
        <v>2967</v>
      </c>
      <c r="BC88" s="36">
        <f t="shared" si="85"/>
        <v>0</v>
      </c>
      <c r="BD88" s="36">
        <f t="shared" si="86"/>
        <v>0</v>
      </c>
      <c r="BE88" s="36">
        <v>0</v>
      </c>
      <c r="BF88" s="36">
        <f>88</f>
        <v>88</v>
      </c>
      <c r="BH88" s="20">
        <f t="shared" si="87"/>
        <v>0</v>
      </c>
      <c r="BI88" s="20">
        <f t="shared" si="88"/>
        <v>0</v>
      </c>
      <c r="BJ88" s="20">
        <f t="shared" si="89"/>
        <v>0</v>
      </c>
      <c r="BK88" s="20" t="s">
        <v>2978</v>
      </c>
      <c r="BL88" s="36">
        <v>41</v>
      </c>
    </row>
    <row r="89" spans="1:64" x14ac:dyDescent="0.2">
      <c r="A89" s="4" t="s">
        <v>71</v>
      </c>
      <c r="B89" s="13" t="s">
        <v>1019</v>
      </c>
      <c r="C89" s="174" t="s">
        <v>1934</v>
      </c>
      <c r="D89" s="175"/>
      <c r="E89" s="175"/>
      <c r="F89" s="175"/>
      <c r="G89" s="13" t="s">
        <v>2854</v>
      </c>
      <c r="H89" s="82">
        <v>1.44</v>
      </c>
      <c r="I89" s="109">
        <v>0</v>
      </c>
      <c r="J89" s="20">
        <f t="shared" si="68"/>
        <v>0</v>
      </c>
      <c r="K89" s="20">
        <f t="shared" si="69"/>
        <v>0</v>
      </c>
      <c r="L89" s="20">
        <f t="shared" si="70"/>
        <v>0</v>
      </c>
      <c r="M89" s="31" t="s">
        <v>2884</v>
      </c>
      <c r="N89" s="5"/>
      <c r="Z89" s="36">
        <f t="shared" si="71"/>
        <v>0</v>
      </c>
      <c r="AB89" s="36">
        <f t="shared" si="72"/>
        <v>0</v>
      </c>
      <c r="AC89" s="36">
        <f t="shared" si="73"/>
        <v>0</v>
      </c>
      <c r="AD89" s="36">
        <f t="shared" si="74"/>
        <v>0</v>
      </c>
      <c r="AE89" s="36">
        <f t="shared" si="75"/>
        <v>0</v>
      </c>
      <c r="AF89" s="36">
        <f t="shared" si="76"/>
        <v>0</v>
      </c>
      <c r="AG89" s="36">
        <f t="shared" si="77"/>
        <v>0</v>
      </c>
      <c r="AH89" s="36">
        <f t="shared" si="78"/>
        <v>0</v>
      </c>
      <c r="AI89" s="35" t="s">
        <v>2894</v>
      </c>
      <c r="AJ89" s="20">
        <f t="shared" si="79"/>
        <v>0</v>
      </c>
      <c r="AK89" s="20">
        <f t="shared" si="80"/>
        <v>0</v>
      </c>
      <c r="AL89" s="20">
        <f t="shared" si="81"/>
        <v>0</v>
      </c>
      <c r="AN89" s="36">
        <v>21</v>
      </c>
      <c r="AO89" s="36">
        <f>I89*0.12297929140765</f>
        <v>0</v>
      </c>
      <c r="AP89" s="36">
        <f>I89*(1-0.12297929140765)</f>
        <v>0</v>
      </c>
      <c r="AQ89" s="37" t="s">
        <v>7</v>
      </c>
      <c r="AV89" s="36">
        <f t="shared" si="82"/>
        <v>0</v>
      </c>
      <c r="AW89" s="36">
        <f t="shared" si="83"/>
        <v>0</v>
      </c>
      <c r="AX89" s="36">
        <f t="shared" si="84"/>
        <v>0</v>
      </c>
      <c r="AY89" s="39" t="s">
        <v>2912</v>
      </c>
      <c r="AZ89" s="39" t="s">
        <v>2949</v>
      </c>
      <c r="BA89" s="35" t="s">
        <v>2967</v>
      </c>
      <c r="BC89" s="36">
        <f t="shared" si="85"/>
        <v>0</v>
      </c>
      <c r="BD89" s="36">
        <f t="shared" si="86"/>
        <v>0</v>
      </c>
      <c r="BE89" s="36">
        <v>0</v>
      </c>
      <c r="BF89" s="36">
        <f>89</f>
        <v>89</v>
      </c>
      <c r="BH89" s="20">
        <f t="shared" si="87"/>
        <v>0</v>
      </c>
      <c r="BI89" s="20">
        <f t="shared" si="88"/>
        <v>0</v>
      </c>
      <c r="BJ89" s="20">
        <f t="shared" si="89"/>
        <v>0</v>
      </c>
      <c r="BK89" s="20" t="s">
        <v>2978</v>
      </c>
      <c r="BL89" s="36">
        <v>41</v>
      </c>
    </row>
    <row r="90" spans="1:64" x14ac:dyDescent="0.2">
      <c r="A90" s="4" t="s">
        <v>72</v>
      </c>
      <c r="B90" s="13" t="s">
        <v>1020</v>
      </c>
      <c r="C90" s="174" t="s">
        <v>1935</v>
      </c>
      <c r="D90" s="175"/>
      <c r="E90" s="175"/>
      <c r="F90" s="175"/>
      <c r="G90" s="13" t="s">
        <v>2854</v>
      </c>
      <c r="H90" s="82">
        <v>181</v>
      </c>
      <c r="I90" s="109">
        <v>0</v>
      </c>
      <c r="J90" s="20">
        <f t="shared" si="68"/>
        <v>0</v>
      </c>
      <c r="K90" s="20">
        <f t="shared" si="69"/>
        <v>0</v>
      </c>
      <c r="L90" s="20">
        <f t="shared" si="70"/>
        <v>0</v>
      </c>
      <c r="M90" s="31" t="s">
        <v>2884</v>
      </c>
      <c r="N90" s="5"/>
      <c r="Z90" s="36">
        <f t="shared" si="71"/>
        <v>0</v>
      </c>
      <c r="AB90" s="36">
        <f t="shared" si="72"/>
        <v>0</v>
      </c>
      <c r="AC90" s="36">
        <f t="shared" si="73"/>
        <v>0</v>
      </c>
      <c r="AD90" s="36">
        <f t="shared" si="74"/>
        <v>0</v>
      </c>
      <c r="AE90" s="36">
        <f t="shared" si="75"/>
        <v>0</v>
      </c>
      <c r="AF90" s="36">
        <f t="shared" si="76"/>
        <v>0</v>
      </c>
      <c r="AG90" s="36">
        <f t="shared" si="77"/>
        <v>0</v>
      </c>
      <c r="AH90" s="36">
        <f t="shared" si="78"/>
        <v>0</v>
      </c>
      <c r="AI90" s="35" t="s">
        <v>2894</v>
      </c>
      <c r="AJ90" s="20">
        <f t="shared" si="79"/>
        <v>0</v>
      </c>
      <c r="AK90" s="20">
        <f t="shared" si="80"/>
        <v>0</v>
      </c>
      <c r="AL90" s="20">
        <f t="shared" si="81"/>
        <v>0</v>
      </c>
      <c r="AN90" s="36">
        <v>21</v>
      </c>
      <c r="AO90" s="36">
        <f>I90*0.709847397653451</f>
        <v>0</v>
      </c>
      <c r="AP90" s="36">
        <f>I90*(1-0.709847397653451)</f>
        <v>0</v>
      </c>
      <c r="AQ90" s="37" t="s">
        <v>7</v>
      </c>
      <c r="AV90" s="36">
        <f t="shared" si="82"/>
        <v>0</v>
      </c>
      <c r="AW90" s="36">
        <f t="shared" si="83"/>
        <v>0</v>
      </c>
      <c r="AX90" s="36">
        <f t="shared" si="84"/>
        <v>0</v>
      </c>
      <c r="AY90" s="39" t="s">
        <v>2912</v>
      </c>
      <c r="AZ90" s="39" t="s">
        <v>2949</v>
      </c>
      <c r="BA90" s="35" t="s">
        <v>2967</v>
      </c>
      <c r="BC90" s="36">
        <f t="shared" si="85"/>
        <v>0</v>
      </c>
      <c r="BD90" s="36">
        <f t="shared" si="86"/>
        <v>0</v>
      </c>
      <c r="BE90" s="36">
        <v>0</v>
      </c>
      <c r="BF90" s="36">
        <f>90</f>
        <v>90</v>
      </c>
      <c r="BH90" s="20">
        <f t="shared" si="87"/>
        <v>0</v>
      </c>
      <c r="BI90" s="20">
        <f t="shared" si="88"/>
        <v>0</v>
      </c>
      <c r="BJ90" s="20">
        <f t="shared" si="89"/>
        <v>0</v>
      </c>
      <c r="BK90" s="20" t="s">
        <v>2978</v>
      </c>
      <c r="BL90" s="36">
        <v>41</v>
      </c>
    </row>
    <row r="91" spans="1:64" x14ac:dyDescent="0.2">
      <c r="A91" s="4" t="s">
        <v>73</v>
      </c>
      <c r="B91" s="13" t="s">
        <v>1021</v>
      </c>
      <c r="C91" s="174" t="s">
        <v>1936</v>
      </c>
      <c r="D91" s="175"/>
      <c r="E91" s="175"/>
      <c r="F91" s="175"/>
      <c r="G91" s="13" t="s">
        <v>2854</v>
      </c>
      <c r="H91" s="82">
        <v>251.2</v>
      </c>
      <c r="I91" s="109">
        <v>0</v>
      </c>
      <c r="J91" s="20">
        <f t="shared" si="68"/>
        <v>0</v>
      </c>
      <c r="K91" s="20">
        <f t="shared" si="69"/>
        <v>0</v>
      </c>
      <c r="L91" s="20">
        <f t="shared" si="70"/>
        <v>0</v>
      </c>
      <c r="M91" s="31" t="s">
        <v>2884</v>
      </c>
      <c r="N91" s="5"/>
      <c r="Z91" s="36">
        <f t="shared" si="71"/>
        <v>0</v>
      </c>
      <c r="AB91" s="36">
        <f t="shared" si="72"/>
        <v>0</v>
      </c>
      <c r="AC91" s="36">
        <f t="shared" si="73"/>
        <v>0</v>
      </c>
      <c r="AD91" s="36">
        <f t="shared" si="74"/>
        <v>0</v>
      </c>
      <c r="AE91" s="36">
        <f t="shared" si="75"/>
        <v>0</v>
      </c>
      <c r="AF91" s="36">
        <f t="shared" si="76"/>
        <v>0</v>
      </c>
      <c r="AG91" s="36">
        <f t="shared" si="77"/>
        <v>0</v>
      </c>
      <c r="AH91" s="36">
        <f t="shared" si="78"/>
        <v>0</v>
      </c>
      <c r="AI91" s="35" t="s">
        <v>2894</v>
      </c>
      <c r="AJ91" s="20">
        <f t="shared" si="79"/>
        <v>0</v>
      </c>
      <c r="AK91" s="20">
        <f t="shared" si="80"/>
        <v>0</v>
      </c>
      <c r="AL91" s="20">
        <f t="shared" si="81"/>
        <v>0</v>
      </c>
      <c r="AN91" s="36">
        <v>21</v>
      </c>
      <c r="AO91" s="36">
        <f>I91*0.760138762096038</f>
        <v>0</v>
      </c>
      <c r="AP91" s="36">
        <f>I91*(1-0.760138762096038)</f>
        <v>0</v>
      </c>
      <c r="AQ91" s="37" t="s">
        <v>7</v>
      </c>
      <c r="AV91" s="36">
        <f t="shared" si="82"/>
        <v>0</v>
      </c>
      <c r="AW91" s="36">
        <f t="shared" si="83"/>
        <v>0</v>
      </c>
      <c r="AX91" s="36">
        <f t="shared" si="84"/>
        <v>0</v>
      </c>
      <c r="AY91" s="39" t="s">
        <v>2912</v>
      </c>
      <c r="AZ91" s="39" t="s">
        <v>2949</v>
      </c>
      <c r="BA91" s="35" t="s">
        <v>2967</v>
      </c>
      <c r="BC91" s="36">
        <f t="shared" si="85"/>
        <v>0</v>
      </c>
      <c r="BD91" s="36">
        <f t="shared" si="86"/>
        <v>0</v>
      </c>
      <c r="BE91" s="36">
        <v>0</v>
      </c>
      <c r="BF91" s="36">
        <f>91</f>
        <v>91</v>
      </c>
      <c r="BH91" s="20">
        <f t="shared" si="87"/>
        <v>0</v>
      </c>
      <c r="BI91" s="20">
        <f t="shared" si="88"/>
        <v>0</v>
      </c>
      <c r="BJ91" s="20">
        <f t="shared" si="89"/>
        <v>0</v>
      </c>
      <c r="BK91" s="20" t="s">
        <v>2978</v>
      </c>
      <c r="BL91" s="36">
        <v>41</v>
      </c>
    </row>
    <row r="92" spans="1:64" x14ac:dyDescent="0.2">
      <c r="A92" s="4" t="s">
        <v>74</v>
      </c>
      <c r="B92" s="13" t="s">
        <v>1022</v>
      </c>
      <c r="C92" s="174" t="s">
        <v>1937</v>
      </c>
      <c r="D92" s="175"/>
      <c r="E92" s="175"/>
      <c r="F92" s="175"/>
      <c r="G92" s="13" t="s">
        <v>2853</v>
      </c>
      <c r="H92" s="82">
        <v>10.333</v>
      </c>
      <c r="I92" s="109">
        <v>0</v>
      </c>
      <c r="J92" s="20">
        <f t="shared" si="68"/>
        <v>0</v>
      </c>
      <c r="K92" s="20">
        <f t="shared" si="69"/>
        <v>0</v>
      </c>
      <c r="L92" s="20">
        <f t="shared" si="70"/>
        <v>0</v>
      </c>
      <c r="M92" s="31" t="s">
        <v>2884</v>
      </c>
      <c r="N92" s="5"/>
      <c r="Z92" s="36">
        <f t="shared" si="71"/>
        <v>0</v>
      </c>
      <c r="AB92" s="36">
        <f t="shared" si="72"/>
        <v>0</v>
      </c>
      <c r="AC92" s="36">
        <f t="shared" si="73"/>
        <v>0</v>
      </c>
      <c r="AD92" s="36">
        <f t="shared" si="74"/>
        <v>0</v>
      </c>
      <c r="AE92" s="36">
        <f t="shared" si="75"/>
        <v>0</v>
      </c>
      <c r="AF92" s="36">
        <f t="shared" si="76"/>
        <v>0</v>
      </c>
      <c r="AG92" s="36">
        <f t="shared" si="77"/>
        <v>0</v>
      </c>
      <c r="AH92" s="36">
        <f t="shared" si="78"/>
        <v>0</v>
      </c>
      <c r="AI92" s="35" t="s">
        <v>2894</v>
      </c>
      <c r="AJ92" s="20">
        <f t="shared" si="79"/>
        <v>0</v>
      </c>
      <c r="AK92" s="20">
        <f t="shared" si="80"/>
        <v>0</v>
      </c>
      <c r="AL92" s="20">
        <f t="shared" si="81"/>
        <v>0</v>
      </c>
      <c r="AN92" s="36">
        <v>21</v>
      </c>
      <c r="AO92" s="36">
        <f>I92*0.806112766984907</f>
        <v>0</v>
      </c>
      <c r="AP92" s="36">
        <f>I92*(1-0.806112766984907)</f>
        <v>0</v>
      </c>
      <c r="AQ92" s="37" t="s">
        <v>7</v>
      </c>
      <c r="AV92" s="36">
        <f t="shared" si="82"/>
        <v>0</v>
      </c>
      <c r="AW92" s="36">
        <f t="shared" si="83"/>
        <v>0</v>
      </c>
      <c r="AX92" s="36">
        <f t="shared" si="84"/>
        <v>0</v>
      </c>
      <c r="AY92" s="39" t="s">
        <v>2912</v>
      </c>
      <c r="AZ92" s="39" t="s">
        <v>2949</v>
      </c>
      <c r="BA92" s="35" t="s">
        <v>2967</v>
      </c>
      <c r="BC92" s="36">
        <f t="shared" si="85"/>
        <v>0</v>
      </c>
      <c r="BD92" s="36">
        <f t="shared" si="86"/>
        <v>0</v>
      </c>
      <c r="BE92" s="36">
        <v>0</v>
      </c>
      <c r="BF92" s="36">
        <f>92</f>
        <v>92</v>
      </c>
      <c r="BH92" s="20">
        <f t="shared" si="87"/>
        <v>0</v>
      </c>
      <c r="BI92" s="20">
        <f t="shared" si="88"/>
        <v>0</v>
      </c>
      <c r="BJ92" s="20">
        <f t="shared" si="89"/>
        <v>0</v>
      </c>
      <c r="BK92" s="20" t="s">
        <v>2978</v>
      </c>
      <c r="BL92" s="36">
        <v>41</v>
      </c>
    </row>
    <row r="93" spans="1:64" x14ac:dyDescent="0.2">
      <c r="A93" s="4" t="s">
        <v>75</v>
      </c>
      <c r="B93" s="13" t="s">
        <v>1022</v>
      </c>
      <c r="C93" s="174" t="s">
        <v>1938</v>
      </c>
      <c r="D93" s="175"/>
      <c r="E93" s="175"/>
      <c r="F93" s="175"/>
      <c r="G93" s="13" t="s">
        <v>2853</v>
      </c>
      <c r="H93" s="82">
        <v>8.9629999999999992</v>
      </c>
      <c r="I93" s="109">
        <v>0</v>
      </c>
      <c r="J93" s="20">
        <f t="shared" si="68"/>
        <v>0</v>
      </c>
      <c r="K93" s="20">
        <f t="shared" si="69"/>
        <v>0</v>
      </c>
      <c r="L93" s="20">
        <f t="shared" si="70"/>
        <v>0</v>
      </c>
      <c r="M93" s="31" t="s">
        <v>2884</v>
      </c>
      <c r="N93" s="5"/>
      <c r="Z93" s="36">
        <f t="shared" si="71"/>
        <v>0</v>
      </c>
      <c r="AB93" s="36">
        <f t="shared" si="72"/>
        <v>0</v>
      </c>
      <c r="AC93" s="36">
        <f t="shared" si="73"/>
        <v>0</v>
      </c>
      <c r="AD93" s="36">
        <f t="shared" si="74"/>
        <v>0</v>
      </c>
      <c r="AE93" s="36">
        <f t="shared" si="75"/>
        <v>0</v>
      </c>
      <c r="AF93" s="36">
        <f t="shared" si="76"/>
        <v>0</v>
      </c>
      <c r="AG93" s="36">
        <f t="shared" si="77"/>
        <v>0</v>
      </c>
      <c r="AH93" s="36">
        <f t="shared" si="78"/>
        <v>0</v>
      </c>
      <c r="AI93" s="35" t="s">
        <v>2894</v>
      </c>
      <c r="AJ93" s="20">
        <f t="shared" si="79"/>
        <v>0</v>
      </c>
      <c r="AK93" s="20">
        <f t="shared" si="80"/>
        <v>0</v>
      </c>
      <c r="AL93" s="20">
        <f t="shared" si="81"/>
        <v>0</v>
      </c>
      <c r="AN93" s="36">
        <v>21</v>
      </c>
      <c r="AO93" s="36">
        <f>I93*0.80611274972818</f>
        <v>0</v>
      </c>
      <c r="AP93" s="36">
        <f>I93*(1-0.80611274972818)</f>
        <v>0</v>
      </c>
      <c r="AQ93" s="37" t="s">
        <v>7</v>
      </c>
      <c r="AV93" s="36">
        <f t="shared" si="82"/>
        <v>0</v>
      </c>
      <c r="AW93" s="36">
        <f t="shared" si="83"/>
        <v>0</v>
      </c>
      <c r="AX93" s="36">
        <f t="shared" si="84"/>
        <v>0</v>
      </c>
      <c r="AY93" s="39" t="s">
        <v>2912</v>
      </c>
      <c r="AZ93" s="39" t="s">
        <v>2949</v>
      </c>
      <c r="BA93" s="35" t="s">
        <v>2967</v>
      </c>
      <c r="BC93" s="36">
        <f t="shared" si="85"/>
        <v>0</v>
      </c>
      <c r="BD93" s="36">
        <f t="shared" si="86"/>
        <v>0</v>
      </c>
      <c r="BE93" s="36">
        <v>0</v>
      </c>
      <c r="BF93" s="36">
        <f>93</f>
        <v>93</v>
      </c>
      <c r="BH93" s="20">
        <f t="shared" si="87"/>
        <v>0</v>
      </c>
      <c r="BI93" s="20">
        <f t="shared" si="88"/>
        <v>0</v>
      </c>
      <c r="BJ93" s="20">
        <f t="shared" si="89"/>
        <v>0</v>
      </c>
      <c r="BK93" s="20" t="s">
        <v>2978</v>
      </c>
      <c r="BL93" s="36">
        <v>41</v>
      </c>
    </row>
    <row r="94" spans="1:64" x14ac:dyDescent="0.2">
      <c r="A94" s="4" t="s">
        <v>76</v>
      </c>
      <c r="B94" s="13" t="s">
        <v>1022</v>
      </c>
      <c r="C94" s="174" t="s">
        <v>1939</v>
      </c>
      <c r="D94" s="175"/>
      <c r="E94" s="175"/>
      <c r="F94" s="175"/>
      <c r="G94" s="13" t="s">
        <v>2853</v>
      </c>
      <c r="H94" s="82">
        <v>2.3809999999999998</v>
      </c>
      <c r="I94" s="109">
        <v>0</v>
      </c>
      <c r="J94" s="20">
        <f t="shared" si="68"/>
        <v>0</v>
      </c>
      <c r="K94" s="20">
        <f t="shared" si="69"/>
        <v>0</v>
      </c>
      <c r="L94" s="20">
        <f t="shared" si="70"/>
        <v>0</v>
      </c>
      <c r="M94" s="31" t="s">
        <v>2884</v>
      </c>
      <c r="N94" s="5"/>
      <c r="Z94" s="36">
        <f t="shared" si="71"/>
        <v>0</v>
      </c>
      <c r="AB94" s="36">
        <f t="shared" si="72"/>
        <v>0</v>
      </c>
      <c r="AC94" s="36">
        <f t="shared" si="73"/>
        <v>0</v>
      </c>
      <c r="AD94" s="36">
        <f t="shared" si="74"/>
        <v>0</v>
      </c>
      <c r="AE94" s="36">
        <f t="shared" si="75"/>
        <v>0</v>
      </c>
      <c r="AF94" s="36">
        <f t="shared" si="76"/>
        <v>0</v>
      </c>
      <c r="AG94" s="36">
        <f t="shared" si="77"/>
        <v>0</v>
      </c>
      <c r="AH94" s="36">
        <f t="shared" si="78"/>
        <v>0</v>
      </c>
      <c r="AI94" s="35" t="s">
        <v>2894</v>
      </c>
      <c r="AJ94" s="20">
        <f t="shared" si="79"/>
        <v>0</v>
      </c>
      <c r="AK94" s="20">
        <f t="shared" si="80"/>
        <v>0</v>
      </c>
      <c r="AL94" s="20">
        <f t="shared" si="81"/>
        <v>0</v>
      </c>
      <c r="AN94" s="36">
        <v>21</v>
      </c>
      <c r="AO94" s="36">
        <f>I94*0.806112389927015</f>
        <v>0</v>
      </c>
      <c r="AP94" s="36">
        <f>I94*(1-0.806112389927015)</f>
        <v>0</v>
      </c>
      <c r="AQ94" s="37" t="s">
        <v>7</v>
      </c>
      <c r="AV94" s="36">
        <f t="shared" si="82"/>
        <v>0</v>
      </c>
      <c r="AW94" s="36">
        <f t="shared" si="83"/>
        <v>0</v>
      </c>
      <c r="AX94" s="36">
        <f t="shared" si="84"/>
        <v>0</v>
      </c>
      <c r="AY94" s="39" t="s">
        <v>2912</v>
      </c>
      <c r="AZ94" s="39" t="s">
        <v>2949</v>
      </c>
      <c r="BA94" s="35" t="s">
        <v>2967</v>
      </c>
      <c r="BC94" s="36">
        <f t="shared" si="85"/>
        <v>0</v>
      </c>
      <c r="BD94" s="36">
        <f t="shared" si="86"/>
        <v>0</v>
      </c>
      <c r="BE94" s="36">
        <v>0</v>
      </c>
      <c r="BF94" s="36">
        <f>94</f>
        <v>94</v>
      </c>
      <c r="BH94" s="20">
        <f t="shared" si="87"/>
        <v>0</v>
      </c>
      <c r="BI94" s="20">
        <f t="shared" si="88"/>
        <v>0</v>
      </c>
      <c r="BJ94" s="20">
        <f t="shared" si="89"/>
        <v>0</v>
      </c>
      <c r="BK94" s="20" t="s">
        <v>2978</v>
      </c>
      <c r="BL94" s="36">
        <v>41</v>
      </c>
    </row>
    <row r="95" spans="1:64" x14ac:dyDescent="0.2">
      <c r="A95" s="4" t="s">
        <v>77</v>
      </c>
      <c r="B95" s="13" t="s">
        <v>1023</v>
      </c>
      <c r="C95" s="174" t="s">
        <v>1940</v>
      </c>
      <c r="D95" s="175"/>
      <c r="E95" s="175"/>
      <c r="F95" s="175"/>
      <c r="G95" s="13" t="s">
        <v>2854</v>
      </c>
      <c r="H95" s="82">
        <v>113.092</v>
      </c>
      <c r="I95" s="109">
        <v>0</v>
      </c>
      <c r="J95" s="20">
        <f t="shared" si="68"/>
        <v>0</v>
      </c>
      <c r="K95" s="20">
        <f t="shared" si="69"/>
        <v>0</v>
      </c>
      <c r="L95" s="20">
        <f t="shared" si="70"/>
        <v>0</v>
      </c>
      <c r="M95" s="31" t="s">
        <v>2884</v>
      </c>
      <c r="N95" s="5"/>
      <c r="Z95" s="36">
        <f t="shared" si="71"/>
        <v>0</v>
      </c>
      <c r="AB95" s="36">
        <f t="shared" si="72"/>
        <v>0</v>
      </c>
      <c r="AC95" s="36">
        <f t="shared" si="73"/>
        <v>0</v>
      </c>
      <c r="AD95" s="36">
        <f t="shared" si="74"/>
        <v>0</v>
      </c>
      <c r="AE95" s="36">
        <f t="shared" si="75"/>
        <v>0</v>
      </c>
      <c r="AF95" s="36">
        <f t="shared" si="76"/>
        <v>0</v>
      </c>
      <c r="AG95" s="36">
        <f t="shared" si="77"/>
        <v>0</v>
      </c>
      <c r="AH95" s="36">
        <f t="shared" si="78"/>
        <v>0</v>
      </c>
      <c r="AI95" s="35" t="s">
        <v>2894</v>
      </c>
      <c r="AJ95" s="20">
        <f t="shared" si="79"/>
        <v>0</v>
      </c>
      <c r="AK95" s="20">
        <f t="shared" si="80"/>
        <v>0</v>
      </c>
      <c r="AL95" s="20">
        <f t="shared" si="81"/>
        <v>0</v>
      </c>
      <c r="AN95" s="36">
        <v>21</v>
      </c>
      <c r="AO95" s="36">
        <f>I95*0.23625</f>
        <v>0</v>
      </c>
      <c r="AP95" s="36">
        <f>I95*(1-0.23625)</f>
        <v>0</v>
      </c>
      <c r="AQ95" s="37" t="s">
        <v>7</v>
      </c>
      <c r="AV95" s="36">
        <f t="shared" si="82"/>
        <v>0</v>
      </c>
      <c r="AW95" s="36">
        <f t="shared" si="83"/>
        <v>0</v>
      </c>
      <c r="AX95" s="36">
        <f t="shared" si="84"/>
        <v>0</v>
      </c>
      <c r="AY95" s="39" t="s">
        <v>2912</v>
      </c>
      <c r="AZ95" s="39" t="s">
        <v>2949</v>
      </c>
      <c r="BA95" s="35" t="s">
        <v>2967</v>
      </c>
      <c r="BC95" s="36">
        <f t="shared" si="85"/>
        <v>0</v>
      </c>
      <c r="BD95" s="36">
        <f t="shared" si="86"/>
        <v>0</v>
      </c>
      <c r="BE95" s="36">
        <v>0</v>
      </c>
      <c r="BF95" s="36">
        <f>95</f>
        <v>95</v>
      </c>
      <c r="BH95" s="20">
        <f t="shared" si="87"/>
        <v>0</v>
      </c>
      <c r="BI95" s="20">
        <f t="shared" si="88"/>
        <v>0</v>
      </c>
      <c r="BJ95" s="20">
        <f t="shared" si="89"/>
        <v>0</v>
      </c>
      <c r="BK95" s="20" t="s">
        <v>2978</v>
      </c>
      <c r="BL95" s="36">
        <v>41</v>
      </c>
    </row>
    <row r="96" spans="1:64" x14ac:dyDescent="0.2">
      <c r="A96" s="4" t="s">
        <v>78</v>
      </c>
      <c r="B96" s="13" t="s">
        <v>1023</v>
      </c>
      <c r="C96" s="174" t="s">
        <v>1941</v>
      </c>
      <c r="D96" s="175"/>
      <c r="E96" s="175"/>
      <c r="F96" s="175"/>
      <c r="G96" s="13" t="s">
        <v>2854</v>
      </c>
      <c r="H96" s="82">
        <v>53.32</v>
      </c>
      <c r="I96" s="109">
        <v>0</v>
      </c>
      <c r="J96" s="20">
        <f t="shared" si="68"/>
        <v>0</v>
      </c>
      <c r="K96" s="20">
        <f t="shared" si="69"/>
        <v>0</v>
      </c>
      <c r="L96" s="20">
        <f t="shared" si="70"/>
        <v>0</v>
      </c>
      <c r="M96" s="31" t="s">
        <v>2884</v>
      </c>
      <c r="N96" s="5"/>
      <c r="Z96" s="36">
        <f t="shared" si="71"/>
        <v>0</v>
      </c>
      <c r="AB96" s="36">
        <f t="shared" si="72"/>
        <v>0</v>
      </c>
      <c r="AC96" s="36">
        <f t="shared" si="73"/>
        <v>0</v>
      </c>
      <c r="AD96" s="36">
        <f t="shared" si="74"/>
        <v>0</v>
      </c>
      <c r="AE96" s="36">
        <f t="shared" si="75"/>
        <v>0</v>
      </c>
      <c r="AF96" s="36">
        <f t="shared" si="76"/>
        <v>0</v>
      </c>
      <c r="AG96" s="36">
        <f t="shared" si="77"/>
        <v>0</v>
      </c>
      <c r="AH96" s="36">
        <f t="shared" si="78"/>
        <v>0</v>
      </c>
      <c r="AI96" s="35" t="s">
        <v>2894</v>
      </c>
      <c r="AJ96" s="20">
        <f t="shared" si="79"/>
        <v>0</v>
      </c>
      <c r="AK96" s="20">
        <f t="shared" si="80"/>
        <v>0</v>
      </c>
      <c r="AL96" s="20">
        <f t="shared" si="81"/>
        <v>0</v>
      </c>
      <c r="AN96" s="36">
        <v>21</v>
      </c>
      <c r="AO96" s="36">
        <f>I96*0.23625</f>
        <v>0</v>
      </c>
      <c r="AP96" s="36">
        <f>I96*(1-0.23625)</f>
        <v>0</v>
      </c>
      <c r="AQ96" s="37" t="s">
        <v>7</v>
      </c>
      <c r="AV96" s="36">
        <f t="shared" si="82"/>
        <v>0</v>
      </c>
      <c r="AW96" s="36">
        <f t="shared" si="83"/>
        <v>0</v>
      </c>
      <c r="AX96" s="36">
        <f t="shared" si="84"/>
        <v>0</v>
      </c>
      <c r="AY96" s="39" t="s">
        <v>2912</v>
      </c>
      <c r="AZ96" s="39" t="s">
        <v>2949</v>
      </c>
      <c r="BA96" s="35" t="s">
        <v>2967</v>
      </c>
      <c r="BC96" s="36">
        <f t="shared" si="85"/>
        <v>0</v>
      </c>
      <c r="BD96" s="36">
        <f t="shared" si="86"/>
        <v>0</v>
      </c>
      <c r="BE96" s="36">
        <v>0</v>
      </c>
      <c r="BF96" s="36">
        <f>96</f>
        <v>96</v>
      </c>
      <c r="BH96" s="20">
        <f t="shared" si="87"/>
        <v>0</v>
      </c>
      <c r="BI96" s="20">
        <f t="shared" si="88"/>
        <v>0</v>
      </c>
      <c r="BJ96" s="20">
        <f t="shared" si="89"/>
        <v>0</v>
      </c>
      <c r="BK96" s="20" t="s">
        <v>2978</v>
      </c>
      <c r="BL96" s="36">
        <v>41</v>
      </c>
    </row>
    <row r="97" spans="1:64" x14ac:dyDescent="0.2">
      <c r="A97" s="4" t="s">
        <v>79</v>
      </c>
      <c r="B97" s="13" t="s">
        <v>1023</v>
      </c>
      <c r="C97" s="174" t="s">
        <v>1942</v>
      </c>
      <c r="D97" s="175"/>
      <c r="E97" s="175"/>
      <c r="F97" s="175"/>
      <c r="G97" s="13" t="s">
        <v>2854</v>
      </c>
      <c r="H97" s="82">
        <v>43.218000000000004</v>
      </c>
      <c r="I97" s="109">
        <v>0</v>
      </c>
      <c r="J97" s="20">
        <f t="shared" si="68"/>
        <v>0</v>
      </c>
      <c r="K97" s="20">
        <f t="shared" si="69"/>
        <v>0</v>
      </c>
      <c r="L97" s="20">
        <f t="shared" si="70"/>
        <v>0</v>
      </c>
      <c r="M97" s="31" t="s">
        <v>2884</v>
      </c>
      <c r="N97" s="5"/>
      <c r="Z97" s="36">
        <f t="shared" si="71"/>
        <v>0</v>
      </c>
      <c r="AB97" s="36">
        <f t="shared" si="72"/>
        <v>0</v>
      </c>
      <c r="AC97" s="36">
        <f t="shared" si="73"/>
        <v>0</v>
      </c>
      <c r="AD97" s="36">
        <f t="shared" si="74"/>
        <v>0</v>
      </c>
      <c r="AE97" s="36">
        <f t="shared" si="75"/>
        <v>0</v>
      </c>
      <c r="AF97" s="36">
        <f t="shared" si="76"/>
        <v>0</v>
      </c>
      <c r="AG97" s="36">
        <f t="shared" si="77"/>
        <v>0</v>
      </c>
      <c r="AH97" s="36">
        <f t="shared" si="78"/>
        <v>0</v>
      </c>
      <c r="AI97" s="35" t="s">
        <v>2894</v>
      </c>
      <c r="AJ97" s="20">
        <f t="shared" si="79"/>
        <v>0</v>
      </c>
      <c r="AK97" s="20">
        <f t="shared" si="80"/>
        <v>0</v>
      </c>
      <c r="AL97" s="20">
        <f t="shared" si="81"/>
        <v>0</v>
      </c>
      <c r="AN97" s="36">
        <v>21</v>
      </c>
      <c r="AO97" s="36">
        <f>I97*0.23625</f>
        <v>0</v>
      </c>
      <c r="AP97" s="36">
        <f>I97*(1-0.23625)</f>
        <v>0</v>
      </c>
      <c r="AQ97" s="37" t="s">
        <v>7</v>
      </c>
      <c r="AV97" s="36">
        <f t="shared" si="82"/>
        <v>0</v>
      </c>
      <c r="AW97" s="36">
        <f t="shared" si="83"/>
        <v>0</v>
      </c>
      <c r="AX97" s="36">
        <f t="shared" si="84"/>
        <v>0</v>
      </c>
      <c r="AY97" s="39" t="s">
        <v>2912</v>
      </c>
      <c r="AZ97" s="39" t="s">
        <v>2949</v>
      </c>
      <c r="BA97" s="35" t="s">
        <v>2967</v>
      </c>
      <c r="BC97" s="36">
        <f t="shared" si="85"/>
        <v>0</v>
      </c>
      <c r="BD97" s="36">
        <f t="shared" si="86"/>
        <v>0</v>
      </c>
      <c r="BE97" s="36">
        <v>0</v>
      </c>
      <c r="BF97" s="36">
        <f>97</f>
        <v>97</v>
      </c>
      <c r="BH97" s="20">
        <f t="shared" si="87"/>
        <v>0</v>
      </c>
      <c r="BI97" s="20">
        <f t="shared" si="88"/>
        <v>0</v>
      </c>
      <c r="BJ97" s="20">
        <f t="shared" si="89"/>
        <v>0</v>
      </c>
      <c r="BK97" s="20" t="s">
        <v>2978</v>
      </c>
      <c r="BL97" s="36">
        <v>41</v>
      </c>
    </row>
    <row r="98" spans="1:64" x14ac:dyDescent="0.2">
      <c r="A98" s="4" t="s">
        <v>80</v>
      </c>
      <c r="B98" s="13" t="s">
        <v>1024</v>
      </c>
      <c r="C98" s="174" t="s">
        <v>1943</v>
      </c>
      <c r="D98" s="175"/>
      <c r="E98" s="175"/>
      <c r="F98" s="175"/>
      <c r="G98" s="13" t="s">
        <v>2854</v>
      </c>
      <c r="H98" s="82">
        <v>113.092</v>
      </c>
      <c r="I98" s="109">
        <v>0</v>
      </c>
      <c r="J98" s="20">
        <f t="shared" si="68"/>
        <v>0</v>
      </c>
      <c r="K98" s="20">
        <f t="shared" si="69"/>
        <v>0</v>
      </c>
      <c r="L98" s="20">
        <f t="shared" si="70"/>
        <v>0</v>
      </c>
      <c r="M98" s="31" t="s">
        <v>2884</v>
      </c>
      <c r="N98" s="5"/>
      <c r="Z98" s="36">
        <f t="shared" si="71"/>
        <v>0</v>
      </c>
      <c r="AB98" s="36">
        <f t="shared" si="72"/>
        <v>0</v>
      </c>
      <c r="AC98" s="36">
        <f t="shared" si="73"/>
        <v>0</v>
      </c>
      <c r="AD98" s="36">
        <f t="shared" si="74"/>
        <v>0</v>
      </c>
      <c r="AE98" s="36">
        <f t="shared" si="75"/>
        <v>0</v>
      </c>
      <c r="AF98" s="36">
        <f t="shared" si="76"/>
        <v>0</v>
      </c>
      <c r="AG98" s="36">
        <f t="shared" si="77"/>
        <v>0</v>
      </c>
      <c r="AH98" s="36">
        <f t="shared" si="78"/>
        <v>0</v>
      </c>
      <c r="AI98" s="35" t="s">
        <v>2894</v>
      </c>
      <c r="AJ98" s="20">
        <f t="shared" si="79"/>
        <v>0</v>
      </c>
      <c r="AK98" s="20">
        <f t="shared" si="80"/>
        <v>0</v>
      </c>
      <c r="AL98" s="20">
        <f t="shared" si="81"/>
        <v>0</v>
      </c>
      <c r="AN98" s="36">
        <v>21</v>
      </c>
      <c r="AO98" s="36">
        <f>I98*0</f>
        <v>0</v>
      </c>
      <c r="AP98" s="36">
        <f>I98*(1-0)</f>
        <v>0</v>
      </c>
      <c r="AQ98" s="37" t="s">
        <v>7</v>
      </c>
      <c r="AV98" s="36">
        <f t="shared" si="82"/>
        <v>0</v>
      </c>
      <c r="AW98" s="36">
        <f t="shared" si="83"/>
        <v>0</v>
      </c>
      <c r="AX98" s="36">
        <f t="shared" si="84"/>
        <v>0</v>
      </c>
      <c r="AY98" s="39" t="s">
        <v>2912</v>
      </c>
      <c r="AZ98" s="39" t="s">
        <v>2949</v>
      </c>
      <c r="BA98" s="35" t="s">
        <v>2967</v>
      </c>
      <c r="BC98" s="36">
        <f t="shared" si="85"/>
        <v>0</v>
      </c>
      <c r="BD98" s="36">
        <f t="shared" si="86"/>
        <v>0</v>
      </c>
      <c r="BE98" s="36">
        <v>0</v>
      </c>
      <c r="BF98" s="36">
        <f>98</f>
        <v>98</v>
      </c>
      <c r="BH98" s="20">
        <f t="shared" si="87"/>
        <v>0</v>
      </c>
      <c r="BI98" s="20">
        <f t="shared" si="88"/>
        <v>0</v>
      </c>
      <c r="BJ98" s="20">
        <f t="shared" si="89"/>
        <v>0</v>
      </c>
      <c r="BK98" s="20" t="s">
        <v>2978</v>
      </c>
      <c r="BL98" s="36">
        <v>41</v>
      </c>
    </row>
    <row r="99" spans="1:64" x14ac:dyDescent="0.2">
      <c r="A99" s="4" t="s">
        <v>81</v>
      </c>
      <c r="B99" s="13" t="s">
        <v>1024</v>
      </c>
      <c r="C99" s="174" t="s">
        <v>1944</v>
      </c>
      <c r="D99" s="175"/>
      <c r="E99" s="175"/>
      <c r="F99" s="175"/>
      <c r="G99" s="13" t="s">
        <v>2854</v>
      </c>
      <c r="H99" s="82">
        <v>53.32</v>
      </c>
      <c r="I99" s="109">
        <v>0</v>
      </c>
      <c r="J99" s="20">
        <f t="shared" si="68"/>
        <v>0</v>
      </c>
      <c r="K99" s="20">
        <f t="shared" si="69"/>
        <v>0</v>
      </c>
      <c r="L99" s="20">
        <f t="shared" si="70"/>
        <v>0</v>
      </c>
      <c r="M99" s="31" t="s">
        <v>2884</v>
      </c>
      <c r="N99" s="5"/>
      <c r="Z99" s="36">
        <f t="shared" si="71"/>
        <v>0</v>
      </c>
      <c r="AB99" s="36">
        <f t="shared" si="72"/>
        <v>0</v>
      </c>
      <c r="AC99" s="36">
        <f t="shared" si="73"/>
        <v>0</v>
      </c>
      <c r="AD99" s="36">
        <f t="shared" si="74"/>
        <v>0</v>
      </c>
      <c r="AE99" s="36">
        <f t="shared" si="75"/>
        <v>0</v>
      </c>
      <c r="AF99" s="36">
        <f t="shared" si="76"/>
        <v>0</v>
      </c>
      <c r="AG99" s="36">
        <f t="shared" si="77"/>
        <v>0</v>
      </c>
      <c r="AH99" s="36">
        <f t="shared" si="78"/>
        <v>0</v>
      </c>
      <c r="AI99" s="35" t="s">
        <v>2894</v>
      </c>
      <c r="AJ99" s="20">
        <f t="shared" si="79"/>
        <v>0</v>
      </c>
      <c r="AK99" s="20">
        <f t="shared" si="80"/>
        <v>0</v>
      </c>
      <c r="AL99" s="20">
        <f t="shared" si="81"/>
        <v>0</v>
      </c>
      <c r="AN99" s="36">
        <v>21</v>
      </c>
      <c r="AO99" s="36">
        <f>I99*0</f>
        <v>0</v>
      </c>
      <c r="AP99" s="36">
        <f>I99*(1-0)</f>
        <v>0</v>
      </c>
      <c r="AQ99" s="37" t="s">
        <v>7</v>
      </c>
      <c r="AV99" s="36">
        <f t="shared" si="82"/>
        <v>0</v>
      </c>
      <c r="AW99" s="36">
        <f t="shared" si="83"/>
        <v>0</v>
      </c>
      <c r="AX99" s="36">
        <f t="shared" si="84"/>
        <v>0</v>
      </c>
      <c r="AY99" s="39" t="s">
        <v>2912</v>
      </c>
      <c r="AZ99" s="39" t="s">
        <v>2949</v>
      </c>
      <c r="BA99" s="35" t="s">
        <v>2967</v>
      </c>
      <c r="BC99" s="36">
        <f t="shared" si="85"/>
        <v>0</v>
      </c>
      <c r="BD99" s="36">
        <f t="shared" si="86"/>
        <v>0</v>
      </c>
      <c r="BE99" s="36">
        <v>0</v>
      </c>
      <c r="BF99" s="36">
        <f>99</f>
        <v>99</v>
      </c>
      <c r="BH99" s="20">
        <f t="shared" si="87"/>
        <v>0</v>
      </c>
      <c r="BI99" s="20">
        <f t="shared" si="88"/>
        <v>0</v>
      </c>
      <c r="BJ99" s="20">
        <f t="shared" si="89"/>
        <v>0</v>
      </c>
      <c r="BK99" s="20" t="s">
        <v>2978</v>
      </c>
      <c r="BL99" s="36">
        <v>41</v>
      </c>
    </row>
    <row r="100" spans="1:64" x14ac:dyDescent="0.2">
      <c r="A100" s="4" t="s">
        <v>82</v>
      </c>
      <c r="B100" s="13" t="s">
        <v>1024</v>
      </c>
      <c r="C100" s="174" t="s">
        <v>1945</v>
      </c>
      <c r="D100" s="175"/>
      <c r="E100" s="175"/>
      <c r="F100" s="175"/>
      <c r="G100" s="13" t="s">
        <v>2854</v>
      </c>
      <c r="H100" s="82">
        <v>43.218000000000004</v>
      </c>
      <c r="I100" s="109">
        <v>0</v>
      </c>
      <c r="J100" s="20">
        <f t="shared" si="68"/>
        <v>0</v>
      </c>
      <c r="K100" s="20">
        <f t="shared" si="69"/>
        <v>0</v>
      </c>
      <c r="L100" s="20">
        <f t="shared" si="70"/>
        <v>0</v>
      </c>
      <c r="M100" s="31" t="s">
        <v>2884</v>
      </c>
      <c r="N100" s="5"/>
      <c r="Z100" s="36">
        <f t="shared" si="71"/>
        <v>0</v>
      </c>
      <c r="AB100" s="36">
        <f t="shared" si="72"/>
        <v>0</v>
      </c>
      <c r="AC100" s="36">
        <f t="shared" si="73"/>
        <v>0</v>
      </c>
      <c r="AD100" s="36">
        <f t="shared" si="74"/>
        <v>0</v>
      </c>
      <c r="AE100" s="36">
        <f t="shared" si="75"/>
        <v>0</v>
      </c>
      <c r="AF100" s="36">
        <f t="shared" si="76"/>
        <v>0</v>
      </c>
      <c r="AG100" s="36">
        <f t="shared" si="77"/>
        <v>0</v>
      </c>
      <c r="AH100" s="36">
        <f t="shared" si="78"/>
        <v>0</v>
      </c>
      <c r="AI100" s="35" t="s">
        <v>2894</v>
      </c>
      <c r="AJ100" s="20">
        <f t="shared" si="79"/>
        <v>0</v>
      </c>
      <c r="AK100" s="20">
        <f t="shared" si="80"/>
        <v>0</v>
      </c>
      <c r="AL100" s="20">
        <f t="shared" si="81"/>
        <v>0</v>
      </c>
      <c r="AN100" s="36">
        <v>21</v>
      </c>
      <c r="AO100" s="36">
        <f>I100*0</f>
        <v>0</v>
      </c>
      <c r="AP100" s="36">
        <f>I100*(1-0)</f>
        <v>0</v>
      </c>
      <c r="AQ100" s="37" t="s">
        <v>7</v>
      </c>
      <c r="AV100" s="36">
        <f t="shared" si="82"/>
        <v>0</v>
      </c>
      <c r="AW100" s="36">
        <f t="shared" si="83"/>
        <v>0</v>
      </c>
      <c r="AX100" s="36">
        <f t="shared" si="84"/>
        <v>0</v>
      </c>
      <c r="AY100" s="39" t="s">
        <v>2912</v>
      </c>
      <c r="AZ100" s="39" t="s">
        <v>2949</v>
      </c>
      <c r="BA100" s="35" t="s">
        <v>2967</v>
      </c>
      <c r="BC100" s="36">
        <f t="shared" si="85"/>
        <v>0</v>
      </c>
      <c r="BD100" s="36">
        <f t="shared" si="86"/>
        <v>0</v>
      </c>
      <c r="BE100" s="36">
        <v>0</v>
      </c>
      <c r="BF100" s="36">
        <f>100</f>
        <v>100</v>
      </c>
      <c r="BH100" s="20">
        <f t="shared" si="87"/>
        <v>0</v>
      </c>
      <c r="BI100" s="20">
        <f t="shared" si="88"/>
        <v>0</v>
      </c>
      <c r="BJ100" s="20">
        <f t="shared" si="89"/>
        <v>0</v>
      </c>
      <c r="BK100" s="20" t="s">
        <v>2978</v>
      </c>
      <c r="BL100" s="36">
        <v>41</v>
      </c>
    </row>
    <row r="101" spans="1:64" x14ac:dyDescent="0.2">
      <c r="A101" s="4" t="s">
        <v>83</v>
      </c>
      <c r="B101" s="13" t="s">
        <v>1025</v>
      </c>
      <c r="C101" s="174" t="s">
        <v>1946</v>
      </c>
      <c r="D101" s="175"/>
      <c r="E101" s="175"/>
      <c r="F101" s="175"/>
      <c r="G101" s="13" t="s">
        <v>2856</v>
      </c>
      <c r="H101" s="82">
        <v>1.7050000000000001</v>
      </c>
      <c r="I101" s="109">
        <v>0</v>
      </c>
      <c r="J101" s="20">
        <f t="shared" si="68"/>
        <v>0</v>
      </c>
      <c r="K101" s="20">
        <f t="shared" si="69"/>
        <v>0</v>
      </c>
      <c r="L101" s="20">
        <f t="shared" si="70"/>
        <v>0</v>
      </c>
      <c r="M101" s="31" t="s">
        <v>2884</v>
      </c>
      <c r="N101" s="5"/>
      <c r="Z101" s="36">
        <f t="shared" si="71"/>
        <v>0</v>
      </c>
      <c r="AB101" s="36">
        <f t="shared" si="72"/>
        <v>0</v>
      </c>
      <c r="AC101" s="36">
        <f t="shared" si="73"/>
        <v>0</v>
      </c>
      <c r="AD101" s="36">
        <f t="shared" si="74"/>
        <v>0</v>
      </c>
      <c r="AE101" s="36">
        <f t="shared" si="75"/>
        <v>0</v>
      </c>
      <c r="AF101" s="36">
        <f t="shared" si="76"/>
        <v>0</v>
      </c>
      <c r="AG101" s="36">
        <f t="shared" si="77"/>
        <v>0</v>
      </c>
      <c r="AH101" s="36">
        <f t="shared" si="78"/>
        <v>0</v>
      </c>
      <c r="AI101" s="35" t="s">
        <v>2894</v>
      </c>
      <c r="AJ101" s="20">
        <f t="shared" si="79"/>
        <v>0</v>
      </c>
      <c r="AK101" s="20">
        <f t="shared" si="80"/>
        <v>0</v>
      </c>
      <c r="AL101" s="20">
        <f t="shared" si="81"/>
        <v>0</v>
      </c>
      <c r="AN101" s="36">
        <v>21</v>
      </c>
      <c r="AO101" s="36">
        <f>I101*0.747422133977901</f>
        <v>0</v>
      </c>
      <c r="AP101" s="36">
        <f>I101*(1-0.747422133977901)</f>
        <v>0</v>
      </c>
      <c r="AQ101" s="37" t="s">
        <v>7</v>
      </c>
      <c r="AV101" s="36">
        <f t="shared" si="82"/>
        <v>0</v>
      </c>
      <c r="AW101" s="36">
        <f t="shared" si="83"/>
        <v>0</v>
      </c>
      <c r="AX101" s="36">
        <f t="shared" si="84"/>
        <v>0</v>
      </c>
      <c r="AY101" s="39" t="s">
        <v>2912</v>
      </c>
      <c r="AZ101" s="39" t="s">
        <v>2949</v>
      </c>
      <c r="BA101" s="35" t="s">
        <v>2967</v>
      </c>
      <c r="BC101" s="36">
        <f t="shared" si="85"/>
        <v>0</v>
      </c>
      <c r="BD101" s="36">
        <f t="shared" si="86"/>
        <v>0</v>
      </c>
      <c r="BE101" s="36">
        <v>0</v>
      </c>
      <c r="BF101" s="36">
        <f>101</f>
        <v>101</v>
      </c>
      <c r="BH101" s="20">
        <f t="shared" si="87"/>
        <v>0</v>
      </c>
      <c r="BI101" s="20">
        <f t="shared" si="88"/>
        <v>0</v>
      </c>
      <c r="BJ101" s="20">
        <f t="shared" si="89"/>
        <v>0</v>
      </c>
      <c r="BK101" s="20" t="s">
        <v>2978</v>
      </c>
      <c r="BL101" s="36">
        <v>41</v>
      </c>
    </row>
    <row r="102" spans="1:64" x14ac:dyDescent="0.2">
      <c r="A102" s="4" t="s">
        <v>84</v>
      </c>
      <c r="B102" s="13" t="s">
        <v>1025</v>
      </c>
      <c r="C102" s="174" t="s">
        <v>1947</v>
      </c>
      <c r="D102" s="175"/>
      <c r="E102" s="175"/>
      <c r="F102" s="175"/>
      <c r="G102" s="13" t="s">
        <v>2856</v>
      </c>
      <c r="H102" s="82">
        <v>1.4790000000000001</v>
      </c>
      <c r="I102" s="109">
        <v>0</v>
      </c>
      <c r="J102" s="20">
        <f t="shared" si="68"/>
        <v>0</v>
      </c>
      <c r="K102" s="20">
        <f t="shared" si="69"/>
        <v>0</v>
      </c>
      <c r="L102" s="20">
        <f t="shared" si="70"/>
        <v>0</v>
      </c>
      <c r="M102" s="31" t="s">
        <v>2884</v>
      </c>
      <c r="N102" s="5"/>
      <c r="Z102" s="36">
        <f t="shared" si="71"/>
        <v>0</v>
      </c>
      <c r="AB102" s="36">
        <f t="shared" si="72"/>
        <v>0</v>
      </c>
      <c r="AC102" s="36">
        <f t="shared" si="73"/>
        <v>0</v>
      </c>
      <c r="AD102" s="36">
        <f t="shared" si="74"/>
        <v>0</v>
      </c>
      <c r="AE102" s="36">
        <f t="shared" si="75"/>
        <v>0</v>
      </c>
      <c r="AF102" s="36">
        <f t="shared" si="76"/>
        <v>0</v>
      </c>
      <c r="AG102" s="36">
        <f t="shared" si="77"/>
        <v>0</v>
      </c>
      <c r="AH102" s="36">
        <f t="shared" si="78"/>
        <v>0</v>
      </c>
      <c r="AI102" s="35" t="s">
        <v>2894</v>
      </c>
      <c r="AJ102" s="20">
        <f t="shared" si="79"/>
        <v>0</v>
      </c>
      <c r="AK102" s="20">
        <f t="shared" si="80"/>
        <v>0</v>
      </c>
      <c r="AL102" s="20">
        <f t="shared" si="81"/>
        <v>0</v>
      </c>
      <c r="AN102" s="36">
        <v>21</v>
      </c>
      <c r="AO102" s="36">
        <f>I102*0.747422133977901</f>
        <v>0</v>
      </c>
      <c r="AP102" s="36">
        <f>I102*(1-0.747422133977901)</f>
        <v>0</v>
      </c>
      <c r="AQ102" s="37" t="s">
        <v>7</v>
      </c>
      <c r="AV102" s="36">
        <f t="shared" si="82"/>
        <v>0</v>
      </c>
      <c r="AW102" s="36">
        <f t="shared" si="83"/>
        <v>0</v>
      </c>
      <c r="AX102" s="36">
        <f t="shared" si="84"/>
        <v>0</v>
      </c>
      <c r="AY102" s="39" t="s">
        <v>2912</v>
      </c>
      <c r="AZ102" s="39" t="s">
        <v>2949</v>
      </c>
      <c r="BA102" s="35" t="s">
        <v>2967</v>
      </c>
      <c r="BC102" s="36">
        <f t="shared" si="85"/>
        <v>0</v>
      </c>
      <c r="BD102" s="36">
        <f t="shared" si="86"/>
        <v>0</v>
      </c>
      <c r="BE102" s="36">
        <v>0</v>
      </c>
      <c r="BF102" s="36">
        <f>102</f>
        <v>102</v>
      </c>
      <c r="BH102" s="20">
        <f t="shared" si="87"/>
        <v>0</v>
      </c>
      <c r="BI102" s="20">
        <f t="shared" si="88"/>
        <v>0</v>
      </c>
      <c r="BJ102" s="20">
        <f t="shared" si="89"/>
        <v>0</v>
      </c>
      <c r="BK102" s="20" t="s">
        <v>2978</v>
      </c>
      <c r="BL102" s="36">
        <v>41</v>
      </c>
    </row>
    <row r="103" spans="1:64" x14ac:dyDescent="0.2">
      <c r="A103" s="4" t="s">
        <v>85</v>
      </c>
      <c r="B103" s="13" t="s">
        <v>1025</v>
      </c>
      <c r="C103" s="174" t="s">
        <v>1948</v>
      </c>
      <c r="D103" s="175"/>
      <c r="E103" s="175"/>
      <c r="F103" s="175"/>
      <c r="G103" s="13" t="s">
        <v>2856</v>
      </c>
      <c r="H103" s="82">
        <v>0.39300000000000002</v>
      </c>
      <c r="I103" s="109">
        <v>0</v>
      </c>
      <c r="J103" s="20">
        <f t="shared" si="68"/>
        <v>0</v>
      </c>
      <c r="K103" s="20">
        <f t="shared" si="69"/>
        <v>0</v>
      </c>
      <c r="L103" s="20">
        <f t="shared" si="70"/>
        <v>0</v>
      </c>
      <c r="M103" s="31" t="s">
        <v>2884</v>
      </c>
      <c r="N103" s="5"/>
      <c r="Z103" s="36">
        <f t="shared" si="71"/>
        <v>0</v>
      </c>
      <c r="AB103" s="36">
        <f t="shared" si="72"/>
        <v>0</v>
      </c>
      <c r="AC103" s="36">
        <f t="shared" si="73"/>
        <v>0</v>
      </c>
      <c r="AD103" s="36">
        <f t="shared" si="74"/>
        <v>0</v>
      </c>
      <c r="AE103" s="36">
        <f t="shared" si="75"/>
        <v>0</v>
      </c>
      <c r="AF103" s="36">
        <f t="shared" si="76"/>
        <v>0</v>
      </c>
      <c r="AG103" s="36">
        <f t="shared" si="77"/>
        <v>0</v>
      </c>
      <c r="AH103" s="36">
        <f t="shared" si="78"/>
        <v>0</v>
      </c>
      <c r="AI103" s="35" t="s">
        <v>2894</v>
      </c>
      <c r="AJ103" s="20">
        <f t="shared" si="79"/>
        <v>0</v>
      </c>
      <c r="AK103" s="20">
        <f t="shared" si="80"/>
        <v>0</v>
      </c>
      <c r="AL103" s="20">
        <f t="shared" si="81"/>
        <v>0</v>
      </c>
      <c r="AN103" s="36">
        <v>21</v>
      </c>
      <c r="AO103" s="36">
        <f>I103*0.747422133977901</f>
        <v>0</v>
      </c>
      <c r="AP103" s="36">
        <f>I103*(1-0.747422133977901)</f>
        <v>0</v>
      </c>
      <c r="AQ103" s="37" t="s">
        <v>7</v>
      </c>
      <c r="AV103" s="36">
        <f t="shared" si="82"/>
        <v>0</v>
      </c>
      <c r="AW103" s="36">
        <f t="shared" si="83"/>
        <v>0</v>
      </c>
      <c r="AX103" s="36">
        <f t="shared" si="84"/>
        <v>0</v>
      </c>
      <c r="AY103" s="39" t="s">
        <v>2912</v>
      </c>
      <c r="AZ103" s="39" t="s">
        <v>2949</v>
      </c>
      <c r="BA103" s="35" t="s">
        <v>2967</v>
      </c>
      <c r="BC103" s="36">
        <f t="shared" si="85"/>
        <v>0</v>
      </c>
      <c r="BD103" s="36">
        <f t="shared" si="86"/>
        <v>0</v>
      </c>
      <c r="BE103" s="36">
        <v>0</v>
      </c>
      <c r="BF103" s="36">
        <f>103</f>
        <v>103</v>
      </c>
      <c r="BH103" s="20">
        <f t="shared" si="87"/>
        <v>0</v>
      </c>
      <c r="BI103" s="20">
        <f t="shared" si="88"/>
        <v>0</v>
      </c>
      <c r="BJ103" s="20">
        <f t="shared" si="89"/>
        <v>0</v>
      </c>
      <c r="BK103" s="20" t="s">
        <v>2978</v>
      </c>
      <c r="BL103" s="36">
        <v>41</v>
      </c>
    </row>
    <row r="104" spans="1:64" x14ac:dyDescent="0.2">
      <c r="A104" s="3"/>
      <c r="B104" s="12" t="s">
        <v>49</v>
      </c>
      <c r="C104" s="172" t="s">
        <v>1949</v>
      </c>
      <c r="D104" s="173"/>
      <c r="E104" s="173"/>
      <c r="F104" s="173"/>
      <c r="G104" s="18" t="s">
        <v>6</v>
      </c>
      <c r="H104" s="18" t="s">
        <v>6</v>
      </c>
      <c r="I104" s="18" t="s">
        <v>6</v>
      </c>
      <c r="J104" s="41">
        <f>SUM(J105:J105)</f>
        <v>0</v>
      </c>
      <c r="K104" s="41">
        <f>SUM(K105:K105)</f>
        <v>0</v>
      </c>
      <c r="L104" s="41">
        <f>SUM(L105:L105)</f>
        <v>0</v>
      </c>
      <c r="M104" s="30"/>
      <c r="N104" s="5"/>
      <c r="AI104" s="35" t="s">
        <v>2894</v>
      </c>
      <c r="AS104" s="41">
        <f>SUM(AJ105:AJ105)</f>
        <v>0</v>
      </c>
      <c r="AT104" s="41">
        <f>SUM(AK105:AK105)</f>
        <v>0</v>
      </c>
      <c r="AU104" s="41">
        <f>SUM(AL105:AL105)</f>
        <v>0</v>
      </c>
    </row>
    <row r="105" spans="1:64" x14ac:dyDescent="0.2">
      <c r="A105" s="4" t="s">
        <v>86</v>
      </c>
      <c r="B105" s="13" t="s">
        <v>1026</v>
      </c>
      <c r="C105" s="174" t="s">
        <v>1950</v>
      </c>
      <c r="D105" s="175"/>
      <c r="E105" s="175"/>
      <c r="F105" s="175"/>
      <c r="G105" s="13" t="s">
        <v>2854</v>
      </c>
      <c r="H105" s="82">
        <v>4.5</v>
      </c>
      <c r="I105" s="109">
        <v>0</v>
      </c>
      <c r="J105" s="20">
        <f>H105*AO105</f>
        <v>0</v>
      </c>
      <c r="K105" s="20">
        <f>H105*AP105</f>
        <v>0</v>
      </c>
      <c r="L105" s="20">
        <f>H105*I105</f>
        <v>0</v>
      </c>
      <c r="M105" s="31" t="s">
        <v>2884</v>
      </c>
      <c r="N105" s="5"/>
      <c r="Z105" s="36">
        <f>IF(AQ105="5",BJ105,0)</f>
        <v>0</v>
      </c>
      <c r="AB105" s="36">
        <f>IF(AQ105="1",BH105,0)</f>
        <v>0</v>
      </c>
      <c r="AC105" s="36">
        <f>IF(AQ105="1",BI105,0)</f>
        <v>0</v>
      </c>
      <c r="AD105" s="36">
        <f>IF(AQ105="7",BH105,0)</f>
        <v>0</v>
      </c>
      <c r="AE105" s="36">
        <f>IF(AQ105="7",BI105,0)</f>
        <v>0</v>
      </c>
      <c r="AF105" s="36">
        <f>IF(AQ105="2",BH105,0)</f>
        <v>0</v>
      </c>
      <c r="AG105" s="36">
        <f>IF(AQ105="2",BI105,0)</f>
        <v>0</v>
      </c>
      <c r="AH105" s="36">
        <f>IF(AQ105="0",BJ105,0)</f>
        <v>0</v>
      </c>
      <c r="AI105" s="35" t="s">
        <v>2894</v>
      </c>
      <c r="AJ105" s="20">
        <f>IF(AN105=0,L105,0)</f>
        <v>0</v>
      </c>
      <c r="AK105" s="20">
        <f>IF(AN105=15,L105,0)</f>
        <v>0</v>
      </c>
      <c r="AL105" s="20">
        <f>IF(AN105=21,L105,0)</f>
        <v>0</v>
      </c>
      <c r="AN105" s="36">
        <v>21</v>
      </c>
      <c r="AO105" s="36">
        <f>I105*0.51668014928053</f>
        <v>0</v>
      </c>
      <c r="AP105" s="36">
        <f>I105*(1-0.51668014928053)</f>
        <v>0</v>
      </c>
      <c r="AQ105" s="37" t="s">
        <v>7</v>
      </c>
      <c r="AV105" s="36">
        <f>AW105+AX105</f>
        <v>0</v>
      </c>
      <c r="AW105" s="36">
        <f>H105*AO105</f>
        <v>0</v>
      </c>
      <c r="AX105" s="36">
        <f>H105*AP105</f>
        <v>0</v>
      </c>
      <c r="AY105" s="39" t="s">
        <v>2913</v>
      </c>
      <c r="AZ105" s="39" t="s">
        <v>2949</v>
      </c>
      <c r="BA105" s="35" t="s">
        <v>2967</v>
      </c>
      <c r="BC105" s="36">
        <f>AW105+AX105</f>
        <v>0</v>
      </c>
      <c r="BD105" s="36">
        <f>I105/(100-BE105)*100</f>
        <v>0</v>
      </c>
      <c r="BE105" s="36">
        <v>0</v>
      </c>
      <c r="BF105" s="36">
        <f>105</f>
        <v>105</v>
      </c>
      <c r="BH105" s="20">
        <f>H105*AO105</f>
        <v>0</v>
      </c>
      <c r="BI105" s="20">
        <f>H105*AP105</f>
        <v>0</v>
      </c>
      <c r="BJ105" s="20">
        <f>H105*I105</f>
        <v>0</v>
      </c>
      <c r="BK105" s="20" t="s">
        <v>2978</v>
      </c>
      <c r="BL105" s="36">
        <v>43</v>
      </c>
    </row>
    <row r="106" spans="1:64" x14ac:dyDescent="0.2">
      <c r="A106" s="3"/>
      <c r="B106" s="12" t="s">
        <v>62</v>
      </c>
      <c r="C106" s="172" t="s">
        <v>1951</v>
      </c>
      <c r="D106" s="173"/>
      <c r="E106" s="173"/>
      <c r="F106" s="173"/>
      <c r="G106" s="18" t="s">
        <v>6</v>
      </c>
      <c r="H106" s="18" t="s">
        <v>6</v>
      </c>
      <c r="I106" s="18" t="s">
        <v>6</v>
      </c>
      <c r="J106" s="41">
        <f>SUM(J107:J107)</f>
        <v>0</v>
      </c>
      <c r="K106" s="41">
        <f>SUM(K107:K107)</f>
        <v>0</v>
      </c>
      <c r="L106" s="41">
        <f>SUM(L107:L107)</f>
        <v>0</v>
      </c>
      <c r="M106" s="30"/>
      <c r="N106" s="5"/>
      <c r="AI106" s="35" t="s">
        <v>2894</v>
      </c>
      <c r="AS106" s="41">
        <f>SUM(AJ107:AJ107)</f>
        <v>0</v>
      </c>
      <c r="AT106" s="41">
        <f>SUM(AK107:AK107)</f>
        <v>0</v>
      </c>
      <c r="AU106" s="41">
        <f>SUM(AL107:AL107)</f>
        <v>0</v>
      </c>
    </row>
    <row r="107" spans="1:64" x14ac:dyDescent="0.2">
      <c r="A107" s="4" t="s">
        <v>87</v>
      </c>
      <c r="B107" s="13" t="s">
        <v>1027</v>
      </c>
      <c r="C107" s="174" t="s">
        <v>1952</v>
      </c>
      <c r="D107" s="175"/>
      <c r="E107" s="175"/>
      <c r="F107" s="175"/>
      <c r="G107" s="13" t="s">
        <v>2854</v>
      </c>
      <c r="H107" s="82">
        <v>17.57</v>
      </c>
      <c r="I107" s="109">
        <v>0</v>
      </c>
      <c r="J107" s="20">
        <f>H107*AO107</f>
        <v>0</v>
      </c>
      <c r="K107" s="20">
        <f>H107*AP107</f>
        <v>0</v>
      </c>
      <c r="L107" s="20">
        <f>H107*I107</f>
        <v>0</v>
      </c>
      <c r="M107" s="31" t="s">
        <v>2884</v>
      </c>
      <c r="N107" s="5"/>
      <c r="Z107" s="36">
        <f>IF(AQ107="5",BJ107,0)</f>
        <v>0</v>
      </c>
      <c r="AB107" s="36">
        <f>IF(AQ107="1",BH107,0)</f>
        <v>0</v>
      </c>
      <c r="AC107" s="36">
        <f>IF(AQ107="1",BI107,0)</f>
        <v>0</v>
      </c>
      <c r="AD107" s="36">
        <f>IF(AQ107="7",BH107,0)</f>
        <v>0</v>
      </c>
      <c r="AE107" s="36">
        <f>IF(AQ107="7",BI107,0)</f>
        <v>0</v>
      </c>
      <c r="AF107" s="36">
        <f>IF(AQ107="2",BH107,0)</f>
        <v>0</v>
      </c>
      <c r="AG107" s="36">
        <f>IF(AQ107="2",BI107,0)</f>
        <v>0</v>
      </c>
      <c r="AH107" s="36">
        <f>IF(AQ107="0",BJ107,0)</f>
        <v>0</v>
      </c>
      <c r="AI107" s="35" t="s">
        <v>2894</v>
      </c>
      <c r="AJ107" s="20">
        <f>IF(AN107=0,L107,0)</f>
        <v>0</v>
      </c>
      <c r="AK107" s="20">
        <f>IF(AN107=15,L107,0)</f>
        <v>0</v>
      </c>
      <c r="AL107" s="20">
        <f>IF(AN107=21,L107,0)</f>
        <v>0</v>
      </c>
      <c r="AN107" s="36">
        <v>21</v>
      </c>
      <c r="AO107" s="36">
        <f>I107*0.898035915871154</f>
        <v>0</v>
      </c>
      <c r="AP107" s="36">
        <f>I107*(1-0.898035915871154)</f>
        <v>0</v>
      </c>
      <c r="AQ107" s="37" t="s">
        <v>7</v>
      </c>
      <c r="AV107" s="36">
        <f>AW107+AX107</f>
        <v>0</v>
      </c>
      <c r="AW107" s="36">
        <f>H107*AO107</f>
        <v>0</v>
      </c>
      <c r="AX107" s="36">
        <f>H107*AP107</f>
        <v>0</v>
      </c>
      <c r="AY107" s="39" t="s">
        <v>2914</v>
      </c>
      <c r="AZ107" s="39" t="s">
        <v>2950</v>
      </c>
      <c r="BA107" s="35" t="s">
        <v>2967</v>
      </c>
      <c r="BC107" s="36">
        <f>AW107+AX107</f>
        <v>0</v>
      </c>
      <c r="BD107" s="36">
        <f>I107/(100-BE107)*100</f>
        <v>0</v>
      </c>
      <c r="BE107" s="36">
        <v>0</v>
      </c>
      <c r="BF107" s="36">
        <f>107</f>
        <v>107</v>
      </c>
      <c r="BH107" s="20">
        <f>H107*AO107</f>
        <v>0</v>
      </c>
      <c r="BI107" s="20">
        <f>H107*AP107</f>
        <v>0</v>
      </c>
      <c r="BJ107" s="20">
        <f>H107*I107</f>
        <v>0</v>
      </c>
      <c r="BK107" s="20" t="s">
        <v>2978</v>
      </c>
      <c r="BL107" s="36">
        <v>56</v>
      </c>
    </row>
    <row r="108" spans="1:64" x14ac:dyDescent="0.2">
      <c r="A108" s="3"/>
      <c r="B108" s="12" t="s">
        <v>65</v>
      </c>
      <c r="C108" s="172" t="s">
        <v>1953</v>
      </c>
      <c r="D108" s="173"/>
      <c r="E108" s="173"/>
      <c r="F108" s="173"/>
      <c r="G108" s="18" t="s">
        <v>6</v>
      </c>
      <c r="H108" s="18" t="s">
        <v>6</v>
      </c>
      <c r="I108" s="18" t="s">
        <v>6</v>
      </c>
      <c r="J108" s="41">
        <f>SUM(J109:J109)</f>
        <v>0</v>
      </c>
      <c r="K108" s="41">
        <f>SUM(K109:K109)</f>
        <v>0</v>
      </c>
      <c r="L108" s="41">
        <f>SUM(L109:L109)</f>
        <v>0</v>
      </c>
      <c r="M108" s="30"/>
      <c r="N108" s="5"/>
      <c r="AI108" s="35" t="s">
        <v>2894</v>
      </c>
      <c r="AS108" s="41">
        <f>SUM(AJ109:AJ109)</f>
        <v>0</v>
      </c>
      <c r="AT108" s="41">
        <f>SUM(AK109:AK109)</f>
        <v>0</v>
      </c>
      <c r="AU108" s="41">
        <f>SUM(AL109:AL109)</f>
        <v>0</v>
      </c>
    </row>
    <row r="109" spans="1:64" x14ac:dyDescent="0.2">
      <c r="A109" s="4" t="s">
        <v>88</v>
      </c>
      <c r="B109" s="13" t="s">
        <v>1028</v>
      </c>
      <c r="C109" s="174" t="s">
        <v>1954</v>
      </c>
      <c r="D109" s="175"/>
      <c r="E109" s="175"/>
      <c r="F109" s="175"/>
      <c r="G109" s="13" t="s">
        <v>2854</v>
      </c>
      <c r="H109" s="82">
        <v>74</v>
      </c>
      <c r="I109" s="109">
        <v>0</v>
      </c>
      <c r="J109" s="20">
        <f>H109*AO109</f>
        <v>0</v>
      </c>
      <c r="K109" s="20">
        <f>H109*AP109</f>
        <v>0</v>
      </c>
      <c r="L109" s="20">
        <f>H109*I109</f>
        <v>0</v>
      </c>
      <c r="M109" s="31" t="s">
        <v>2884</v>
      </c>
      <c r="N109" s="5"/>
      <c r="Z109" s="36">
        <f>IF(AQ109="5",BJ109,0)</f>
        <v>0</v>
      </c>
      <c r="AB109" s="36">
        <f>IF(AQ109="1",BH109,0)</f>
        <v>0</v>
      </c>
      <c r="AC109" s="36">
        <f>IF(AQ109="1",BI109,0)</f>
        <v>0</v>
      </c>
      <c r="AD109" s="36">
        <f>IF(AQ109="7",BH109,0)</f>
        <v>0</v>
      </c>
      <c r="AE109" s="36">
        <f>IF(AQ109="7",BI109,0)</f>
        <v>0</v>
      </c>
      <c r="AF109" s="36">
        <f>IF(AQ109="2",BH109,0)</f>
        <v>0</v>
      </c>
      <c r="AG109" s="36">
        <f>IF(AQ109="2",BI109,0)</f>
        <v>0</v>
      </c>
      <c r="AH109" s="36">
        <f>IF(AQ109="0",BJ109,0)</f>
        <v>0</v>
      </c>
      <c r="AI109" s="35" t="s">
        <v>2894</v>
      </c>
      <c r="AJ109" s="20">
        <f>IF(AN109=0,L109,0)</f>
        <v>0</v>
      </c>
      <c r="AK109" s="20">
        <f>IF(AN109=15,L109,0)</f>
        <v>0</v>
      </c>
      <c r="AL109" s="20">
        <f>IF(AN109=21,L109,0)</f>
        <v>0</v>
      </c>
      <c r="AN109" s="36">
        <v>21</v>
      </c>
      <c r="AO109" s="36">
        <f>I109*0.428094326558873</f>
        <v>0</v>
      </c>
      <c r="AP109" s="36">
        <f>I109*(1-0.428094326558873)</f>
        <v>0</v>
      </c>
      <c r="AQ109" s="37" t="s">
        <v>7</v>
      </c>
      <c r="AV109" s="36">
        <f>AW109+AX109</f>
        <v>0</v>
      </c>
      <c r="AW109" s="36">
        <f>H109*AO109</f>
        <v>0</v>
      </c>
      <c r="AX109" s="36">
        <f>H109*AP109</f>
        <v>0</v>
      </c>
      <c r="AY109" s="39" t="s">
        <v>2915</v>
      </c>
      <c r="AZ109" s="39" t="s">
        <v>2950</v>
      </c>
      <c r="BA109" s="35" t="s">
        <v>2967</v>
      </c>
      <c r="BC109" s="36">
        <f>AW109+AX109</f>
        <v>0</v>
      </c>
      <c r="BD109" s="36">
        <f>I109/(100-BE109)*100</f>
        <v>0</v>
      </c>
      <c r="BE109" s="36">
        <v>0</v>
      </c>
      <c r="BF109" s="36">
        <f>109</f>
        <v>109</v>
      </c>
      <c r="BH109" s="20">
        <f>H109*AO109</f>
        <v>0</v>
      </c>
      <c r="BI109" s="20">
        <f>H109*AP109</f>
        <v>0</v>
      </c>
      <c r="BJ109" s="20">
        <f>H109*I109</f>
        <v>0</v>
      </c>
      <c r="BK109" s="20" t="s">
        <v>2978</v>
      </c>
      <c r="BL109" s="36">
        <v>59</v>
      </c>
    </row>
    <row r="110" spans="1:64" x14ac:dyDescent="0.2">
      <c r="A110" s="3"/>
      <c r="B110" s="12" t="s">
        <v>67</v>
      </c>
      <c r="C110" s="172" t="s">
        <v>1955</v>
      </c>
      <c r="D110" s="173"/>
      <c r="E110" s="173"/>
      <c r="F110" s="173"/>
      <c r="G110" s="18" t="s">
        <v>6</v>
      </c>
      <c r="H110" s="18" t="s">
        <v>6</v>
      </c>
      <c r="I110" s="18" t="s">
        <v>6</v>
      </c>
      <c r="J110" s="41">
        <f>SUM(J111:J123)</f>
        <v>0</v>
      </c>
      <c r="K110" s="41">
        <f>SUM(K111:K123)</f>
        <v>0</v>
      </c>
      <c r="L110" s="41">
        <f>SUM(L111:L123)</f>
        <v>0</v>
      </c>
      <c r="M110" s="30"/>
      <c r="N110" s="5"/>
      <c r="AI110" s="35" t="s">
        <v>2894</v>
      </c>
      <c r="AS110" s="41">
        <f>SUM(AJ111:AJ123)</f>
        <v>0</v>
      </c>
      <c r="AT110" s="41">
        <f>SUM(AK111:AK123)</f>
        <v>0</v>
      </c>
      <c r="AU110" s="41">
        <f>SUM(AL111:AL123)</f>
        <v>0</v>
      </c>
    </row>
    <row r="111" spans="1:64" x14ac:dyDescent="0.2">
      <c r="A111" s="4" t="s">
        <v>89</v>
      </c>
      <c r="B111" s="13" t="s">
        <v>1029</v>
      </c>
      <c r="C111" s="174" t="s">
        <v>1956</v>
      </c>
      <c r="D111" s="175"/>
      <c r="E111" s="175"/>
      <c r="F111" s="175"/>
      <c r="G111" s="13" t="s">
        <v>2854</v>
      </c>
      <c r="H111" s="82">
        <v>779.56899999999996</v>
      </c>
      <c r="I111" s="109">
        <v>0</v>
      </c>
      <c r="J111" s="20">
        <f t="shared" ref="J111:J123" si="90">H111*AO111</f>
        <v>0</v>
      </c>
      <c r="K111" s="20">
        <f t="shared" ref="K111:K123" si="91">H111*AP111</f>
        <v>0</v>
      </c>
      <c r="L111" s="20">
        <f t="shared" ref="L111:L123" si="92">H111*I111</f>
        <v>0</v>
      </c>
      <c r="M111" s="31" t="s">
        <v>2884</v>
      </c>
      <c r="N111" s="5"/>
      <c r="Z111" s="36">
        <f t="shared" ref="Z111:Z123" si="93">IF(AQ111="5",BJ111,0)</f>
        <v>0</v>
      </c>
      <c r="AB111" s="36">
        <f t="shared" ref="AB111:AB123" si="94">IF(AQ111="1",BH111,0)</f>
        <v>0</v>
      </c>
      <c r="AC111" s="36">
        <f t="shared" ref="AC111:AC123" si="95">IF(AQ111="1",BI111,0)</f>
        <v>0</v>
      </c>
      <c r="AD111" s="36">
        <f t="shared" ref="AD111:AD123" si="96">IF(AQ111="7",BH111,0)</f>
        <v>0</v>
      </c>
      <c r="AE111" s="36">
        <f t="shared" ref="AE111:AE123" si="97">IF(AQ111="7",BI111,0)</f>
        <v>0</v>
      </c>
      <c r="AF111" s="36">
        <f t="shared" ref="AF111:AF123" si="98">IF(AQ111="2",BH111,0)</f>
        <v>0</v>
      </c>
      <c r="AG111" s="36">
        <f t="shared" ref="AG111:AG123" si="99">IF(AQ111="2",BI111,0)</f>
        <v>0</v>
      </c>
      <c r="AH111" s="36">
        <f t="shared" ref="AH111:AH123" si="100">IF(AQ111="0",BJ111,0)</f>
        <v>0</v>
      </c>
      <c r="AI111" s="35" t="s">
        <v>2894</v>
      </c>
      <c r="AJ111" s="20">
        <f t="shared" ref="AJ111:AJ123" si="101">IF(AN111=0,L111,0)</f>
        <v>0</v>
      </c>
      <c r="AK111" s="20">
        <f t="shared" ref="AK111:AK123" si="102">IF(AN111=15,L111,0)</f>
        <v>0</v>
      </c>
      <c r="AL111" s="20">
        <f t="shared" ref="AL111:AL123" si="103">IF(AN111=21,L111,0)</f>
        <v>0</v>
      </c>
      <c r="AN111" s="36">
        <v>21</v>
      </c>
      <c r="AO111" s="36">
        <f>I111*0.393615740611545</f>
        <v>0</v>
      </c>
      <c r="AP111" s="36">
        <f>I111*(1-0.393615740611545)</f>
        <v>0</v>
      </c>
      <c r="AQ111" s="37" t="s">
        <v>7</v>
      </c>
      <c r="AV111" s="36">
        <f t="shared" ref="AV111:AV123" si="104">AW111+AX111</f>
        <v>0</v>
      </c>
      <c r="AW111" s="36">
        <f t="shared" ref="AW111:AW123" si="105">H111*AO111</f>
        <v>0</v>
      </c>
      <c r="AX111" s="36">
        <f t="shared" ref="AX111:AX123" si="106">H111*AP111</f>
        <v>0</v>
      </c>
      <c r="AY111" s="39" t="s">
        <v>2916</v>
      </c>
      <c r="AZ111" s="39" t="s">
        <v>2951</v>
      </c>
      <c r="BA111" s="35" t="s">
        <v>2967</v>
      </c>
      <c r="BC111" s="36">
        <f t="shared" ref="BC111:BC123" si="107">AW111+AX111</f>
        <v>0</v>
      </c>
      <c r="BD111" s="36">
        <f t="shared" ref="BD111:BD123" si="108">I111/(100-BE111)*100</f>
        <v>0</v>
      </c>
      <c r="BE111" s="36">
        <v>0</v>
      </c>
      <c r="BF111" s="36">
        <f>111</f>
        <v>111</v>
      </c>
      <c r="BH111" s="20">
        <f t="shared" ref="BH111:BH123" si="109">H111*AO111</f>
        <v>0</v>
      </c>
      <c r="BI111" s="20">
        <f t="shared" ref="BI111:BI123" si="110">H111*AP111</f>
        <v>0</v>
      </c>
      <c r="BJ111" s="20">
        <f t="shared" ref="BJ111:BJ123" si="111">H111*I111</f>
        <v>0</v>
      </c>
      <c r="BK111" s="20" t="s">
        <v>2978</v>
      </c>
      <c r="BL111" s="36">
        <v>61</v>
      </c>
    </row>
    <row r="112" spans="1:64" x14ac:dyDescent="0.2">
      <c r="A112" s="4" t="s">
        <v>90</v>
      </c>
      <c r="B112" s="13" t="s">
        <v>1030</v>
      </c>
      <c r="C112" s="174" t="s">
        <v>1957</v>
      </c>
      <c r="D112" s="175"/>
      <c r="E112" s="175"/>
      <c r="F112" s="175"/>
      <c r="G112" s="13" t="s">
        <v>2854</v>
      </c>
      <c r="H112" s="82">
        <v>779.56899999999996</v>
      </c>
      <c r="I112" s="109">
        <v>0</v>
      </c>
      <c r="J112" s="20">
        <f t="shared" si="90"/>
        <v>0</v>
      </c>
      <c r="K112" s="20">
        <f t="shared" si="91"/>
        <v>0</v>
      </c>
      <c r="L112" s="20">
        <f t="shared" si="92"/>
        <v>0</v>
      </c>
      <c r="M112" s="31" t="s">
        <v>2884</v>
      </c>
      <c r="N112" s="5"/>
      <c r="Z112" s="36">
        <f t="shared" si="93"/>
        <v>0</v>
      </c>
      <c r="AB112" s="36">
        <f t="shared" si="94"/>
        <v>0</v>
      </c>
      <c r="AC112" s="36">
        <f t="shared" si="95"/>
        <v>0</v>
      </c>
      <c r="AD112" s="36">
        <f t="shared" si="96"/>
        <v>0</v>
      </c>
      <c r="AE112" s="36">
        <f t="shared" si="97"/>
        <v>0</v>
      </c>
      <c r="AF112" s="36">
        <f t="shared" si="98"/>
        <v>0</v>
      </c>
      <c r="AG112" s="36">
        <f t="shared" si="99"/>
        <v>0</v>
      </c>
      <c r="AH112" s="36">
        <f t="shared" si="100"/>
        <v>0</v>
      </c>
      <c r="AI112" s="35" t="s">
        <v>2894</v>
      </c>
      <c r="AJ112" s="20">
        <f t="shared" si="101"/>
        <v>0</v>
      </c>
      <c r="AK112" s="20">
        <f t="shared" si="102"/>
        <v>0</v>
      </c>
      <c r="AL112" s="20">
        <f t="shared" si="103"/>
        <v>0</v>
      </c>
      <c r="AN112" s="36">
        <v>21</v>
      </c>
      <c r="AO112" s="36">
        <f>I112*0.094002385665491</f>
        <v>0</v>
      </c>
      <c r="AP112" s="36">
        <f>I112*(1-0.094002385665491)</f>
        <v>0</v>
      </c>
      <c r="AQ112" s="37" t="s">
        <v>7</v>
      </c>
      <c r="AV112" s="36">
        <f t="shared" si="104"/>
        <v>0</v>
      </c>
      <c r="AW112" s="36">
        <f t="shared" si="105"/>
        <v>0</v>
      </c>
      <c r="AX112" s="36">
        <f t="shared" si="106"/>
        <v>0</v>
      </c>
      <c r="AY112" s="39" t="s">
        <v>2916</v>
      </c>
      <c r="AZ112" s="39" t="s">
        <v>2951</v>
      </c>
      <c r="BA112" s="35" t="s">
        <v>2967</v>
      </c>
      <c r="BC112" s="36">
        <f t="shared" si="107"/>
        <v>0</v>
      </c>
      <c r="BD112" s="36">
        <f t="shared" si="108"/>
        <v>0</v>
      </c>
      <c r="BE112" s="36">
        <v>0</v>
      </c>
      <c r="BF112" s="36">
        <f>112</f>
        <v>112</v>
      </c>
      <c r="BH112" s="20">
        <f t="shared" si="109"/>
        <v>0</v>
      </c>
      <c r="BI112" s="20">
        <f t="shared" si="110"/>
        <v>0</v>
      </c>
      <c r="BJ112" s="20">
        <f t="shared" si="111"/>
        <v>0</v>
      </c>
      <c r="BK112" s="20" t="s">
        <v>2978</v>
      </c>
      <c r="BL112" s="36">
        <v>61</v>
      </c>
    </row>
    <row r="113" spans="1:64" x14ac:dyDescent="0.2">
      <c r="A113" s="4" t="s">
        <v>91</v>
      </c>
      <c r="B113" s="13" t="s">
        <v>1031</v>
      </c>
      <c r="C113" s="174" t="s">
        <v>1958</v>
      </c>
      <c r="D113" s="175"/>
      <c r="E113" s="175"/>
      <c r="F113" s="175"/>
      <c r="G113" s="13" t="s">
        <v>2855</v>
      </c>
      <c r="H113" s="82">
        <v>212.2</v>
      </c>
      <c r="I113" s="109">
        <v>0</v>
      </c>
      <c r="J113" s="20">
        <f t="shared" si="90"/>
        <v>0</v>
      </c>
      <c r="K113" s="20">
        <f t="shared" si="91"/>
        <v>0</v>
      </c>
      <c r="L113" s="20">
        <f t="shared" si="92"/>
        <v>0</v>
      </c>
      <c r="M113" s="31" t="s">
        <v>2884</v>
      </c>
      <c r="N113" s="5"/>
      <c r="Z113" s="36">
        <f t="shared" si="93"/>
        <v>0</v>
      </c>
      <c r="AB113" s="36">
        <f t="shared" si="94"/>
        <v>0</v>
      </c>
      <c r="AC113" s="36">
        <f t="shared" si="95"/>
        <v>0</v>
      </c>
      <c r="AD113" s="36">
        <f t="shared" si="96"/>
        <v>0</v>
      </c>
      <c r="AE113" s="36">
        <f t="shared" si="97"/>
        <v>0</v>
      </c>
      <c r="AF113" s="36">
        <f t="shared" si="98"/>
        <v>0</v>
      </c>
      <c r="AG113" s="36">
        <f t="shared" si="99"/>
        <v>0</v>
      </c>
      <c r="AH113" s="36">
        <f t="shared" si="100"/>
        <v>0</v>
      </c>
      <c r="AI113" s="35" t="s">
        <v>2894</v>
      </c>
      <c r="AJ113" s="20">
        <f t="shared" si="101"/>
        <v>0</v>
      </c>
      <c r="AK113" s="20">
        <f t="shared" si="102"/>
        <v>0</v>
      </c>
      <c r="AL113" s="20">
        <f t="shared" si="103"/>
        <v>0</v>
      </c>
      <c r="AN113" s="36">
        <v>21</v>
      </c>
      <c r="AO113" s="36">
        <f>I113*0.701085481682497</f>
        <v>0</v>
      </c>
      <c r="AP113" s="36">
        <f>I113*(1-0.701085481682497)</f>
        <v>0</v>
      </c>
      <c r="AQ113" s="37" t="s">
        <v>7</v>
      </c>
      <c r="AV113" s="36">
        <f t="shared" si="104"/>
        <v>0</v>
      </c>
      <c r="AW113" s="36">
        <f t="shared" si="105"/>
        <v>0</v>
      </c>
      <c r="AX113" s="36">
        <f t="shared" si="106"/>
        <v>0</v>
      </c>
      <c r="AY113" s="39" t="s">
        <v>2916</v>
      </c>
      <c r="AZ113" s="39" t="s">
        <v>2951</v>
      </c>
      <c r="BA113" s="35" t="s">
        <v>2967</v>
      </c>
      <c r="BC113" s="36">
        <f t="shared" si="107"/>
        <v>0</v>
      </c>
      <c r="BD113" s="36">
        <f t="shared" si="108"/>
        <v>0</v>
      </c>
      <c r="BE113" s="36">
        <v>0</v>
      </c>
      <c r="BF113" s="36">
        <f>113</f>
        <v>113</v>
      </c>
      <c r="BH113" s="20">
        <f t="shared" si="109"/>
        <v>0</v>
      </c>
      <c r="BI113" s="20">
        <f t="shared" si="110"/>
        <v>0</v>
      </c>
      <c r="BJ113" s="20">
        <f t="shared" si="111"/>
        <v>0</v>
      </c>
      <c r="BK113" s="20" t="s">
        <v>2978</v>
      </c>
      <c r="BL113" s="36">
        <v>61</v>
      </c>
    </row>
    <row r="114" spans="1:64" x14ac:dyDescent="0.2">
      <c r="A114" s="4" t="s">
        <v>92</v>
      </c>
      <c r="B114" s="13" t="s">
        <v>1032</v>
      </c>
      <c r="C114" s="174" t="s">
        <v>1959</v>
      </c>
      <c r="D114" s="175"/>
      <c r="E114" s="175"/>
      <c r="F114" s="175"/>
      <c r="G114" s="13" t="s">
        <v>2854</v>
      </c>
      <c r="H114" s="82">
        <v>106.35</v>
      </c>
      <c r="I114" s="109">
        <v>0</v>
      </c>
      <c r="J114" s="20">
        <f t="shared" si="90"/>
        <v>0</v>
      </c>
      <c r="K114" s="20">
        <f t="shared" si="91"/>
        <v>0</v>
      </c>
      <c r="L114" s="20">
        <f t="shared" si="92"/>
        <v>0</v>
      </c>
      <c r="M114" s="31" t="s">
        <v>2884</v>
      </c>
      <c r="N114" s="5"/>
      <c r="Z114" s="36">
        <f t="shared" si="93"/>
        <v>0</v>
      </c>
      <c r="AB114" s="36">
        <f t="shared" si="94"/>
        <v>0</v>
      </c>
      <c r="AC114" s="36">
        <f t="shared" si="95"/>
        <v>0</v>
      </c>
      <c r="AD114" s="36">
        <f t="shared" si="96"/>
        <v>0</v>
      </c>
      <c r="AE114" s="36">
        <f t="shared" si="97"/>
        <v>0</v>
      </c>
      <c r="AF114" s="36">
        <f t="shared" si="98"/>
        <v>0</v>
      </c>
      <c r="AG114" s="36">
        <f t="shared" si="99"/>
        <v>0</v>
      </c>
      <c r="AH114" s="36">
        <f t="shared" si="100"/>
        <v>0</v>
      </c>
      <c r="AI114" s="35" t="s">
        <v>2894</v>
      </c>
      <c r="AJ114" s="20">
        <f t="shared" si="101"/>
        <v>0</v>
      </c>
      <c r="AK114" s="20">
        <f t="shared" si="102"/>
        <v>0</v>
      </c>
      <c r="AL114" s="20">
        <f t="shared" si="103"/>
        <v>0</v>
      </c>
      <c r="AN114" s="36">
        <v>21</v>
      </c>
      <c r="AO114" s="36">
        <f>I114*0.297197876698497</f>
        <v>0</v>
      </c>
      <c r="AP114" s="36">
        <f>I114*(1-0.297197876698497)</f>
        <v>0</v>
      </c>
      <c r="AQ114" s="37" t="s">
        <v>7</v>
      </c>
      <c r="AV114" s="36">
        <f t="shared" si="104"/>
        <v>0</v>
      </c>
      <c r="AW114" s="36">
        <f t="shared" si="105"/>
        <v>0</v>
      </c>
      <c r="AX114" s="36">
        <f t="shared" si="106"/>
        <v>0</v>
      </c>
      <c r="AY114" s="39" t="s">
        <v>2916</v>
      </c>
      <c r="AZ114" s="39" t="s">
        <v>2951</v>
      </c>
      <c r="BA114" s="35" t="s">
        <v>2967</v>
      </c>
      <c r="BC114" s="36">
        <f t="shared" si="107"/>
        <v>0</v>
      </c>
      <c r="BD114" s="36">
        <f t="shared" si="108"/>
        <v>0</v>
      </c>
      <c r="BE114" s="36">
        <v>0</v>
      </c>
      <c r="BF114" s="36">
        <f>114</f>
        <v>114</v>
      </c>
      <c r="BH114" s="20">
        <f t="shared" si="109"/>
        <v>0</v>
      </c>
      <c r="BI114" s="20">
        <f t="shared" si="110"/>
        <v>0</v>
      </c>
      <c r="BJ114" s="20">
        <f t="shared" si="111"/>
        <v>0</v>
      </c>
      <c r="BK114" s="20" t="s">
        <v>2978</v>
      </c>
      <c r="BL114" s="36">
        <v>61</v>
      </c>
    </row>
    <row r="115" spans="1:64" x14ac:dyDescent="0.2">
      <c r="A115" s="4" t="s">
        <v>93</v>
      </c>
      <c r="B115" s="13" t="s">
        <v>1033</v>
      </c>
      <c r="C115" s="174" t="s">
        <v>1960</v>
      </c>
      <c r="D115" s="175"/>
      <c r="E115" s="175"/>
      <c r="F115" s="175"/>
      <c r="G115" s="13" t="s">
        <v>2854</v>
      </c>
      <c r="H115" s="82">
        <v>500.2</v>
      </c>
      <c r="I115" s="109">
        <v>0</v>
      </c>
      <c r="J115" s="20">
        <f t="shared" si="90"/>
        <v>0</v>
      </c>
      <c r="K115" s="20">
        <f t="shared" si="91"/>
        <v>0</v>
      </c>
      <c r="L115" s="20">
        <f t="shared" si="92"/>
        <v>0</v>
      </c>
      <c r="M115" s="31" t="s">
        <v>2884</v>
      </c>
      <c r="N115" s="5"/>
      <c r="Z115" s="36">
        <f t="shared" si="93"/>
        <v>0</v>
      </c>
      <c r="AB115" s="36">
        <f t="shared" si="94"/>
        <v>0</v>
      </c>
      <c r="AC115" s="36">
        <f t="shared" si="95"/>
        <v>0</v>
      </c>
      <c r="AD115" s="36">
        <f t="shared" si="96"/>
        <v>0</v>
      </c>
      <c r="AE115" s="36">
        <f t="shared" si="97"/>
        <v>0</v>
      </c>
      <c r="AF115" s="36">
        <f t="shared" si="98"/>
        <v>0</v>
      </c>
      <c r="AG115" s="36">
        <f t="shared" si="99"/>
        <v>0</v>
      </c>
      <c r="AH115" s="36">
        <f t="shared" si="100"/>
        <v>0</v>
      </c>
      <c r="AI115" s="35" t="s">
        <v>2894</v>
      </c>
      <c r="AJ115" s="20">
        <f t="shared" si="101"/>
        <v>0</v>
      </c>
      <c r="AK115" s="20">
        <f t="shared" si="102"/>
        <v>0</v>
      </c>
      <c r="AL115" s="20">
        <f t="shared" si="103"/>
        <v>0</v>
      </c>
      <c r="AN115" s="36">
        <v>21</v>
      </c>
      <c r="AO115" s="36">
        <f>I115*0.241864139020537</f>
        <v>0</v>
      </c>
      <c r="AP115" s="36">
        <f>I115*(1-0.241864139020537)</f>
        <v>0</v>
      </c>
      <c r="AQ115" s="37" t="s">
        <v>7</v>
      </c>
      <c r="AV115" s="36">
        <f t="shared" si="104"/>
        <v>0</v>
      </c>
      <c r="AW115" s="36">
        <f t="shared" si="105"/>
        <v>0</v>
      </c>
      <c r="AX115" s="36">
        <f t="shared" si="106"/>
        <v>0</v>
      </c>
      <c r="AY115" s="39" t="s">
        <v>2916</v>
      </c>
      <c r="AZ115" s="39" t="s">
        <v>2951</v>
      </c>
      <c r="BA115" s="35" t="s">
        <v>2967</v>
      </c>
      <c r="BC115" s="36">
        <f t="shared" si="107"/>
        <v>0</v>
      </c>
      <c r="BD115" s="36">
        <f t="shared" si="108"/>
        <v>0</v>
      </c>
      <c r="BE115" s="36">
        <v>0</v>
      </c>
      <c r="BF115" s="36">
        <f>115</f>
        <v>115</v>
      </c>
      <c r="BH115" s="20">
        <f t="shared" si="109"/>
        <v>0</v>
      </c>
      <c r="BI115" s="20">
        <f t="shared" si="110"/>
        <v>0</v>
      </c>
      <c r="BJ115" s="20">
        <f t="shared" si="111"/>
        <v>0</v>
      </c>
      <c r="BK115" s="20" t="s">
        <v>2978</v>
      </c>
      <c r="BL115" s="36">
        <v>61</v>
      </c>
    </row>
    <row r="116" spans="1:64" x14ac:dyDescent="0.2">
      <c r="A116" s="4" t="s">
        <v>94</v>
      </c>
      <c r="B116" s="13" t="s">
        <v>1034</v>
      </c>
      <c r="C116" s="174" t="s">
        <v>1961</v>
      </c>
      <c r="D116" s="175"/>
      <c r="E116" s="175"/>
      <c r="F116" s="175"/>
      <c r="G116" s="13" t="s">
        <v>2855</v>
      </c>
      <c r="H116" s="82">
        <v>212.2</v>
      </c>
      <c r="I116" s="109">
        <v>0</v>
      </c>
      <c r="J116" s="20">
        <f t="shared" si="90"/>
        <v>0</v>
      </c>
      <c r="K116" s="20">
        <f t="shared" si="91"/>
        <v>0</v>
      </c>
      <c r="L116" s="20">
        <f t="shared" si="92"/>
        <v>0</v>
      </c>
      <c r="M116" s="31" t="s">
        <v>2884</v>
      </c>
      <c r="N116" s="5"/>
      <c r="Z116" s="36">
        <f t="shared" si="93"/>
        <v>0</v>
      </c>
      <c r="AB116" s="36">
        <f t="shared" si="94"/>
        <v>0</v>
      </c>
      <c r="AC116" s="36">
        <f t="shared" si="95"/>
        <v>0</v>
      </c>
      <c r="AD116" s="36">
        <f t="shared" si="96"/>
        <v>0</v>
      </c>
      <c r="AE116" s="36">
        <f t="shared" si="97"/>
        <v>0</v>
      </c>
      <c r="AF116" s="36">
        <f t="shared" si="98"/>
        <v>0</v>
      </c>
      <c r="AG116" s="36">
        <f t="shared" si="99"/>
        <v>0</v>
      </c>
      <c r="AH116" s="36">
        <f t="shared" si="100"/>
        <v>0</v>
      </c>
      <c r="AI116" s="35" t="s">
        <v>2894</v>
      </c>
      <c r="AJ116" s="20">
        <f t="shared" si="101"/>
        <v>0</v>
      </c>
      <c r="AK116" s="20">
        <f t="shared" si="102"/>
        <v>0</v>
      </c>
      <c r="AL116" s="20">
        <f t="shared" si="103"/>
        <v>0</v>
      </c>
      <c r="AN116" s="36">
        <v>21</v>
      </c>
      <c r="AO116" s="36">
        <f>I116*0.115859030837004</f>
        <v>0</v>
      </c>
      <c r="AP116" s="36">
        <f>I116*(1-0.115859030837004)</f>
        <v>0</v>
      </c>
      <c r="AQ116" s="37" t="s">
        <v>7</v>
      </c>
      <c r="AV116" s="36">
        <f t="shared" si="104"/>
        <v>0</v>
      </c>
      <c r="AW116" s="36">
        <f t="shared" si="105"/>
        <v>0</v>
      </c>
      <c r="AX116" s="36">
        <f t="shared" si="106"/>
        <v>0</v>
      </c>
      <c r="AY116" s="39" t="s">
        <v>2916</v>
      </c>
      <c r="AZ116" s="39" t="s">
        <v>2951</v>
      </c>
      <c r="BA116" s="35" t="s">
        <v>2967</v>
      </c>
      <c r="BC116" s="36">
        <f t="shared" si="107"/>
        <v>0</v>
      </c>
      <c r="BD116" s="36">
        <f t="shared" si="108"/>
        <v>0</v>
      </c>
      <c r="BE116" s="36">
        <v>0</v>
      </c>
      <c r="BF116" s="36">
        <f>116</f>
        <v>116</v>
      </c>
      <c r="BH116" s="20">
        <f t="shared" si="109"/>
        <v>0</v>
      </c>
      <c r="BI116" s="20">
        <f t="shared" si="110"/>
        <v>0</v>
      </c>
      <c r="BJ116" s="20">
        <f t="shared" si="111"/>
        <v>0</v>
      </c>
      <c r="BK116" s="20" t="s">
        <v>2978</v>
      </c>
      <c r="BL116" s="36">
        <v>61</v>
      </c>
    </row>
    <row r="117" spans="1:64" x14ac:dyDescent="0.2">
      <c r="A117" s="4" t="s">
        <v>95</v>
      </c>
      <c r="B117" s="13" t="s">
        <v>1035</v>
      </c>
      <c r="C117" s="174" t="s">
        <v>1962</v>
      </c>
      <c r="D117" s="175"/>
      <c r="E117" s="175"/>
      <c r="F117" s="175"/>
      <c r="G117" s="13" t="s">
        <v>2854</v>
      </c>
      <c r="H117" s="82">
        <v>108.523</v>
      </c>
      <c r="I117" s="109">
        <v>0</v>
      </c>
      <c r="J117" s="20">
        <f t="shared" si="90"/>
        <v>0</v>
      </c>
      <c r="K117" s="20">
        <f t="shared" si="91"/>
        <v>0</v>
      </c>
      <c r="L117" s="20">
        <f t="shared" si="92"/>
        <v>0</v>
      </c>
      <c r="M117" s="31" t="s">
        <v>2884</v>
      </c>
      <c r="N117" s="5"/>
      <c r="Z117" s="36">
        <f t="shared" si="93"/>
        <v>0</v>
      </c>
      <c r="AB117" s="36">
        <f t="shared" si="94"/>
        <v>0</v>
      </c>
      <c r="AC117" s="36">
        <f t="shared" si="95"/>
        <v>0</v>
      </c>
      <c r="AD117" s="36">
        <f t="shared" si="96"/>
        <v>0</v>
      </c>
      <c r="AE117" s="36">
        <f t="shared" si="97"/>
        <v>0</v>
      </c>
      <c r="AF117" s="36">
        <f t="shared" si="98"/>
        <v>0</v>
      </c>
      <c r="AG117" s="36">
        <f t="shared" si="99"/>
        <v>0</v>
      </c>
      <c r="AH117" s="36">
        <f t="shared" si="100"/>
        <v>0</v>
      </c>
      <c r="AI117" s="35" t="s">
        <v>2894</v>
      </c>
      <c r="AJ117" s="20">
        <f t="shared" si="101"/>
        <v>0</v>
      </c>
      <c r="AK117" s="20">
        <f t="shared" si="102"/>
        <v>0</v>
      </c>
      <c r="AL117" s="20">
        <f t="shared" si="103"/>
        <v>0</v>
      </c>
      <c r="AN117" s="36">
        <v>21</v>
      </c>
      <c r="AO117" s="36">
        <f>I117*0.157402046903065</f>
        <v>0</v>
      </c>
      <c r="AP117" s="36">
        <f>I117*(1-0.157402046903065)</f>
        <v>0</v>
      </c>
      <c r="AQ117" s="37" t="s">
        <v>7</v>
      </c>
      <c r="AV117" s="36">
        <f t="shared" si="104"/>
        <v>0</v>
      </c>
      <c r="AW117" s="36">
        <f t="shared" si="105"/>
        <v>0</v>
      </c>
      <c r="AX117" s="36">
        <f t="shared" si="106"/>
        <v>0</v>
      </c>
      <c r="AY117" s="39" t="s">
        <v>2916</v>
      </c>
      <c r="AZ117" s="39" t="s">
        <v>2951</v>
      </c>
      <c r="BA117" s="35" t="s">
        <v>2967</v>
      </c>
      <c r="BC117" s="36">
        <f t="shared" si="107"/>
        <v>0</v>
      </c>
      <c r="BD117" s="36">
        <f t="shared" si="108"/>
        <v>0</v>
      </c>
      <c r="BE117" s="36">
        <v>0</v>
      </c>
      <c r="BF117" s="36">
        <f>117</f>
        <v>117</v>
      </c>
      <c r="BH117" s="20">
        <f t="shared" si="109"/>
        <v>0</v>
      </c>
      <c r="BI117" s="20">
        <f t="shared" si="110"/>
        <v>0</v>
      </c>
      <c r="BJ117" s="20">
        <f t="shared" si="111"/>
        <v>0</v>
      </c>
      <c r="BK117" s="20" t="s">
        <v>2978</v>
      </c>
      <c r="BL117" s="36">
        <v>61</v>
      </c>
    </row>
    <row r="118" spans="1:64" x14ac:dyDescent="0.2">
      <c r="A118" s="4" t="s">
        <v>96</v>
      </c>
      <c r="B118" s="13" t="s">
        <v>1036</v>
      </c>
      <c r="C118" s="174" t="s">
        <v>1963</v>
      </c>
      <c r="D118" s="175"/>
      <c r="E118" s="175"/>
      <c r="F118" s="175"/>
      <c r="G118" s="13" t="s">
        <v>2854</v>
      </c>
      <c r="H118" s="82">
        <v>61.26</v>
      </c>
      <c r="I118" s="109">
        <v>0</v>
      </c>
      <c r="J118" s="20">
        <f t="shared" si="90"/>
        <v>0</v>
      </c>
      <c r="K118" s="20">
        <f t="shared" si="91"/>
        <v>0</v>
      </c>
      <c r="L118" s="20">
        <f t="shared" si="92"/>
        <v>0</v>
      </c>
      <c r="M118" s="31" t="s">
        <v>2884</v>
      </c>
      <c r="N118" s="5"/>
      <c r="Z118" s="36">
        <f t="shared" si="93"/>
        <v>0</v>
      </c>
      <c r="AB118" s="36">
        <f t="shared" si="94"/>
        <v>0</v>
      </c>
      <c r="AC118" s="36">
        <f t="shared" si="95"/>
        <v>0</v>
      </c>
      <c r="AD118" s="36">
        <f t="shared" si="96"/>
        <v>0</v>
      </c>
      <c r="AE118" s="36">
        <f t="shared" si="97"/>
        <v>0</v>
      </c>
      <c r="AF118" s="36">
        <f t="shared" si="98"/>
        <v>0</v>
      </c>
      <c r="AG118" s="36">
        <f t="shared" si="99"/>
        <v>0</v>
      </c>
      <c r="AH118" s="36">
        <f t="shared" si="100"/>
        <v>0</v>
      </c>
      <c r="AI118" s="35" t="s">
        <v>2894</v>
      </c>
      <c r="AJ118" s="20">
        <f t="shared" si="101"/>
        <v>0</v>
      </c>
      <c r="AK118" s="20">
        <f t="shared" si="102"/>
        <v>0</v>
      </c>
      <c r="AL118" s="20">
        <f t="shared" si="103"/>
        <v>0</v>
      </c>
      <c r="AN118" s="36">
        <v>21</v>
      </c>
      <c r="AO118" s="36">
        <f>I118*0.219583918465164</f>
        <v>0</v>
      </c>
      <c r="AP118" s="36">
        <f>I118*(1-0.219583918465164)</f>
        <v>0</v>
      </c>
      <c r="AQ118" s="37" t="s">
        <v>7</v>
      </c>
      <c r="AV118" s="36">
        <f t="shared" si="104"/>
        <v>0</v>
      </c>
      <c r="AW118" s="36">
        <f t="shared" si="105"/>
        <v>0</v>
      </c>
      <c r="AX118" s="36">
        <f t="shared" si="106"/>
        <v>0</v>
      </c>
      <c r="AY118" s="39" t="s">
        <v>2916</v>
      </c>
      <c r="AZ118" s="39" t="s">
        <v>2951</v>
      </c>
      <c r="BA118" s="35" t="s">
        <v>2967</v>
      </c>
      <c r="BC118" s="36">
        <f t="shared" si="107"/>
        <v>0</v>
      </c>
      <c r="BD118" s="36">
        <f t="shared" si="108"/>
        <v>0</v>
      </c>
      <c r="BE118" s="36">
        <v>0</v>
      </c>
      <c r="BF118" s="36">
        <f>118</f>
        <v>118</v>
      </c>
      <c r="BH118" s="20">
        <f t="shared" si="109"/>
        <v>0</v>
      </c>
      <c r="BI118" s="20">
        <f t="shared" si="110"/>
        <v>0</v>
      </c>
      <c r="BJ118" s="20">
        <f t="shared" si="111"/>
        <v>0</v>
      </c>
      <c r="BK118" s="20" t="s">
        <v>2978</v>
      </c>
      <c r="BL118" s="36">
        <v>61</v>
      </c>
    </row>
    <row r="119" spans="1:64" x14ac:dyDescent="0.2">
      <c r="A119" s="4" t="s">
        <v>97</v>
      </c>
      <c r="B119" s="13" t="s">
        <v>1037</v>
      </c>
      <c r="C119" s="174" t="s">
        <v>1964</v>
      </c>
      <c r="D119" s="175"/>
      <c r="E119" s="175"/>
      <c r="F119" s="175"/>
      <c r="G119" s="13" t="s">
        <v>2854</v>
      </c>
      <c r="H119" s="82">
        <v>112.28</v>
      </c>
      <c r="I119" s="109">
        <v>0</v>
      </c>
      <c r="J119" s="20">
        <f t="shared" si="90"/>
        <v>0</v>
      </c>
      <c r="K119" s="20">
        <f t="shared" si="91"/>
        <v>0</v>
      </c>
      <c r="L119" s="20">
        <f t="shared" si="92"/>
        <v>0</v>
      </c>
      <c r="M119" s="31" t="s">
        <v>2884</v>
      </c>
      <c r="N119" s="5"/>
      <c r="Z119" s="36">
        <f t="shared" si="93"/>
        <v>0</v>
      </c>
      <c r="AB119" s="36">
        <f t="shared" si="94"/>
        <v>0</v>
      </c>
      <c r="AC119" s="36">
        <f t="shared" si="95"/>
        <v>0</v>
      </c>
      <c r="AD119" s="36">
        <f t="shared" si="96"/>
        <v>0</v>
      </c>
      <c r="AE119" s="36">
        <f t="shared" si="97"/>
        <v>0</v>
      </c>
      <c r="AF119" s="36">
        <f t="shared" si="98"/>
        <v>0</v>
      </c>
      <c r="AG119" s="36">
        <f t="shared" si="99"/>
        <v>0</v>
      </c>
      <c r="AH119" s="36">
        <f t="shared" si="100"/>
        <v>0</v>
      </c>
      <c r="AI119" s="35" t="s">
        <v>2894</v>
      </c>
      <c r="AJ119" s="20">
        <f t="shared" si="101"/>
        <v>0</v>
      </c>
      <c r="AK119" s="20">
        <f t="shared" si="102"/>
        <v>0</v>
      </c>
      <c r="AL119" s="20">
        <f t="shared" si="103"/>
        <v>0</v>
      </c>
      <c r="AN119" s="36">
        <v>21</v>
      </c>
      <c r="AO119" s="36">
        <f>I119*0.241864104990274</f>
        <v>0</v>
      </c>
      <c r="AP119" s="36">
        <f>I119*(1-0.241864104990274)</f>
        <v>0</v>
      </c>
      <c r="AQ119" s="37" t="s">
        <v>7</v>
      </c>
      <c r="AV119" s="36">
        <f t="shared" si="104"/>
        <v>0</v>
      </c>
      <c r="AW119" s="36">
        <f t="shared" si="105"/>
        <v>0</v>
      </c>
      <c r="AX119" s="36">
        <f t="shared" si="106"/>
        <v>0</v>
      </c>
      <c r="AY119" s="39" t="s">
        <v>2916</v>
      </c>
      <c r="AZ119" s="39" t="s">
        <v>2951</v>
      </c>
      <c r="BA119" s="35" t="s">
        <v>2967</v>
      </c>
      <c r="BC119" s="36">
        <f t="shared" si="107"/>
        <v>0</v>
      </c>
      <c r="BD119" s="36">
        <f t="shared" si="108"/>
        <v>0</v>
      </c>
      <c r="BE119" s="36">
        <v>0</v>
      </c>
      <c r="BF119" s="36">
        <f>119</f>
        <v>119</v>
      </c>
      <c r="BH119" s="20">
        <f t="shared" si="109"/>
        <v>0</v>
      </c>
      <c r="BI119" s="20">
        <f t="shared" si="110"/>
        <v>0</v>
      </c>
      <c r="BJ119" s="20">
        <f t="shared" si="111"/>
        <v>0</v>
      </c>
      <c r="BK119" s="20" t="s">
        <v>2978</v>
      </c>
      <c r="BL119" s="36">
        <v>61</v>
      </c>
    </row>
    <row r="120" spans="1:64" x14ac:dyDescent="0.2">
      <c r="A120" s="4" t="s">
        <v>98</v>
      </c>
      <c r="B120" s="13" t="s">
        <v>1038</v>
      </c>
      <c r="C120" s="174" t="s">
        <v>1965</v>
      </c>
      <c r="D120" s="175"/>
      <c r="E120" s="175"/>
      <c r="F120" s="175"/>
      <c r="G120" s="13" t="s">
        <v>2854</v>
      </c>
      <c r="H120" s="82">
        <v>8.375</v>
      </c>
      <c r="I120" s="109">
        <v>0</v>
      </c>
      <c r="J120" s="20">
        <f t="shared" si="90"/>
        <v>0</v>
      </c>
      <c r="K120" s="20">
        <f t="shared" si="91"/>
        <v>0</v>
      </c>
      <c r="L120" s="20">
        <f t="shared" si="92"/>
        <v>0</v>
      </c>
      <c r="M120" s="31" t="s">
        <v>2884</v>
      </c>
      <c r="N120" s="5"/>
      <c r="Z120" s="36">
        <f t="shared" si="93"/>
        <v>0</v>
      </c>
      <c r="AB120" s="36">
        <f t="shared" si="94"/>
        <v>0</v>
      </c>
      <c r="AC120" s="36">
        <f t="shared" si="95"/>
        <v>0</v>
      </c>
      <c r="AD120" s="36">
        <f t="shared" si="96"/>
        <v>0</v>
      </c>
      <c r="AE120" s="36">
        <f t="shared" si="97"/>
        <v>0</v>
      </c>
      <c r="AF120" s="36">
        <f t="shared" si="98"/>
        <v>0</v>
      </c>
      <c r="AG120" s="36">
        <f t="shared" si="99"/>
        <v>0</v>
      </c>
      <c r="AH120" s="36">
        <f t="shared" si="100"/>
        <v>0</v>
      </c>
      <c r="AI120" s="35" t="s">
        <v>2894</v>
      </c>
      <c r="AJ120" s="20">
        <f t="shared" si="101"/>
        <v>0</v>
      </c>
      <c r="AK120" s="20">
        <f t="shared" si="102"/>
        <v>0</v>
      </c>
      <c r="AL120" s="20">
        <f t="shared" si="103"/>
        <v>0</v>
      </c>
      <c r="AN120" s="36">
        <v>21</v>
      </c>
      <c r="AO120" s="36">
        <f>I120*0.111945165043729</f>
        <v>0</v>
      </c>
      <c r="AP120" s="36">
        <f>I120*(1-0.111945165043729)</f>
        <v>0</v>
      </c>
      <c r="AQ120" s="37" t="s">
        <v>7</v>
      </c>
      <c r="AV120" s="36">
        <f t="shared" si="104"/>
        <v>0</v>
      </c>
      <c r="AW120" s="36">
        <f t="shared" si="105"/>
        <v>0</v>
      </c>
      <c r="AX120" s="36">
        <f t="shared" si="106"/>
        <v>0</v>
      </c>
      <c r="AY120" s="39" t="s">
        <v>2916</v>
      </c>
      <c r="AZ120" s="39" t="s">
        <v>2951</v>
      </c>
      <c r="BA120" s="35" t="s">
        <v>2967</v>
      </c>
      <c r="BC120" s="36">
        <f t="shared" si="107"/>
        <v>0</v>
      </c>
      <c r="BD120" s="36">
        <f t="shared" si="108"/>
        <v>0</v>
      </c>
      <c r="BE120" s="36">
        <v>0</v>
      </c>
      <c r="BF120" s="36">
        <f>120</f>
        <v>120</v>
      </c>
      <c r="BH120" s="20">
        <f t="shared" si="109"/>
        <v>0</v>
      </c>
      <c r="BI120" s="20">
        <f t="shared" si="110"/>
        <v>0</v>
      </c>
      <c r="BJ120" s="20">
        <f t="shared" si="111"/>
        <v>0</v>
      </c>
      <c r="BK120" s="20" t="s">
        <v>2978</v>
      </c>
      <c r="BL120" s="36">
        <v>61</v>
      </c>
    </row>
    <row r="121" spans="1:64" x14ac:dyDescent="0.2">
      <c r="A121" s="4" t="s">
        <v>99</v>
      </c>
      <c r="B121" s="13" t="s">
        <v>1039</v>
      </c>
      <c r="C121" s="174" t="s">
        <v>1966</v>
      </c>
      <c r="D121" s="175"/>
      <c r="E121" s="175"/>
      <c r="F121" s="175"/>
      <c r="G121" s="13" t="s">
        <v>2855</v>
      </c>
      <c r="H121" s="82">
        <v>270.3</v>
      </c>
      <c r="I121" s="109">
        <v>0</v>
      </c>
      <c r="J121" s="20">
        <f t="shared" si="90"/>
        <v>0</v>
      </c>
      <c r="K121" s="20">
        <f t="shared" si="91"/>
        <v>0</v>
      </c>
      <c r="L121" s="20">
        <f t="shared" si="92"/>
        <v>0</v>
      </c>
      <c r="M121" s="31" t="s">
        <v>2884</v>
      </c>
      <c r="N121" s="5"/>
      <c r="Z121" s="36">
        <f t="shared" si="93"/>
        <v>0</v>
      </c>
      <c r="AB121" s="36">
        <f t="shared" si="94"/>
        <v>0</v>
      </c>
      <c r="AC121" s="36">
        <f t="shared" si="95"/>
        <v>0</v>
      </c>
      <c r="AD121" s="36">
        <f t="shared" si="96"/>
        <v>0</v>
      </c>
      <c r="AE121" s="36">
        <f t="shared" si="97"/>
        <v>0</v>
      </c>
      <c r="AF121" s="36">
        <f t="shared" si="98"/>
        <v>0</v>
      </c>
      <c r="AG121" s="36">
        <f t="shared" si="99"/>
        <v>0</v>
      </c>
      <c r="AH121" s="36">
        <f t="shared" si="100"/>
        <v>0</v>
      </c>
      <c r="AI121" s="35" t="s">
        <v>2894</v>
      </c>
      <c r="AJ121" s="20">
        <f t="shared" si="101"/>
        <v>0</v>
      </c>
      <c r="AK121" s="20">
        <f t="shared" si="102"/>
        <v>0</v>
      </c>
      <c r="AL121" s="20">
        <f t="shared" si="103"/>
        <v>0</v>
      </c>
      <c r="AN121" s="36">
        <v>21</v>
      </c>
      <c r="AO121" s="36">
        <f>I121*1</f>
        <v>0</v>
      </c>
      <c r="AP121" s="36">
        <f>I121*(1-1)</f>
        <v>0</v>
      </c>
      <c r="AQ121" s="37" t="s">
        <v>7</v>
      </c>
      <c r="AV121" s="36">
        <f t="shared" si="104"/>
        <v>0</v>
      </c>
      <c r="AW121" s="36">
        <f t="shared" si="105"/>
        <v>0</v>
      </c>
      <c r="AX121" s="36">
        <f t="shared" si="106"/>
        <v>0</v>
      </c>
      <c r="AY121" s="39" t="s">
        <v>2916</v>
      </c>
      <c r="AZ121" s="39" t="s">
        <v>2951</v>
      </c>
      <c r="BA121" s="35" t="s">
        <v>2967</v>
      </c>
      <c r="BC121" s="36">
        <f t="shared" si="107"/>
        <v>0</v>
      </c>
      <c r="BD121" s="36">
        <f t="shared" si="108"/>
        <v>0</v>
      </c>
      <c r="BE121" s="36">
        <v>0</v>
      </c>
      <c r="BF121" s="36">
        <f>121</f>
        <v>121</v>
      </c>
      <c r="BH121" s="20">
        <f t="shared" si="109"/>
        <v>0</v>
      </c>
      <c r="BI121" s="20">
        <f t="shared" si="110"/>
        <v>0</v>
      </c>
      <c r="BJ121" s="20">
        <f t="shared" si="111"/>
        <v>0</v>
      </c>
      <c r="BK121" s="20" t="s">
        <v>2978</v>
      </c>
      <c r="BL121" s="36">
        <v>61</v>
      </c>
    </row>
    <row r="122" spans="1:64" x14ac:dyDescent="0.2">
      <c r="A122" s="4" t="s">
        <v>100</v>
      </c>
      <c r="B122" s="13" t="s">
        <v>1040</v>
      </c>
      <c r="C122" s="174" t="s">
        <v>1967</v>
      </c>
      <c r="D122" s="175"/>
      <c r="E122" s="175"/>
      <c r="F122" s="175"/>
      <c r="G122" s="13" t="s">
        <v>2854</v>
      </c>
      <c r="H122" s="82">
        <v>840.82899999999995</v>
      </c>
      <c r="I122" s="109">
        <v>0</v>
      </c>
      <c r="J122" s="20">
        <f t="shared" si="90"/>
        <v>0</v>
      </c>
      <c r="K122" s="20">
        <f t="shared" si="91"/>
        <v>0</v>
      </c>
      <c r="L122" s="20">
        <f t="shared" si="92"/>
        <v>0</v>
      </c>
      <c r="M122" s="31" t="s">
        <v>2884</v>
      </c>
      <c r="N122" s="5"/>
      <c r="Z122" s="36">
        <f t="shared" si="93"/>
        <v>0</v>
      </c>
      <c r="AB122" s="36">
        <f t="shared" si="94"/>
        <v>0</v>
      </c>
      <c r="AC122" s="36">
        <f t="shared" si="95"/>
        <v>0</v>
      </c>
      <c r="AD122" s="36">
        <f t="shared" si="96"/>
        <v>0</v>
      </c>
      <c r="AE122" s="36">
        <f t="shared" si="97"/>
        <v>0</v>
      </c>
      <c r="AF122" s="36">
        <f t="shared" si="98"/>
        <v>0</v>
      </c>
      <c r="AG122" s="36">
        <f t="shared" si="99"/>
        <v>0</v>
      </c>
      <c r="AH122" s="36">
        <f t="shared" si="100"/>
        <v>0</v>
      </c>
      <c r="AI122" s="35" t="s">
        <v>2894</v>
      </c>
      <c r="AJ122" s="20">
        <f t="shared" si="101"/>
        <v>0</v>
      </c>
      <c r="AK122" s="20">
        <f t="shared" si="102"/>
        <v>0</v>
      </c>
      <c r="AL122" s="20">
        <f t="shared" si="103"/>
        <v>0</v>
      </c>
      <c r="AN122" s="36">
        <v>21</v>
      </c>
      <c r="AO122" s="36">
        <f>I122*0.321532683402594</f>
        <v>0</v>
      </c>
      <c r="AP122" s="36">
        <f>I122*(1-0.321532683402594)</f>
        <v>0</v>
      </c>
      <c r="AQ122" s="37" t="s">
        <v>7</v>
      </c>
      <c r="AV122" s="36">
        <f t="shared" si="104"/>
        <v>0</v>
      </c>
      <c r="AW122" s="36">
        <f t="shared" si="105"/>
        <v>0</v>
      </c>
      <c r="AX122" s="36">
        <f t="shared" si="106"/>
        <v>0</v>
      </c>
      <c r="AY122" s="39" t="s">
        <v>2916</v>
      </c>
      <c r="AZ122" s="39" t="s">
        <v>2951</v>
      </c>
      <c r="BA122" s="35" t="s">
        <v>2967</v>
      </c>
      <c r="BC122" s="36">
        <f t="shared" si="107"/>
        <v>0</v>
      </c>
      <c r="BD122" s="36">
        <f t="shared" si="108"/>
        <v>0</v>
      </c>
      <c r="BE122" s="36">
        <v>0</v>
      </c>
      <c r="BF122" s="36">
        <f>122</f>
        <v>122</v>
      </c>
      <c r="BH122" s="20">
        <f t="shared" si="109"/>
        <v>0</v>
      </c>
      <c r="BI122" s="20">
        <f t="shared" si="110"/>
        <v>0</v>
      </c>
      <c r="BJ122" s="20">
        <f t="shared" si="111"/>
        <v>0</v>
      </c>
      <c r="BK122" s="20" t="s">
        <v>2978</v>
      </c>
      <c r="BL122" s="36">
        <v>61</v>
      </c>
    </row>
    <row r="123" spans="1:64" x14ac:dyDescent="0.2">
      <c r="A123" s="4" t="s">
        <v>101</v>
      </c>
      <c r="B123" s="13" t="s">
        <v>1041</v>
      </c>
      <c r="C123" s="174" t="s">
        <v>1968</v>
      </c>
      <c r="D123" s="175"/>
      <c r="E123" s="175"/>
      <c r="F123" s="175"/>
      <c r="G123" s="13" t="s">
        <v>2854</v>
      </c>
      <c r="H123" s="82">
        <v>19.074999999999999</v>
      </c>
      <c r="I123" s="109">
        <v>0</v>
      </c>
      <c r="J123" s="20">
        <f t="shared" si="90"/>
        <v>0</v>
      </c>
      <c r="K123" s="20">
        <f t="shared" si="91"/>
        <v>0</v>
      </c>
      <c r="L123" s="20">
        <f t="shared" si="92"/>
        <v>0</v>
      </c>
      <c r="M123" s="31" t="s">
        <v>2884</v>
      </c>
      <c r="N123" s="5"/>
      <c r="Z123" s="36">
        <f t="shared" si="93"/>
        <v>0</v>
      </c>
      <c r="AB123" s="36">
        <f t="shared" si="94"/>
        <v>0</v>
      </c>
      <c r="AC123" s="36">
        <f t="shared" si="95"/>
        <v>0</v>
      </c>
      <c r="AD123" s="36">
        <f t="shared" si="96"/>
        <v>0</v>
      </c>
      <c r="AE123" s="36">
        <f t="shared" si="97"/>
        <v>0</v>
      </c>
      <c r="AF123" s="36">
        <f t="shared" si="98"/>
        <v>0</v>
      </c>
      <c r="AG123" s="36">
        <f t="shared" si="99"/>
        <v>0</v>
      </c>
      <c r="AH123" s="36">
        <f t="shared" si="100"/>
        <v>0</v>
      </c>
      <c r="AI123" s="35" t="s">
        <v>2894</v>
      </c>
      <c r="AJ123" s="20">
        <f t="shared" si="101"/>
        <v>0</v>
      </c>
      <c r="AK123" s="20">
        <f t="shared" si="102"/>
        <v>0</v>
      </c>
      <c r="AL123" s="20">
        <f t="shared" si="103"/>
        <v>0</v>
      </c>
      <c r="AN123" s="36">
        <v>21</v>
      </c>
      <c r="AO123" s="36">
        <f>I123*0.0837513622868882</f>
        <v>0</v>
      </c>
      <c r="AP123" s="36">
        <f>I123*(1-0.0837513622868882)</f>
        <v>0</v>
      </c>
      <c r="AQ123" s="37" t="s">
        <v>7</v>
      </c>
      <c r="AV123" s="36">
        <f t="shared" si="104"/>
        <v>0</v>
      </c>
      <c r="AW123" s="36">
        <f t="shared" si="105"/>
        <v>0</v>
      </c>
      <c r="AX123" s="36">
        <f t="shared" si="106"/>
        <v>0</v>
      </c>
      <c r="AY123" s="39" t="s">
        <v>2916</v>
      </c>
      <c r="AZ123" s="39" t="s">
        <v>2951</v>
      </c>
      <c r="BA123" s="35" t="s">
        <v>2967</v>
      </c>
      <c r="BC123" s="36">
        <f t="shared" si="107"/>
        <v>0</v>
      </c>
      <c r="BD123" s="36">
        <f t="shared" si="108"/>
        <v>0</v>
      </c>
      <c r="BE123" s="36">
        <v>0</v>
      </c>
      <c r="BF123" s="36">
        <f>123</f>
        <v>123</v>
      </c>
      <c r="BH123" s="20">
        <f t="shared" si="109"/>
        <v>0</v>
      </c>
      <c r="BI123" s="20">
        <f t="shared" si="110"/>
        <v>0</v>
      </c>
      <c r="BJ123" s="20">
        <f t="shared" si="111"/>
        <v>0</v>
      </c>
      <c r="BK123" s="20" t="s">
        <v>2978</v>
      </c>
      <c r="BL123" s="36">
        <v>61</v>
      </c>
    </row>
    <row r="124" spans="1:64" x14ac:dyDescent="0.2">
      <c r="A124" s="3"/>
      <c r="B124" s="12" t="s">
        <v>68</v>
      </c>
      <c r="C124" s="172" t="s">
        <v>1969</v>
      </c>
      <c r="D124" s="173"/>
      <c r="E124" s="173"/>
      <c r="F124" s="173"/>
      <c r="G124" s="18" t="s">
        <v>6</v>
      </c>
      <c r="H124" s="18" t="s">
        <v>6</v>
      </c>
      <c r="I124" s="18" t="s">
        <v>6</v>
      </c>
      <c r="J124" s="41">
        <f>SUM(J125:J139)</f>
        <v>0</v>
      </c>
      <c r="K124" s="41">
        <f>SUM(K125:K139)</f>
        <v>0</v>
      </c>
      <c r="L124" s="41">
        <f>SUM(L125:L139)</f>
        <v>0</v>
      </c>
      <c r="M124" s="30"/>
      <c r="N124" s="5"/>
      <c r="AI124" s="35" t="s">
        <v>2894</v>
      </c>
      <c r="AS124" s="41">
        <f>SUM(AJ125:AJ139)</f>
        <v>0</v>
      </c>
      <c r="AT124" s="41">
        <f>SUM(AK125:AK139)</f>
        <v>0</v>
      </c>
      <c r="AU124" s="41">
        <f>SUM(AL125:AL139)</f>
        <v>0</v>
      </c>
    </row>
    <row r="125" spans="1:64" x14ac:dyDescent="0.2">
      <c r="A125" s="4" t="s">
        <v>102</v>
      </c>
      <c r="B125" s="13" t="s">
        <v>1042</v>
      </c>
      <c r="C125" s="174" t="s">
        <v>1970</v>
      </c>
      <c r="D125" s="175"/>
      <c r="E125" s="175"/>
      <c r="F125" s="175"/>
      <c r="G125" s="13" t="s">
        <v>2854</v>
      </c>
      <c r="H125" s="82">
        <v>106.35</v>
      </c>
      <c r="I125" s="109">
        <v>0</v>
      </c>
      <c r="J125" s="20">
        <f>H125*AO125</f>
        <v>0</v>
      </c>
      <c r="K125" s="20">
        <f>H125*AP125</f>
        <v>0</v>
      </c>
      <c r="L125" s="20">
        <f>H125*I125</f>
        <v>0</v>
      </c>
      <c r="M125" s="31" t="s">
        <v>2884</v>
      </c>
      <c r="N125" s="5"/>
      <c r="Z125" s="36">
        <f>IF(AQ125="5",BJ125,0)</f>
        <v>0</v>
      </c>
      <c r="AB125" s="36">
        <f>IF(AQ125="1",BH125,0)</f>
        <v>0</v>
      </c>
      <c r="AC125" s="36">
        <f>IF(AQ125="1",BI125,0)</f>
        <v>0</v>
      </c>
      <c r="AD125" s="36">
        <f>IF(AQ125="7",BH125,0)</f>
        <v>0</v>
      </c>
      <c r="AE125" s="36">
        <f>IF(AQ125="7",BI125,0)</f>
        <v>0</v>
      </c>
      <c r="AF125" s="36">
        <f>IF(AQ125="2",BH125,0)</f>
        <v>0</v>
      </c>
      <c r="AG125" s="36">
        <f>IF(AQ125="2",BI125,0)</f>
        <v>0</v>
      </c>
      <c r="AH125" s="36">
        <f>IF(AQ125="0",BJ125,0)</f>
        <v>0</v>
      </c>
      <c r="AI125" s="35" t="s">
        <v>2894</v>
      </c>
      <c r="AJ125" s="20">
        <f>IF(AN125=0,L125,0)</f>
        <v>0</v>
      </c>
      <c r="AK125" s="20">
        <f>IF(AN125=15,L125,0)</f>
        <v>0</v>
      </c>
      <c r="AL125" s="20">
        <f>IF(AN125=21,L125,0)</f>
        <v>0</v>
      </c>
      <c r="AN125" s="36">
        <v>21</v>
      </c>
      <c r="AO125" s="36">
        <f>I125*0.297815680727204</f>
        <v>0</v>
      </c>
      <c r="AP125" s="36">
        <f>I125*(1-0.297815680727204)</f>
        <v>0</v>
      </c>
      <c r="AQ125" s="37" t="s">
        <v>7</v>
      </c>
      <c r="AV125" s="36">
        <f>AW125+AX125</f>
        <v>0</v>
      </c>
      <c r="AW125" s="36">
        <f>H125*AO125</f>
        <v>0</v>
      </c>
      <c r="AX125" s="36">
        <f>H125*AP125</f>
        <v>0</v>
      </c>
      <c r="AY125" s="39" t="s">
        <v>2917</v>
      </c>
      <c r="AZ125" s="39" t="s">
        <v>2951</v>
      </c>
      <c r="BA125" s="35" t="s">
        <v>2967</v>
      </c>
      <c r="BC125" s="36">
        <f>AW125+AX125</f>
        <v>0</v>
      </c>
      <c r="BD125" s="36">
        <f>I125/(100-BE125)*100</f>
        <v>0</v>
      </c>
      <c r="BE125" s="36">
        <v>0</v>
      </c>
      <c r="BF125" s="36">
        <f>125</f>
        <v>125</v>
      </c>
      <c r="BH125" s="20">
        <f>H125*AO125</f>
        <v>0</v>
      </c>
      <c r="BI125" s="20">
        <f>H125*AP125</f>
        <v>0</v>
      </c>
      <c r="BJ125" s="20">
        <f>H125*I125</f>
        <v>0</v>
      </c>
      <c r="BK125" s="20" t="s">
        <v>2978</v>
      </c>
      <c r="BL125" s="36">
        <v>62</v>
      </c>
    </row>
    <row r="126" spans="1:64" x14ac:dyDescent="0.2">
      <c r="A126" s="4" t="s">
        <v>103</v>
      </c>
      <c r="B126" s="13" t="s">
        <v>1043</v>
      </c>
      <c r="C126" s="174" t="s">
        <v>1971</v>
      </c>
      <c r="D126" s="175"/>
      <c r="E126" s="175"/>
      <c r="F126" s="175"/>
      <c r="G126" s="13" t="s">
        <v>2855</v>
      </c>
      <c r="H126" s="82">
        <v>30</v>
      </c>
      <c r="I126" s="109">
        <v>0</v>
      </c>
      <c r="J126" s="20">
        <f>H126*AO126</f>
        <v>0</v>
      </c>
      <c r="K126" s="20">
        <f>H126*AP126</f>
        <v>0</v>
      </c>
      <c r="L126" s="20">
        <f>H126*I126</f>
        <v>0</v>
      </c>
      <c r="M126" s="31" t="s">
        <v>2884</v>
      </c>
      <c r="N126" s="5"/>
      <c r="Z126" s="36">
        <f>IF(AQ126="5",BJ126,0)</f>
        <v>0</v>
      </c>
      <c r="AB126" s="36">
        <f>IF(AQ126="1",BH126,0)</f>
        <v>0</v>
      </c>
      <c r="AC126" s="36">
        <f>IF(AQ126="1",BI126,0)</f>
        <v>0</v>
      </c>
      <c r="AD126" s="36">
        <f>IF(AQ126="7",BH126,0)</f>
        <v>0</v>
      </c>
      <c r="AE126" s="36">
        <f>IF(AQ126="7",BI126,0)</f>
        <v>0</v>
      </c>
      <c r="AF126" s="36">
        <f>IF(AQ126="2",BH126,0)</f>
        <v>0</v>
      </c>
      <c r="AG126" s="36">
        <f>IF(AQ126="2",BI126,0)</f>
        <v>0</v>
      </c>
      <c r="AH126" s="36">
        <f>IF(AQ126="0",BJ126,0)</f>
        <v>0</v>
      </c>
      <c r="AI126" s="35" t="s">
        <v>2894</v>
      </c>
      <c r="AJ126" s="20">
        <f>IF(AN126=0,L126,0)</f>
        <v>0</v>
      </c>
      <c r="AK126" s="20">
        <f>IF(AN126=15,L126,0)</f>
        <v>0</v>
      </c>
      <c r="AL126" s="20">
        <f>IF(AN126=21,L126,0)</f>
        <v>0</v>
      </c>
      <c r="AN126" s="36">
        <v>21</v>
      </c>
      <c r="AO126" s="36">
        <f>I126*0.263098236775819</f>
        <v>0</v>
      </c>
      <c r="AP126" s="36">
        <f>I126*(1-0.263098236775819)</f>
        <v>0</v>
      </c>
      <c r="AQ126" s="37" t="s">
        <v>7</v>
      </c>
      <c r="AV126" s="36">
        <f>AW126+AX126</f>
        <v>0</v>
      </c>
      <c r="AW126" s="36">
        <f>H126*AO126</f>
        <v>0</v>
      </c>
      <c r="AX126" s="36">
        <f>H126*AP126</f>
        <v>0</v>
      </c>
      <c r="AY126" s="39" t="s">
        <v>2917</v>
      </c>
      <c r="AZ126" s="39" t="s">
        <v>2951</v>
      </c>
      <c r="BA126" s="35" t="s">
        <v>2967</v>
      </c>
      <c r="BC126" s="36">
        <f>AW126+AX126</f>
        <v>0</v>
      </c>
      <c r="BD126" s="36">
        <f>I126/(100-BE126)*100</f>
        <v>0</v>
      </c>
      <c r="BE126" s="36">
        <v>0</v>
      </c>
      <c r="BF126" s="36">
        <f>126</f>
        <v>126</v>
      </c>
      <c r="BH126" s="20">
        <f>H126*AO126</f>
        <v>0</v>
      </c>
      <c r="BI126" s="20">
        <f>H126*AP126</f>
        <v>0</v>
      </c>
      <c r="BJ126" s="20">
        <f>H126*I126</f>
        <v>0</v>
      </c>
      <c r="BK126" s="20" t="s">
        <v>2978</v>
      </c>
      <c r="BL126" s="36">
        <v>62</v>
      </c>
    </row>
    <row r="127" spans="1:64" x14ac:dyDescent="0.2">
      <c r="A127" s="4" t="s">
        <v>104</v>
      </c>
      <c r="B127" s="13" t="s">
        <v>1044</v>
      </c>
      <c r="C127" s="174" t="s">
        <v>1972</v>
      </c>
      <c r="D127" s="175"/>
      <c r="E127" s="175"/>
      <c r="F127" s="175"/>
      <c r="G127" s="13" t="s">
        <v>2854</v>
      </c>
      <c r="H127" s="82">
        <v>36.405000000000001</v>
      </c>
      <c r="I127" s="109">
        <v>0</v>
      </c>
      <c r="J127" s="20">
        <f>H127*AO127</f>
        <v>0</v>
      </c>
      <c r="K127" s="20">
        <f>H127*AP127</f>
        <v>0</v>
      </c>
      <c r="L127" s="20">
        <f>H127*I127</f>
        <v>0</v>
      </c>
      <c r="M127" s="31" t="s">
        <v>2884</v>
      </c>
      <c r="N127" s="5"/>
      <c r="Z127" s="36">
        <f>IF(AQ127="5",BJ127,0)</f>
        <v>0</v>
      </c>
      <c r="AB127" s="36">
        <f>IF(AQ127="1",BH127,0)</f>
        <v>0</v>
      </c>
      <c r="AC127" s="36">
        <f>IF(AQ127="1",BI127,0)</f>
        <v>0</v>
      </c>
      <c r="AD127" s="36">
        <f>IF(AQ127="7",BH127,0)</f>
        <v>0</v>
      </c>
      <c r="AE127" s="36">
        <f>IF(AQ127="7",BI127,0)</f>
        <v>0</v>
      </c>
      <c r="AF127" s="36">
        <f>IF(AQ127="2",BH127,0)</f>
        <v>0</v>
      </c>
      <c r="AG127" s="36">
        <f>IF(AQ127="2",BI127,0)</f>
        <v>0</v>
      </c>
      <c r="AH127" s="36">
        <f>IF(AQ127="0",BJ127,0)</f>
        <v>0</v>
      </c>
      <c r="AI127" s="35" t="s">
        <v>2894</v>
      </c>
      <c r="AJ127" s="20">
        <f>IF(AN127=0,L127,0)</f>
        <v>0</v>
      </c>
      <c r="AK127" s="20">
        <f>IF(AN127=15,L127,0)</f>
        <v>0</v>
      </c>
      <c r="AL127" s="20">
        <f>IF(AN127=21,L127,0)</f>
        <v>0</v>
      </c>
      <c r="AN127" s="36">
        <v>21</v>
      </c>
      <c r="AO127" s="36">
        <f>I127*0.634566777118863</f>
        <v>0</v>
      </c>
      <c r="AP127" s="36">
        <f>I127*(1-0.634566777118863)</f>
        <v>0</v>
      </c>
      <c r="AQ127" s="37" t="s">
        <v>7</v>
      </c>
      <c r="AV127" s="36">
        <f>AW127+AX127</f>
        <v>0</v>
      </c>
      <c r="AW127" s="36">
        <f>H127*AO127</f>
        <v>0</v>
      </c>
      <c r="AX127" s="36">
        <f>H127*AP127</f>
        <v>0</v>
      </c>
      <c r="AY127" s="39" t="s">
        <v>2917</v>
      </c>
      <c r="AZ127" s="39" t="s">
        <v>2951</v>
      </c>
      <c r="BA127" s="35" t="s">
        <v>2967</v>
      </c>
      <c r="BC127" s="36">
        <f>AW127+AX127</f>
        <v>0</v>
      </c>
      <c r="BD127" s="36">
        <f>I127/(100-BE127)*100</f>
        <v>0</v>
      </c>
      <c r="BE127" s="36">
        <v>0</v>
      </c>
      <c r="BF127" s="36">
        <f>127</f>
        <v>127</v>
      </c>
      <c r="BH127" s="20">
        <f>H127*AO127</f>
        <v>0</v>
      </c>
      <c r="BI127" s="20">
        <f>H127*AP127</f>
        <v>0</v>
      </c>
      <c r="BJ127" s="20">
        <f>H127*I127</f>
        <v>0</v>
      </c>
      <c r="BK127" s="20" t="s">
        <v>2978</v>
      </c>
      <c r="BL127" s="36">
        <v>62</v>
      </c>
    </row>
    <row r="128" spans="1:64" x14ac:dyDescent="0.2">
      <c r="A128" s="5"/>
      <c r="B128" s="14"/>
      <c r="C128" s="179" t="s">
        <v>1973</v>
      </c>
      <c r="D128" s="180"/>
      <c r="E128" s="180"/>
      <c r="F128" s="180"/>
      <c r="G128" s="180"/>
      <c r="H128" s="180"/>
      <c r="I128" s="180"/>
      <c r="J128" s="180"/>
      <c r="K128" s="180"/>
      <c r="L128" s="180"/>
      <c r="M128" s="181"/>
      <c r="N128" s="5"/>
    </row>
    <row r="129" spans="1:64" x14ac:dyDescent="0.2">
      <c r="A129" s="4" t="s">
        <v>105</v>
      </c>
      <c r="B129" s="13" t="s">
        <v>1045</v>
      </c>
      <c r="C129" s="174" t="s">
        <v>1974</v>
      </c>
      <c r="D129" s="175"/>
      <c r="E129" s="175"/>
      <c r="F129" s="175"/>
      <c r="G129" s="13" t="s">
        <v>2854</v>
      </c>
      <c r="H129" s="82">
        <v>142.45599999999999</v>
      </c>
      <c r="I129" s="109">
        <v>0</v>
      </c>
      <c r="J129" s="20">
        <f>H129*AO129</f>
        <v>0</v>
      </c>
      <c r="K129" s="20">
        <f>H129*AP129</f>
        <v>0</v>
      </c>
      <c r="L129" s="20">
        <f>H129*I129</f>
        <v>0</v>
      </c>
      <c r="M129" s="31" t="s">
        <v>2884</v>
      </c>
      <c r="N129" s="5"/>
      <c r="Z129" s="36">
        <f>IF(AQ129="5",BJ129,0)</f>
        <v>0</v>
      </c>
      <c r="AB129" s="36">
        <f>IF(AQ129="1",BH129,0)</f>
        <v>0</v>
      </c>
      <c r="AC129" s="36">
        <f>IF(AQ129="1",BI129,0)</f>
        <v>0</v>
      </c>
      <c r="AD129" s="36">
        <f>IF(AQ129="7",BH129,0)</f>
        <v>0</v>
      </c>
      <c r="AE129" s="36">
        <f>IF(AQ129="7",BI129,0)</f>
        <v>0</v>
      </c>
      <c r="AF129" s="36">
        <f>IF(AQ129="2",BH129,0)</f>
        <v>0</v>
      </c>
      <c r="AG129" s="36">
        <f>IF(AQ129="2",BI129,0)</f>
        <v>0</v>
      </c>
      <c r="AH129" s="36">
        <f>IF(AQ129="0",BJ129,0)</f>
        <v>0</v>
      </c>
      <c r="AI129" s="35" t="s">
        <v>2894</v>
      </c>
      <c r="AJ129" s="20">
        <f>IF(AN129=0,L129,0)</f>
        <v>0</v>
      </c>
      <c r="AK129" s="20">
        <f>IF(AN129=15,L129,0)</f>
        <v>0</v>
      </c>
      <c r="AL129" s="20">
        <f>IF(AN129=21,L129,0)</f>
        <v>0</v>
      </c>
      <c r="AN129" s="36">
        <v>21</v>
      </c>
      <c r="AO129" s="36">
        <f>I129*0.602748201583275</f>
        <v>0</v>
      </c>
      <c r="AP129" s="36">
        <f>I129*(1-0.602748201583275)</f>
        <v>0</v>
      </c>
      <c r="AQ129" s="37" t="s">
        <v>7</v>
      </c>
      <c r="AV129" s="36">
        <f>AW129+AX129</f>
        <v>0</v>
      </c>
      <c r="AW129" s="36">
        <f>H129*AO129</f>
        <v>0</v>
      </c>
      <c r="AX129" s="36">
        <f>H129*AP129</f>
        <v>0</v>
      </c>
      <c r="AY129" s="39" t="s">
        <v>2917</v>
      </c>
      <c r="AZ129" s="39" t="s">
        <v>2951</v>
      </c>
      <c r="BA129" s="35" t="s">
        <v>2967</v>
      </c>
      <c r="BC129" s="36">
        <f>AW129+AX129</f>
        <v>0</v>
      </c>
      <c r="BD129" s="36">
        <f>I129/(100-BE129)*100</f>
        <v>0</v>
      </c>
      <c r="BE129" s="36">
        <v>0</v>
      </c>
      <c r="BF129" s="36">
        <f>129</f>
        <v>129</v>
      </c>
      <c r="BH129" s="20">
        <f>H129*AO129</f>
        <v>0</v>
      </c>
      <c r="BI129" s="20">
        <f>H129*AP129</f>
        <v>0</v>
      </c>
      <c r="BJ129" s="20">
        <f>H129*I129</f>
        <v>0</v>
      </c>
      <c r="BK129" s="20" t="s">
        <v>2978</v>
      </c>
      <c r="BL129" s="36">
        <v>62</v>
      </c>
    </row>
    <row r="130" spans="1:64" x14ac:dyDescent="0.2">
      <c r="A130" s="5"/>
      <c r="B130" s="14"/>
      <c r="C130" s="179" t="s">
        <v>1975</v>
      </c>
      <c r="D130" s="180"/>
      <c r="E130" s="180"/>
      <c r="F130" s="180"/>
      <c r="G130" s="180"/>
      <c r="H130" s="180"/>
      <c r="I130" s="180"/>
      <c r="J130" s="180"/>
      <c r="K130" s="180"/>
      <c r="L130" s="180"/>
      <c r="M130" s="181"/>
      <c r="N130" s="5"/>
    </row>
    <row r="131" spans="1:64" x14ac:dyDescent="0.2">
      <c r="A131" s="4" t="s">
        <v>106</v>
      </c>
      <c r="B131" s="13" t="s">
        <v>1046</v>
      </c>
      <c r="C131" s="174" t="s">
        <v>1976</v>
      </c>
      <c r="D131" s="175"/>
      <c r="E131" s="175"/>
      <c r="F131" s="175"/>
      <c r="G131" s="13" t="s">
        <v>2855</v>
      </c>
      <c r="H131" s="82">
        <v>33.5</v>
      </c>
      <c r="I131" s="109">
        <v>0</v>
      </c>
      <c r="J131" s="20">
        <f>H131*AO131</f>
        <v>0</v>
      </c>
      <c r="K131" s="20">
        <f>H131*AP131</f>
        <v>0</v>
      </c>
      <c r="L131" s="20">
        <f>H131*I131</f>
        <v>0</v>
      </c>
      <c r="M131" s="31" t="s">
        <v>2884</v>
      </c>
      <c r="N131" s="5"/>
      <c r="Z131" s="36">
        <f>IF(AQ131="5",BJ131,0)</f>
        <v>0</v>
      </c>
      <c r="AB131" s="36">
        <f>IF(AQ131="1",BH131,0)</f>
        <v>0</v>
      </c>
      <c r="AC131" s="36">
        <f>IF(AQ131="1",BI131,0)</f>
        <v>0</v>
      </c>
      <c r="AD131" s="36">
        <f>IF(AQ131="7",BH131,0)</f>
        <v>0</v>
      </c>
      <c r="AE131" s="36">
        <f>IF(AQ131="7",BI131,0)</f>
        <v>0</v>
      </c>
      <c r="AF131" s="36">
        <f>IF(AQ131="2",BH131,0)</f>
        <v>0</v>
      </c>
      <c r="AG131" s="36">
        <f>IF(AQ131="2",BI131,0)</f>
        <v>0</v>
      </c>
      <c r="AH131" s="36">
        <f>IF(AQ131="0",BJ131,0)</f>
        <v>0</v>
      </c>
      <c r="AI131" s="35" t="s">
        <v>2894</v>
      </c>
      <c r="AJ131" s="20">
        <f>IF(AN131=0,L131,0)</f>
        <v>0</v>
      </c>
      <c r="AK131" s="20">
        <f>IF(AN131=15,L131,0)</f>
        <v>0</v>
      </c>
      <c r="AL131" s="20">
        <f>IF(AN131=21,L131,0)</f>
        <v>0</v>
      </c>
      <c r="AN131" s="36">
        <v>21</v>
      </c>
      <c r="AO131" s="36">
        <f>I131*0.313867143815701</f>
        <v>0</v>
      </c>
      <c r="AP131" s="36">
        <f>I131*(1-0.313867143815701)</f>
        <v>0</v>
      </c>
      <c r="AQ131" s="37" t="s">
        <v>7</v>
      </c>
      <c r="AV131" s="36">
        <f>AW131+AX131</f>
        <v>0</v>
      </c>
      <c r="AW131" s="36">
        <f>H131*AO131</f>
        <v>0</v>
      </c>
      <c r="AX131" s="36">
        <f>H131*AP131</f>
        <v>0</v>
      </c>
      <c r="AY131" s="39" t="s">
        <v>2917</v>
      </c>
      <c r="AZ131" s="39" t="s">
        <v>2951</v>
      </c>
      <c r="BA131" s="35" t="s">
        <v>2967</v>
      </c>
      <c r="BC131" s="36">
        <f>AW131+AX131</f>
        <v>0</v>
      </c>
      <c r="BD131" s="36">
        <f>I131/(100-BE131)*100</f>
        <v>0</v>
      </c>
      <c r="BE131" s="36">
        <v>0</v>
      </c>
      <c r="BF131" s="36">
        <f>131</f>
        <v>131</v>
      </c>
      <c r="BH131" s="20">
        <f>H131*AO131</f>
        <v>0</v>
      </c>
      <c r="BI131" s="20">
        <f>H131*AP131</f>
        <v>0</v>
      </c>
      <c r="BJ131" s="20">
        <f>H131*I131</f>
        <v>0</v>
      </c>
      <c r="BK131" s="20" t="s">
        <v>2978</v>
      </c>
      <c r="BL131" s="36">
        <v>62</v>
      </c>
    </row>
    <row r="132" spans="1:64" x14ac:dyDescent="0.2">
      <c r="A132" s="4" t="s">
        <v>107</v>
      </c>
      <c r="B132" s="13" t="s">
        <v>1047</v>
      </c>
      <c r="C132" s="174" t="s">
        <v>1977</v>
      </c>
      <c r="D132" s="175"/>
      <c r="E132" s="175"/>
      <c r="F132" s="175"/>
      <c r="G132" s="13" t="s">
        <v>2855</v>
      </c>
      <c r="H132" s="82">
        <v>33.5</v>
      </c>
      <c r="I132" s="109">
        <v>0</v>
      </c>
      <c r="J132" s="20">
        <f>H132*AO132</f>
        <v>0</v>
      </c>
      <c r="K132" s="20">
        <f>H132*AP132</f>
        <v>0</v>
      </c>
      <c r="L132" s="20">
        <f>H132*I132</f>
        <v>0</v>
      </c>
      <c r="M132" s="31" t="s">
        <v>2884</v>
      </c>
      <c r="N132" s="5"/>
      <c r="Z132" s="36">
        <f>IF(AQ132="5",BJ132,0)</f>
        <v>0</v>
      </c>
      <c r="AB132" s="36">
        <f>IF(AQ132="1",BH132,0)</f>
        <v>0</v>
      </c>
      <c r="AC132" s="36">
        <f>IF(AQ132="1",BI132,0)</f>
        <v>0</v>
      </c>
      <c r="AD132" s="36">
        <f>IF(AQ132="7",BH132,0)</f>
        <v>0</v>
      </c>
      <c r="AE132" s="36">
        <f>IF(AQ132="7",BI132,0)</f>
        <v>0</v>
      </c>
      <c r="AF132" s="36">
        <f>IF(AQ132="2",BH132,0)</f>
        <v>0</v>
      </c>
      <c r="AG132" s="36">
        <f>IF(AQ132="2",BI132,0)</f>
        <v>0</v>
      </c>
      <c r="AH132" s="36">
        <f>IF(AQ132="0",BJ132,0)</f>
        <v>0</v>
      </c>
      <c r="AI132" s="35" t="s">
        <v>2894</v>
      </c>
      <c r="AJ132" s="20">
        <f>IF(AN132=0,L132,0)</f>
        <v>0</v>
      </c>
      <c r="AK132" s="20">
        <f>IF(AN132=15,L132,0)</f>
        <v>0</v>
      </c>
      <c r="AL132" s="20">
        <f>IF(AN132=21,L132,0)</f>
        <v>0</v>
      </c>
      <c r="AN132" s="36">
        <v>21</v>
      </c>
      <c r="AO132" s="36">
        <f>I132*0.313867143815701</f>
        <v>0</v>
      </c>
      <c r="AP132" s="36">
        <f>I132*(1-0.313867143815701)</f>
        <v>0</v>
      </c>
      <c r="AQ132" s="37" t="s">
        <v>7</v>
      </c>
      <c r="AV132" s="36">
        <f>AW132+AX132</f>
        <v>0</v>
      </c>
      <c r="AW132" s="36">
        <f>H132*AO132</f>
        <v>0</v>
      </c>
      <c r="AX132" s="36">
        <f>H132*AP132</f>
        <v>0</v>
      </c>
      <c r="AY132" s="39" t="s">
        <v>2917</v>
      </c>
      <c r="AZ132" s="39" t="s">
        <v>2951</v>
      </c>
      <c r="BA132" s="35" t="s">
        <v>2967</v>
      </c>
      <c r="BC132" s="36">
        <f>AW132+AX132</f>
        <v>0</v>
      </c>
      <c r="BD132" s="36">
        <f>I132/(100-BE132)*100</f>
        <v>0</v>
      </c>
      <c r="BE132" s="36">
        <v>0</v>
      </c>
      <c r="BF132" s="36">
        <f>132</f>
        <v>132</v>
      </c>
      <c r="BH132" s="20">
        <f>H132*AO132</f>
        <v>0</v>
      </c>
      <c r="BI132" s="20">
        <f>H132*AP132</f>
        <v>0</v>
      </c>
      <c r="BJ132" s="20">
        <f>H132*I132</f>
        <v>0</v>
      </c>
      <c r="BK132" s="20" t="s">
        <v>2978</v>
      </c>
      <c r="BL132" s="36">
        <v>62</v>
      </c>
    </row>
    <row r="133" spans="1:64" x14ac:dyDescent="0.2">
      <c r="A133" s="4" t="s">
        <v>108</v>
      </c>
      <c r="B133" s="13" t="s">
        <v>1048</v>
      </c>
      <c r="C133" s="174" t="s">
        <v>1978</v>
      </c>
      <c r="D133" s="175"/>
      <c r="E133" s="175"/>
      <c r="F133" s="175"/>
      <c r="G133" s="13" t="s">
        <v>2854</v>
      </c>
      <c r="H133" s="82">
        <v>284.92200000000003</v>
      </c>
      <c r="I133" s="109">
        <v>0</v>
      </c>
      <c r="J133" s="20">
        <f>H133*AO133</f>
        <v>0</v>
      </c>
      <c r="K133" s="20">
        <f>H133*AP133</f>
        <v>0</v>
      </c>
      <c r="L133" s="20">
        <f>H133*I133</f>
        <v>0</v>
      </c>
      <c r="M133" s="31" t="s">
        <v>2884</v>
      </c>
      <c r="N133" s="5"/>
      <c r="Z133" s="36">
        <f>IF(AQ133="5",BJ133,0)</f>
        <v>0</v>
      </c>
      <c r="AB133" s="36">
        <f>IF(AQ133="1",BH133,0)</f>
        <v>0</v>
      </c>
      <c r="AC133" s="36">
        <f>IF(AQ133="1",BI133,0)</f>
        <v>0</v>
      </c>
      <c r="AD133" s="36">
        <f>IF(AQ133="7",BH133,0)</f>
        <v>0</v>
      </c>
      <c r="AE133" s="36">
        <f>IF(AQ133="7",BI133,0)</f>
        <v>0</v>
      </c>
      <c r="AF133" s="36">
        <f>IF(AQ133="2",BH133,0)</f>
        <v>0</v>
      </c>
      <c r="AG133" s="36">
        <f>IF(AQ133="2",BI133,0)</f>
        <v>0</v>
      </c>
      <c r="AH133" s="36">
        <f>IF(AQ133="0",BJ133,0)</f>
        <v>0</v>
      </c>
      <c r="AI133" s="35" t="s">
        <v>2894</v>
      </c>
      <c r="AJ133" s="20">
        <f>IF(AN133=0,L133,0)</f>
        <v>0</v>
      </c>
      <c r="AK133" s="20">
        <f>IF(AN133=15,L133,0)</f>
        <v>0</v>
      </c>
      <c r="AL133" s="20">
        <f>IF(AN133=21,L133,0)</f>
        <v>0</v>
      </c>
      <c r="AN133" s="36">
        <v>21</v>
      </c>
      <c r="AO133" s="36">
        <f>I133*0.67889549153124</f>
        <v>0</v>
      </c>
      <c r="AP133" s="36">
        <f>I133*(1-0.67889549153124)</f>
        <v>0</v>
      </c>
      <c r="AQ133" s="37" t="s">
        <v>7</v>
      </c>
      <c r="AV133" s="36">
        <f>AW133+AX133</f>
        <v>0</v>
      </c>
      <c r="AW133" s="36">
        <f>H133*AO133</f>
        <v>0</v>
      </c>
      <c r="AX133" s="36">
        <f>H133*AP133</f>
        <v>0</v>
      </c>
      <c r="AY133" s="39" t="s">
        <v>2917</v>
      </c>
      <c r="AZ133" s="39" t="s">
        <v>2951</v>
      </c>
      <c r="BA133" s="35" t="s">
        <v>2967</v>
      </c>
      <c r="BC133" s="36">
        <f>AW133+AX133</f>
        <v>0</v>
      </c>
      <c r="BD133" s="36">
        <f>I133/(100-BE133)*100</f>
        <v>0</v>
      </c>
      <c r="BE133" s="36">
        <v>0</v>
      </c>
      <c r="BF133" s="36">
        <f>133</f>
        <v>133</v>
      </c>
      <c r="BH133" s="20">
        <f>H133*AO133</f>
        <v>0</v>
      </c>
      <c r="BI133" s="20">
        <f>H133*AP133</f>
        <v>0</v>
      </c>
      <c r="BJ133" s="20">
        <f>H133*I133</f>
        <v>0</v>
      </c>
      <c r="BK133" s="20" t="s">
        <v>2978</v>
      </c>
      <c r="BL133" s="36">
        <v>62</v>
      </c>
    </row>
    <row r="134" spans="1:64" x14ac:dyDescent="0.2">
      <c r="A134" s="5"/>
      <c r="B134" s="14"/>
      <c r="C134" s="179" t="s">
        <v>1979</v>
      </c>
      <c r="D134" s="180"/>
      <c r="E134" s="180"/>
      <c r="F134" s="180"/>
      <c r="G134" s="180"/>
      <c r="H134" s="180"/>
      <c r="I134" s="180"/>
      <c r="J134" s="180"/>
      <c r="K134" s="180"/>
      <c r="L134" s="180"/>
      <c r="M134" s="181"/>
      <c r="N134" s="5"/>
    </row>
    <row r="135" spans="1:64" x14ac:dyDescent="0.2">
      <c r="A135" s="4" t="s">
        <v>109</v>
      </c>
      <c r="B135" s="13" t="s">
        <v>1049</v>
      </c>
      <c r="C135" s="174" t="s">
        <v>1980</v>
      </c>
      <c r="D135" s="175"/>
      <c r="E135" s="175"/>
      <c r="F135" s="175"/>
      <c r="G135" s="13" t="s">
        <v>2854</v>
      </c>
      <c r="H135" s="82">
        <v>33.951999999999998</v>
      </c>
      <c r="I135" s="109">
        <v>0</v>
      </c>
      <c r="J135" s="20">
        <f>H135*AO135</f>
        <v>0</v>
      </c>
      <c r="K135" s="20">
        <f>H135*AP135</f>
        <v>0</v>
      </c>
      <c r="L135" s="20">
        <f>H135*I135</f>
        <v>0</v>
      </c>
      <c r="M135" s="31" t="s">
        <v>2884</v>
      </c>
      <c r="N135" s="5"/>
      <c r="Z135" s="36">
        <f>IF(AQ135="5",BJ135,0)</f>
        <v>0</v>
      </c>
      <c r="AB135" s="36">
        <f>IF(AQ135="1",BH135,0)</f>
        <v>0</v>
      </c>
      <c r="AC135" s="36">
        <f>IF(AQ135="1",BI135,0)</f>
        <v>0</v>
      </c>
      <c r="AD135" s="36">
        <f>IF(AQ135="7",BH135,0)</f>
        <v>0</v>
      </c>
      <c r="AE135" s="36">
        <f>IF(AQ135="7",BI135,0)</f>
        <v>0</v>
      </c>
      <c r="AF135" s="36">
        <f>IF(AQ135="2",BH135,0)</f>
        <v>0</v>
      </c>
      <c r="AG135" s="36">
        <f>IF(AQ135="2",BI135,0)</f>
        <v>0</v>
      </c>
      <c r="AH135" s="36">
        <f>IF(AQ135="0",BJ135,0)</f>
        <v>0</v>
      </c>
      <c r="AI135" s="35" t="s">
        <v>2894</v>
      </c>
      <c r="AJ135" s="20">
        <f>IF(AN135=0,L135,0)</f>
        <v>0</v>
      </c>
      <c r="AK135" s="20">
        <f>IF(AN135=15,L135,0)</f>
        <v>0</v>
      </c>
      <c r="AL135" s="20">
        <f>IF(AN135=21,L135,0)</f>
        <v>0</v>
      </c>
      <c r="AN135" s="36">
        <v>21</v>
      </c>
      <c r="AO135" s="36">
        <f>I135*0.407033102824566</f>
        <v>0</v>
      </c>
      <c r="AP135" s="36">
        <f>I135*(1-0.407033102824566)</f>
        <v>0</v>
      </c>
      <c r="AQ135" s="37" t="s">
        <v>7</v>
      </c>
      <c r="AV135" s="36">
        <f>AW135+AX135</f>
        <v>0</v>
      </c>
      <c r="AW135" s="36">
        <f>H135*AO135</f>
        <v>0</v>
      </c>
      <c r="AX135" s="36">
        <f>H135*AP135</f>
        <v>0</v>
      </c>
      <c r="AY135" s="39" t="s">
        <v>2917</v>
      </c>
      <c r="AZ135" s="39" t="s">
        <v>2951</v>
      </c>
      <c r="BA135" s="35" t="s">
        <v>2967</v>
      </c>
      <c r="BC135" s="36">
        <f>AW135+AX135</f>
        <v>0</v>
      </c>
      <c r="BD135" s="36">
        <f>I135/(100-BE135)*100</f>
        <v>0</v>
      </c>
      <c r="BE135" s="36">
        <v>0</v>
      </c>
      <c r="BF135" s="36">
        <f>135</f>
        <v>135</v>
      </c>
      <c r="BH135" s="20">
        <f>H135*AO135</f>
        <v>0</v>
      </c>
      <c r="BI135" s="20">
        <f>H135*AP135</f>
        <v>0</v>
      </c>
      <c r="BJ135" s="20">
        <f>H135*I135</f>
        <v>0</v>
      </c>
      <c r="BK135" s="20" t="s">
        <v>2978</v>
      </c>
      <c r="BL135" s="36">
        <v>62</v>
      </c>
    </row>
    <row r="136" spans="1:64" x14ac:dyDescent="0.2">
      <c r="A136" s="4" t="s">
        <v>110</v>
      </c>
      <c r="B136" s="13" t="s">
        <v>1050</v>
      </c>
      <c r="C136" s="174" t="s">
        <v>1981</v>
      </c>
      <c r="D136" s="175"/>
      <c r="E136" s="175"/>
      <c r="F136" s="175"/>
      <c r="G136" s="13" t="s">
        <v>2854</v>
      </c>
      <c r="H136" s="82">
        <v>463.78300000000002</v>
      </c>
      <c r="I136" s="109">
        <v>0</v>
      </c>
      <c r="J136" s="20">
        <f>H136*AO136</f>
        <v>0</v>
      </c>
      <c r="K136" s="20">
        <f>H136*AP136</f>
        <v>0</v>
      </c>
      <c r="L136" s="20">
        <f>H136*I136</f>
        <v>0</v>
      </c>
      <c r="M136" s="31" t="s">
        <v>2884</v>
      </c>
      <c r="N136" s="5"/>
      <c r="Z136" s="36">
        <f>IF(AQ136="5",BJ136,0)</f>
        <v>0</v>
      </c>
      <c r="AB136" s="36">
        <f>IF(AQ136="1",BH136,0)</f>
        <v>0</v>
      </c>
      <c r="AC136" s="36">
        <f>IF(AQ136="1",BI136,0)</f>
        <v>0</v>
      </c>
      <c r="AD136" s="36">
        <f>IF(AQ136="7",BH136,0)</f>
        <v>0</v>
      </c>
      <c r="AE136" s="36">
        <f>IF(AQ136="7",BI136,0)</f>
        <v>0</v>
      </c>
      <c r="AF136" s="36">
        <f>IF(AQ136="2",BH136,0)</f>
        <v>0</v>
      </c>
      <c r="AG136" s="36">
        <f>IF(AQ136="2",BI136,0)</f>
        <v>0</v>
      </c>
      <c r="AH136" s="36">
        <f>IF(AQ136="0",BJ136,0)</f>
        <v>0</v>
      </c>
      <c r="AI136" s="35" t="s">
        <v>2894</v>
      </c>
      <c r="AJ136" s="20">
        <f>IF(AN136=0,L136,0)</f>
        <v>0</v>
      </c>
      <c r="AK136" s="20">
        <f>IF(AN136=15,L136,0)</f>
        <v>0</v>
      </c>
      <c r="AL136" s="20">
        <f>IF(AN136=21,L136,0)</f>
        <v>0</v>
      </c>
      <c r="AN136" s="36">
        <v>21</v>
      </c>
      <c r="AO136" s="36">
        <f>I136*0.321326056429553</f>
        <v>0</v>
      </c>
      <c r="AP136" s="36">
        <f>I136*(1-0.321326056429553)</f>
        <v>0</v>
      </c>
      <c r="AQ136" s="37" t="s">
        <v>7</v>
      </c>
      <c r="AV136" s="36">
        <f>AW136+AX136</f>
        <v>0</v>
      </c>
      <c r="AW136" s="36">
        <f>H136*AO136</f>
        <v>0</v>
      </c>
      <c r="AX136" s="36">
        <f>H136*AP136</f>
        <v>0</v>
      </c>
      <c r="AY136" s="39" t="s">
        <v>2917</v>
      </c>
      <c r="AZ136" s="39" t="s">
        <v>2951</v>
      </c>
      <c r="BA136" s="35" t="s">
        <v>2967</v>
      </c>
      <c r="BC136" s="36">
        <f>AW136+AX136</f>
        <v>0</v>
      </c>
      <c r="BD136" s="36">
        <f>I136/(100-BE136)*100</f>
        <v>0</v>
      </c>
      <c r="BE136" s="36">
        <v>0</v>
      </c>
      <c r="BF136" s="36">
        <f>136</f>
        <v>136</v>
      </c>
      <c r="BH136" s="20">
        <f>H136*AO136</f>
        <v>0</v>
      </c>
      <c r="BI136" s="20">
        <f>H136*AP136</f>
        <v>0</v>
      </c>
      <c r="BJ136" s="20">
        <f>H136*I136</f>
        <v>0</v>
      </c>
      <c r="BK136" s="20" t="s">
        <v>2978</v>
      </c>
      <c r="BL136" s="36">
        <v>62</v>
      </c>
    </row>
    <row r="137" spans="1:64" x14ac:dyDescent="0.2">
      <c r="A137" s="4" t="s">
        <v>111</v>
      </c>
      <c r="B137" s="13" t="s">
        <v>1051</v>
      </c>
      <c r="C137" s="174" t="s">
        <v>1982</v>
      </c>
      <c r="D137" s="175"/>
      <c r="E137" s="175"/>
      <c r="F137" s="175"/>
      <c r="G137" s="13" t="s">
        <v>2855</v>
      </c>
      <c r="H137" s="82">
        <v>212.2</v>
      </c>
      <c r="I137" s="109">
        <v>0</v>
      </c>
      <c r="J137" s="20">
        <f>H137*AO137</f>
        <v>0</v>
      </c>
      <c r="K137" s="20">
        <f>H137*AP137</f>
        <v>0</v>
      </c>
      <c r="L137" s="20">
        <f>H137*I137</f>
        <v>0</v>
      </c>
      <c r="M137" s="31" t="s">
        <v>2884</v>
      </c>
      <c r="N137" s="5"/>
      <c r="Z137" s="36">
        <f>IF(AQ137="5",BJ137,0)</f>
        <v>0</v>
      </c>
      <c r="AB137" s="36">
        <f>IF(AQ137="1",BH137,0)</f>
        <v>0</v>
      </c>
      <c r="AC137" s="36">
        <f>IF(AQ137="1",BI137,0)</f>
        <v>0</v>
      </c>
      <c r="AD137" s="36">
        <f>IF(AQ137="7",BH137,0)</f>
        <v>0</v>
      </c>
      <c r="AE137" s="36">
        <f>IF(AQ137="7",BI137,0)</f>
        <v>0</v>
      </c>
      <c r="AF137" s="36">
        <f>IF(AQ137="2",BH137,0)</f>
        <v>0</v>
      </c>
      <c r="AG137" s="36">
        <f>IF(AQ137="2",BI137,0)</f>
        <v>0</v>
      </c>
      <c r="AH137" s="36">
        <f>IF(AQ137="0",BJ137,0)</f>
        <v>0</v>
      </c>
      <c r="AI137" s="35" t="s">
        <v>2894</v>
      </c>
      <c r="AJ137" s="20">
        <f>IF(AN137=0,L137,0)</f>
        <v>0</v>
      </c>
      <c r="AK137" s="20">
        <f>IF(AN137=15,L137,0)</f>
        <v>0</v>
      </c>
      <c r="AL137" s="20">
        <f>IF(AN137=21,L137,0)</f>
        <v>0</v>
      </c>
      <c r="AN137" s="36">
        <v>21</v>
      </c>
      <c r="AO137" s="36">
        <f>I137*0.281002732256462</f>
        <v>0</v>
      </c>
      <c r="AP137" s="36">
        <f>I137*(1-0.281002732256462)</f>
        <v>0</v>
      </c>
      <c r="AQ137" s="37" t="s">
        <v>7</v>
      </c>
      <c r="AV137" s="36">
        <f>AW137+AX137</f>
        <v>0</v>
      </c>
      <c r="AW137" s="36">
        <f>H137*AO137</f>
        <v>0</v>
      </c>
      <c r="AX137" s="36">
        <f>H137*AP137</f>
        <v>0</v>
      </c>
      <c r="AY137" s="39" t="s">
        <v>2917</v>
      </c>
      <c r="AZ137" s="39" t="s">
        <v>2951</v>
      </c>
      <c r="BA137" s="35" t="s">
        <v>2967</v>
      </c>
      <c r="BC137" s="36">
        <f>AW137+AX137</f>
        <v>0</v>
      </c>
      <c r="BD137" s="36">
        <f>I137/(100-BE137)*100</f>
        <v>0</v>
      </c>
      <c r="BE137" s="36">
        <v>0</v>
      </c>
      <c r="BF137" s="36">
        <f>137</f>
        <v>137</v>
      </c>
      <c r="BH137" s="20">
        <f>H137*AO137</f>
        <v>0</v>
      </c>
      <c r="BI137" s="20">
        <f>H137*AP137</f>
        <v>0</v>
      </c>
      <c r="BJ137" s="20">
        <f>H137*I137</f>
        <v>0</v>
      </c>
      <c r="BK137" s="20" t="s">
        <v>2978</v>
      </c>
      <c r="BL137" s="36">
        <v>62</v>
      </c>
    </row>
    <row r="138" spans="1:64" x14ac:dyDescent="0.2">
      <c r="A138" s="4" t="s">
        <v>112</v>
      </c>
      <c r="B138" s="13" t="s">
        <v>1052</v>
      </c>
      <c r="C138" s="174" t="s">
        <v>1983</v>
      </c>
      <c r="D138" s="175"/>
      <c r="E138" s="175"/>
      <c r="F138" s="175"/>
      <c r="G138" s="13" t="s">
        <v>2855</v>
      </c>
      <c r="H138" s="82">
        <v>33.5</v>
      </c>
      <c r="I138" s="109">
        <v>0</v>
      </c>
      <c r="J138" s="20">
        <f>H138*AO138</f>
        <v>0</v>
      </c>
      <c r="K138" s="20">
        <f>H138*AP138</f>
        <v>0</v>
      </c>
      <c r="L138" s="20">
        <f>H138*I138</f>
        <v>0</v>
      </c>
      <c r="M138" s="31" t="s">
        <v>2884</v>
      </c>
      <c r="N138" s="5"/>
      <c r="Z138" s="36">
        <f>IF(AQ138="5",BJ138,0)</f>
        <v>0</v>
      </c>
      <c r="AB138" s="36">
        <f>IF(AQ138="1",BH138,0)</f>
        <v>0</v>
      </c>
      <c r="AC138" s="36">
        <f>IF(AQ138="1",BI138,0)</f>
        <v>0</v>
      </c>
      <c r="AD138" s="36">
        <f>IF(AQ138="7",BH138,0)</f>
        <v>0</v>
      </c>
      <c r="AE138" s="36">
        <f>IF(AQ138="7",BI138,0)</f>
        <v>0</v>
      </c>
      <c r="AF138" s="36">
        <f>IF(AQ138="2",BH138,0)</f>
        <v>0</v>
      </c>
      <c r="AG138" s="36">
        <f>IF(AQ138="2",BI138,0)</f>
        <v>0</v>
      </c>
      <c r="AH138" s="36">
        <f>IF(AQ138="0",BJ138,0)</f>
        <v>0</v>
      </c>
      <c r="AI138" s="35" t="s">
        <v>2894</v>
      </c>
      <c r="AJ138" s="20">
        <f>IF(AN138=0,L138,0)</f>
        <v>0</v>
      </c>
      <c r="AK138" s="20">
        <f>IF(AN138=15,L138,0)</f>
        <v>0</v>
      </c>
      <c r="AL138" s="20">
        <f>IF(AN138=21,L138,0)</f>
        <v>0</v>
      </c>
      <c r="AN138" s="36">
        <v>21</v>
      </c>
      <c r="AO138" s="36">
        <f>I138*0.229495317704733</f>
        <v>0</v>
      </c>
      <c r="AP138" s="36">
        <f>I138*(1-0.229495317704733)</f>
        <v>0</v>
      </c>
      <c r="AQ138" s="37" t="s">
        <v>7</v>
      </c>
      <c r="AV138" s="36">
        <f>AW138+AX138</f>
        <v>0</v>
      </c>
      <c r="AW138" s="36">
        <f>H138*AO138</f>
        <v>0</v>
      </c>
      <c r="AX138" s="36">
        <f>H138*AP138</f>
        <v>0</v>
      </c>
      <c r="AY138" s="39" t="s">
        <v>2917</v>
      </c>
      <c r="AZ138" s="39" t="s">
        <v>2951</v>
      </c>
      <c r="BA138" s="35" t="s">
        <v>2967</v>
      </c>
      <c r="BC138" s="36">
        <f>AW138+AX138</f>
        <v>0</v>
      </c>
      <c r="BD138" s="36">
        <f>I138/(100-BE138)*100</f>
        <v>0</v>
      </c>
      <c r="BE138" s="36">
        <v>0</v>
      </c>
      <c r="BF138" s="36">
        <f>138</f>
        <v>138</v>
      </c>
      <c r="BH138" s="20">
        <f>H138*AO138</f>
        <v>0</v>
      </c>
      <c r="BI138" s="20">
        <f>H138*AP138</f>
        <v>0</v>
      </c>
      <c r="BJ138" s="20">
        <f>H138*I138</f>
        <v>0</v>
      </c>
      <c r="BK138" s="20" t="s">
        <v>2978</v>
      </c>
      <c r="BL138" s="36">
        <v>62</v>
      </c>
    </row>
    <row r="139" spans="1:64" x14ac:dyDescent="0.2">
      <c r="A139" s="4" t="s">
        <v>113</v>
      </c>
      <c r="B139" s="13" t="s">
        <v>1053</v>
      </c>
      <c r="C139" s="174" t="s">
        <v>1984</v>
      </c>
      <c r="D139" s="175"/>
      <c r="E139" s="175"/>
      <c r="F139" s="175"/>
      <c r="G139" s="13" t="s">
        <v>2855</v>
      </c>
      <c r="H139" s="82">
        <v>212.2</v>
      </c>
      <c r="I139" s="109">
        <v>0</v>
      </c>
      <c r="J139" s="20">
        <f>H139*AO139</f>
        <v>0</v>
      </c>
      <c r="K139" s="20">
        <f>H139*AP139</f>
        <v>0</v>
      </c>
      <c r="L139" s="20">
        <f>H139*I139</f>
        <v>0</v>
      </c>
      <c r="M139" s="31" t="s">
        <v>2884</v>
      </c>
      <c r="N139" s="5"/>
      <c r="Z139" s="36">
        <f>IF(AQ139="5",BJ139,0)</f>
        <v>0</v>
      </c>
      <c r="AB139" s="36">
        <f>IF(AQ139="1",BH139,0)</f>
        <v>0</v>
      </c>
      <c r="AC139" s="36">
        <f>IF(AQ139="1",BI139,0)</f>
        <v>0</v>
      </c>
      <c r="AD139" s="36">
        <f>IF(AQ139="7",BH139,0)</f>
        <v>0</v>
      </c>
      <c r="AE139" s="36">
        <f>IF(AQ139="7",BI139,0)</f>
        <v>0</v>
      </c>
      <c r="AF139" s="36">
        <f>IF(AQ139="2",BH139,0)</f>
        <v>0</v>
      </c>
      <c r="AG139" s="36">
        <f>IF(AQ139="2",BI139,0)</f>
        <v>0</v>
      </c>
      <c r="AH139" s="36">
        <f>IF(AQ139="0",BJ139,0)</f>
        <v>0</v>
      </c>
      <c r="AI139" s="35" t="s">
        <v>2894</v>
      </c>
      <c r="AJ139" s="20">
        <f>IF(AN139=0,L139,0)</f>
        <v>0</v>
      </c>
      <c r="AK139" s="20">
        <f>IF(AN139=15,L139,0)</f>
        <v>0</v>
      </c>
      <c r="AL139" s="20">
        <f>IF(AN139=21,L139,0)</f>
        <v>0</v>
      </c>
      <c r="AN139" s="36">
        <v>21</v>
      </c>
      <c r="AO139" s="36">
        <f>I139*0.489308176100629</f>
        <v>0</v>
      </c>
      <c r="AP139" s="36">
        <f>I139*(1-0.489308176100629)</f>
        <v>0</v>
      </c>
      <c r="AQ139" s="37" t="s">
        <v>7</v>
      </c>
      <c r="AV139" s="36">
        <f>AW139+AX139</f>
        <v>0</v>
      </c>
      <c r="AW139" s="36">
        <f>H139*AO139</f>
        <v>0</v>
      </c>
      <c r="AX139" s="36">
        <f>H139*AP139</f>
        <v>0</v>
      </c>
      <c r="AY139" s="39" t="s">
        <v>2917</v>
      </c>
      <c r="AZ139" s="39" t="s">
        <v>2951</v>
      </c>
      <c r="BA139" s="35" t="s">
        <v>2967</v>
      </c>
      <c r="BC139" s="36">
        <f>AW139+AX139</f>
        <v>0</v>
      </c>
      <c r="BD139" s="36">
        <f>I139/(100-BE139)*100</f>
        <v>0</v>
      </c>
      <c r="BE139" s="36">
        <v>0</v>
      </c>
      <c r="BF139" s="36">
        <f>139</f>
        <v>139</v>
      </c>
      <c r="BH139" s="20">
        <f>H139*AO139</f>
        <v>0</v>
      </c>
      <c r="BI139" s="20">
        <f>H139*AP139</f>
        <v>0</v>
      </c>
      <c r="BJ139" s="20">
        <f>H139*I139</f>
        <v>0</v>
      </c>
      <c r="BK139" s="20" t="s">
        <v>2978</v>
      </c>
      <c r="BL139" s="36">
        <v>62</v>
      </c>
    </row>
    <row r="140" spans="1:64" x14ac:dyDescent="0.2">
      <c r="A140" s="3"/>
      <c r="B140" s="12" t="s">
        <v>69</v>
      </c>
      <c r="C140" s="172" t="s">
        <v>1985</v>
      </c>
      <c r="D140" s="173"/>
      <c r="E140" s="173"/>
      <c r="F140" s="173"/>
      <c r="G140" s="18" t="s">
        <v>6</v>
      </c>
      <c r="H140" s="18" t="s">
        <v>6</v>
      </c>
      <c r="I140" s="18" t="s">
        <v>6</v>
      </c>
      <c r="J140" s="41">
        <f>SUM(J141:J145)</f>
        <v>0</v>
      </c>
      <c r="K140" s="41">
        <f>SUM(K141:K145)</f>
        <v>0</v>
      </c>
      <c r="L140" s="41">
        <f>SUM(L141:L145)</f>
        <v>0</v>
      </c>
      <c r="M140" s="30"/>
      <c r="N140" s="5"/>
      <c r="AI140" s="35" t="s">
        <v>2894</v>
      </c>
      <c r="AS140" s="41">
        <f>SUM(AJ141:AJ145)</f>
        <v>0</v>
      </c>
      <c r="AT140" s="41">
        <f>SUM(AK141:AK145)</f>
        <v>0</v>
      </c>
      <c r="AU140" s="41">
        <f>SUM(AL141:AL145)</f>
        <v>0</v>
      </c>
    </row>
    <row r="141" spans="1:64" x14ac:dyDescent="0.2">
      <c r="A141" s="4" t="s">
        <v>114</v>
      </c>
      <c r="B141" s="13" t="s">
        <v>1054</v>
      </c>
      <c r="C141" s="174" t="s">
        <v>1986</v>
      </c>
      <c r="D141" s="175"/>
      <c r="E141" s="175"/>
      <c r="F141" s="175"/>
      <c r="G141" s="13" t="s">
        <v>2853</v>
      </c>
      <c r="H141" s="82">
        <v>6.2119999999999997</v>
      </c>
      <c r="I141" s="109">
        <v>0</v>
      </c>
      <c r="J141" s="20">
        <f>H141*AO141</f>
        <v>0</v>
      </c>
      <c r="K141" s="20">
        <f>H141*AP141</f>
        <v>0</v>
      </c>
      <c r="L141" s="20">
        <f>H141*I141</f>
        <v>0</v>
      </c>
      <c r="M141" s="31" t="s">
        <v>2884</v>
      </c>
      <c r="N141" s="5"/>
      <c r="Z141" s="36">
        <f>IF(AQ141="5",BJ141,0)</f>
        <v>0</v>
      </c>
      <c r="AB141" s="36">
        <f>IF(AQ141="1",BH141,0)</f>
        <v>0</v>
      </c>
      <c r="AC141" s="36">
        <f>IF(AQ141="1",BI141,0)</f>
        <v>0</v>
      </c>
      <c r="AD141" s="36">
        <f>IF(AQ141="7",BH141,0)</f>
        <v>0</v>
      </c>
      <c r="AE141" s="36">
        <f>IF(AQ141="7",BI141,0)</f>
        <v>0</v>
      </c>
      <c r="AF141" s="36">
        <f>IF(AQ141="2",BH141,0)</f>
        <v>0</v>
      </c>
      <c r="AG141" s="36">
        <f>IF(AQ141="2",BI141,0)</f>
        <v>0</v>
      </c>
      <c r="AH141" s="36">
        <f>IF(AQ141="0",BJ141,0)</f>
        <v>0</v>
      </c>
      <c r="AI141" s="35" t="s">
        <v>2894</v>
      </c>
      <c r="AJ141" s="20">
        <f>IF(AN141=0,L141,0)</f>
        <v>0</v>
      </c>
      <c r="AK141" s="20">
        <f>IF(AN141=15,L141,0)</f>
        <v>0</v>
      </c>
      <c r="AL141" s="20">
        <f>IF(AN141=21,L141,0)</f>
        <v>0</v>
      </c>
      <c r="AN141" s="36">
        <v>21</v>
      </c>
      <c r="AO141" s="36">
        <f>I141*0.714722666666667</f>
        <v>0</v>
      </c>
      <c r="AP141" s="36">
        <f>I141*(1-0.714722666666667)</f>
        <v>0</v>
      </c>
      <c r="AQ141" s="37" t="s">
        <v>7</v>
      </c>
      <c r="AV141" s="36">
        <f>AW141+AX141</f>
        <v>0</v>
      </c>
      <c r="AW141" s="36">
        <f>H141*AO141</f>
        <v>0</v>
      </c>
      <c r="AX141" s="36">
        <f>H141*AP141</f>
        <v>0</v>
      </c>
      <c r="AY141" s="39" t="s">
        <v>2918</v>
      </c>
      <c r="AZ141" s="39" t="s">
        <v>2951</v>
      </c>
      <c r="BA141" s="35" t="s">
        <v>2967</v>
      </c>
      <c r="BC141" s="36">
        <f>AW141+AX141</f>
        <v>0</v>
      </c>
      <c r="BD141" s="36">
        <f>I141/(100-BE141)*100</f>
        <v>0</v>
      </c>
      <c r="BE141" s="36">
        <v>0</v>
      </c>
      <c r="BF141" s="36">
        <f>141</f>
        <v>141</v>
      </c>
      <c r="BH141" s="20">
        <f>H141*AO141</f>
        <v>0</v>
      </c>
      <c r="BI141" s="20">
        <f>H141*AP141</f>
        <v>0</v>
      </c>
      <c r="BJ141" s="20">
        <f>H141*I141</f>
        <v>0</v>
      </c>
      <c r="BK141" s="20" t="s">
        <v>2978</v>
      </c>
      <c r="BL141" s="36">
        <v>63</v>
      </c>
    </row>
    <row r="142" spans="1:64" x14ac:dyDescent="0.2">
      <c r="A142" s="4" t="s">
        <v>115</v>
      </c>
      <c r="B142" s="13" t="s">
        <v>1055</v>
      </c>
      <c r="C142" s="174" t="s">
        <v>1987</v>
      </c>
      <c r="D142" s="175"/>
      <c r="E142" s="175"/>
      <c r="F142" s="175"/>
      <c r="G142" s="13" t="s">
        <v>2854</v>
      </c>
      <c r="H142" s="82">
        <v>93</v>
      </c>
      <c r="I142" s="109">
        <v>0</v>
      </c>
      <c r="J142" s="20">
        <f>H142*AO142</f>
        <v>0</v>
      </c>
      <c r="K142" s="20">
        <f>H142*AP142</f>
        <v>0</v>
      </c>
      <c r="L142" s="20">
        <f>H142*I142</f>
        <v>0</v>
      </c>
      <c r="M142" s="31" t="s">
        <v>2884</v>
      </c>
      <c r="N142" s="5"/>
      <c r="Z142" s="36">
        <f>IF(AQ142="5",BJ142,0)</f>
        <v>0</v>
      </c>
      <c r="AB142" s="36">
        <f>IF(AQ142="1",BH142,0)</f>
        <v>0</v>
      </c>
      <c r="AC142" s="36">
        <f>IF(AQ142="1",BI142,0)</f>
        <v>0</v>
      </c>
      <c r="AD142" s="36">
        <f>IF(AQ142="7",BH142,0)</f>
        <v>0</v>
      </c>
      <c r="AE142" s="36">
        <f>IF(AQ142="7",BI142,0)</f>
        <v>0</v>
      </c>
      <c r="AF142" s="36">
        <f>IF(AQ142="2",BH142,0)</f>
        <v>0</v>
      </c>
      <c r="AG142" s="36">
        <f>IF(AQ142="2",BI142,0)</f>
        <v>0</v>
      </c>
      <c r="AH142" s="36">
        <f>IF(AQ142="0",BJ142,0)</f>
        <v>0</v>
      </c>
      <c r="AI142" s="35" t="s">
        <v>2894</v>
      </c>
      <c r="AJ142" s="20">
        <f>IF(AN142=0,L142,0)</f>
        <v>0</v>
      </c>
      <c r="AK142" s="20">
        <f>IF(AN142=15,L142,0)</f>
        <v>0</v>
      </c>
      <c r="AL142" s="20">
        <f>IF(AN142=21,L142,0)</f>
        <v>0</v>
      </c>
      <c r="AN142" s="36">
        <v>21</v>
      </c>
      <c r="AO142" s="36">
        <f>I142*0.801428033121093</f>
        <v>0</v>
      </c>
      <c r="AP142" s="36">
        <f>I142*(1-0.801428033121093)</f>
        <v>0</v>
      </c>
      <c r="AQ142" s="37" t="s">
        <v>7</v>
      </c>
      <c r="AV142" s="36">
        <f>AW142+AX142</f>
        <v>0</v>
      </c>
      <c r="AW142" s="36">
        <f>H142*AO142</f>
        <v>0</v>
      </c>
      <c r="AX142" s="36">
        <f>H142*AP142</f>
        <v>0</v>
      </c>
      <c r="AY142" s="39" t="s">
        <v>2918</v>
      </c>
      <c r="AZ142" s="39" t="s">
        <v>2951</v>
      </c>
      <c r="BA142" s="35" t="s">
        <v>2967</v>
      </c>
      <c r="BC142" s="36">
        <f>AW142+AX142</f>
        <v>0</v>
      </c>
      <c r="BD142" s="36">
        <f>I142/(100-BE142)*100</f>
        <v>0</v>
      </c>
      <c r="BE142" s="36">
        <v>0</v>
      </c>
      <c r="BF142" s="36">
        <f>142</f>
        <v>142</v>
      </c>
      <c r="BH142" s="20">
        <f>H142*AO142</f>
        <v>0</v>
      </c>
      <c r="BI142" s="20">
        <f>H142*AP142</f>
        <v>0</v>
      </c>
      <c r="BJ142" s="20">
        <f>H142*I142</f>
        <v>0</v>
      </c>
      <c r="BK142" s="20" t="s">
        <v>2978</v>
      </c>
      <c r="BL142" s="36">
        <v>63</v>
      </c>
    </row>
    <row r="143" spans="1:64" x14ac:dyDescent="0.2">
      <c r="A143" s="4" t="s">
        <v>116</v>
      </c>
      <c r="B143" s="13" t="s">
        <v>1056</v>
      </c>
      <c r="C143" s="174" t="s">
        <v>1988</v>
      </c>
      <c r="D143" s="175"/>
      <c r="E143" s="175"/>
      <c r="F143" s="175"/>
      <c r="G143" s="13" t="s">
        <v>2854</v>
      </c>
      <c r="H143" s="82">
        <v>339.2</v>
      </c>
      <c r="I143" s="109">
        <v>0</v>
      </c>
      <c r="J143" s="20">
        <f>H143*AO143</f>
        <v>0</v>
      </c>
      <c r="K143" s="20">
        <f>H143*AP143</f>
        <v>0</v>
      </c>
      <c r="L143" s="20">
        <f>H143*I143</f>
        <v>0</v>
      </c>
      <c r="M143" s="31" t="s">
        <v>2884</v>
      </c>
      <c r="N143" s="5"/>
      <c r="Z143" s="36">
        <f>IF(AQ143="5",BJ143,0)</f>
        <v>0</v>
      </c>
      <c r="AB143" s="36">
        <f>IF(AQ143="1",BH143,0)</f>
        <v>0</v>
      </c>
      <c r="AC143" s="36">
        <f>IF(AQ143="1",BI143,0)</f>
        <v>0</v>
      </c>
      <c r="AD143" s="36">
        <f>IF(AQ143="7",BH143,0)</f>
        <v>0</v>
      </c>
      <c r="AE143" s="36">
        <f>IF(AQ143="7",BI143,0)</f>
        <v>0</v>
      </c>
      <c r="AF143" s="36">
        <f>IF(AQ143="2",BH143,0)</f>
        <v>0</v>
      </c>
      <c r="AG143" s="36">
        <f>IF(AQ143="2",BI143,0)</f>
        <v>0</v>
      </c>
      <c r="AH143" s="36">
        <f>IF(AQ143="0",BJ143,0)</f>
        <v>0</v>
      </c>
      <c r="AI143" s="35" t="s">
        <v>2894</v>
      </c>
      <c r="AJ143" s="20">
        <f>IF(AN143=0,L143,0)</f>
        <v>0</v>
      </c>
      <c r="AK143" s="20">
        <f>IF(AN143=15,L143,0)</f>
        <v>0</v>
      </c>
      <c r="AL143" s="20">
        <f>IF(AN143=21,L143,0)</f>
        <v>0</v>
      </c>
      <c r="AN143" s="36">
        <v>21</v>
      </c>
      <c r="AO143" s="36">
        <f>I143*0.783890118130641</f>
        <v>0</v>
      </c>
      <c r="AP143" s="36">
        <f>I143*(1-0.783890118130641)</f>
        <v>0</v>
      </c>
      <c r="AQ143" s="37" t="s">
        <v>7</v>
      </c>
      <c r="AV143" s="36">
        <f>AW143+AX143</f>
        <v>0</v>
      </c>
      <c r="AW143" s="36">
        <f>H143*AO143</f>
        <v>0</v>
      </c>
      <c r="AX143" s="36">
        <f>H143*AP143</f>
        <v>0</v>
      </c>
      <c r="AY143" s="39" t="s">
        <v>2918</v>
      </c>
      <c r="AZ143" s="39" t="s">
        <v>2951</v>
      </c>
      <c r="BA143" s="35" t="s">
        <v>2967</v>
      </c>
      <c r="BC143" s="36">
        <f>AW143+AX143</f>
        <v>0</v>
      </c>
      <c r="BD143" s="36">
        <f>I143/(100-BE143)*100</f>
        <v>0</v>
      </c>
      <c r="BE143" s="36">
        <v>0</v>
      </c>
      <c r="BF143" s="36">
        <f>143</f>
        <v>143</v>
      </c>
      <c r="BH143" s="20">
        <f>H143*AO143</f>
        <v>0</v>
      </c>
      <c r="BI143" s="20">
        <f>H143*AP143</f>
        <v>0</v>
      </c>
      <c r="BJ143" s="20">
        <f>H143*I143</f>
        <v>0</v>
      </c>
      <c r="BK143" s="20" t="s">
        <v>2978</v>
      </c>
      <c r="BL143" s="36">
        <v>63</v>
      </c>
    </row>
    <row r="144" spans="1:64" x14ac:dyDescent="0.2">
      <c r="A144" s="4" t="s">
        <v>117</v>
      </c>
      <c r="B144" s="13" t="s">
        <v>1057</v>
      </c>
      <c r="C144" s="174" t="s">
        <v>1989</v>
      </c>
      <c r="D144" s="175"/>
      <c r="E144" s="175"/>
      <c r="F144" s="175"/>
      <c r="G144" s="13" t="s">
        <v>2855</v>
      </c>
      <c r="H144" s="82">
        <v>414.20800000000003</v>
      </c>
      <c r="I144" s="109">
        <v>0</v>
      </c>
      <c r="J144" s="20">
        <f>H144*AO144</f>
        <v>0</v>
      </c>
      <c r="K144" s="20">
        <f>H144*AP144</f>
        <v>0</v>
      </c>
      <c r="L144" s="20">
        <f>H144*I144</f>
        <v>0</v>
      </c>
      <c r="M144" s="31" t="s">
        <v>2884</v>
      </c>
      <c r="N144" s="5"/>
      <c r="Z144" s="36">
        <f>IF(AQ144="5",BJ144,0)</f>
        <v>0</v>
      </c>
      <c r="AB144" s="36">
        <f>IF(AQ144="1",BH144,0)</f>
        <v>0</v>
      </c>
      <c r="AC144" s="36">
        <f>IF(AQ144="1",BI144,0)</f>
        <v>0</v>
      </c>
      <c r="AD144" s="36">
        <f>IF(AQ144="7",BH144,0)</f>
        <v>0</v>
      </c>
      <c r="AE144" s="36">
        <f>IF(AQ144="7",BI144,0)</f>
        <v>0</v>
      </c>
      <c r="AF144" s="36">
        <f>IF(AQ144="2",BH144,0)</f>
        <v>0</v>
      </c>
      <c r="AG144" s="36">
        <f>IF(AQ144="2",BI144,0)</f>
        <v>0</v>
      </c>
      <c r="AH144" s="36">
        <f>IF(AQ144="0",BJ144,0)</f>
        <v>0</v>
      </c>
      <c r="AI144" s="35" t="s">
        <v>2894</v>
      </c>
      <c r="AJ144" s="20">
        <f>IF(AN144=0,L144,0)</f>
        <v>0</v>
      </c>
      <c r="AK144" s="20">
        <f>IF(AN144=15,L144,0)</f>
        <v>0</v>
      </c>
      <c r="AL144" s="20">
        <f>IF(AN144=21,L144,0)</f>
        <v>0</v>
      </c>
      <c r="AN144" s="36">
        <v>21</v>
      </c>
      <c r="AO144" s="36">
        <f>I144*0.299418597179637</f>
        <v>0</v>
      </c>
      <c r="AP144" s="36">
        <f>I144*(1-0.299418597179637)</f>
        <v>0</v>
      </c>
      <c r="AQ144" s="37" t="s">
        <v>7</v>
      </c>
      <c r="AV144" s="36">
        <f>AW144+AX144</f>
        <v>0</v>
      </c>
      <c r="AW144" s="36">
        <f>H144*AO144</f>
        <v>0</v>
      </c>
      <c r="AX144" s="36">
        <f>H144*AP144</f>
        <v>0</v>
      </c>
      <c r="AY144" s="39" t="s">
        <v>2918</v>
      </c>
      <c r="AZ144" s="39" t="s">
        <v>2951</v>
      </c>
      <c r="BA144" s="35" t="s">
        <v>2967</v>
      </c>
      <c r="BC144" s="36">
        <f>AW144+AX144</f>
        <v>0</v>
      </c>
      <c r="BD144" s="36">
        <f>I144/(100-BE144)*100</f>
        <v>0</v>
      </c>
      <c r="BE144" s="36">
        <v>0</v>
      </c>
      <c r="BF144" s="36">
        <f>144</f>
        <v>144</v>
      </c>
      <c r="BH144" s="20">
        <f>H144*AO144</f>
        <v>0</v>
      </c>
      <c r="BI144" s="20">
        <f>H144*AP144</f>
        <v>0</v>
      </c>
      <c r="BJ144" s="20">
        <f>H144*I144</f>
        <v>0</v>
      </c>
      <c r="BK144" s="20" t="s">
        <v>2978</v>
      </c>
      <c r="BL144" s="36">
        <v>63</v>
      </c>
    </row>
    <row r="145" spans="1:64" x14ac:dyDescent="0.2">
      <c r="A145" s="6" t="s">
        <v>118</v>
      </c>
      <c r="B145" s="15" t="s">
        <v>1058</v>
      </c>
      <c r="C145" s="182" t="s">
        <v>1990</v>
      </c>
      <c r="D145" s="183"/>
      <c r="E145" s="183"/>
      <c r="F145" s="183"/>
      <c r="G145" s="15" t="s">
        <v>2855</v>
      </c>
      <c r="H145" s="84">
        <v>434.91800000000001</v>
      </c>
      <c r="I145" s="110">
        <v>0</v>
      </c>
      <c r="J145" s="21">
        <f>H145*AO145</f>
        <v>0</v>
      </c>
      <c r="K145" s="21">
        <f>H145*AP145</f>
        <v>0</v>
      </c>
      <c r="L145" s="21">
        <f>H145*I145</f>
        <v>0</v>
      </c>
      <c r="M145" s="32" t="s">
        <v>2884</v>
      </c>
      <c r="N145" s="5"/>
      <c r="Z145" s="36">
        <f>IF(AQ145="5",BJ145,0)</f>
        <v>0</v>
      </c>
      <c r="AB145" s="36">
        <f>IF(AQ145="1",BH145,0)</f>
        <v>0</v>
      </c>
      <c r="AC145" s="36">
        <f>IF(AQ145="1",BI145,0)</f>
        <v>0</v>
      </c>
      <c r="AD145" s="36">
        <f>IF(AQ145="7",BH145,0)</f>
        <v>0</v>
      </c>
      <c r="AE145" s="36">
        <f>IF(AQ145="7",BI145,0)</f>
        <v>0</v>
      </c>
      <c r="AF145" s="36">
        <f>IF(AQ145="2",BH145,0)</f>
        <v>0</v>
      </c>
      <c r="AG145" s="36">
        <f>IF(AQ145="2",BI145,0)</f>
        <v>0</v>
      </c>
      <c r="AH145" s="36">
        <f>IF(AQ145="0",BJ145,0)</f>
        <v>0</v>
      </c>
      <c r="AI145" s="35" t="s">
        <v>2894</v>
      </c>
      <c r="AJ145" s="21">
        <f>IF(AN145=0,L145,0)</f>
        <v>0</v>
      </c>
      <c r="AK145" s="21">
        <f>IF(AN145=15,L145,0)</f>
        <v>0</v>
      </c>
      <c r="AL145" s="21">
        <f>IF(AN145=21,L145,0)</f>
        <v>0</v>
      </c>
      <c r="AN145" s="36">
        <v>21</v>
      </c>
      <c r="AO145" s="36">
        <f>I145*1</f>
        <v>0</v>
      </c>
      <c r="AP145" s="36">
        <f>I145*(1-1)</f>
        <v>0</v>
      </c>
      <c r="AQ145" s="38" t="s">
        <v>7</v>
      </c>
      <c r="AV145" s="36">
        <f>AW145+AX145</f>
        <v>0</v>
      </c>
      <c r="AW145" s="36">
        <f>H145*AO145</f>
        <v>0</v>
      </c>
      <c r="AX145" s="36">
        <f>H145*AP145</f>
        <v>0</v>
      </c>
      <c r="AY145" s="39" t="s">
        <v>2918</v>
      </c>
      <c r="AZ145" s="39" t="s">
        <v>2951</v>
      </c>
      <c r="BA145" s="35" t="s">
        <v>2967</v>
      </c>
      <c r="BC145" s="36">
        <f>AW145+AX145</f>
        <v>0</v>
      </c>
      <c r="BD145" s="36">
        <f>I145/(100-BE145)*100</f>
        <v>0</v>
      </c>
      <c r="BE145" s="36">
        <v>0</v>
      </c>
      <c r="BF145" s="36">
        <f>145</f>
        <v>145</v>
      </c>
      <c r="BH145" s="21">
        <f>H145*AO145</f>
        <v>0</v>
      </c>
      <c r="BI145" s="21">
        <f>H145*AP145</f>
        <v>0</v>
      </c>
      <c r="BJ145" s="21">
        <f>H145*I145</f>
        <v>0</v>
      </c>
      <c r="BK145" s="21" t="s">
        <v>2979</v>
      </c>
      <c r="BL145" s="36">
        <v>63</v>
      </c>
    </row>
    <row r="146" spans="1:64" x14ac:dyDescent="0.2">
      <c r="A146" s="3"/>
      <c r="B146" s="12" t="s">
        <v>96</v>
      </c>
      <c r="C146" s="172" t="s">
        <v>1991</v>
      </c>
      <c r="D146" s="173"/>
      <c r="E146" s="173"/>
      <c r="F146" s="173"/>
      <c r="G146" s="18" t="s">
        <v>6</v>
      </c>
      <c r="H146" s="18" t="s">
        <v>6</v>
      </c>
      <c r="I146" s="18" t="s">
        <v>6</v>
      </c>
      <c r="J146" s="41">
        <f>SUM(J147:J147)</f>
        <v>0</v>
      </c>
      <c r="K146" s="41">
        <f>SUM(K147:K147)</f>
        <v>0</v>
      </c>
      <c r="L146" s="41">
        <f>SUM(L147:L147)</f>
        <v>0</v>
      </c>
      <c r="M146" s="30"/>
      <c r="N146" s="5"/>
      <c r="AI146" s="35" t="s">
        <v>2894</v>
      </c>
      <c r="AS146" s="41">
        <f>SUM(AJ147:AJ147)</f>
        <v>0</v>
      </c>
      <c r="AT146" s="41">
        <f>SUM(AK147:AK147)</f>
        <v>0</v>
      </c>
      <c r="AU146" s="41">
        <f>SUM(AL147:AL147)</f>
        <v>0</v>
      </c>
    </row>
    <row r="147" spans="1:64" x14ac:dyDescent="0.2">
      <c r="A147" s="4" t="s">
        <v>119</v>
      </c>
      <c r="B147" s="13" t="s">
        <v>1059</v>
      </c>
      <c r="C147" s="174" t="s">
        <v>1992</v>
      </c>
      <c r="D147" s="175"/>
      <c r="E147" s="175"/>
      <c r="F147" s="175"/>
      <c r="G147" s="13" t="s">
        <v>2857</v>
      </c>
      <c r="H147" s="82">
        <v>180</v>
      </c>
      <c r="I147" s="109">
        <v>0</v>
      </c>
      <c r="J147" s="20">
        <f>H147*AO147</f>
        <v>0</v>
      </c>
      <c r="K147" s="20">
        <f>H147*AP147</f>
        <v>0</v>
      </c>
      <c r="L147" s="20">
        <f>H147*I147</f>
        <v>0</v>
      </c>
      <c r="M147" s="31" t="s">
        <v>2884</v>
      </c>
      <c r="N147" s="5"/>
      <c r="Z147" s="36">
        <f>IF(AQ147="5",BJ147,0)</f>
        <v>0</v>
      </c>
      <c r="AB147" s="36">
        <f>IF(AQ147="1",BH147,0)</f>
        <v>0</v>
      </c>
      <c r="AC147" s="36">
        <f>IF(AQ147="1",BI147,0)</f>
        <v>0</v>
      </c>
      <c r="AD147" s="36">
        <f>IF(AQ147="7",BH147,0)</f>
        <v>0</v>
      </c>
      <c r="AE147" s="36">
        <f>IF(AQ147="7",BI147,0)</f>
        <v>0</v>
      </c>
      <c r="AF147" s="36">
        <f>IF(AQ147="2",BH147,0)</f>
        <v>0</v>
      </c>
      <c r="AG147" s="36">
        <f>IF(AQ147="2",BI147,0)</f>
        <v>0</v>
      </c>
      <c r="AH147" s="36">
        <f>IF(AQ147="0",BJ147,0)</f>
        <v>0</v>
      </c>
      <c r="AI147" s="35" t="s">
        <v>2894</v>
      </c>
      <c r="AJ147" s="20">
        <f>IF(AN147=0,L147,0)</f>
        <v>0</v>
      </c>
      <c r="AK147" s="20">
        <f>IF(AN147=15,L147,0)</f>
        <v>0</v>
      </c>
      <c r="AL147" s="20">
        <f>IF(AN147=21,L147,0)</f>
        <v>0</v>
      </c>
      <c r="AN147" s="36">
        <v>21</v>
      </c>
      <c r="AO147" s="36">
        <f>I147*0</f>
        <v>0</v>
      </c>
      <c r="AP147" s="36">
        <f>I147*(1-0)</f>
        <v>0</v>
      </c>
      <c r="AQ147" s="37" t="s">
        <v>7</v>
      </c>
      <c r="AV147" s="36">
        <f>AW147+AX147</f>
        <v>0</v>
      </c>
      <c r="AW147" s="36">
        <f>H147*AO147</f>
        <v>0</v>
      </c>
      <c r="AX147" s="36">
        <f>H147*AP147</f>
        <v>0</v>
      </c>
      <c r="AY147" s="39" t="s">
        <v>2919</v>
      </c>
      <c r="AZ147" s="39" t="s">
        <v>2952</v>
      </c>
      <c r="BA147" s="35" t="s">
        <v>2967</v>
      </c>
      <c r="BC147" s="36">
        <f>AW147+AX147</f>
        <v>0</v>
      </c>
      <c r="BD147" s="36">
        <f>I147/(100-BE147)*100</f>
        <v>0</v>
      </c>
      <c r="BE147" s="36">
        <v>0</v>
      </c>
      <c r="BF147" s="36">
        <f>147</f>
        <v>147</v>
      </c>
      <c r="BH147" s="20">
        <f>H147*AO147</f>
        <v>0</v>
      </c>
      <c r="BI147" s="20">
        <f>H147*AP147</f>
        <v>0</v>
      </c>
      <c r="BJ147" s="20">
        <f>H147*I147</f>
        <v>0</v>
      </c>
      <c r="BK147" s="20" t="s">
        <v>2978</v>
      </c>
      <c r="BL147" s="36">
        <v>90</v>
      </c>
    </row>
    <row r="148" spans="1:64" x14ac:dyDescent="0.2">
      <c r="A148" s="3"/>
      <c r="B148" s="12" t="s">
        <v>97</v>
      </c>
      <c r="C148" s="172" t="s">
        <v>1993</v>
      </c>
      <c r="D148" s="173"/>
      <c r="E148" s="173"/>
      <c r="F148" s="173"/>
      <c r="G148" s="18" t="s">
        <v>6</v>
      </c>
      <c r="H148" s="18" t="s">
        <v>6</v>
      </c>
      <c r="I148" s="18" t="s">
        <v>6</v>
      </c>
      <c r="J148" s="41">
        <f>SUM(J149:J152)</f>
        <v>0</v>
      </c>
      <c r="K148" s="41">
        <f>SUM(K149:K152)</f>
        <v>0</v>
      </c>
      <c r="L148" s="41">
        <f>SUM(L149:L152)</f>
        <v>0</v>
      </c>
      <c r="M148" s="30"/>
      <c r="N148" s="5"/>
      <c r="AI148" s="35" t="s">
        <v>2894</v>
      </c>
      <c r="AS148" s="41">
        <f>SUM(AJ149:AJ152)</f>
        <v>0</v>
      </c>
      <c r="AT148" s="41">
        <f>SUM(AK149:AK152)</f>
        <v>0</v>
      </c>
      <c r="AU148" s="41">
        <f>SUM(AL149:AL152)</f>
        <v>0</v>
      </c>
    </row>
    <row r="149" spans="1:64" x14ac:dyDescent="0.2">
      <c r="A149" s="4" t="s">
        <v>120</v>
      </c>
      <c r="B149" s="13" t="s">
        <v>1060</v>
      </c>
      <c r="C149" s="174" t="s">
        <v>1994</v>
      </c>
      <c r="D149" s="175"/>
      <c r="E149" s="175"/>
      <c r="F149" s="175"/>
      <c r="G149" s="13" t="s">
        <v>2855</v>
      </c>
      <c r="H149" s="82">
        <v>95</v>
      </c>
      <c r="I149" s="109">
        <v>0</v>
      </c>
      <c r="J149" s="20">
        <f>H149*AO149</f>
        <v>0</v>
      </c>
      <c r="K149" s="20">
        <f>H149*AP149</f>
        <v>0</v>
      </c>
      <c r="L149" s="20">
        <f>H149*I149</f>
        <v>0</v>
      </c>
      <c r="M149" s="31" t="s">
        <v>2884</v>
      </c>
      <c r="N149" s="5"/>
      <c r="Z149" s="36">
        <f>IF(AQ149="5",BJ149,0)</f>
        <v>0</v>
      </c>
      <c r="AB149" s="36">
        <f>IF(AQ149="1",BH149,0)</f>
        <v>0</v>
      </c>
      <c r="AC149" s="36">
        <f>IF(AQ149="1",BI149,0)</f>
        <v>0</v>
      </c>
      <c r="AD149" s="36">
        <f>IF(AQ149="7",BH149,0)</f>
        <v>0</v>
      </c>
      <c r="AE149" s="36">
        <f>IF(AQ149="7",BI149,0)</f>
        <v>0</v>
      </c>
      <c r="AF149" s="36">
        <f>IF(AQ149="2",BH149,0)</f>
        <v>0</v>
      </c>
      <c r="AG149" s="36">
        <f>IF(AQ149="2",BI149,0)</f>
        <v>0</v>
      </c>
      <c r="AH149" s="36">
        <f>IF(AQ149="0",BJ149,0)</f>
        <v>0</v>
      </c>
      <c r="AI149" s="35" t="s">
        <v>2894</v>
      </c>
      <c r="AJ149" s="20">
        <f>IF(AN149=0,L149,0)</f>
        <v>0</v>
      </c>
      <c r="AK149" s="20">
        <f>IF(AN149=15,L149,0)</f>
        <v>0</v>
      </c>
      <c r="AL149" s="20">
        <f>IF(AN149=21,L149,0)</f>
        <v>0</v>
      </c>
      <c r="AN149" s="36">
        <v>21</v>
      </c>
      <c r="AO149" s="36">
        <f>I149*0.566876033057851</f>
        <v>0</v>
      </c>
      <c r="AP149" s="36">
        <f>I149*(1-0.566876033057851)</f>
        <v>0</v>
      </c>
      <c r="AQ149" s="37" t="s">
        <v>7</v>
      </c>
      <c r="AV149" s="36">
        <f>AW149+AX149</f>
        <v>0</v>
      </c>
      <c r="AW149" s="36">
        <f>H149*AO149</f>
        <v>0</v>
      </c>
      <c r="AX149" s="36">
        <f>H149*AP149</f>
        <v>0</v>
      </c>
      <c r="AY149" s="39" t="s">
        <v>2920</v>
      </c>
      <c r="AZ149" s="39" t="s">
        <v>2952</v>
      </c>
      <c r="BA149" s="35" t="s">
        <v>2967</v>
      </c>
      <c r="BC149" s="36">
        <f>AW149+AX149</f>
        <v>0</v>
      </c>
      <c r="BD149" s="36">
        <f>I149/(100-BE149)*100</f>
        <v>0</v>
      </c>
      <c r="BE149" s="36">
        <v>0</v>
      </c>
      <c r="BF149" s="36">
        <f>149</f>
        <v>149</v>
      </c>
      <c r="BH149" s="20">
        <f>H149*AO149</f>
        <v>0</v>
      </c>
      <c r="BI149" s="20">
        <f>H149*AP149</f>
        <v>0</v>
      </c>
      <c r="BJ149" s="20">
        <f>H149*I149</f>
        <v>0</v>
      </c>
      <c r="BK149" s="20" t="s">
        <v>2978</v>
      </c>
      <c r="BL149" s="36">
        <v>91</v>
      </c>
    </row>
    <row r="150" spans="1:64" x14ac:dyDescent="0.2">
      <c r="A150" s="6" t="s">
        <v>121</v>
      </c>
      <c r="B150" s="15" t="s">
        <v>1061</v>
      </c>
      <c r="C150" s="182" t="s">
        <v>1995</v>
      </c>
      <c r="D150" s="183"/>
      <c r="E150" s="183"/>
      <c r="F150" s="183"/>
      <c r="G150" s="15" t="s">
        <v>2852</v>
      </c>
      <c r="H150" s="84">
        <v>99.75</v>
      </c>
      <c r="I150" s="110">
        <v>0</v>
      </c>
      <c r="J150" s="21">
        <f>H150*AO150</f>
        <v>0</v>
      </c>
      <c r="K150" s="21">
        <f>H150*AP150</f>
        <v>0</v>
      </c>
      <c r="L150" s="21">
        <f>H150*I150</f>
        <v>0</v>
      </c>
      <c r="M150" s="32" t="s">
        <v>2884</v>
      </c>
      <c r="N150" s="5"/>
      <c r="Z150" s="36">
        <f>IF(AQ150="5",BJ150,0)</f>
        <v>0</v>
      </c>
      <c r="AB150" s="36">
        <f>IF(AQ150="1",BH150,0)</f>
        <v>0</v>
      </c>
      <c r="AC150" s="36">
        <f>IF(AQ150="1",BI150,0)</f>
        <v>0</v>
      </c>
      <c r="AD150" s="36">
        <f>IF(AQ150="7",BH150,0)</f>
        <v>0</v>
      </c>
      <c r="AE150" s="36">
        <f>IF(AQ150="7",BI150,0)</f>
        <v>0</v>
      </c>
      <c r="AF150" s="36">
        <f>IF(AQ150="2",BH150,0)</f>
        <v>0</v>
      </c>
      <c r="AG150" s="36">
        <f>IF(AQ150="2",BI150,0)</f>
        <v>0</v>
      </c>
      <c r="AH150" s="36">
        <f>IF(AQ150="0",BJ150,0)</f>
        <v>0</v>
      </c>
      <c r="AI150" s="35" t="s">
        <v>2894</v>
      </c>
      <c r="AJ150" s="21">
        <f>IF(AN150=0,L150,0)</f>
        <v>0</v>
      </c>
      <c r="AK150" s="21">
        <f>IF(AN150=15,L150,0)</f>
        <v>0</v>
      </c>
      <c r="AL150" s="21">
        <f>IF(AN150=21,L150,0)</f>
        <v>0</v>
      </c>
      <c r="AN150" s="36">
        <v>21</v>
      </c>
      <c r="AO150" s="36">
        <f>I150*1</f>
        <v>0</v>
      </c>
      <c r="AP150" s="36">
        <f>I150*(1-1)</f>
        <v>0</v>
      </c>
      <c r="AQ150" s="38" t="s">
        <v>7</v>
      </c>
      <c r="AV150" s="36">
        <f>AW150+AX150</f>
        <v>0</v>
      </c>
      <c r="AW150" s="36">
        <f>H150*AO150</f>
        <v>0</v>
      </c>
      <c r="AX150" s="36">
        <f>H150*AP150</f>
        <v>0</v>
      </c>
      <c r="AY150" s="39" t="s">
        <v>2920</v>
      </c>
      <c r="AZ150" s="39" t="s">
        <v>2952</v>
      </c>
      <c r="BA150" s="35" t="s">
        <v>2967</v>
      </c>
      <c r="BC150" s="36">
        <f>AW150+AX150</f>
        <v>0</v>
      </c>
      <c r="BD150" s="36">
        <f>I150/(100-BE150)*100</f>
        <v>0</v>
      </c>
      <c r="BE150" s="36">
        <v>0</v>
      </c>
      <c r="BF150" s="36">
        <f>150</f>
        <v>150</v>
      </c>
      <c r="BH150" s="21">
        <f>H150*AO150</f>
        <v>0</v>
      </c>
      <c r="BI150" s="21">
        <f>H150*AP150</f>
        <v>0</v>
      </c>
      <c r="BJ150" s="21">
        <f>H150*I150</f>
        <v>0</v>
      </c>
      <c r="BK150" s="21" t="s">
        <v>2979</v>
      </c>
      <c r="BL150" s="36">
        <v>91</v>
      </c>
    </row>
    <row r="151" spans="1:64" x14ac:dyDescent="0.2">
      <c r="A151" s="4" t="s">
        <v>122</v>
      </c>
      <c r="B151" s="13" t="s">
        <v>1062</v>
      </c>
      <c r="C151" s="174" t="s">
        <v>1996</v>
      </c>
      <c r="D151" s="175"/>
      <c r="E151" s="175"/>
      <c r="F151" s="175"/>
      <c r="G151" s="13" t="s">
        <v>2853</v>
      </c>
      <c r="H151" s="82">
        <v>4.2750000000000004</v>
      </c>
      <c r="I151" s="109">
        <v>0</v>
      </c>
      <c r="J151" s="20">
        <f>H151*AO151</f>
        <v>0</v>
      </c>
      <c r="K151" s="20">
        <f>H151*AP151</f>
        <v>0</v>
      </c>
      <c r="L151" s="20">
        <f>H151*I151</f>
        <v>0</v>
      </c>
      <c r="M151" s="31" t="s">
        <v>2884</v>
      </c>
      <c r="N151" s="5"/>
      <c r="Z151" s="36">
        <f>IF(AQ151="5",BJ151,0)</f>
        <v>0</v>
      </c>
      <c r="AB151" s="36">
        <f>IF(AQ151="1",BH151,0)</f>
        <v>0</v>
      </c>
      <c r="AC151" s="36">
        <f>IF(AQ151="1",BI151,0)</f>
        <v>0</v>
      </c>
      <c r="AD151" s="36">
        <f>IF(AQ151="7",BH151,0)</f>
        <v>0</v>
      </c>
      <c r="AE151" s="36">
        <f>IF(AQ151="7",BI151,0)</f>
        <v>0</v>
      </c>
      <c r="AF151" s="36">
        <f>IF(AQ151="2",BH151,0)</f>
        <v>0</v>
      </c>
      <c r="AG151" s="36">
        <f>IF(AQ151="2",BI151,0)</f>
        <v>0</v>
      </c>
      <c r="AH151" s="36">
        <f>IF(AQ151="0",BJ151,0)</f>
        <v>0</v>
      </c>
      <c r="AI151" s="35" t="s">
        <v>2894</v>
      </c>
      <c r="AJ151" s="20">
        <f>IF(AN151=0,L151,0)</f>
        <v>0</v>
      </c>
      <c r="AK151" s="20">
        <f>IF(AN151=15,L151,0)</f>
        <v>0</v>
      </c>
      <c r="AL151" s="20">
        <f>IF(AN151=21,L151,0)</f>
        <v>0</v>
      </c>
      <c r="AN151" s="36">
        <v>21</v>
      </c>
      <c r="AO151" s="36">
        <f>I151*0.783546536140137</f>
        <v>0</v>
      </c>
      <c r="AP151" s="36">
        <f>I151*(1-0.783546536140137)</f>
        <v>0</v>
      </c>
      <c r="AQ151" s="37" t="s">
        <v>7</v>
      </c>
      <c r="AV151" s="36">
        <f>AW151+AX151</f>
        <v>0</v>
      </c>
      <c r="AW151" s="36">
        <f>H151*AO151</f>
        <v>0</v>
      </c>
      <c r="AX151" s="36">
        <f>H151*AP151</f>
        <v>0</v>
      </c>
      <c r="AY151" s="39" t="s">
        <v>2920</v>
      </c>
      <c r="AZ151" s="39" t="s">
        <v>2952</v>
      </c>
      <c r="BA151" s="35" t="s">
        <v>2967</v>
      </c>
      <c r="BC151" s="36">
        <f>AW151+AX151</f>
        <v>0</v>
      </c>
      <c r="BD151" s="36">
        <f>I151/(100-BE151)*100</f>
        <v>0</v>
      </c>
      <c r="BE151" s="36">
        <v>0</v>
      </c>
      <c r="BF151" s="36">
        <f>151</f>
        <v>151</v>
      </c>
      <c r="BH151" s="20">
        <f>H151*AO151</f>
        <v>0</v>
      </c>
      <c r="BI151" s="20">
        <f>H151*AP151</f>
        <v>0</v>
      </c>
      <c r="BJ151" s="20">
        <f>H151*I151</f>
        <v>0</v>
      </c>
      <c r="BK151" s="20" t="s">
        <v>2978</v>
      </c>
      <c r="BL151" s="36">
        <v>91</v>
      </c>
    </row>
    <row r="152" spans="1:64" x14ac:dyDescent="0.2">
      <c r="A152" s="4" t="s">
        <v>123</v>
      </c>
      <c r="B152" s="13" t="s">
        <v>1063</v>
      </c>
      <c r="C152" s="174" t="s">
        <v>1997</v>
      </c>
      <c r="D152" s="175"/>
      <c r="E152" s="175"/>
      <c r="F152" s="175"/>
      <c r="G152" s="13" t="s">
        <v>2852</v>
      </c>
      <c r="H152" s="82">
        <v>1</v>
      </c>
      <c r="I152" s="109">
        <v>0</v>
      </c>
      <c r="J152" s="20">
        <f>H152*AO152</f>
        <v>0</v>
      </c>
      <c r="K152" s="20">
        <f>H152*AP152</f>
        <v>0</v>
      </c>
      <c r="L152" s="20">
        <f>H152*I152</f>
        <v>0</v>
      </c>
      <c r="M152" s="31" t="s">
        <v>2884</v>
      </c>
      <c r="N152" s="5"/>
      <c r="Z152" s="36">
        <f>IF(AQ152="5",BJ152,0)</f>
        <v>0</v>
      </c>
      <c r="AB152" s="36">
        <f>IF(AQ152="1",BH152,0)</f>
        <v>0</v>
      </c>
      <c r="AC152" s="36">
        <f>IF(AQ152="1",BI152,0)</f>
        <v>0</v>
      </c>
      <c r="AD152" s="36">
        <f>IF(AQ152="7",BH152,0)</f>
        <v>0</v>
      </c>
      <c r="AE152" s="36">
        <f>IF(AQ152="7",BI152,0)</f>
        <v>0</v>
      </c>
      <c r="AF152" s="36">
        <f>IF(AQ152="2",BH152,0)</f>
        <v>0</v>
      </c>
      <c r="AG152" s="36">
        <f>IF(AQ152="2",BI152,0)</f>
        <v>0</v>
      </c>
      <c r="AH152" s="36">
        <f>IF(AQ152="0",BJ152,0)</f>
        <v>0</v>
      </c>
      <c r="AI152" s="35" t="s">
        <v>2894</v>
      </c>
      <c r="AJ152" s="20">
        <f>IF(AN152=0,L152,0)</f>
        <v>0</v>
      </c>
      <c r="AK152" s="20">
        <f>IF(AN152=15,L152,0)</f>
        <v>0</v>
      </c>
      <c r="AL152" s="20">
        <f>IF(AN152=21,L152,0)</f>
        <v>0</v>
      </c>
      <c r="AN152" s="36">
        <v>21</v>
      </c>
      <c r="AO152" s="36">
        <f>I152*0.836755947607592</f>
        <v>0</v>
      </c>
      <c r="AP152" s="36">
        <f>I152*(1-0.836755947607592)</f>
        <v>0</v>
      </c>
      <c r="AQ152" s="37" t="s">
        <v>7</v>
      </c>
      <c r="AV152" s="36">
        <f>AW152+AX152</f>
        <v>0</v>
      </c>
      <c r="AW152" s="36">
        <f>H152*AO152</f>
        <v>0</v>
      </c>
      <c r="AX152" s="36">
        <f>H152*AP152</f>
        <v>0</v>
      </c>
      <c r="AY152" s="39" t="s">
        <v>2920</v>
      </c>
      <c r="AZ152" s="39" t="s">
        <v>2952</v>
      </c>
      <c r="BA152" s="35" t="s">
        <v>2967</v>
      </c>
      <c r="BC152" s="36">
        <f>AW152+AX152</f>
        <v>0</v>
      </c>
      <c r="BD152" s="36">
        <f>I152/(100-BE152)*100</f>
        <v>0</v>
      </c>
      <c r="BE152" s="36">
        <v>0</v>
      </c>
      <c r="BF152" s="36">
        <f>152</f>
        <v>152</v>
      </c>
      <c r="BH152" s="20">
        <f>H152*AO152</f>
        <v>0</v>
      </c>
      <c r="BI152" s="20">
        <f>H152*AP152</f>
        <v>0</v>
      </c>
      <c r="BJ152" s="20">
        <f>H152*I152</f>
        <v>0</v>
      </c>
      <c r="BK152" s="20" t="s">
        <v>2978</v>
      </c>
      <c r="BL152" s="36">
        <v>91</v>
      </c>
    </row>
    <row r="153" spans="1:64" ht="25.7" customHeight="1" x14ac:dyDescent="0.2">
      <c r="A153" s="5"/>
      <c r="B153" s="14"/>
      <c r="C153" s="179" t="s">
        <v>1998</v>
      </c>
      <c r="D153" s="180"/>
      <c r="E153" s="180"/>
      <c r="F153" s="180"/>
      <c r="G153" s="180"/>
      <c r="H153" s="180"/>
      <c r="I153" s="180"/>
      <c r="J153" s="180"/>
      <c r="K153" s="180"/>
      <c r="L153" s="180"/>
      <c r="M153" s="181"/>
      <c r="N153" s="5"/>
    </row>
    <row r="154" spans="1:64" x14ac:dyDescent="0.2">
      <c r="A154" s="3"/>
      <c r="B154" s="12" t="s">
        <v>100</v>
      </c>
      <c r="C154" s="172" t="s">
        <v>1999</v>
      </c>
      <c r="D154" s="173"/>
      <c r="E154" s="173"/>
      <c r="F154" s="173"/>
      <c r="G154" s="18" t="s">
        <v>6</v>
      </c>
      <c r="H154" s="18" t="s">
        <v>6</v>
      </c>
      <c r="I154" s="18" t="s">
        <v>6</v>
      </c>
      <c r="J154" s="41">
        <f>SUM(J155:J162)</f>
        <v>0</v>
      </c>
      <c r="K154" s="41">
        <f>SUM(K155:K162)</f>
        <v>0</v>
      </c>
      <c r="L154" s="41">
        <f>SUM(L155:L162)</f>
        <v>0</v>
      </c>
      <c r="M154" s="30"/>
      <c r="N154" s="5"/>
      <c r="AI154" s="35" t="s">
        <v>2894</v>
      </c>
      <c r="AS154" s="41">
        <f>SUM(AJ155:AJ162)</f>
        <v>0</v>
      </c>
      <c r="AT154" s="41">
        <f>SUM(AK155:AK162)</f>
        <v>0</v>
      </c>
      <c r="AU154" s="41">
        <f>SUM(AL155:AL162)</f>
        <v>0</v>
      </c>
    </row>
    <row r="155" spans="1:64" x14ac:dyDescent="0.2">
      <c r="A155" s="4" t="s">
        <v>124</v>
      </c>
      <c r="B155" s="13" t="s">
        <v>1064</v>
      </c>
      <c r="C155" s="174" t="s">
        <v>2000</v>
      </c>
      <c r="D155" s="175"/>
      <c r="E155" s="175"/>
      <c r="F155" s="175"/>
      <c r="G155" s="13" t="s">
        <v>2854</v>
      </c>
      <c r="H155" s="82">
        <v>561.04600000000005</v>
      </c>
      <c r="I155" s="109">
        <v>0</v>
      </c>
      <c r="J155" s="20">
        <f t="shared" ref="J155:J162" si="112">H155*AO155</f>
        <v>0</v>
      </c>
      <c r="K155" s="20">
        <f t="shared" ref="K155:K162" si="113">H155*AP155</f>
        <v>0</v>
      </c>
      <c r="L155" s="20">
        <f t="shared" ref="L155:L162" si="114">H155*I155</f>
        <v>0</v>
      </c>
      <c r="M155" s="31" t="s">
        <v>2884</v>
      </c>
      <c r="N155" s="5"/>
      <c r="Z155" s="36">
        <f t="shared" ref="Z155:Z162" si="115">IF(AQ155="5",BJ155,0)</f>
        <v>0</v>
      </c>
      <c r="AB155" s="36">
        <f t="shared" ref="AB155:AB162" si="116">IF(AQ155="1",BH155,0)</f>
        <v>0</v>
      </c>
      <c r="AC155" s="36">
        <f t="shared" ref="AC155:AC162" si="117">IF(AQ155="1",BI155,0)</f>
        <v>0</v>
      </c>
      <c r="AD155" s="36">
        <f t="shared" ref="AD155:AD162" si="118">IF(AQ155="7",BH155,0)</f>
        <v>0</v>
      </c>
      <c r="AE155" s="36">
        <f t="shared" ref="AE155:AE162" si="119">IF(AQ155="7",BI155,0)</f>
        <v>0</v>
      </c>
      <c r="AF155" s="36">
        <f t="shared" ref="AF155:AF162" si="120">IF(AQ155="2",BH155,0)</f>
        <v>0</v>
      </c>
      <c r="AG155" s="36">
        <f t="shared" ref="AG155:AG162" si="121">IF(AQ155="2",BI155,0)</f>
        <v>0</v>
      </c>
      <c r="AH155" s="36">
        <f t="shared" ref="AH155:AH162" si="122">IF(AQ155="0",BJ155,0)</f>
        <v>0</v>
      </c>
      <c r="AI155" s="35" t="s">
        <v>2894</v>
      </c>
      <c r="AJ155" s="20">
        <f t="shared" ref="AJ155:AJ162" si="123">IF(AN155=0,L155,0)</f>
        <v>0</v>
      </c>
      <c r="AK155" s="20">
        <f t="shared" ref="AK155:AK162" si="124">IF(AN155=15,L155,0)</f>
        <v>0</v>
      </c>
      <c r="AL155" s="20">
        <f t="shared" ref="AL155:AL162" si="125">IF(AN155=21,L155,0)</f>
        <v>0</v>
      </c>
      <c r="AN155" s="36">
        <v>21</v>
      </c>
      <c r="AO155" s="36">
        <f>I155*0.000457317043349449</f>
        <v>0</v>
      </c>
      <c r="AP155" s="36">
        <f>I155*(1-0.000457317043349449)</f>
        <v>0</v>
      </c>
      <c r="AQ155" s="37" t="s">
        <v>7</v>
      </c>
      <c r="AV155" s="36">
        <f t="shared" ref="AV155:AV162" si="126">AW155+AX155</f>
        <v>0</v>
      </c>
      <c r="AW155" s="36">
        <f t="shared" ref="AW155:AW162" si="127">H155*AO155</f>
        <v>0</v>
      </c>
      <c r="AX155" s="36">
        <f t="shared" ref="AX155:AX162" si="128">H155*AP155</f>
        <v>0</v>
      </c>
      <c r="AY155" s="39" t="s">
        <v>2921</v>
      </c>
      <c r="AZ155" s="39" t="s">
        <v>2952</v>
      </c>
      <c r="BA155" s="35" t="s">
        <v>2967</v>
      </c>
      <c r="BC155" s="36">
        <f t="shared" ref="BC155:BC162" si="129">AW155+AX155</f>
        <v>0</v>
      </c>
      <c r="BD155" s="36">
        <f t="shared" ref="BD155:BD162" si="130">I155/(100-BE155)*100</f>
        <v>0</v>
      </c>
      <c r="BE155" s="36">
        <v>0</v>
      </c>
      <c r="BF155" s="36">
        <f>155</f>
        <v>155</v>
      </c>
      <c r="BH155" s="20">
        <f t="shared" ref="BH155:BH162" si="131">H155*AO155</f>
        <v>0</v>
      </c>
      <c r="BI155" s="20">
        <f t="shared" ref="BI155:BI162" si="132">H155*AP155</f>
        <v>0</v>
      </c>
      <c r="BJ155" s="20">
        <f t="shared" ref="BJ155:BJ162" si="133">H155*I155</f>
        <v>0</v>
      </c>
      <c r="BK155" s="20" t="s">
        <v>2978</v>
      </c>
      <c r="BL155" s="36">
        <v>94</v>
      </c>
    </row>
    <row r="156" spans="1:64" x14ac:dyDescent="0.2">
      <c r="A156" s="4" t="s">
        <v>125</v>
      </c>
      <c r="B156" s="13" t="s">
        <v>1065</v>
      </c>
      <c r="C156" s="174" t="s">
        <v>2001</v>
      </c>
      <c r="D156" s="175"/>
      <c r="E156" s="175"/>
      <c r="F156" s="175"/>
      <c r="G156" s="13" t="s">
        <v>2854</v>
      </c>
      <c r="H156" s="82">
        <v>1122.0920000000001</v>
      </c>
      <c r="I156" s="109">
        <v>0</v>
      </c>
      <c r="J156" s="20">
        <f t="shared" si="112"/>
        <v>0</v>
      </c>
      <c r="K156" s="20">
        <f t="shared" si="113"/>
        <v>0</v>
      </c>
      <c r="L156" s="20">
        <f t="shared" si="114"/>
        <v>0</v>
      </c>
      <c r="M156" s="31" t="s">
        <v>2884</v>
      </c>
      <c r="N156" s="5"/>
      <c r="Z156" s="36">
        <f t="shared" si="115"/>
        <v>0</v>
      </c>
      <c r="AB156" s="36">
        <f t="shared" si="116"/>
        <v>0</v>
      </c>
      <c r="AC156" s="36">
        <f t="shared" si="117"/>
        <v>0</v>
      </c>
      <c r="AD156" s="36">
        <f t="shared" si="118"/>
        <v>0</v>
      </c>
      <c r="AE156" s="36">
        <f t="shared" si="119"/>
        <v>0</v>
      </c>
      <c r="AF156" s="36">
        <f t="shared" si="120"/>
        <v>0</v>
      </c>
      <c r="AG156" s="36">
        <f t="shared" si="121"/>
        <v>0</v>
      </c>
      <c r="AH156" s="36">
        <f t="shared" si="122"/>
        <v>0</v>
      </c>
      <c r="AI156" s="35" t="s">
        <v>2894</v>
      </c>
      <c r="AJ156" s="20">
        <f t="shared" si="123"/>
        <v>0</v>
      </c>
      <c r="AK156" s="20">
        <f t="shared" si="124"/>
        <v>0</v>
      </c>
      <c r="AL156" s="20">
        <f t="shared" si="125"/>
        <v>0</v>
      </c>
      <c r="AN156" s="36">
        <v>21</v>
      </c>
      <c r="AO156" s="36">
        <f>I156*0.915409729074583</f>
        <v>0</v>
      </c>
      <c r="AP156" s="36">
        <f>I156*(1-0.915409729074583)</f>
        <v>0</v>
      </c>
      <c r="AQ156" s="37" t="s">
        <v>7</v>
      </c>
      <c r="AV156" s="36">
        <f t="shared" si="126"/>
        <v>0</v>
      </c>
      <c r="AW156" s="36">
        <f t="shared" si="127"/>
        <v>0</v>
      </c>
      <c r="AX156" s="36">
        <f t="shared" si="128"/>
        <v>0</v>
      </c>
      <c r="AY156" s="39" t="s">
        <v>2921</v>
      </c>
      <c r="AZ156" s="39" t="s">
        <v>2952</v>
      </c>
      <c r="BA156" s="35" t="s">
        <v>2967</v>
      </c>
      <c r="BC156" s="36">
        <f t="shared" si="129"/>
        <v>0</v>
      </c>
      <c r="BD156" s="36">
        <f t="shared" si="130"/>
        <v>0</v>
      </c>
      <c r="BE156" s="36">
        <v>0</v>
      </c>
      <c r="BF156" s="36">
        <f>156</f>
        <v>156</v>
      </c>
      <c r="BH156" s="20">
        <f t="shared" si="131"/>
        <v>0</v>
      </c>
      <c r="BI156" s="20">
        <f t="shared" si="132"/>
        <v>0</v>
      </c>
      <c r="BJ156" s="20">
        <f t="shared" si="133"/>
        <v>0</v>
      </c>
      <c r="BK156" s="20" t="s">
        <v>2978</v>
      </c>
      <c r="BL156" s="36">
        <v>94</v>
      </c>
    </row>
    <row r="157" spans="1:64" x14ac:dyDescent="0.2">
      <c r="A157" s="4" t="s">
        <v>126</v>
      </c>
      <c r="B157" s="13" t="s">
        <v>1066</v>
      </c>
      <c r="C157" s="174" t="s">
        <v>2002</v>
      </c>
      <c r="D157" s="175"/>
      <c r="E157" s="175"/>
      <c r="F157" s="175"/>
      <c r="G157" s="13" t="s">
        <v>2854</v>
      </c>
      <c r="H157" s="82">
        <v>561.04600000000005</v>
      </c>
      <c r="I157" s="109">
        <v>0</v>
      </c>
      <c r="J157" s="20">
        <f t="shared" si="112"/>
        <v>0</v>
      </c>
      <c r="K157" s="20">
        <f t="shared" si="113"/>
        <v>0</v>
      </c>
      <c r="L157" s="20">
        <f t="shared" si="114"/>
        <v>0</v>
      </c>
      <c r="M157" s="31" t="s">
        <v>2884</v>
      </c>
      <c r="N157" s="5"/>
      <c r="Z157" s="36">
        <f t="shared" si="115"/>
        <v>0</v>
      </c>
      <c r="AB157" s="36">
        <f t="shared" si="116"/>
        <v>0</v>
      </c>
      <c r="AC157" s="36">
        <f t="shared" si="117"/>
        <v>0</v>
      </c>
      <c r="AD157" s="36">
        <f t="shared" si="118"/>
        <v>0</v>
      </c>
      <c r="AE157" s="36">
        <f t="shared" si="119"/>
        <v>0</v>
      </c>
      <c r="AF157" s="36">
        <f t="shared" si="120"/>
        <v>0</v>
      </c>
      <c r="AG157" s="36">
        <f t="shared" si="121"/>
        <v>0</v>
      </c>
      <c r="AH157" s="36">
        <f t="shared" si="122"/>
        <v>0</v>
      </c>
      <c r="AI157" s="35" t="s">
        <v>2894</v>
      </c>
      <c r="AJ157" s="20">
        <f t="shared" si="123"/>
        <v>0</v>
      </c>
      <c r="AK157" s="20">
        <f t="shared" si="124"/>
        <v>0</v>
      </c>
      <c r="AL157" s="20">
        <f t="shared" si="125"/>
        <v>0</v>
      </c>
      <c r="AN157" s="36">
        <v>21</v>
      </c>
      <c r="AO157" s="36">
        <f>I157*0</f>
        <v>0</v>
      </c>
      <c r="AP157" s="36">
        <f>I157*(1-0)</f>
        <v>0</v>
      </c>
      <c r="AQ157" s="37" t="s">
        <v>7</v>
      </c>
      <c r="AV157" s="36">
        <f t="shared" si="126"/>
        <v>0</v>
      </c>
      <c r="AW157" s="36">
        <f t="shared" si="127"/>
        <v>0</v>
      </c>
      <c r="AX157" s="36">
        <f t="shared" si="128"/>
        <v>0</v>
      </c>
      <c r="AY157" s="39" t="s">
        <v>2921</v>
      </c>
      <c r="AZ157" s="39" t="s">
        <v>2952</v>
      </c>
      <c r="BA157" s="35" t="s">
        <v>2967</v>
      </c>
      <c r="BC157" s="36">
        <f t="shared" si="129"/>
        <v>0</v>
      </c>
      <c r="BD157" s="36">
        <f t="shared" si="130"/>
        <v>0</v>
      </c>
      <c r="BE157" s="36">
        <v>0</v>
      </c>
      <c r="BF157" s="36">
        <f>157</f>
        <v>157</v>
      </c>
      <c r="BH157" s="20">
        <f t="shared" si="131"/>
        <v>0</v>
      </c>
      <c r="BI157" s="20">
        <f t="shared" si="132"/>
        <v>0</v>
      </c>
      <c r="BJ157" s="20">
        <f t="shared" si="133"/>
        <v>0</v>
      </c>
      <c r="BK157" s="20" t="s">
        <v>2978</v>
      </c>
      <c r="BL157" s="36">
        <v>94</v>
      </c>
    </row>
    <row r="158" spans="1:64" x14ac:dyDescent="0.2">
      <c r="A158" s="4" t="s">
        <v>127</v>
      </c>
      <c r="B158" s="13" t="s">
        <v>1067</v>
      </c>
      <c r="C158" s="174" t="s">
        <v>2003</v>
      </c>
      <c r="D158" s="175"/>
      <c r="E158" s="175"/>
      <c r="F158" s="175"/>
      <c r="G158" s="13" t="s">
        <v>2854</v>
      </c>
      <c r="H158" s="82">
        <v>460.18400000000003</v>
      </c>
      <c r="I158" s="109">
        <v>0</v>
      </c>
      <c r="J158" s="20">
        <f t="shared" si="112"/>
        <v>0</v>
      </c>
      <c r="K158" s="20">
        <f t="shared" si="113"/>
        <v>0</v>
      </c>
      <c r="L158" s="20">
        <f t="shared" si="114"/>
        <v>0</v>
      </c>
      <c r="M158" s="31" t="s">
        <v>2884</v>
      </c>
      <c r="N158" s="5"/>
      <c r="Z158" s="36">
        <f t="shared" si="115"/>
        <v>0</v>
      </c>
      <c r="AB158" s="36">
        <f t="shared" si="116"/>
        <v>0</v>
      </c>
      <c r="AC158" s="36">
        <f t="shared" si="117"/>
        <v>0</v>
      </c>
      <c r="AD158" s="36">
        <f t="shared" si="118"/>
        <v>0</v>
      </c>
      <c r="AE158" s="36">
        <f t="shared" si="119"/>
        <v>0</v>
      </c>
      <c r="AF158" s="36">
        <f t="shared" si="120"/>
        <v>0</v>
      </c>
      <c r="AG158" s="36">
        <f t="shared" si="121"/>
        <v>0</v>
      </c>
      <c r="AH158" s="36">
        <f t="shared" si="122"/>
        <v>0</v>
      </c>
      <c r="AI158" s="35" t="s">
        <v>2894</v>
      </c>
      <c r="AJ158" s="20">
        <f t="shared" si="123"/>
        <v>0</v>
      </c>
      <c r="AK158" s="20">
        <f t="shared" si="124"/>
        <v>0</v>
      </c>
      <c r="AL158" s="20">
        <f t="shared" si="125"/>
        <v>0</v>
      </c>
      <c r="AN158" s="36">
        <v>21</v>
      </c>
      <c r="AO158" s="36">
        <f>I158*0.360833311552594</f>
        <v>0</v>
      </c>
      <c r="AP158" s="36">
        <f>I158*(1-0.360833311552594)</f>
        <v>0</v>
      </c>
      <c r="AQ158" s="37" t="s">
        <v>7</v>
      </c>
      <c r="AV158" s="36">
        <f t="shared" si="126"/>
        <v>0</v>
      </c>
      <c r="AW158" s="36">
        <f t="shared" si="127"/>
        <v>0</v>
      </c>
      <c r="AX158" s="36">
        <f t="shared" si="128"/>
        <v>0</v>
      </c>
      <c r="AY158" s="39" t="s">
        <v>2921</v>
      </c>
      <c r="AZ158" s="39" t="s">
        <v>2952</v>
      </c>
      <c r="BA158" s="35" t="s">
        <v>2967</v>
      </c>
      <c r="BC158" s="36">
        <f t="shared" si="129"/>
        <v>0</v>
      </c>
      <c r="BD158" s="36">
        <f t="shared" si="130"/>
        <v>0</v>
      </c>
      <c r="BE158" s="36">
        <v>0</v>
      </c>
      <c r="BF158" s="36">
        <f>158</f>
        <v>158</v>
      </c>
      <c r="BH158" s="20">
        <f t="shared" si="131"/>
        <v>0</v>
      </c>
      <c r="BI158" s="20">
        <f t="shared" si="132"/>
        <v>0</v>
      </c>
      <c r="BJ158" s="20">
        <f t="shared" si="133"/>
        <v>0</v>
      </c>
      <c r="BK158" s="20" t="s">
        <v>2978</v>
      </c>
      <c r="BL158" s="36">
        <v>94</v>
      </c>
    </row>
    <row r="159" spans="1:64" x14ac:dyDescent="0.2">
      <c r="A159" s="4" t="s">
        <v>128</v>
      </c>
      <c r="B159" s="13" t="s">
        <v>1068</v>
      </c>
      <c r="C159" s="174" t="s">
        <v>2004</v>
      </c>
      <c r="D159" s="175"/>
      <c r="E159" s="175"/>
      <c r="F159" s="175"/>
      <c r="G159" s="13" t="s">
        <v>2854</v>
      </c>
      <c r="H159" s="82">
        <v>432.2</v>
      </c>
      <c r="I159" s="109">
        <v>0</v>
      </c>
      <c r="J159" s="20">
        <f t="shared" si="112"/>
        <v>0</v>
      </c>
      <c r="K159" s="20">
        <f t="shared" si="113"/>
        <v>0</v>
      </c>
      <c r="L159" s="20">
        <f t="shared" si="114"/>
        <v>0</v>
      </c>
      <c r="M159" s="31" t="s">
        <v>2884</v>
      </c>
      <c r="N159" s="5"/>
      <c r="Z159" s="36">
        <f t="shared" si="115"/>
        <v>0</v>
      </c>
      <c r="AB159" s="36">
        <f t="shared" si="116"/>
        <v>0</v>
      </c>
      <c r="AC159" s="36">
        <f t="shared" si="117"/>
        <v>0</v>
      </c>
      <c r="AD159" s="36">
        <f t="shared" si="118"/>
        <v>0</v>
      </c>
      <c r="AE159" s="36">
        <f t="shared" si="119"/>
        <v>0</v>
      </c>
      <c r="AF159" s="36">
        <f t="shared" si="120"/>
        <v>0</v>
      </c>
      <c r="AG159" s="36">
        <f t="shared" si="121"/>
        <v>0</v>
      </c>
      <c r="AH159" s="36">
        <f t="shared" si="122"/>
        <v>0</v>
      </c>
      <c r="AI159" s="35" t="s">
        <v>2894</v>
      </c>
      <c r="AJ159" s="20">
        <f t="shared" si="123"/>
        <v>0</v>
      </c>
      <c r="AK159" s="20">
        <f t="shared" si="124"/>
        <v>0</v>
      </c>
      <c r="AL159" s="20">
        <f t="shared" si="125"/>
        <v>0</v>
      </c>
      <c r="AN159" s="36">
        <v>21</v>
      </c>
      <c r="AO159" s="36">
        <f>I159*0.461538461538462</f>
        <v>0</v>
      </c>
      <c r="AP159" s="36">
        <f>I159*(1-0.461538461538462)</f>
        <v>0</v>
      </c>
      <c r="AQ159" s="37" t="s">
        <v>7</v>
      </c>
      <c r="AV159" s="36">
        <f t="shared" si="126"/>
        <v>0</v>
      </c>
      <c r="AW159" s="36">
        <f t="shared" si="127"/>
        <v>0</v>
      </c>
      <c r="AX159" s="36">
        <f t="shared" si="128"/>
        <v>0</v>
      </c>
      <c r="AY159" s="39" t="s">
        <v>2921</v>
      </c>
      <c r="AZ159" s="39" t="s">
        <v>2952</v>
      </c>
      <c r="BA159" s="35" t="s">
        <v>2967</v>
      </c>
      <c r="BC159" s="36">
        <f t="shared" si="129"/>
        <v>0</v>
      </c>
      <c r="BD159" s="36">
        <f t="shared" si="130"/>
        <v>0</v>
      </c>
      <c r="BE159" s="36">
        <v>0</v>
      </c>
      <c r="BF159" s="36">
        <f>159</f>
        <v>159</v>
      </c>
      <c r="BH159" s="20">
        <f t="shared" si="131"/>
        <v>0</v>
      </c>
      <c r="BI159" s="20">
        <f t="shared" si="132"/>
        <v>0</v>
      </c>
      <c r="BJ159" s="20">
        <f t="shared" si="133"/>
        <v>0</v>
      </c>
      <c r="BK159" s="20" t="s">
        <v>2978</v>
      </c>
      <c r="BL159" s="36">
        <v>94</v>
      </c>
    </row>
    <row r="160" spans="1:64" x14ac:dyDescent="0.2">
      <c r="A160" s="4" t="s">
        <v>129</v>
      </c>
      <c r="B160" s="13" t="s">
        <v>1069</v>
      </c>
      <c r="C160" s="174" t="s">
        <v>2005</v>
      </c>
      <c r="D160" s="175"/>
      <c r="E160" s="175"/>
      <c r="F160" s="175"/>
      <c r="G160" s="13" t="s">
        <v>2854</v>
      </c>
      <c r="H160" s="82">
        <v>551.44600000000003</v>
      </c>
      <c r="I160" s="109">
        <v>0</v>
      </c>
      <c r="J160" s="20">
        <f t="shared" si="112"/>
        <v>0</v>
      </c>
      <c r="K160" s="20">
        <f t="shared" si="113"/>
        <v>0</v>
      </c>
      <c r="L160" s="20">
        <f t="shared" si="114"/>
        <v>0</v>
      </c>
      <c r="M160" s="31" t="s">
        <v>2884</v>
      </c>
      <c r="N160" s="5"/>
      <c r="Z160" s="36">
        <f t="shared" si="115"/>
        <v>0</v>
      </c>
      <c r="AB160" s="36">
        <f t="shared" si="116"/>
        <v>0</v>
      </c>
      <c r="AC160" s="36">
        <f t="shared" si="117"/>
        <v>0</v>
      </c>
      <c r="AD160" s="36">
        <f t="shared" si="118"/>
        <v>0</v>
      </c>
      <c r="AE160" s="36">
        <f t="shared" si="119"/>
        <v>0</v>
      </c>
      <c r="AF160" s="36">
        <f t="shared" si="120"/>
        <v>0</v>
      </c>
      <c r="AG160" s="36">
        <f t="shared" si="121"/>
        <v>0</v>
      </c>
      <c r="AH160" s="36">
        <f t="shared" si="122"/>
        <v>0</v>
      </c>
      <c r="AI160" s="35" t="s">
        <v>2894</v>
      </c>
      <c r="AJ160" s="20">
        <f t="shared" si="123"/>
        <v>0</v>
      </c>
      <c r="AK160" s="20">
        <f t="shared" si="124"/>
        <v>0</v>
      </c>
      <c r="AL160" s="20">
        <f t="shared" si="125"/>
        <v>0</v>
      </c>
      <c r="AN160" s="36">
        <v>21</v>
      </c>
      <c r="AO160" s="36">
        <f>I160*0</f>
        <v>0</v>
      </c>
      <c r="AP160" s="36">
        <f>I160*(1-0)</f>
        <v>0</v>
      </c>
      <c r="AQ160" s="37" t="s">
        <v>7</v>
      </c>
      <c r="AV160" s="36">
        <f t="shared" si="126"/>
        <v>0</v>
      </c>
      <c r="AW160" s="36">
        <f t="shared" si="127"/>
        <v>0</v>
      </c>
      <c r="AX160" s="36">
        <f t="shared" si="128"/>
        <v>0</v>
      </c>
      <c r="AY160" s="39" t="s">
        <v>2921</v>
      </c>
      <c r="AZ160" s="39" t="s">
        <v>2952</v>
      </c>
      <c r="BA160" s="35" t="s">
        <v>2967</v>
      </c>
      <c r="BC160" s="36">
        <f t="shared" si="129"/>
        <v>0</v>
      </c>
      <c r="BD160" s="36">
        <f t="shared" si="130"/>
        <v>0</v>
      </c>
      <c r="BE160" s="36">
        <v>0</v>
      </c>
      <c r="BF160" s="36">
        <f>160</f>
        <v>160</v>
      </c>
      <c r="BH160" s="20">
        <f t="shared" si="131"/>
        <v>0</v>
      </c>
      <c r="BI160" s="20">
        <f t="shared" si="132"/>
        <v>0</v>
      </c>
      <c r="BJ160" s="20">
        <f t="shared" si="133"/>
        <v>0</v>
      </c>
      <c r="BK160" s="20" t="s">
        <v>2978</v>
      </c>
      <c r="BL160" s="36">
        <v>94</v>
      </c>
    </row>
    <row r="161" spans="1:64" x14ac:dyDescent="0.2">
      <c r="A161" s="4" t="s">
        <v>130</v>
      </c>
      <c r="B161" s="13" t="s">
        <v>1070</v>
      </c>
      <c r="C161" s="174" t="s">
        <v>2006</v>
      </c>
      <c r="D161" s="175"/>
      <c r="E161" s="175"/>
      <c r="F161" s="175"/>
      <c r="G161" s="13" t="s">
        <v>2854</v>
      </c>
      <c r="H161" s="82">
        <v>1102.8920000000001</v>
      </c>
      <c r="I161" s="109">
        <v>0</v>
      </c>
      <c r="J161" s="20">
        <f t="shared" si="112"/>
        <v>0</v>
      </c>
      <c r="K161" s="20">
        <f t="shared" si="113"/>
        <v>0</v>
      </c>
      <c r="L161" s="20">
        <f t="shared" si="114"/>
        <v>0</v>
      </c>
      <c r="M161" s="31" t="s">
        <v>2884</v>
      </c>
      <c r="N161" s="5"/>
      <c r="Z161" s="36">
        <f t="shared" si="115"/>
        <v>0</v>
      </c>
      <c r="AB161" s="36">
        <f t="shared" si="116"/>
        <v>0</v>
      </c>
      <c r="AC161" s="36">
        <f t="shared" si="117"/>
        <v>0</v>
      </c>
      <c r="AD161" s="36">
        <f t="shared" si="118"/>
        <v>0</v>
      </c>
      <c r="AE161" s="36">
        <f t="shared" si="119"/>
        <v>0</v>
      </c>
      <c r="AF161" s="36">
        <f t="shared" si="120"/>
        <v>0</v>
      </c>
      <c r="AG161" s="36">
        <f t="shared" si="121"/>
        <v>0</v>
      </c>
      <c r="AH161" s="36">
        <f t="shared" si="122"/>
        <v>0</v>
      </c>
      <c r="AI161" s="35" t="s">
        <v>2894</v>
      </c>
      <c r="AJ161" s="20">
        <f t="shared" si="123"/>
        <v>0</v>
      </c>
      <c r="AK161" s="20">
        <f t="shared" si="124"/>
        <v>0</v>
      </c>
      <c r="AL161" s="20">
        <f t="shared" si="125"/>
        <v>0</v>
      </c>
      <c r="AN161" s="36">
        <v>21</v>
      </c>
      <c r="AO161" s="36">
        <f>I161*1.00000030223579</f>
        <v>0</v>
      </c>
      <c r="AP161" s="36">
        <f>I161*(1-1.00000030223579)</f>
        <v>0</v>
      </c>
      <c r="AQ161" s="37" t="s">
        <v>7</v>
      </c>
      <c r="AV161" s="36">
        <f t="shared" si="126"/>
        <v>0</v>
      </c>
      <c r="AW161" s="36">
        <f t="shared" si="127"/>
        <v>0</v>
      </c>
      <c r="AX161" s="36">
        <f t="shared" si="128"/>
        <v>0</v>
      </c>
      <c r="AY161" s="39" t="s">
        <v>2921</v>
      </c>
      <c r="AZ161" s="39" t="s">
        <v>2952</v>
      </c>
      <c r="BA161" s="35" t="s">
        <v>2967</v>
      </c>
      <c r="BC161" s="36">
        <f t="shared" si="129"/>
        <v>0</v>
      </c>
      <c r="BD161" s="36">
        <f t="shared" si="130"/>
        <v>0</v>
      </c>
      <c r="BE161" s="36">
        <v>0</v>
      </c>
      <c r="BF161" s="36">
        <f>161</f>
        <v>161</v>
      </c>
      <c r="BH161" s="20">
        <f t="shared" si="131"/>
        <v>0</v>
      </c>
      <c r="BI161" s="20">
        <f t="shared" si="132"/>
        <v>0</v>
      </c>
      <c r="BJ161" s="20">
        <f t="shared" si="133"/>
        <v>0</v>
      </c>
      <c r="BK161" s="20" t="s">
        <v>2978</v>
      </c>
      <c r="BL161" s="36">
        <v>94</v>
      </c>
    </row>
    <row r="162" spans="1:64" x14ac:dyDescent="0.2">
      <c r="A162" s="4" t="s">
        <v>131</v>
      </c>
      <c r="B162" s="13" t="s">
        <v>1071</v>
      </c>
      <c r="C162" s="174" t="s">
        <v>2007</v>
      </c>
      <c r="D162" s="175"/>
      <c r="E162" s="175"/>
      <c r="F162" s="175"/>
      <c r="G162" s="13" t="s">
        <v>2854</v>
      </c>
      <c r="H162" s="82">
        <v>551.44600000000003</v>
      </c>
      <c r="I162" s="109">
        <v>0</v>
      </c>
      <c r="J162" s="20">
        <f t="shared" si="112"/>
        <v>0</v>
      </c>
      <c r="K162" s="20">
        <f t="shared" si="113"/>
        <v>0</v>
      </c>
      <c r="L162" s="20">
        <f t="shared" si="114"/>
        <v>0</v>
      </c>
      <c r="M162" s="31" t="s">
        <v>2884</v>
      </c>
      <c r="N162" s="5"/>
      <c r="Z162" s="36">
        <f t="shared" si="115"/>
        <v>0</v>
      </c>
      <c r="AB162" s="36">
        <f t="shared" si="116"/>
        <v>0</v>
      </c>
      <c r="AC162" s="36">
        <f t="shared" si="117"/>
        <v>0</v>
      </c>
      <c r="AD162" s="36">
        <f t="shared" si="118"/>
        <v>0</v>
      </c>
      <c r="AE162" s="36">
        <f t="shared" si="119"/>
        <v>0</v>
      </c>
      <c r="AF162" s="36">
        <f t="shared" si="120"/>
        <v>0</v>
      </c>
      <c r="AG162" s="36">
        <f t="shared" si="121"/>
        <v>0</v>
      </c>
      <c r="AH162" s="36">
        <f t="shared" si="122"/>
        <v>0</v>
      </c>
      <c r="AI162" s="35" t="s">
        <v>2894</v>
      </c>
      <c r="AJ162" s="20">
        <f t="shared" si="123"/>
        <v>0</v>
      </c>
      <c r="AK162" s="20">
        <f t="shared" si="124"/>
        <v>0</v>
      </c>
      <c r="AL162" s="20">
        <f t="shared" si="125"/>
        <v>0</v>
      </c>
      <c r="AN162" s="36">
        <v>21</v>
      </c>
      <c r="AO162" s="36">
        <f>I162*0</f>
        <v>0</v>
      </c>
      <c r="AP162" s="36">
        <f>I162*(1-0)</f>
        <v>0</v>
      </c>
      <c r="AQ162" s="37" t="s">
        <v>7</v>
      </c>
      <c r="AV162" s="36">
        <f t="shared" si="126"/>
        <v>0</v>
      </c>
      <c r="AW162" s="36">
        <f t="shared" si="127"/>
        <v>0</v>
      </c>
      <c r="AX162" s="36">
        <f t="shared" si="128"/>
        <v>0</v>
      </c>
      <c r="AY162" s="39" t="s">
        <v>2921</v>
      </c>
      <c r="AZ162" s="39" t="s">
        <v>2952</v>
      </c>
      <c r="BA162" s="35" t="s">
        <v>2967</v>
      </c>
      <c r="BC162" s="36">
        <f t="shared" si="129"/>
        <v>0</v>
      </c>
      <c r="BD162" s="36">
        <f t="shared" si="130"/>
        <v>0</v>
      </c>
      <c r="BE162" s="36">
        <v>0</v>
      </c>
      <c r="BF162" s="36">
        <f>162</f>
        <v>162</v>
      </c>
      <c r="BH162" s="20">
        <f t="shared" si="131"/>
        <v>0</v>
      </c>
      <c r="BI162" s="20">
        <f t="shared" si="132"/>
        <v>0</v>
      </c>
      <c r="BJ162" s="20">
        <f t="shared" si="133"/>
        <v>0</v>
      </c>
      <c r="BK162" s="20" t="s">
        <v>2978</v>
      </c>
      <c r="BL162" s="36">
        <v>94</v>
      </c>
    </row>
    <row r="163" spans="1:64" x14ac:dyDescent="0.2">
      <c r="A163" s="3"/>
      <c r="B163" s="12" t="s">
        <v>101</v>
      </c>
      <c r="C163" s="172" t="s">
        <v>2008</v>
      </c>
      <c r="D163" s="173"/>
      <c r="E163" s="173"/>
      <c r="F163" s="173"/>
      <c r="G163" s="18" t="s">
        <v>6</v>
      </c>
      <c r="H163" s="18" t="s">
        <v>6</v>
      </c>
      <c r="I163" s="18" t="s">
        <v>6</v>
      </c>
      <c r="J163" s="41">
        <f>SUM(J164:J165)</f>
        <v>0</v>
      </c>
      <c r="K163" s="41">
        <f>SUM(K164:K165)</f>
        <v>0</v>
      </c>
      <c r="L163" s="41">
        <f>SUM(L164:L165)</f>
        <v>0</v>
      </c>
      <c r="M163" s="30"/>
      <c r="N163" s="5"/>
      <c r="AI163" s="35" t="s">
        <v>2894</v>
      </c>
      <c r="AS163" s="41">
        <f>SUM(AJ164:AJ165)</f>
        <v>0</v>
      </c>
      <c r="AT163" s="41">
        <f>SUM(AK164:AK165)</f>
        <v>0</v>
      </c>
      <c r="AU163" s="41">
        <f>SUM(AL164:AL165)</f>
        <v>0</v>
      </c>
    </row>
    <row r="164" spans="1:64" x14ac:dyDescent="0.2">
      <c r="A164" s="4" t="s">
        <v>132</v>
      </c>
      <c r="B164" s="13" t="s">
        <v>1072</v>
      </c>
      <c r="C164" s="174" t="s">
        <v>2009</v>
      </c>
      <c r="D164" s="175"/>
      <c r="E164" s="175"/>
      <c r="F164" s="175"/>
      <c r="G164" s="13" t="s">
        <v>2854</v>
      </c>
      <c r="H164" s="82">
        <v>106.35</v>
      </c>
      <c r="I164" s="109">
        <v>0</v>
      </c>
      <c r="J164" s="20">
        <f>H164*AO164</f>
        <v>0</v>
      </c>
      <c r="K164" s="20">
        <f>H164*AP164</f>
        <v>0</v>
      </c>
      <c r="L164" s="20">
        <f>H164*I164</f>
        <v>0</v>
      </c>
      <c r="M164" s="31" t="s">
        <v>2884</v>
      </c>
      <c r="N164" s="5"/>
      <c r="Z164" s="36">
        <f>IF(AQ164="5",BJ164,0)</f>
        <v>0</v>
      </c>
      <c r="AB164" s="36">
        <f>IF(AQ164="1",BH164,0)</f>
        <v>0</v>
      </c>
      <c r="AC164" s="36">
        <f>IF(AQ164="1",BI164,0)</f>
        <v>0</v>
      </c>
      <c r="AD164" s="36">
        <f>IF(AQ164="7",BH164,0)</f>
        <v>0</v>
      </c>
      <c r="AE164" s="36">
        <f>IF(AQ164="7",BI164,0)</f>
        <v>0</v>
      </c>
      <c r="AF164" s="36">
        <f>IF(AQ164="2",BH164,0)</f>
        <v>0</v>
      </c>
      <c r="AG164" s="36">
        <f>IF(AQ164="2",BI164,0)</f>
        <v>0</v>
      </c>
      <c r="AH164" s="36">
        <f>IF(AQ164="0",BJ164,0)</f>
        <v>0</v>
      </c>
      <c r="AI164" s="35" t="s">
        <v>2894</v>
      </c>
      <c r="AJ164" s="20">
        <f>IF(AN164=0,L164,0)</f>
        <v>0</v>
      </c>
      <c r="AK164" s="20">
        <f>IF(AN164=15,L164,0)</f>
        <v>0</v>
      </c>
      <c r="AL164" s="20">
        <f>IF(AN164=21,L164,0)</f>
        <v>0</v>
      </c>
      <c r="AN164" s="36">
        <v>21</v>
      </c>
      <c r="AO164" s="36">
        <f>I164*0.0194285540299962</f>
        <v>0</v>
      </c>
      <c r="AP164" s="36">
        <f>I164*(1-0.0194285540299962)</f>
        <v>0</v>
      </c>
      <c r="AQ164" s="37" t="s">
        <v>7</v>
      </c>
      <c r="AV164" s="36">
        <f>AW164+AX164</f>
        <v>0</v>
      </c>
      <c r="AW164" s="36">
        <f>H164*AO164</f>
        <v>0</v>
      </c>
      <c r="AX164" s="36">
        <f>H164*AP164</f>
        <v>0</v>
      </c>
      <c r="AY164" s="39" t="s">
        <v>2922</v>
      </c>
      <c r="AZ164" s="39" t="s">
        <v>2952</v>
      </c>
      <c r="BA164" s="35" t="s">
        <v>2967</v>
      </c>
      <c r="BC164" s="36">
        <f>AW164+AX164</f>
        <v>0</v>
      </c>
      <c r="BD164" s="36">
        <f>I164/(100-BE164)*100</f>
        <v>0</v>
      </c>
      <c r="BE164" s="36">
        <v>0</v>
      </c>
      <c r="BF164" s="36">
        <f>164</f>
        <v>164</v>
      </c>
      <c r="BH164" s="20">
        <f>H164*AO164</f>
        <v>0</v>
      </c>
      <c r="BI164" s="20">
        <f>H164*AP164</f>
        <v>0</v>
      </c>
      <c r="BJ164" s="20">
        <f>H164*I164</f>
        <v>0</v>
      </c>
      <c r="BK164" s="20" t="s">
        <v>2978</v>
      </c>
      <c r="BL164" s="36">
        <v>95</v>
      </c>
    </row>
    <row r="165" spans="1:64" x14ac:dyDescent="0.2">
      <c r="A165" s="4" t="s">
        <v>133</v>
      </c>
      <c r="B165" s="13" t="s">
        <v>1073</v>
      </c>
      <c r="C165" s="174" t="s">
        <v>2010</v>
      </c>
      <c r="D165" s="175"/>
      <c r="E165" s="175"/>
      <c r="F165" s="175"/>
      <c r="G165" s="13" t="s">
        <v>2854</v>
      </c>
      <c r="H165" s="82">
        <v>500.2</v>
      </c>
      <c r="I165" s="109">
        <v>0</v>
      </c>
      <c r="J165" s="20">
        <f>H165*AO165</f>
        <v>0</v>
      </c>
      <c r="K165" s="20">
        <f>H165*AP165</f>
        <v>0</v>
      </c>
      <c r="L165" s="20">
        <f>H165*I165</f>
        <v>0</v>
      </c>
      <c r="M165" s="31" t="s">
        <v>2884</v>
      </c>
      <c r="N165" s="5"/>
      <c r="Z165" s="36">
        <f>IF(AQ165="5",BJ165,0)</f>
        <v>0</v>
      </c>
      <c r="AB165" s="36">
        <f>IF(AQ165="1",BH165,0)</f>
        <v>0</v>
      </c>
      <c r="AC165" s="36">
        <f>IF(AQ165="1",BI165,0)</f>
        <v>0</v>
      </c>
      <c r="AD165" s="36">
        <f>IF(AQ165="7",BH165,0)</f>
        <v>0</v>
      </c>
      <c r="AE165" s="36">
        <f>IF(AQ165="7",BI165,0)</f>
        <v>0</v>
      </c>
      <c r="AF165" s="36">
        <f>IF(AQ165="2",BH165,0)</f>
        <v>0</v>
      </c>
      <c r="AG165" s="36">
        <f>IF(AQ165="2",BI165,0)</f>
        <v>0</v>
      </c>
      <c r="AH165" s="36">
        <f>IF(AQ165="0",BJ165,0)</f>
        <v>0</v>
      </c>
      <c r="AI165" s="35" t="s">
        <v>2894</v>
      </c>
      <c r="AJ165" s="20">
        <f>IF(AN165=0,L165,0)</f>
        <v>0</v>
      </c>
      <c r="AK165" s="20">
        <f>IF(AN165=15,L165,0)</f>
        <v>0</v>
      </c>
      <c r="AL165" s="20">
        <f>IF(AN165=21,L165,0)</f>
        <v>0</v>
      </c>
      <c r="AN165" s="36">
        <v>21</v>
      </c>
      <c r="AO165" s="36">
        <f>I165*0.0124696356275304</f>
        <v>0</v>
      </c>
      <c r="AP165" s="36">
        <f>I165*(1-0.0124696356275304)</f>
        <v>0</v>
      </c>
      <c r="AQ165" s="37" t="s">
        <v>7</v>
      </c>
      <c r="AV165" s="36">
        <f>AW165+AX165</f>
        <v>0</v>
      </c>
      <c r="AW165" s="36">
        <f>H165*AO165</f>
        <v>0</v>
      </c>
      <c r="AX165" s="36">
        <f>H165*AP165</f>
        <v>0</v>
      </c>
      <c r="AY165" s="39" t="s">
        <v>2922</v>
      </c>
      <c r="AZ165" s="39" t="s">
        <v>2952</v>
      </c>
      <c r="BA165" s="35" t="s">
        <v>2967</v>
      </c>
      <c r="BC165" s="36">
        <f>AW165+AX165</f>
        <v>0</v>
      </c>
      <c r="BD165" s="36">
        <f>I165/(100-BE165)*100</f>
        <v>0</v>
      </c>
      <c r="BE165" s="36">
        <v>0</v>
      </c>
      <c r="BF165" s="36">
        <f>165</f>
        <v>165</v>
      </c>
      <c r="BH165" s="20">
        <f>H165*AO165</f>
        <v>0</v>
      </c>
      <c r="BI165" s="20">
        <f>H165*AP165</f>
        <v>0</v>
      </c>
      <c r="BJ165" s="20">
        <f>H165*I165</f>
        <v>0</v>
      </c>
      <c r="BK165" s="20" t="s">
        <v>2978</v>
      </c>
      <c r="BL165" s="36">
        <v>95</v>
      </c>
    </row>
    <row r="166" spans="1:64" x14ac:dyDescent="0.2">
      <c r="A166" s="3"/>
      <c r="B166" s="12" t="s">
        <v>1074</v>
      </c>
      <c r="C166" s="172" t="s">
        <v>2011</v>
      </c>
      <c r="D166" s="173"/>
      <c r="E166" s="173"/>
      <c r="F166" s="173"/>
      <c r="G166" s="18" t="s">
        <v>6</v>
      </c>
      <c r="H166" s="18" t="s">
        <v>6</v>
      </c>
      <c r="I166" s="18" t="s">
        <v>6</v>
      </c>
      <c r="J166" s="41">
        <f>SUM(J167:J167)</f>
        <v>0</v>
      </c>
      <c r="K166" s="41">
        <f>SUM(K167:K167)</f>
        <v>0</v>
      </c>
      <c r="L166" s="41">
        <f>SUM(L167:L167)</f>
        <v>0</v>
      </c>
      <c r="M166" s="30"/>
      <c r="N166" s="5"/>
      <c r="AI166" s="35" t="s">
        <v>2894</v>
      </c>
      <c r="AS166" s="41">
        <f>SUM(AJ167:AJ167)</f>
        <v>0</v>
      </c>
      <c r="AT166" s="41">
        <f>SUM(AK167:AK167)</f>
        <v>0</v>
      </c>
      <c r="AU166" s="41">
        <f>SUM(AL167:AL167)</f>
        <v>0</v>
      </c>
    </row>
    <row r="167" spans="1:64" x14ac:dyDescent="0.2">
      <c r="A167" s="4" t="s">
        <v>134</v>
      </c>
      <c r="B167" s="13" t="s">
        <v>1075</v>
      </c>
      <c r="C167" s="174" t="s">
        <v>2012</v>
      </c>
      <c r="D167" s="175"/>
      <c r="E167" s="175"/>
      <c r="F167" s="175"/>
      <c r="G167" s="13" t="s">
        <v>2856</v>
      </c>
      <c r="H167" s="82">
        <v>1606.0409999999999</v>
      </c>
      <c r="I167" s="109">
        <v>0</v>
      </c>
      <c r="J167" s="20">
        <f>H167*AO167</f>
        <v>0</v>
      </c>
      <c r="K167" s="20">
        <f>H167*AP167</f>
        <v>0</v>
      </c>
      <c r="L167" s="20">
        <f>H167*I167</f>
        <v>0</v>
      </c>
      <c r="M167" s="31" t="s">
        <v>2884</v>
      </c>
      <c r="N167" s="5"/>
      <c r="Z167" s="36">
        <f>IF(AQ167="5",BJ167,0)</f>
        <v>0</v>
      </c>
      <c r="AB167" s="36">
        <f>IF(AQ167="1",BH167,0)</f>
        <v>0</v>
      </c>
      <c r="AC167" s="36">
        <f>IF(AQ167="1",BI167,0)</f>
        <v>0</v>
      </c>
      <c r="AD167" s="36">
        <f>IF(AQ167="7",BH167,0)</f>
        <v>0</v>
      </c>
      <c r="AE167" s="36">
        <f>IF(AQ167="7",BI167,0)</f>
        <v>0</v>
      </c>
      <c r="AF167" s="36">
        <f>IF(AQ167="2",BH167,0)</f>
        <v>0</v>
      </c>
      <c r="AG167" s="36">
        <f>IF(AQ167="2",BI167,0)</f>
        <v>0</v>
      </c>
      <c r="AH167" s="36">
        <f>IF(AQ167="0",BJ167,0)</f>
        <v>0</v>
      </c>
      <c r="AI167" s="35" t="s">
        <v>2894</v>
      </c>
      <c r="AJ167" s="20">
        <f>IF(AN167=0,L167,0)</f>
        <v>0</v>
      </c>
      <c r="AK167" s="20">
        <f>IF(AN167=15,L167,0)</f>
        <v>0</v>
      </c>
      <c r="AL167" s="20">
        <f>IF(AN167=21,L167,0)</f>
        <v>0</v>
      </c>
      <c r="AN167" s="36">
        <v>21</v>
      </c>
      <c r="AO167" s="36">
        <f>I167*0</f>
        <v>0</v>
      </c>
      <c r="AP167" s="36">
        <f>I167*(1-0)</f>
        <v>0</v>
      </c>
      <c r="AQ167" s="37" t="s">
        <v>11</v>
      </c>
      <c r="AV167" s="36">
        <f>AW167+AX167</f>
        <v>0</v>
      </c>
      <c r="AW167" s="36">
        <f>H167*AO167</f>
        <v>0</v>
      </c>
      <c r="AX167" s="36">
        <f>H167*AP167</f>
        <v>0</v>
      </c>
      <c r="AY167" s="39" t="s">
        <v>2923</v>
      </c>
      <c r="AZ167" s="39" t="s">
        <v>2952</v>
      </c>
      <c r="BA167" s="35" t="s">
        <v>2967</v>
      </c>
      <c r="BC167" s="36">
        <f>AW167+AX167</f>
        <v>0</v>
      </c>
      <c r="BD167" s="36">
        <f>I167/(100-BE167)*100</f>
        <v>0</v>
      </c>
      <c r="BE167" s="36">
        <v>0</v>
      </c>
      <c r="BF167" s="36">
        <f>167</f>
        <v>167</v>
      </c>
      <c r="BH167" s="20">
        <f>H167*AO167</f>
        <v>0</v>
      </c>
      <c r="BI167" s="20">
        <f>H167*AP167</f>
        <v>0</v>
      </c>
      <c r="BJ167" s="20">
        <f>H167*I167</f>
        <v>0</v>
      </c>
      <c r="BK167" s="20" t="s">
        <v>2978</v>
      </c>
      <c r="BL167" s="36" t="s">
        <v>1074</v>
      </c>
    </row>
    <row r="168" spans="1:64" x14ac:dyDescent="0.2">
      <c r="A168" s="3"/>
      <c r="B168" s="12" t="s">
        <v>717</v>
      </c>
      <c r="C168" s="172" t="s">
        <v>2013</v>
      </c>
      <c r="D168" s="173"/>
      <c r="E168" s="173"/>
      <c r="F168" s="173"/>
      <c r="G168" s="18" t="s">
        <v>6</v>
      </c>
      <c r="H168" s="18" t="s">
        <v>6</v>
      </c>
      <c r="I168" s="18" t="s">
        <v>6</v>
      </c>
      <c r="J168" s="41">
        <f>SUM(J169:J179)</f>
        <v>0</v>
      </c>
      <c r="K168" s="41">
        <f>SUM(K169:K179)</f>
        <v>0</v>
      </c>
      <c r="L168" s="41">
        <f>SUM(L169:L179)</f>
        <v>0</v>
      </c>
      <c r="M168" s="30"/>
      <c r="N168" s="5"/>
      <c r="AI168" s="35" t="s">
        <v>2894</v>
      </c>
      <c r="AS168" s="41">
        <f>SUM(AJ169:AJ179)</f>
        <v>0</v>
      </c>
      <c r="AT168" s="41">
        <f>SUM(AK169:AK179)</f>
        <v>0</v>
      </c>
      <c r="AU168" s="41">
        <f>SUM(AL169:AL179)</f>
        <v>0</v>
      </c>
    </row>
    <row r="169" spans="1:64" x14ac:dyDescent="0.2">
      <c r="A169" s="4" t="s">
        <v>135</v>
      </c>
      <c r="B169" s="13" t="s">
        <v>1076</v>
      </c>
      <c r="C169" s="174" t="s">
        <v>2014</v>
      </c>
      <c r="D169" s="175"/>
      <c r="E169" s="175"/>
      <c r="F169" s="175"/>
      <c r="G169" s="13" t="s">
        <v>2854</v>
      </c>
      <c r="H169" s="82">
        <v>485.83300000000003</v>
      </c>
      <c r="I169" s="109">
        <v>0</v>
      </c>
      <c r="J169" s="20">
        <f t="shared" ref="J169:J179" si="134">H169*AO169</f>
        <v>0</v>
      </c>
      <c r="K169" s="20">
        <f t="shared" ref="K169:K179" si="135">H169*AP169</f>
        <v>0</v>
      </c>
      <c r="L169" s="20">
        <f t="shared" ref="L169:L179" si="136">H169*I169</f>
        <v>0</v>
      </c>
      <c r="M169" s="31" t="s">
        <v>2884</v>
      </c>
      <c r="N169" s="5"/>
      <c r="Z169" s="36">
        <f t="shared" ref="Z169:Z179" si="137">IF(AQ169="5",BJ169,0)</f>
        <v>0</v>
      </c>
      <c r="AB169" s="36">
        <f t="shared" ref="AB169:AB179" si="138">IF(AQ169="1",BH169,0)</f>
        <v>0</v>
      </c>
      <c r="AC169" s="36">
        <f t="shared" ref="AC169:AC179" si="139">IF(AQ169="1",BI169,0)</f>
        <v>0</v>
      </c>
      <c r="AD169" s="36">
        <f t="shared" ref="AD169:AD179" si="140">IF(AQ169="7",BH169,0)</f>
        <v>0</v>
      </c>
      <c r="AE169" s="36">
        <f t="shared" ref="AE169:AE179" si="141">IF(AQ169="7",BI169,0)</f>
        <v>0</v>
      </c>
      <c r="AF169" s="36">
        <f t="shared" ref="AF169:AF179" si="142">IF(AQ169="2",BH169,0)</f>
        <v>0</v>
      </c>
      <c r="AG169" s="36">
        <f t="shared" ref="AG169:AG179" si="143">IF(AQ169="2",BI169,0)</f>
        <v>0</v>
      </c>
      <c r="AH169" s="36">
        <f t="shared" ref="AH169:AH179" si="144">IF(AQ169="0",BJ169,0)</f>
        <v>0</v>
      </c>
      <c r="AI169" s="35" t="s">
        <v>2894</v>
      </c>
      <c r="AJ169" s="20">
        <f t="shared" ref="AJ169:AJ179" si="145">IF(AN169=0,L169,0)</f>
        <v>0</v>
      </c>
      <c r="AK169" s="20">
        <f t="shared" ref="AK169:AK179" si="146">IF(AN169=15,L169,0)</f>
        <v>0</v>
      </c>
      <c r="AL169" s="20">
        <f t="shared" ref="AL169:AL179" si="147">IF(AN169=21,L169,0)</f>
        <v>0</v>
      </c>
      <c r="AN169" s="36">
        <v>21</v>
      </c>
      <c r="AO169" s="36">
        <f>I169*0</f>
        <v>0</v>
      </c>
      <c r="AP169" s="36">
        <f>I169*(1-0)</f>
        <v>0</v>
      </c>
      <c r="AQ169" s="37" t="s">
        <v>13</v>
      </c>
      <c r="AV169" s="36">
        <f t="shared" ref="AV169:AV179" si="148">AW169+AX169</f>
        <v>0</v>
      </c>
      <c r="AW169" s="36">
        <f t="shared" ref="AW169:AW179" si="149">H169*AO169</f>
        <v>0</v>
      </c>
      <c r="AX169" s="36">
        <f t="shared" ref="AX169:AX179" si="150">H169*AP169</f>
        <v>0</v>
      </c>
      <c r="AY169" s="39" t="s">
        <v>2924</v>
      </c>
      <c r="AZ169" s="39" t="s">
        <v>2953</v>
      </c>
      <c r="BA169" s="35" t="s">
        <v>2967</v>
      </c>
      <c r="BC169" s="36">
        <f t="shared" ref="BC169:BC179" si="151">AW169+AX169</f>
        <v>0</v>
      </c>
      <c r="BD169" s="36">
        <f t="shared" ref="BD169:BD179" si="152">I169/(100-BE169)*100</f>
        <v>0</v>
      </c>
      <c r="BE169" s="36">
        <v>0</v>
      </c>
      <c r="BF169" s="36">
        <f>169</f>
        <v>169</v>
      </c>
      <c r="BH169" s="20">
        <f t="shared" ref="BH169:BH179" si="153">H169*AO169</f>
        <v>0</v>
      </c>
      <c r="BI169" s="20">
        <f t="shared" ref="BI169:BI179" si="154">H169*AP169</f>
        <v>0</v>
      </c>
      <c r="BJ169" s="20">
        <f t="shared" ref="BJ169:BJ179" si="155">H169*I169</f>
        <v>0</v>
      </c>
      <c r="BK169" s="20" t="s">
        <v>2978</v>
      </c>
      <c r="BL169" s="36">
        <v>711</v>
      </c>
    </row>
    <row r="170" spans="1:64" x14ac:dyDescent="0.2">
      <c r="A170" s="6" t="s">
        <v>136</v>
      </c>
      <c r="B170" s="15" t="s">
        <v>1077</v>
      </c>
      <c r="C170" s="182" t="s">
        <v>2015</v>
      </c>
      <c r="D170" s="183"/>
      <c r="E170" s="183"/>
      <c r="F170" s="183"/>
      <c r="G170" s="15" t="s">
        <v>2858</v>
      </c>
      <c r="H170" s="84">
        <v>145.75</v>
      </c>
      <c r="I170" s="110">
        <v>0</v>
      </c>
      <c r="J170" s="21">
        <f t="shared" si="134"/>
        <v>0</v>
      </c>
      <c r="K170" s="21">
        <f t="shared" si="135"/>
        <v>0</v>
      </c>
      <c r="L170" s="21">
        <f t="shared" si="136"/>
        <v>0</v>
      </c>
      <c r="M170" s="32" t="s">
        <v>2884</v>
      </c>
      <c r="N170" s="5"/>
      <c r="Z170" s="36">
        <f t="shared" si="137"/>
        <v>0</v>
      </c>
      <c r="AB170" s="36">
        <f t="shared" si="138"/>
        <v>0</v>
      </c>
      <c r="AC170" s="36">
        <f t="shared" si="139"/>
        <v>0</v>
      </c>
      <c r="AD170" s="36">
        <f t="shared" si="140"/>
        <v>0</v>
      </c>
      <c r="AE170" s="36">
        <f t="shared" si="141"/>
        <v>0</v>
      </c>
      <c r="AF170" s="36">
        <f t="shared" si="142"/>
        <v>0</v>
      </c>
      <c r="AG170" s="36">
        <f t="shared" si="143"/>
        <v>0</v>
      </c>
      <c r="AH170" s="36">
        <f t="shared" si="144"/>
        <v>0</v>
      </c>
      <c r="AI170" s="35" t="s">
        <v>2894</v>
      </c>
      <c r="AJ170" s="21">
        <f t="shared" si="145"/>
        <v>0</v>
      </c>
      <c r="AK170" s="21">
        <f t="shared" si="146"/>
        <v>0</v>
      </c>
      <c r="AL170" s="21">
        <f t="shared" si="147"/>
        <v>0</v>
      </c>
      <c r="AN170" s="36">
        <v>21</v>
      </c>
      <c r="AO170" s="36">
        <f>I170*1</f>
        <v>0</v>
      </c>
      <c r="AP170" s="36">
        <f>I170*(1-1)</f>
        <v>0</v>
      </c>
      <c r="AQ170" s="38" t="s">
        <v>13</v>
      </c>
      <c r="AV170" s="36">
        <f t="shared" si="148"/>
        <v>0</v>
      </c>
      <c r="AW170" s="36">
        <f t="shared" si="149"/>
        <v>0</v>
      </c>
      <c r="AX170" s="36">
        <f t="shared" si="150"/>
        <v>0</v>
      </c>
      <c r="AY170" s="39" t="s">
        <v>2924</v>
      </c>
      <c r="AZ170" s="39" t="s">
        <v>2953</v>
      </c>
      <c r="BA170" s="35" t="s">
        <v>2967</v>
      </c>
      <c r="BC170" s="36">
        <f t="shared" si="151"/>
        <v>0</v>
      </c>
      <c r="BD170" s="36">
        <f t="shared" si="152"/>
        <v>0</v>
      </c>
      <c r="BE170" s="36">
        <v>0</v>
      </c>
      <c r="BF170" s="36">
        <f>170</f>
        <v>170</v>
      </c>
      <c r="BH170" s="21">
        <f t="shared" si="153"/>
        <v>0</v>
      </c>
      <c r="BI170" s="21">
        <f t="shared" si="154"/>
        <v>0</v>
      </c>
      <c r="BJ170" s="21">
        <f t="shared" si="155"/>
        <v>0</v>
      </c>
      <c r="BK170" s="21" t="s">
        <v>2979</v>
      </c>
      <c r="BL170" s="36">
        <v>711</v>
      </c>
    </row>
    <row r="171" spans="1:64" x14ac:dyDescent="0.2">
      <c r="A171" s="4" t="s">
        <v>137</v>
      </c>
      <c r="B171" s="13" t="s">
        <v>1078</v>
      </c>
      <c r="C171" s="174" t="s">
        <v>2016</v>
      </c>
      <c r="D171" s="175"/>
      <c r="E171" s="175"/>
      <c r="F171" s="175"/>
      <c r="G171" s="13" t="s">
        <v>2854</v>
      </c>
      <c r="H171" s="82">
        <v>51.753999999999998</v>
      </c>
      <c r="I171" s="109">
        <v>0</v>
      </c>
      <c r="J171" s="20">
        <f t="shared" si="134"/>
        <v>0</v>
      </c>
      <c r="K171" s="20">
        <f t="shared" si="135"/>
        <v>0</v>
      </c>
      <c r="L171" s="20">
        <f t="shared" si="136"/>
        <v>0</v>
      </c>
      <c r="M171" s="31" t="s">
        <v>2884</v>
      </c>
      <c r="N171" s="5"/>
      <c r="Z171" s="36">
        <f t="shared" si="137"/>
        <v>0</v>
      </c>
      <c r="AB171" s="36">
        <f t="shared" si="138"/>
        <v>0</v>
      </c>
      <c r="AC171" s="36">
        <f t="shared" si="139"/>
        <v>0</v>
      </c>
      <c r="AD171" s="36">
        <f t="shared" si="140"/>
        <v>0</v>
      </c>
      <c r="AE171" s="36">
        <f t="shared" si="141"/>
        <v>0</v>
      </c>
      <c r="AF171" s="36">
        <f t="shared" si="142"/>
        <v>0</v>
      </c>
      <c r="AG171" s="36">
        <f t="shared" si="143"/>
        <v>0</v>
      </c>
      <c r="AH171" s="36">
        <f t="shared" si="144"/>
        <v>0</v>
      </c>
      <c r="AI171" s="35" t="s">
        <v>2894</v>
      </c>
      <c r="AJ171" s="20">
        <f t="shared" si="145"/>
        <v>0</v>
      </c>
      <c r="AK171" s="20">
        <f t="shared" si="146"/>
        <v>0</v>
      </c>
      <c r="AL171" s="20">
        <f t="shared" si="147"/>
        <v>0</v>
      </c>
      <c r="AN171" s="36">
        <v>21</v>
      </c>
      <c r="AO171" s="36">
        <f>I171*0.15714283598368</f>
        <v>0</v>
      </c>
      <c r="AP171" s="36">
        <f>I171*(1-0.15714283598368)</f>
        <v>0</v>
      </c>
      <c r="AQ171" s="37" t="s">
        <v>13</v>
      </c>
      <c r="AV171" s="36">
        <f t="shared" si="148"/>
        <v>0</v>
      </c>
      <c r="AW171" s="36">
        <f t="shared" si="149"/>
        <v>0</v>
      </c>
      <c r="AX171" s="36">
        <f t="shared" si="150"/>
        <v>0</v>
      </c>
      <c r="AY171" s="39" t="s">
        <v>2924</v>
      </c>
      <c r="AZ171" s="39" t="s">
        <v>2953</v>
      </c>
      <c r="BA171" s="35" t="s">
        <v>2967</v>
      </c>
      <c r="BC171" s="36">
        <f t="shared" si="151"/>
        <v>0</v>
      </c>
      <c r="BD171" s="36">
        <f t="shared" si="152"/>
        <v>0</v>
      </c>
      <c r="BE171" s="36">
        <v>0</v>
      </c>
      <c r="BF171" s="36">
        <f>171</f>
        <v>171</v>
      </c>
      <c r="BH171" s="20">
        <f t="shared" si="153"/>
        <v>0</v>
      </c>
      <c r="BI171" s="20">
        <f t="shared" si="154"/>
        <v>0</v>
      </c>
      <c r="BJ171" s="20">
        <f t="shared" si="155"/>
        <v>0</v>
      </c>
      <c r="BK171" s="20" t="s">
        <v>2978</v>
      </c>
      <c r="BL171" s="36">
        <v>711</v>
      </c>
    </row>
    <row r="172" spans="1:64" x14ac:dyDescent="0.2">
      <c r="A172" s="6" t="s">
        <v>138</v>
      </c>
      <c r="B172" s="15" t="s">
        <v>1077</v>
      </c>
      <c r="C172" s="182" t="s">
        <v>2015</v>
      </c>
      <c r="D172" s="183"/>
      <c r="E172" s="183"/>
      <c r="F172" s="183"/>
      <c r="G172" s="15" t="s">
        <v>2858</v>
      </c>
      <c r="H172" s="84">
        <v>15.526</v>
      </c>
      <c r="I172" s="110">
        <v>0</v>
      </c>
      <c r="J172" s="21">
        <f t="shared" si="134"/>
        <v>0</v>
      </c>
      <c r="K172" s="21">
        <f t="shared" si="135"/>
        <v>0</v>
      </c>
      <c r="L172" s="21">
        <f t="shared" si="136"/>
        <v>0</v>
      </c>
      <c r="M172" s="32" t="s">
        <v>2884</v>
      </c>
      <c r="N172" s="5"/>
      <c r="Z172" s="36">
        <f t="shared" si="137"/>
        <v>0</v>
      </c>
      <c r="AB172" s="36">
        <f t="shared" si="138"/>
        <v>0</v>
      </c>
      <c r="AC172" s="36">
        <f t="shared" si="139"/>
        <v>0</v>
      </c>
      <c r="AD172" s="36">
        <f t="shared" si="140"/>
        <v>0</v>
      </c>
      <c r="AE172" s="36">
        <f t="shared" si="141"/>
        <v>0</v>
      </c>
      <c r="AF172" s="36">
        <f t="shared" si="142"/>
        <v>0</v>
      </c>
      <c r="AG172" s="36">
        <f t="shared" si="143"/>
        <v>0</v>
      </c>
      <c r="AH172" s="36">
        <f t="shared" si="144"/>
        <v>0</v>
      </c>
      <c r="AI172" s="35" t="s">
        <v>2894</v>
      </c>
      <c r="AJ172" s="21">
        <f t="shared" si="145"/>
        <v>0</v>
      </c>
      <c r="AK172" s="21">
        <f t="shared" si="146"/>
        <v>0</v>
      </c>
      <c r="AL172" s="21">
        <f t="shared" si="147"/>
        <v>0</v>
      </c>
      <c r="AN172" s="36">
        <v>21</v>
      </c>
      <c r="AO172" s="36">
        <f>I172*1</f>
        <v>0</v>
      </c>
      <c r="AP172" s="36">
        <f>I172*(1-1)</f>
        <v>0</v>
      </c>
      <c r="AQ172" s="38" t="s">
        <v>13</v>
      </c>
      <c r="AV172" s="36">
        <f t="shared" si="148"/>
        <v>0</v>
      </c>
      <c r="AW172" s="36">
        <f t="shared" si="149"/>
        <v>0</v>
      </c>
      <c r="AX172" s="36">
        <f t="shared" si="150"/>
        <v>0</v>
      </c>
      <c r="AY172" s="39" t="s">
        <v>2924</v>
      </c>
      <c r="AZ172" s="39" t="s">
        <v>2953</v>
      </c>
      <c r="BA172" s="35" t="s">
        <v>2967</v>
      </c>
      <c r="BC172" s="36">
        <f t="shared" si="151"/>
        <v>0</v>
      </c>
      <c r="BD172" s="36">
        <f t="shared" si="152"/>
        <v>0</v>
      </c>
      <c r="BE172" s="36">
        <v>0</v>
      </c>
      <c r="BF172" s="36">
        <f>172</f>
        <v>172</v>
      </c>
      <c r="BH172" s="21">
        <f t="shared" si="153"/>
        <v>0</v>
      </c>
      <c r="BI172" s="21">
        <f t="shared" si="154"/>
        <v>0</v>
      </c>
      <c r="BJ172" s="21">
        <f t="shared" si="155"/>
        <v>0</v>
      </c>
      <c r="BK172" s="21" t="s">
        <v>2979</v>
      </c>
      <c r="BL172" s="36">
        <v>711</v>
      </c>
    </row>
    <row r="173" spans="1:64" x14ac:dyDescent="0.2">
      <c r="A173" s="4" t="s">
        <v>139</v>
      </c>
      <c r="B173" s="13" t="s">
        <v>1079</v>
      </c>
      <c r="C173" s="174" t="s">
        <v>2017</v>
      </c>
      <c r="D173" s="175"/>
      <c r="E173" s="175"/>
      <c r="F173" s="175"/>
      <c r="G173" s="13" t="s">
        <v>2854</v>
      </c>
      <c r="H173" s="82">
        <v>485.83300000000003</v>
      </c>
      <c r="I173" s="109">
        <v>0</v>
      </c>
      <c r="J173" s="20">
        <f t="shared" si="134"/>
        <v>0</v>
      </c>
      <c r="K173" s="20">
        <f t="shared" si="135"/>
        <v>0</v>
      </c>
      <c r="L173" s="20">
        <f t="shared" si="136"/>
        <v>0</v>
      </c>
      <c r="M173" s="31" t="s">
        <v>2884</v>
      </c>
      <c r="N173" s="5"/>
      <c r="Z173" s="36">
        <f t="shared" si="137"/>
        <v>0</v>
      </c>
      <c r="AB173" s="36">
        <f t="shared" si="138"/>
        <v>0</v>
      </c>
      <c r="AC173" s="36">
        <f t="shared" si="139"/>
        <v>0</v>
      </c>
      <c r="AD173" s="36">
        <f t="shared" si="140"/>
        <v>0</v>
      </c>
      <c r="AE173" s="36">
        <f t="shared" si="141"/>
        <v>0</v>
      </c>
      <c r="AF173" s="36">
        <f t="shared" si="142"/>
        <v>0</v>
      </c>
      <c r="AG173" s="36">
        <f t="shared" si="143"/>
        <v>0</v>
      </c>
      <c r="AH173" s="36">
        <f t="shared" si="144"/>
        <v>0</v>
      </c>
      <c r="AI173" s="35" t="s">
        <v>2894</v>
      </c>
      <c r="AJ173" s="20">
        <f t="shared" si="145"/>
        <v>0</v>
      </c>
      <c r="AK173" s="20">
        <f t="shared" si="146"/>
        <v>0</v>
      </c>
      <c r="AL173" s="20">
        <f t="shared" si="147"/>
        <v>0</v>
      </c>
      <c r="AN173" s="36">
        <v>21</v>
      </c>
      <c r="AO173" s="36">
        <f>I173*0.0816666696157224</f>
        <v>0</v>
      </c>
      <c r="AP173" s="36">
        <f>I173*(1-0.0816666696157224)</f>
        <v>0</v>
      </c>
      <c r="AQ173" s="37" t="s">
        <v>13</v>
      </c>
      <c r="AV173" s="36">
        <f t="shared" si="148"/>
        <v>0</v>
      </c>
      <c r="AW173" s="36">
        <f t="shared" si="149"/>
        <v>0</v>
      </c>
      <c r="AX173" s="36">
        <f t="shared" si="150"/>
        <v>0</v>
      </c>
      <c r="AY173" s="39" t="s">
        <v>2924</v>
      </c>
      <c r="AZ173" s="39" t="s">
        <v>2953</v>
      </c>
      <c r="BA173" s="35" t="s">
        <v>2967</v>
      </c>
      <c r="BC173" s="36">
        <f t="shared" si="151"/>
        <v>0</v>
      </c>
      <c r="BD173" s="36">
        <f t="shared" si="152"/>
        <v>0</v>
      </c>
      <c r="BE173" s="36">
        <v>0</v>
      </c>
      <c r="BF173" s="36">
        <f>173</f>
        <v>173</v>
      </c>
      <c r="BH173" s="20">
        <f t="shared" si="153"/>
        <v>0</v>
      </c>
      <c r="BI173" s="20">
        <f t="shared" si="154"/>
        <v>0</v>
      </c>
      <c r="BJ173" s="20">
        <f t="shared" si="155"/>
        <v>0</v>
      </c>
      <c r="BK173" s="20" t="s">
        <v>2978</v>
      </c>
      <c r="BL173" s="36">
        <v>711</v>
      </c>
    </row>
    <row r="174" spans="1:64" x14ac:dyDescent="0.2">
      <c r="A174" s="6" t="s">
        <v>140</v>
      </c>
      <c r="B174" s="15" t="s">
        <v>1080</v>
      </c>
      <c r="C174" s="182" t="s">
        <v>2018</v>
      </c>
      <c r="D174" s="183"/>
      <c r="E174" s="183"/>
      <c r="F174" s="183"/>
      <c r="G174" s="15" t="s">
        <v>2854</v>
      </c>
      <c r="H174" s="84">
        <v>558.70799999999997</v>
      </c>
      <c r="I174" s="110">
        <v>0</v>
      </c>
      <c r="J174" s="21">
        <f t="shared" si="134"/>
        <v>0</v>
      </c>
      <c r="K174" s="21">
        <f t="shared" si="135"/>
        <v>0</v>
      </c>
      <c r="L174" s="21">
        <f t="shared" si="136"/>
        <v>0</v>
      </c>
      <c r="M174" s="32" t="s">
        <v>2884</v>
      </c>
      <c r="N174" s="5"/>
      <c r="Z174" s="36">
        <f t="shared" si="137"/>
        <v>0</v>
      </c>
      <c r="AB174" s="36">
        <f t="shared" si="138"/>
        <v>0</v>
      </c>
      <c r="AC174" s="36">
        <f t="shared" si="139"/>
        <v>0</v>
      </c>
      <c r="AD174" s="36">
        <f t="shared" si="140"/>
        <v>0</v>
      </c>
      <c r="AE174" s="36">
        <f t="shared" si="141"/>
        <v>0</v>
      </c>
      <c r="AF174" s="36">
        <f t="shared" si="142"/>
        <v>0</v>
      </c>
      <c r="AG174" s="36">
        <f t="shared" si="143"/>
        <v>0</v>
      </c>
      <c r="AH174" s="36">
        <f t="shared" si="144"/>
        <v>0</v>
      </c>
      <c r="AI174" s="35" t="s">
        <v>2894</v>
      </c>
      <c r="AJ174" s="21">
        <f t="shared" si="145"/>
        <v>0</v>
      </c>
      <c r="AK174" s="21">
        <f t="shared" si="146"/>
        <v>0</v>
      </c>
      <c r="AL174" s="21">
        <f t="shared" si="147"/>
        <v>0</v>
      </c>
      <c r="AN174" s="36">
        <v>21</v>
      </c>
      <c r="AO174" s="36">
        <f>I174*1</f>
        <v>0</v>
      </c>
      <c r="AP174" s="36">
        <f>I174*(1-1)</f>
        <v>0</v>
      </c>
      <c r="AQ174" s="38" t="s">
        <v>13</v>
      </c>
      <c r="AV174" s="36">
        <f t="shared" si="148"/>
        <v>0</v>
      </c>
      <c r="AW174" s="36">
        <f t="shared" si="149"/>
        <v>0</v>
      </c>
      <c r="AX174" s="36">
        <f t="shared" si="150"/>
        <v>0</v>
      </c>
      <c r="AY174" s="39" t="s">
        <v>2924</v>
      </c>
      <c r="AZ174" s="39" t="s">
        <v>2953</v>
      </c>
      <c r="BA174" s="35" t="s">
        <v>2967</v>
      </c>
      <c r="BC174" s="36">
        <f t="shared" si="151"/>
        <v>0</v>
      </c>
      <c r="BD174" s="36">
        <f t="shared" si="152"/>
        <v>0</v>
      </c>
      <c r="BE174" s="36">
        <v>0</v>
      </c>
      <c r="BF174" s="36">
        <f>174</f>
        <v>174</v>
      </c>
      <c r="BH174" s="21">
        <f t="shared" si="153"/>
        <v>0</v>
      </c>
      <c r="BI174" s="21">
        <f t="shared" si="154"/>
        <v>0</v>
      </c>
      <c r="BJ174" s="21">
        <f t="shared" si="155"/>
        <v>0</v>
      </c>
      <c r="BK174" s="21" t="s">
        <v>2979</v>
      </c>
      <c r="BL174" s="36">
        <v>711</v>
      </c>
    </row>
    <row r="175" spans="1:64" x14ac:dyDescent="0.2">
      <c r="A175" s="4" t="s">
        <v>141</v>
      </c>
      <c r="B175" s="13" t="s">
        <v>1081</v>
      </c>
      <c r="C175" s="174" t="s">
        <v>2019</v>
      </c>
      <c r="D175" s="175"/>
      <c r="E175" s="175"/>
      <c r="F175" s="175"/>
      <c r="G175" s="13" t="s">
        <v>2854</v>
      </c>
      <c r="H175" s="82">
        <v>51.753999999999998</v>
      </c>
      <c r="I175" s="109">
        <v>0</v>
      </c>
      <c r="J175" s="20">
        <f t="shared" si="134"/>
        <v>0</v>
      </c>
      <c r="K175" s="20">
        <f t="shared" si="135"/>
        <v>0</v>
      </c>
      <c r="L175" s="20">
        <f t="shared" si="136"/>
        <v>0</v>
      </c>
      <c r="M175" s="31" t="s">
        <v>2884</v>
      </c>
      <c r="N175" s="5"/>
      <c r="Z175" s="36">
        <f t="shared" si="137"/>
        <v>0</v>
      </c>
      <c r="AB175" s="36">
        <f t="shared" si="138"/>
        <v>0</v>
      </c>
      <c r="AC175" s="36">
        <f t="shared" si="139"/>
        <v>0</v>
      </c>
      <c r="AD175" s="36">
        <f t="shared" si="140"/>
        <v>0</v>
      </c>
      <c r="AE175" s="36">
        <f t="shared" si="141"/>
        <v>0</v>
      </c>
      <c r="AF175" s="36">
        <f t="shared" si="142"/>
        <v>0</v>
      </c>
      <c r="AG175" s="36">
        <f t="shared" si="143"/>
        <v>0</v>
      </c>
      <c r="AH175" s="36">
        <f t="shared" si="144"/>
        <v>0</v>
      </c>
      <c r="AI175" s="35" t="s">
        <v>2894</v>
      </c>
      <c r="AJ175" s="20">
        <f t="shared" si="145"/>
        <v>0</v>
      </c>
      <c r="AK175" s="20">
        <f t="shared" si="146"/>
        <v>0</v>
      </c>
      <c r="AL175" s="20">
        <f t="shared" si="147"/>
        <v>0</v>
      </c>
      <c r="AN175" s="36">
        <v>21</v>
      </c>
      <c r="AO175" s="36">
        <f>I175*0.0897402147019116</f>
        <v>0</v>
      </c>
      <c r="AP175" s="36">
        <f>I175*(1-0.0897402147019116)</f>
        <v>0</v>
      </c>
      <c r="AQ175" s="37" t="s">
        <v>13</v>
      </c>
      <c r="AV175" s="36">
        <f t="shared" si="148"/>
        <v>0</v>
      </c>
      <c r="AW175" s="36">
        <f t="shared" si="149"/>
        <v>0</v>
      </c>
      <c r="AX175" s="36">
        <f t="shared" si="150"/>
        <v>0</v>
      </c>
      <c r="AY175" s="39" t="s">
        <v>2924</v>
      </c>
      <c r="AZ175" s="39" t="s">
        <v>2953</v>
      </c>
      <c r="BA175" s="35" t="s">
        <v>2967</v>
      </c>
      <c r="BC175" s="36">
        <f t="shared" si="151"/>
        <v>0</v>
      </c>
      <c r="BD175" s="36">
        <f t="shared" si="152"/>
        <v>0</v>
      </c>
      <c r="BE175" s="36">
        <v>0</v>
      </c>
      <c r="BF175" s="36">
        <f>175</f>
        <v>175</v>
      </c>
      <c r="BH175" s="20">
        <f t="shared" si="153"/>
        <v>0</v>
      </c>
      <c r="BI175" s="20">
        <f t="shared" si="154"/>
        <v>0</v>
      </c>
      <c r="BJ175" s="20">
        <f t="shared" si="155"/>
        <v>0</v>
      </c>
      <c r="BK175" s="20" t="s">
        <v>2978</v>
      </c>
      <c r="BL175" s="36">
        <v>711</v>
      </c>
    </row>
    <row r="176" spans="1:64" x14ac:dyDescent="0.2">
      <c r="A176" s="6" t="s">
        <v>142</v>
      </c>
      <c r="B176" s="15" t="s">
        <v>1080</v>
      </c>
      <c r="C176" s="182" t="s">
        <v>2018</v>
      </c>
      <c r="D176" s="183"/>
      <c r="E176" s="183"/>
      <c r="F176" s="183"/>
      <c r="G176" s="15" t="s">
        <v>2854</v>
      </c>
      <c r="H176" s="84">
        <v>59.517000000000003</v>
      </c>
      <c r="I176" s="110">
        <v>0</v>
      </c>
      <c r="J176" s="21">
        <f t="shared" si="134"/>
        <v>0</v>
      </c>
      <c r="K176" s="21">
        <f t="shared" si="135"/>
        <v>0</v>
      </c>
      <c r="L176" s="21">
        <f t="shared" si="136"/>
        <v>0</v>
      </c>
      <c r="M176" s="32" t="s">
        <v>2884</v>
      </c>
      <c r="N176" s="5"/>
      <c r="Z176" s="36">
        <f t="shared" si="137"/>
        <v>0</v>
      </c>
      <c r="AB176" s="36">
        <f t="shared" si="138"/>
        <v>0</v>
      </c>
      <c r="AC176" s="36">
        <f t="shared" si="139"/>
        <v>0</v>
      </c>
      <c r="AD176" s="36">
        <f t="shared" si="140"/>
        <v>0</v>
      </c>
      <c r="AE176" s="36">
        <f t="shared" si="141"/>
        <v>0</v>
      </c>
      <c r="AF176" s="36">
        <f t="shared" si="142"/>
        <v>0</v>
      </c>
      <c r="AG176" s="36">
        <f t="shared" si="143"/>
        <v>0</v>
      </c>
      <c r="AH176" s="36">
        <f t="shared" si="144"/>
        <v>0</v>
      </c>
      <c r="AI176" s="35" t="s">
        <v>2894</v>
      </c>
      <c r="AJ176" s="21">
        <f t="shared" si="145"/>
        <v>0</v>
      </c>
      <c r="AK176" s="21">
        <f t="shared" si="146"/>
        <v>0</v>
      </c>
      <c r="AL176" s="21">
        <f t="shared" si="147"/>
        <v>0</v>
      </c>
      <c r="AN176" s="36">
        <v>21</v>
      </c>
      <c r="AO176" s="36">
        <f>I176*1</f>
        <v>0</v>
      </c>
      <c r="AP176" s="36">
        <f>I176*(1-1)</f>
        <v>0</v>
      </c>
      <c r="AQ176" s="38" t="s">
        <v>13</v>
      </c>
      <c r="AV176" s="36">
        <f t="shared" si="148"/>
        <v>0</v>
      </c>
      <c r="AW176" s="36">
        <f t="shared" si="149"/>
        <v>0</v>
      </c>
      <c r="AX176" s="36">
        <f t="shared" si="150"/>
        <v>0</v>
      </c>
      <c r="AY176" s="39" t="s">
        <v>2924</v>
      </c>
      <c r="AZ176" s="39" t="s">
        <v>2953</v>
      </c>
      <c r="BA176" s="35" t="s">
        <v>2967</v>
      </c>
      <c r="BC176" s="36">
        <f t="shared" si="151"/>
        <v>0</v>
      </c>
      <c r="BD176" s="36">
        <f t="shared" si="152"/>
        <v>0</v>
      </c>
      <c r="BE176" s="36">
        <v>0</v>
      </c>
      <c r="BF176" s="36">
        <f>176</f>
        <v>176</v>
      </c>
      <c r="BH176" s="21">
        <f t="shared" si="153"/>
        <v>0</v>
      </c>
      <c r="BI176" s="21">
        <f t="shared" si="154"/>
        <v>0</v>
      </c>
      <c r="BJ176" s="21">
        <f t="shared" si="155"/>
        <v>0</v>
      </c>
      <c r="BK176" s="21" t="s">
        <v>2979</v>
      </c>
      <c r="BL176" s="36">
        <v>711</v>
      </c>
    </row>
    <row r="177" spans="1:64" x14ac:dyDescent="0.2">
      <c r="A177" s="4" t="s">
        <v>143</v>
      </c>
      <c r="B177" s="13" t="s">
        <v>1082</v>
      </c>
      <c r="C177" s="174" t="s">
        <v>2020</v>
      </c>
      <c r="D177" s="175"/>
      <c r="E177" s="175"/>
      <c r="F177" s="175"/>
      <c r="G177" s="13" t="s">
        <v>2859</v>
      </c>
      <c r="H177" s="82">
        <v>1</v>
      </c>
      <c r="I177" s="109">
        <v>0</v>
      </c>
      <c r="J177" s="20">
        <f t="shared" si="134"/>
        <v>0</v>
      </c>
      <c r="K177" s="20">
        <f t="shared" si="135"/>
        <v>0</v>
      </c>
      <c r="L177" s="20">
        <f t="shared" si="136"/>
        <v>0</v>
      </c>
      <c r="M177" s="31" t="s">
        <v>2884</v>
      </c>
      <c r="N177" s="5"/>
      <c r="Z177" s="36">
        <f t="shared" si="137"/>
        <v>0</v>
      </c>
      <c r="AB177" s="36">
        <f t="shared" si="138"/>
        <v>0</v>
      </c>
      <c r="AC177" s="36">
        <f t="shared" si="139"/>
        <v>0</v>
      </c>
      <c r="AD177" s="36">
        <f t="shared" si="140"/>
        <v>0</v>
      </c>
      <c r="AE177" s="36">
        <f t="shared" si="141"/>
        <v>0</v>
      </c>
      <c r="AF177" s="36">
        <f t="shared" si="142"/>
        <v>0</v>
      </c>
      <c r="AG177" s="36">
        <f t="shared" si="143"/>
        <v>0</v>
      </c>
      <c r="AH177" s="36">
        <f t="shared" si="144"/>
        <v>0</v>
      </c>
      <c r="AI177" s="35" t="s">
        <v>2894</v>
      </c>
      <c r="AJ177" s="20">
        <f t="shared" si="145"/>
        <v>0</v>
      </c>
      <c r="AK177" s="20">
        <f t="shared" si="146"/>
        <v>0</v>
      </c>
      <c r="AL177" s="20">
        <f t="shared" si="147"/>
        <v>0</v>
      </c>
      <c r="AN177" s="36">
        <v>21</v>
      </c>
      <c r="AO177" s="36">
        <f>I177*0.107808065474226</f>
        <v>0</v>
      </c>
      <c r="AP177" s="36">
        <f>I177*(1-0.107808065474226)</f>
        <v>0</v>
      </c>
      <c r="AQ177" s="37" t="s">
        <v>13</v>
      </c>
      <c r="AV177" s="36">
        <f t="shared" si="148"/>
        <v>0</v>
      </c>
      <c r="AW177" s="36">
        <f t="shared" si="149"/>
        <v>0</v>
      </c>
      <c r="AX177" s="36">
        <f t="shared" si="150"/>
        <v>0</v>
      </c>
      <c r="AY177" s="39" t="s">
        <v>2924</v>
      </c>
      <c r="AZ177" s="39" t="s">
        <v>2953</v>
      </c>
      <c r="BA177" s="35" t="s">
        <v>2967</v>
      </c>
      <c r="BC177" s="36">
        <f t="shared" si="151"/>
        <v>0</v>
      </c>
      <c r="BD177" s="36">
        <f t="shared" si="152"/>
        <v>0</v>
      </c>
      <c r="BE177" s="36">
        <v>0</v>
      </c>
      <c r="BF177" s="36">
        <f>177</f>
        <v>177</v>
      </c>
      <c r="BH177" s="20">
        <f t="shared" si="153"/>
        <v>0</v>
      </c>
      <c r="BI177" s="20">
        <f t="shared" si="154"/>
        <v>0</v>
      </c>
      <c r="BJ177" s="20">
        <f t="shared" si="155"/>
        <v>0</v>
      </c>
      <c r="BK177" s="20" t="s">
        <v>2978</v>
      </c>
      <c r="BL177" s="36">
        <v>711</v>
      </c>
    </row>
    <row r="178" spans="1:64" x14ac:dyDescent="0.2">
      <c r="A178" s="4" t="s">
        <v>144</v>
      </c>
      <c r="B178" s="13" t="s">
        <v>1083</v>
      </c>
      <c r="C178" s="174" t="s">
        <v>2021</v>
      </c>
      <c r="D178" s="175"/>
      <c r="E178" s="175"/>
      <c r="F178" s="175"/>
      <c r="G178" s="13" t="s">
        <v>2854</v>
      </c>
      <c r="H178" s="82">
        <v>485.83300000000003</v>
      </c>
      <c r="I178" s="109">
        <v>0</v>
      </c>
      <c r="J178" s="20">
        <f t="shared" si="134"/>
        <v>0</v>
      </c>
      <c r="K178" s="20">
        <f t="shared" si="135"/>
        <v>0</v>
      </c>
      <c r="L178" s="20">
        <f t="shared" si="136"/>
        <v>0</v>
      </c>
      <c r="M178" s="31" t="s">
        <v>2884</v>
      </c>
      <c r="N178" s="5"/>
      <c r="Z178" s="36">
        <f t="shared" si="137"/>
        <v>0</v>
      </c>
      <c r="AB178" s="36">
        <f t="shared" si="138"/>
        <v>0</v>
      </c>
      <c r="AC178" s="36">
        <f t="shared" si="139"/>
        <v>0</v>
      </c>
      <c r="AD178" s="36">
        <f t="shared" si="140"/>
        <v>0</v>
      </c>
      <c r="AE178" s="36">
        <f t="shared" si="141"/>
        <v>0</v>
      </c>
      <c r="AF178" s="36">
        <f t="shared" si="142"/>
        <v>0</v>
      </c>
      <c r="AG178" s="36">
        <f t="shared" si="143"/>
        <v>0</v>
      </c>
      <c r="AH178" s="36">
        <f t="shared" si="144"/>
        <v>0</v>
      </c>
      <c r="AI178" s="35" t="s">
        <v>2894</v>
      </c>
      <c r="AJ178" s="20">
        <f t="shared" si="145"/>
        <v>0</v>
      </c>
      <c r="AK178" s="20">
        <f t="shared" si="146"/>
        <v>0</v>
      </c>
      <c r="AL178" s="20">
        <f t="shared" si="147"/>
        <v>0</v>
      </c>
      <c r="AN178" s="36">
        <v>21</v>
      </c>
      <c r="AO178" s="36">
        <f>I178*0.309396403075262</f>
        <v>0</v>
      </c>
      <c r="AP178" s="36">
        <f>I178*(1-0.309396403075262)</f>
        <v>0</v>
      </c>
      <c r="AQ178" s="37" t="s">
        <v>13</v>
      </c>
      <c r="AV178" s="36">
        <f t="shared" si="148"/>
        <v>0</v>
      </c>
      <c r="AW178" s="36">
        <f t="shared" si="149"/>
        <v>0</v>
      </c>
      <c r="AX178" s="36">
        <f t="shared" si="150"/>
        <v>0</v>
      </c>
      <c r="AY178" s="39" t="s">
        <v>2924</v>
      </c>
      <c r="AZ178" s="39" t="s">
        <v>2953</v>
      </c>
      <c r="BA178" s="35" t="s">
        <v>2967</v>
      </c>
      <c r="BC178" s="36">
        <f t="shared" si="151"/>
        <v>0</v>
      </c>
      <c r="BD178" s="36">
        <f t="shared" si="152"/>
        <v>0</v>
      </c>
      <c r="BE178" s="36">
        <v>0</v>
      </c>
      <c r="BF178" s="36">
        <f>178</f>
        <v>178</v>
      </c>
      <c r="BH178" s="20">
        <f t="shared" si="153"/>
        <v>0</v>
      </c>
      <c r="BI178" s="20">
        <f t="shared" si="154"/>
        <v>0</v>
      </c>
      <c r="BJ178" s="20">
        <f t="shared" si="155"/>
        <v>0</v>
      </c>
      <c r="BK178" s="20" t="s">
        <v>2978</v>
      </c>
      <c r="BL178" s="36">
        <v>711</v>
      </c>
    </row>
    <row r="179" spans="1:64" x14ac:dyDescent="0.2">
      <c r="A179" s="4" t="s">
        <v>145</v>
      </c>
      <c r="B179" s="13" t="s">
        <v>1084</v>
      </c>
      <c r="C179" s="174" t="s">
        <v>2022</v>
      </c>
      <c r="D179" s="175"/>
      <c r="E179" s="175"/>
      <c r="F179" s="175"/>
      <c r="G179" s="13" t="s">
        <v>2856</v>
      </c>
      <c r="H179" s="82">
        <v>3.238</v>
      </c>
      <c r="I179" s="109">
        <v>0</v>
      </c>
      <c r="J179" s="20">
        <f t="shared" si="134"/>
        <v>0</v>
      </c>
      <c r="K179" s="20">
        <f t="shared" si="135"/>
        <v>0</v>
      </c>
      <c r="L179" s="20">
        <f t="shared" si="136"/>
        <v>0</v>
      </c>
      <c r="M179" s="31" t="s">
        <v>2884</v>
      </c>
      <c r="N179" s="5"/>
      <c r="Z179" s="36">
        <f t="shared" si="137"/>
        <v>0</v>
      </c>
      <c r="AB179" s="36">
        <f t="shared" si="138"/>
        <v>0</v>
      </c>
      <c r="AC179" s="36">
        <f t="shared" si="139"/>
        <v>0</v>
      </c>
      <c r="AD179" s="36">
        <f t="shared" si="140"/>
        <v>0</v>
      </c>
      <c r="AE179" s="36">
        <f t="shared" si="141"/>
        <v>0</v>
      </c>
      <c r="AF179" s="36">
        <f t="shared" si="142"/>
        <v>0</v>
      </c>
      <c r="AG179" s="36">
        <f t="shared" si="143"/>
        <v>0</v>
      </c>
      <c r="AH179" s="36">
        <f t="shared" si="144"/>
        <v>0</v>
      </c>
      <c r="AI179" s="35" t="s">
        <v>2894</v>
      </c>
      <c r="AJ179" s="20">
        <f t="shared" si="145"/>
        <v>0</v>
      </c>
      <c r="AK179" s="20">
        <f t="shared" si="146"/>
        <v>0</v>
      </c>
      <c r="AL179" s="20">
        <f t="shared" si="147"/>
        <v>0</v>
      </c>
      <c r="AN179" s="36">
        <v>21</v>
      </c>
      <c r="AO179" s="36">
        <f>I179*0</f>
        <v>0</v>
      </c>
      <c r="AP179" s="36">
        <f>I179*(1-0)</f>
        <v>0</v>
      </c>
      <c r="AQ179" s="37" t="s">
        <v>11</v>
      </c>
      <c r="AV179" s="36">
        <f t="shared" si="148"/>
        <v>0</v>
      </c>
      <c r="AW179" s="36">
        <f t="shared" si="149"/>
        <v>0</v>
      </c>
      <c r="AX179" s="36">
        <f t="shared" si="150"/>
        <v>0</v>
      </c>
      <c r="AY179" s="39" t="s">
        <v>2924</v>
      </c>
      <c r="AZ179" s="39" t="s">
        <v>2953</v>
      </c>
      <c r="BA179" s="35" t="s">
        <v>2967</v>
      </c>
      <c r="BC179" s="36">
        <f t="shared" si="151"/>
        <v>0</v>
      </c>
      <c r="BD179" s="36">
        <f t="shared" si="152"/>
        <v>0</v>
      </c>
      <c r="BE179" s="36">
        <v>0</v>
      </c>
      <c r="BF179" s="36">
        <f>179</f>
        <v>179</v>
      </c>
      <c r="BH179" s="20">
        <f t="shared" si="153"/>
        <v>0</v>
      </c>
      <c r="BI179" s="20">
        <f t="shared" si="154"/>
        <v>0</v>
      </c>
      <c r="BJ179" s="20">
        <f t="shared" si="155"/>
        <v>0</v>
      </c>
      <c r="BK179" s="20" t="s">
        <v>2978</v>
      </c>
      <c r="BL179" s="36">
        <v>711</v>
      </c>
    </row>
    <row r="180" spans="1:64" x14ac:dyDescent="0.2">
      <c r="A180" s="3"/>
      <c r="B180" s="12" t="s">
        <v>718</v>
      </c>
      <c r="C180" s="172" t="s">
        <v>2023</v>
      </c>
      <c r="D180" s="173"/>
      <c r="E180" s="173"/>
      <c r="F180" s="173"/>
      <c r="G180" s="18" t="s">
        <v>6</v>
      </c>
      <c r="H180" s="18" t="s">
        <v>6</v>
      </c>
      <c r="I180" s="18" t="s">
        <v>6</v>
      </c>
      <c r="J180" s="41">
        <f>SUM(J181:J187)</f>
        <v>0</v>
      </c>
      <c r="K180" s="41">
        <f>SUM(K181:K187)</f>
        <v>0</v>
      </c>
      <c r="L180" s="41">
        <f>SUM(L181:L187)</f>
        <v>0</v>
      </c>
      <c r="M180" s="30"/>
      <c r="N180" s="5"/>
      <c r="AI180" s="35" t="s">
        <v>2894</v>
      </c>
      <c r="AS180" s="41">
        <f>SUM(AJ181:AJ187)</f>
        <v>0</v>
      </c>
      <c r="AT180" s="41">
        <f>SUM(AK181:AK187)</f>
        <v>0</v>
      </c>
      <c r="AU180" s="41">
        <f>SUM(AL181:AL187)</f>
        <v>0</v>
      </c>
    </row>
    <row r="181" spans="1:64" x14ac:dyDescent="0.2">
      <c r="A181" s="4" t="s">
        <v>146</v>
      </c>
      <c r="B181" s="13" t="s">
        <v>1085</v>
      </c>
      <c r="C181" s="174" t="s">
        <v>2024</v>
      </c>
      <c r="D181" s="175"/>
      <c r="E181" s="175"/>
      <c r="F181" s="175"/>
      <c r="G181" s="13" t="s">
        <v>2854</v>
      </c>
      <c r="H181" s="82">
        <v>485.83300000000003</v>
      </c>
      <c r="I181" s="109">
        <v>0</v>
      </c>
      <c r="J181" s="20">
        <f t="shared" ref="J181:J187" si="156">H181*AO181</f>
        <v>0</v>
      </c>
      <c r="K181" s="20">
        <f t="shared" ref="K181:K187" si="157">H181*AP181</f>
        <v>0</v>
      </c>
      <c r="L181" s="20">
        <f t="shared" ref="L181:L187" si="158">H181*I181</f>
        <v>0</v>
      </c>
      <c r="M181" s="31" t="s">
        <v>2884</v>
      </c>
      <c r="N181" s="5"/>
      <c r="Z181" s="36">
        <f t="shared" ref="Z181:Z187" si="159">IF(AQ181="5",BJ181,0)</f>
        <v>0</v>
      </c>
      <c r="AB181" s="36">
        <f t="shared" ref="AB181:AB187" si="160">IF(AQ181="1",BH181,0)</f>
        <v>0</v>
      </c>
      <c r="AC181" s="36">
        <f t="shared" ref="AC181:AC187" si="161">IF(AQ181="1",BI181,0)</f>
        <v>0</v>
      </c>
      <c r="AD181" s="36">
        <f t="shared" ref="AD181:AD187" si="162">IF(AQ181="7",BH181,0)</f>
        <v>0</v>
      </c>
      <c r="AE181" s="36">
        <f t="shared" ref="AE181:AE187" si="163">IF(AQ181="7",BI181,0)</f>
        <v>0</v>
      </c>
      <c r="AF181" s="36">
        <f t="shared" ref="AF181:AF187" si="164">IF(AQ181="2",BH181,0)</f>
        <v>0</v>
      </c>
      <c r="AG181" s="36">
        <f t="shared" ref="AG181:AG187" si="165">IF(AQ181="2",BI181,0)</f>
        <v>0</v>
      </c>
      <c r="AH181" s="36">
        <f t="shared" ref="AH181:AH187" si="166">IF(AQ181="0",BJ181,0)</f>
        <v>0</v>
      </c>
      <c r="AI181" s="35" t="s">
        <v>2894</v>
      </c>
      <c r="AJ181" s="20">
        <f t="shared" ref="AJ181:AJ187" si="167">IF(AN181=0,L181,0)</f>
        <v>0</v>
      </c>
      <c r="AK181" s="20">
        <f t="shared" ref="AK181:AK187" si="168">IF(AN181=15,L181,0)</f>
        <v>0</v>
      </c>
      <c r="AL181" s="20">
        <f t="shared" ref="AL181:AL187" si="169">IF(AN181=21,L181,0)</f>
        <v>0</v>
      </c>
      <c r="AN181" s="36">
        <v>21</v>
      </c>
      <c r="AO181" s="36">
        <f>I181*0</f>
        <v>0</v>
      </c>
      <c r="AP181" s="36">
        <f>I181*(1-0)</f>
        <v>0</v>
      </c>
      <c r="AQ181" s="37" t="s">
        <v>13</v>
      </c>
      <c r="AV181" s="36">
        <f t="shared" ref="AV181:AV187" si="170">AW181+AX181</f>
        <v>0</v>
      </c>
      <c r="AW181" s="36">
        <f t="shared" ref="AW181:AW187" si="171">H181*AO181</f>
        <v>0</v>
      </c>
      <c r="AX181" s="36">
        <f t="shared" ref="AX181:AX187" si="172">H181*AP181</f>
        <v>0</v>
      </c>
      <c r="AY181" s="39" t="s">
        <v>2925</v>
      </c>
      <c r="AZ181" s="39" t="s">
        <v>2953</v>
      </c>
      <c r="BA181" s="35" t="s">
        <v>2967</v>
      </c>
      <c r="BC181" s="36">
        <f t="shared" ref="BC181:BC187" si="173">AW181+AX181</f>
        <v>0</v>
      </c>
      <c r="BD181" s="36">
        <f t="shared" ref="BD181:BD187" si="174">I181/(100-BE181)*100</f>
        <v>0</v>
      </c>
      <c r="BE181" s="36">
        <v>0</v>
      </c>
      <c r="BF181" s="36">
        <f>181</f>
        <v>181</v>
      </c>
      <c r="BH181" s="20">
        <f t="shared" ref="BH181:BH187" si="175">H181*AO181</f>
        <v>0</v>
      </c>
      <c r="BI181" s="20">
        <f t="shared" ref="BI181:BI187" si="176">H181*AP181</f>
        <v>0</v>
      </c>
      <c r="BJ181" s="20">
        <f t="shared" ref="BJ181:BJ187" si="177">H181*I181</f>
        <v>0</v>
      </c>
      <c r="BK181" s="20" t="s">
        <v>2978</v>
      </c>
      <c r="BL181" s="36">
        <v>712</v>
      </c>
    </row>
    <row r="182" spans="1:64" x14ac:dyDescent="0.2">
      <c r="A182" s="6" t="s">
        <v>147</v>
      </c>
      <c r="B182" s="15" t="s">
        <v>1077</v>
      </c>
      <c r="C182" s="182" t="s">
        <v>2015</v>
      </c>
      <c r="D182" s="183"/>
      <c r="E182" s="183"/>
      <c r="F182" s="183"/>
      <c r="G182" s="15" t="s">
        <v>2858</v>
      </c>
      <c r="H182" s="84">
        <v>161.94399999999999</v>
      </c>
      <c r="I182" s="110">
        <v>0</v>
      </c>
      <c r="J182" s="21">
        <f t="shared" si="156"/>
        <v>0</v>
      </c>
      <c r="K182" s="21">
        <f t="shared" si="157"/>
        <v>0</v>
      </c>
      <c r="L182" s="21">
        <f t="shared" si="158"/>
        <v>0</v>
      </c>
      <c r="M182" s="32" t="s">
        <v>2884</v>
      </c>
      <c r="N182" s="5"/>
      <c r="Z182" s="36">
        <f t="shared" si="159"/>
        <v>0</v>
      </c>
      <c r="AB182" s="36">
        <f t="shared" si="160"/>
        <v>0</v>
      </c>
      <c r="AC182" s="36">
        <f t="shared" si="161"/>
        <v>0</v>
      </c>
      <c r="AD182" s="36">
        <f t="shared" si="162"/>
        <v>0</v>
      </c>
      <c r="AE182" s="36">
        <f t="shared" si="163"/>
        <v>0</v>
      </c>
      <c r="AF182" s="36">
        <f t="shared" si="164"/>
        <v>0</v>
      </c>
      <c r="AG182" s="36">
        <f t="shared" si="165"/>
        <v>0</v>
      </c>
      <c r="AH182" s="36">
        <f t="shared" si="166"/>
        <v>0</v>
      </c>
      <c r="AI182" s="35" t="s">
        <v>2894</v>
      </c>
      <c r="AJ182" s="21">
        <f t="shared" si="167"/>
        <v>0</v>
      </c>
      <c r="AK182" s="21">
        <f t="shared" si="168"/>
        <v>0</v>
      </c>
      <c r="AL182" s="21">
        <f t="shared" si="169"/>
        <v>0</v>
      </c>
      <c r="AN182" s="36">
        <v>21</v>
      </c>
      <c r="AO182" s="36">
        <f>I182*1</f>
        <v>0</v>
      </c>
      <c r="AP182" s="36">
        <f>I182*(1-1)</f>
        <v>0</v>
      </c>
      <c r="AQ182" s="38" t="s">
        <v>13</v>
      </c>
      <c r="AV182" s="36">
        <f t="shared" si="170"/>
        <v>0</v>
      </c>
      <c r="AW182" s="36">
        <f t="shared" si="171"/>
        <v>0</v>
      </c>
      <c r="AX182" s="36">
        <f t="shared" si="172"/>
        <v>0</v>
      </c>
      <c r="AY182" s="39" t="s">
        <v>2925</v>
      </c>
      <c r="AZ182" s="39" t="s">
        <v>2953</v>
      </c>
      <c r="BA182" s="35" t="s">
        <v>2967</v>
      </c>
      <c r="BC182" s="36">
        <f t="shared" si="173"/>
        <v>0</v>
      </c>
      <c r="BD182" s="36">
        <f t="shared" si="174"/>
        <v>0</v>
      </c>
      <c r="BE182" s="36">
        <v>0</v>
      </c>
      <c r="BF182" s="36">
        <f>182</f>
        <v>182</v>
      </c>
      <c r="BH182" s="21">
        <f t="shared" si="175"/>
        <v>0</v>
      </c>
      <c r="BI182" s="21">
        <f t="shared" si="176"/>
        <v>0</v>
      </c>
      <c r="BJ182" s="21">
        <f t="shared" si="177"/>
        <v>0</v>
      </c>
      <c r="BK182" s="21" t="s">
        <v>2979</v>
      </c>
      <c r="BL182" s="36">
        <v>712</v>
      </c>
    </row>
    <row r="183" spans="1:64" x14ac:dyDescent="0.2">
      <c r="A183" s="4" t="s">
        <v>148</v>
      </c>
      <c r="B183" s="13" t="s">
        <v>1086</v>
      </c>
      <c r="C183" s="174" t="s">
        <v>2025</v>
      </c>
      <c r="D183" s="175"/>
      <c r="E183" s="175"/>
      <c r="F183" s="175"/>
      <c r="G183" s="13" t="s">
        <v>2854</v>
      </c>
      <c r="H183" s="82">
        <v>21.75</v>
      </c>
      <c r="I183" s="109">
        <v>0</v>
      </c>
      <c r="J183" s="20">
        <f t="shared" si="156"/>
        <v>0</v>
      </c>
      <c r="K183" s="20">
        <f t="shared" si="157"/>
        <v>0</v>
      </c>
      <c r="L183" s="20">
        <f t="shared" si="158"/>
        <v>0</v>
      </c>
      <c r="M183" s="31" t="s">
        <v>2884</v>
      </c>
      <c r="N183" s="5"/>
      <c r="Z183" s="36">
        <f t="shared" si="159"/>
        <v>0</v>
      </c>
      <c r="AB183" s="36">
        <f t="shared" si="160"/>
        <v>0</v>
      </c>
      <c r="AC183" s="36">
        <f t="shared" si="161"/>
        <v>0</v>
      </c>
      <c r="AD183" s="36">
        <f t="shared" si="162"/>
        <v>0</v>
      </c>
      <c r="AE183" s="36">
        <f t="shared" si="163"/>
        <v>0</v>
      </c>
      <c r="AF183" s="36">
        <f t="shared" si="164"/>
        <v>0</v>
      </c>
      <c r="AG183" s="36">
        <f t="shared" si="165"/>
        <v>0</v>
      </c>
      <c r="AH183" s="36">
        <f t="shared" si="166"/>
        <v>0</v>
      </c>
      <c r="AI183" s="35" t="s">
        <v>2894</v>
      </c>
      <c r="AJ183" s="20">
        <f t="shared" si="167"/>
        <v>0</v>
      </c>
      <c r="AK183" s="20">
        <f t="shared" si="168"/>
        <v>0</v>
      </c>
      <c r="AL183" s="20">
        <f t="shared" si="169"/>
        <v>0</v>
      </c>
      <c r="AN183" s="36">
        <v>21</v>
      </c>
      <c r="AO183" s="36">
        <f>I183*0</f>
        <v>0</v>
      </c>
      <c r="AP183" s="36">
        <f>I183*(1-0)</f>
        <v>0</v>
      </c>
      <c r="AQ183" s="37" t="s">
        <v>13</v>
      </c>
      <c r="AV183" s="36">
        <f t="shared" si="170"/>
        <v>0</v>
      </c>
      <c r="AW183" s="36">
        <f t="shared" si="171"/>
        <v>0</v>
      </c>
      <c r="AX183" s="36">
        <f t="shared" si="172"/>
        <v>0</v>
      </c>
      <c r="AY183" s="39" t="s">
        <v>2925</v>
      </c>
      <c r="AZ183" s="39" t="s">
        <v>2953</v>
      </c>
      <c r="BA183" s="35" t="s">
        <v>2967</v>
      </c>
      <c r="BC183" s="36">
        <f t="shared" si="173"/>
        <v>0</v>
      </c>
      <c r="BD183" s="36">
        <f t="shared" si="174"/>
        <v>0</v>
      </c>
      <c r="BE183" s="36">
        <v>0</v>
      </c>
      <c r="BF183" s="36">
        <f>183</f>
        <v>183</v>
      </c>
      <c r="BH183" s="20">
        <f t="shared" si="175"/>
        <v>0</v>
      </c>
      <c r="BI183" s="20">
        <f t="shared" si="176"/>
        <v>0</v>
      </c>
      <c r="BJ183" s="20">
        <f t="shared" si="177"/>
        <v>0</v>
      </c>
      <c r="BK183" s="20" t="s">
        <v>2978</v>
      </c>
      <c r="BL183" s="36">
        <v>712</v>
      </c>
    </row>
    <row r="184" spans="1:64" x14ac:dyDescent="0.2">
      <c r="A184" s="6" t="s">
        <v>149</v>
      </c>
      <c r="B184" s="15" t="s">
        <v>1077</v>
      </c>
      <c r="C184" s="182" t="s">
        <v>2015</v>
      </c>
      <c r="D184" s="183"/>
      <c r="E184" s="183"/>
      <c r="F184" s="183"/>
      <c r="G184" s="15" t="s">
        <v>2858</v>
      </c>
      <c r="H184" s="84">
        <v>7.25</v>
      </c>
      <c r="I184" s="110">
        <v>0</v>
      </c>
      <c r="J184" s="21">
        <f t="shared" si="156"/>
        <v>0</v>
      </c>
      <c r="K184" s="21">
        <f t="shared" si="157"/>
        <v>0</v>
      </c>
      <c r="L184" s="21">
        <f t="shared" si="158"/>
        <v>0</v>
      </c>
      <c r="M184" s="32" t="s">
        <v>2884</v>
      </c>
      <c r="N184" s="5"/>
      <c r="Z184" s="36">
        <f t="shared" si="159"/>
        <v>0</v>
      </c>
      <c r="AB184" s="36">
        <f t="shared" si="160"/>
        <v>0</v>
      </c>
      <c r="AC184" s="36">
        <f t="shared" si="161"/>
        <v>0</v>
      </c>
      <c r="AD184" s="36">
        <f t="shared" si="162"/>
        <v>0</v>
      </c>
      <c r="AE184" s="36">
        <f t="shared" si="163"/>
        <v>0</v>
      </c>
      <c r="AF184" s="36">
        <f t="shared" si="164"/>
        <v>0</v>
      </c>
      <c r="AG184" s="36">
        <f t="shared" si="165"/>
        <v>0</v>
      </c>
      <c r="AH184" s="36">
        <f t="shared" si="166"/>
        <v>0</v>
      </c>
      <c r="AI184" s="35" t="s">
        <v>2894</v>
      </c>
      <c r="AJ184" s="21">
        <f t="shared" si="167"/>
        <v>0</v>
      </c>
      <c r="AK184" s="21">
        <f t="shared" si="168"/>
        <v>0</v>
      </c>
      <c r="AL184" s="21">
        <f t="shared" si="169"/>
        <v>0</v>
      </c>
      <c r="AN184" s="36">
        <v>21</v>
      </c>
      <c r="AO184" s="36">
        <f>I184*1</f>
        <v>0</v>
      </c>
      <c r="AP184" s="36">
        <f>I184*(1-1)</f>
        <v>0</v>
      </c>
      <c r="AQ184" s="38" t="s">
        <v>13</v>
      </c>
      <c r="AV184" s="36">
        <f t="shared" si="170"/>
        <v>0</v>
      </c>
      <c r="AW184" s="36">
        <f t="shared" si="171"/>
        <v>0</v>
      </c>
      <c r="AX184" s="36">
        <f t="shared" si="172"/>
        <v>0</v>
      </c>
      <c r="AY184" s="39" t="s">
        <v>2925</v>
      </c>
      <c r="AZ184" s="39" t="s">
        <v>2953</v>
      </c>
      <c r="BA184" s="35" t="s">
        <v>2967</v>
      </c>
      <c r="BC184" s="36">
        <f t="shared" si="173"/>
        <v>0</v>
      </c>
      <c r="BD184" s="36">
        <f t="shared" si="174"/>
        <v>0</v>
      </c>
      <c r="BE184" s="36">
        <v>0</v>
      </c>
      <c r="BF184" s="36">
        <f>184</f>
        <v>184</v>
      </c>
      <c r="BH184" s="21">
        <f t="shared" si="175"/>
        <v>0</v>
      </c>
      <c r="BI184" s="21">
        <f t="shared" si="176"/>
        <v>0</v>
      </c>
      <c r="BJ184" s="21">
        <f t="shared" si="177"/>
        <v>0</v>
      </c>
      <c r="BK184" s="21" t="s">
        <v>2979</v>
      </c>
      <c r="BL184" s="36">
        <v>712</v>
      </c>
    </row>
    <row r="185" spans="1:64" x14ac:dyDescent="0.2">
      <c r="A185" s="4" t="s">
        <v>150</v>
      </c>
      <c r="B185" s="13" t="s">
        <v>1087</v>
      </c>
      <c r="C185" s="174" t="s">
        <v>2026</v>
      </c>
      <c r="D185" s="175"/>
      <c r="E185" s="175"/>
      <c r="F185" s="175"/>
      <c r="G185" s="13" t="s">
        <v>2854</v>
      </c>
      <c r="H185" s="82">
        <v>501.43900000000002</v>
      </c>
      <c r="I185" s="109">
        <v>0</v>
      </c>
      <c r="J185" s="20">
        <f t="shared" si="156"/>
        <v>0</v>
      </c>
      <c r="K185" s="20">
        <f t="shared" si="157"/>
        <v>0</v>
      </c>
      <c r="L185" s="20">
        <f t="shared" si="158"/>
        <v>0</v>
      </c>
      <c r="M185" s="31" t="s">
        <v>2884</v>
      </c>
      <c r="N185" s="5"/>
      <c r="Z185" s="36">
        <f t="shared" si="159"/>
        <v>0</v>
      </c>
      <c r="AB185" s="36">
        <f t="shared" si="160"/>
        <v>0</v>
      </c>
      <c r="AC185" s="36">
        <f t="shared" si="161"/>
        <v>0</v>
      </c>
      <c r="AD185" s="36">
        <f t="shared" si="162"/>
        <v>0</v>
      </c>
      <c r="AE185" s="36">
        <f t="shared" si="163"/>
        <v>0</v>
      </c>
      <c r="AF185" s="36">
        <f t="shared" si="164"/>
        <v>0</v>
      </c>
      <c r="AG185" s="36">
        <f t="shared" si="165"/>
        <v>0</v>
      </c>
      <c r="AH185" s="36">
        <f t="shared" si="166"/>
        <v>0</v>
      </c>
      <c r="AI185" s="35" t="s">
        <v>2894</v>
      </c>
      <c r="AJ185" s="20">
        <f t="shared" si="167"/>
        <v>0</v>
      </c>
      <c r="AK185" s="20">
        <f t="shared" si="168"/>
        <v>0</v>
      </c>
      <c r="AL185" s="20">
        <f t="shared" si="169"/>
        <v>0</v>
      </c>
      <c r="AN185" s="36">
        <v>21</v>
      </c>
      <c r="AO185" s="36">
        <f>I185*0.71667238177179</f>
        <v>0</v>
      </c>
      <c r="AP185" s="36">
        <f>I185*(1-0.71667238177179)</f>
        <v>0</v>
      </c>
      <c r="AQ185" s="37" t="s">
        <v>13</v>
      </c>
      <c r="AV185" s="36">
        <f t="shared" si="170"/>
        <v>0</v>
      </c>
      <c r="AW185" s="36">
        <f t="shared" si="171"/>
        <v>0</v>
      </c>
      <c r="AX185" s="36">
        <f t="shared" si="172"/>
        <v>0</v>
      </c>
      <c r="AY185" s="39" t="s">
        <v>2925</v>
      </c>
      <c r="AZ185" s="39" t="s">
        <v>2953</v>
      </c>
      <c r="BA185" s="35" t="s">
        <v>2967</v>
      </c>
      <c r="BC185" s="36">
        <f t="shared" si="173"/>
        <v>0</v>
      </c>
      <c r="BD185" s="36">
        <f t="shared" si="174"/>
        <v>0</v>
      </c>
      <c r="BE185" s="36">
        <v>0</v>
      </c>
      <c r="BF185" s="36">
        <f>185</f>
        <v>185</v>
      </c>
      <c r="BH185" s="20">
        <f t="shared" si="175"/>
        <v>0</v>
      </c>
      <c r="BI185" s="20">
        <f t="shared" si="176"/>
        <v>0</v>
      </c>
      <c r="BJ185" s="20">
        <f t="shared" si="177"/>
        <v>0</v>
      </c>
      <c r="BK185" s="20" t="s">
        <v>2978</v>
      </c>
      <c r="BL185" s="36">
        <v>712</v>
      </c>
    </row>
    <row r="186" spans="1:64" x14ac:dyDescent="0.2">
      <c r="A186" s="4" t="s">
        <v>151</v>
      </c>
      <c r="B186" s="13" t="s">
        <v>1088</v>
      </c>
      <c r="C186" s="174" t="s">
        <v>2027</v>
      </c>
      <c r="D186" s="175"/>
      <c r="E186" s="175"/>
      <c r="F186" s="175"/>
      <c r="G186" s="13" t="s">
        <v>2852</v>
      </c>
      <c r="H186" s="82">
        <v>20</v>
      </c>
      <c r="I186" s="109">
        <v>0</v>
      </c>
      <c r="J186" s="20">
        <f t="shared" si="156"/>
        <v>0</v>
      </c>
      <c r="K186" s="20">
        <f t="shared" si="157"/>
        <v>0</v>
      </c>
      <c r="L186" s="20">
        <f t="shared" si="158"/>
        <v>0</v>
      </c>
      <c r="M186" s="31" t="s">
        <v>2884</v>
      </c>
      <c r="N186" s="5"/>
      <c r="Z186" s="36">
        <f t="shared" si="159"/>
        <v>0</v>
      </c>
      <c r="AB186" s="36">
        <f t="shared" si="160"/>
        <v>0</v>
      </c>
      <c r="AC186" s="36">
        <f t="shared" si="161"/>
        <v>0</v>
      </c>
      <c r="AD186" s="36">
        <f t="shared" si="162"/>
        <v>0</v>
      </c>
      <c r="AE186" s="36">
        <f t="shared" si="163"/>
        <v>0</v>
      </c>
      <c r="AF186" s="36">
        <f t="shared" si="164"/>
        <v>0</v>
      </c>
      <c r="AG186" s="36">
        <f t="shared" si="165"/>
        <v>0</v>
      </c>
      <c r="AH186" s="36">
        <f t="shared" si="166"/>
        <v>0</v>
      </c>
      <c r="AI186" s="35" t="s">
        <v>2894</v>
      </c>
      <c r="AJ186" s="20">
        <f t="shared" si="167"/>
        <v>0</v>
      </c>
      <c r="AK186" s="20">
        <f t="shared" si="168"/>
        <v>0</v>
      </c>
      <c r="AL186" s="20">
        <f t="shared" si="169"/>
        <v>0</v>
      </c>
      <c r="AN186" s="36">
        <v>21</v>
      </c>
      <c r="AO186" s="36">
        <f>I186*0</f>
        <v>0</v>
      </c>
      <c r="AP186" s="36">
        <f>I186*(1-0)</f>
        <v>0</v>
      </c>
      <c r="AQ186" s="37" t="s">
        <v>13</v>
      </c>
      <c r="AV186" s="36">
        <f t="shared" si="170"/>
        <v>0</v>
      </c>
      <c r="AW186" s="36">
        <f t="shared" si="171"/>
        <v>0</v>
      </c>
      <c r="AX186" s="36">
        <f t="shared" si="172"/>
        <v>0</v>
      </c>
      <c r="AY186" s="39" t="s">
        <v>2925</v>
      </c>
      <c r="AZ186" s="39" t="s">
        <v>2953</v>
      </c>
      <c r="BA186" s="35" t="s">
        <v>2967</v>
      </c>
      <c r="BC186" s="36">
        <f t="shared" si="173"/>
        <v>0</v>
      </c>
      <c r="BD186" s="36">
        <f t="shared" si="174"/>
        <v>0</v>
      </c>
      <c r="BE186" s="36">
        <v>0</v>
      </c>
      <c r="BF186" s="36">
        <f>186</f>
        <v>186</v>
      </c>
      <c r="BH186" s="20">
        <f t="shared" si="175"/>
        <v>0</v>
      </c>
      <c r="BI186" s="20">
        <f t="shared" si="176"/>
        <v>0</v>
      </c>
      <c r="BJ186" s="20">
        <f t="shared" si="177"/>
        <v>0</v>
      </c>
      <c r="BK186" s="20" t="s">
        <v>2978</v>
      </c>
      <c r="BL186" s="36">
        <v>712</v>
      </c>
    </row>
    <row r="187" spans="1:64" x14ac:dyDescent="0.2">
      <c r="A187" s="4" t="s">
        <v>152</v>
      </c>
      <c r="B187" s="13" t="s">
        <v>1089</v>
      </c>
      <c r="C187" s="174" t="s">
        <v>2028</v>
      </c>
      <c r="D187" s="175"/>
      <c r="E187" s="175"/>
      <c r="F187" s="175"/>
      <c r="G187" s="13" t="s">
        <v>2856</v>
      </c>
      <c r="H187" s="82">
        <v>2.9289999999999998</v>
      </c>
      <c r="I187" s="109">
        <v>0</v>
      </c>
      <c r="J187" s="20">
        <f t="shared" si="156"/>
        <v>0</v>
      </c>
      <c r="K187" s="20">
        <f t="shared" si="157"/>
        <v>0</v>
      </c>
      <c r="L187" s="20">
        <f t="shared" si="158"/>
        <v>0</v>
      </c>
      <c r="M187" s="31" t="s">
        <v>2884</v>
      </c>
      <c r="N187" s="5"/>
      <c r="Z187" s="36">
        <f t="shared" si="159"/>
        <v>0</v>
      </c>
      <c r="AB187" s="36">
        <f t="shared" si="160"/>
        <v>0</v>
      </c>
      <c r="AC187" s="36">
        <f t="shared" si="161"/>
        <v>0</v>
      </c>
      <c r="AD187" s="36">
        <f t="shared" si="162"/>
        <v>0</v>
      </c>
      <c r="AE187" s="36">
        <f t="shared" si="163"/>
        <v>0</v>
      </c>
      <c r="AF187" s="36">
        <f t="shared" si="164"/>
        <v>0</v>
      </c>
      <c r="AG187" s="36">
        <f t="shared" si="165"/>
        <v>0</v>
      </c>
      <c r="AH187" s="36">
        <f t="shared" si="166"/>
        <v>0</v>
      </c>
      <c r="AI187" s="35" t="s">
        <v>2894</v>
      </c>
      <c r="AJ187" s="20">
        <f t="shared" si="167"/>
        <v>0</v>
      </c>
      <c r="AK187" s="20">
        <f t="shared" si="168"/>
        <v>0</v>
      </c>
      <c r="AL187" s="20">
        <f t="shared" si="169"/>
        <v>0</v>
      </c>
      <c r="AN187" s="36">
        <v>21</v>
      </c>
      <c r="AO187" s="36">
        <f>I187*0</f>
        <v>0</v>
      </c>
      <c r="AP187" s="36">
        <f>I187*(1-0)</f>
        <v>0</v>
      </c>
      <c r="AQ187" s="37" t="s">
        <v>11</v>
      </c>
      <c r="AV187" s="36">
        <f t="shared" si="170"/>
        <v>0</v>
      </c>
      <c r="AW187" s="36">
        <f t="shared" si="171"/>
        <v>0</v>
      </c>
      <c r="AX187" s="36">
        <f t="shared" si="172"/>
        <v>0</v>
      </c>
      <c r="AY187" s="39" t="s">
        <v>2925</v>
      </c>
      <c r="AZ187" s="39" t="s">
        <v>2953</v>
      </c>
      <c r="BA187" s="35" t="s">
        <v>2967</v>
      </c>
      <c r="BC187" s="36">
        <f t="shared" si="173"/>
        <v>0</v>
      </c>
      <c r="BD187" s="36">
        <f t="shared" si="174"/>
        <v>0</v>
      </c>
      <c r="BE187" s="36">
        <v>0</v>
      </c>
      <c r="BF187" s="36">
        <f>187</f>
        <v>187</v>
      </c>
      <c r="BH187" s="20">
        <f t="shared" si="175"/>
        <v>0</v>
      </c>
      <c r="BI187" s="20">
        <f t="shared" si="176"/>
        <v>0</v>
      </c>
      <c r="BJ187" s="20">
        <f t="shared" si="177"/>
        <v>0</v>
      </c>
      <c r="BK187" s="20" t="s">
        <v>2978</v>
      </c>
      <c r="BL187" s="36">
        <v>712</v>
      </c>
    </row>
    <row r="188" spans="1:64" x14ac:dyDescent="0.2">
      <c r="A188" s="3"/>
      <c r="B188" s="12" t="s">
        <v>719</v>
      </c>
      <c r="C188" s="172" t="s">
        <v>2029</v>
      </c>
      <c r="D188" s="173"/>
      <c r="E188" s="173"/>
      <c r="F188" s="173"/>
      <c r="G188" s="18" t="s">
        <v>6</v>
      </c>
      <c r="H188" s="18" t="s">
        <v>6</v>
      </c>
      <c r="I188" s="18" t="s">
        <v>6</v>
      </c>
      <c r="J188" s="41">
        <f>SUM(J189:J213)</f>
        <v>0</v>
      </c>
      <c r="K188" s="41">
        <f>SUM(K189:K213)</f>
        <v>0</v>
      </c>
      <c r="L188" s="41">
        <f>SUM(L189:L213)</f>
        <v>0</v>
      </c>
      <c r="M188" s="30"/>
      <c r="N188" s="5"/>
      <c r="AI188" s="35" t="s">
        <v>2894</v>
      </c>
      <c r="AS188" s="41">
        <f>SUM(AJ189:AJ213)</f>
        <v>0</v>
      </c>
      <c r="AT188" s="41">
        <f>SUM(AK189:AK213)</f>
        <v>0</v>
      </c>
      <c r="AU188" s="41">
        <f>SUM(AL189:AL213)</f>
        <v>0</v>
      </c>
    </row>
    <row r="189" spans="1:64" x14ac:dyDescent="0.2">
      <c r="A189" s="4" t="s">
        <v>153</v>
      </c>
      <c r="B189" s="13" t="s">
        <v>1090</v>
      </c>
      <c r="C189" s="174" t="s">
        <v>2030</v>
      </c>
      <c r="D189" s="175"/>
      <c r="E189" s="175"/>
      <c r="F189" s="175"/>
      <c r="G189" s="13" t="s">
        <v>2854</v>
      </c>
      <c r="H189" s="82">
        <v>68</v>
      </c>
      <c r="I189" s="109">
        <v>0</v>
      </c>
      <c r="J189" s="20">
        <f t="shared" ref="J189:J213" si="178">H189*AO189</f>
        <v>0</v>
      </c>
      <c r="K189" s="20">
        <f t="shared" ref="K189:K213" si="179">H189*AP189</f>
        <v>0</v>
      </c>
      <c r="L189" s="20">
        <f t="shared" ref="L189:L213" si="180">H189*I189</f>
        <v>0</v>
      </c>
      <c r="M189" s="31" t="s">
        <v>2884</v>
      </c>
      <c r="N189" s="5"/>
      <c r="Z189" s="36">
        <f t="shared" ref="Z189:Z213" si="181">IF(AQ189="5",BJ189,0)</f>
        <v>0</v>
      </c>
      <c r="AB189" s="36">
        <f t="shared" ref="AB189:AB213" si="182">IF(AQ189="1",BH189,0)</f>
        <v>0</v>
      </c>
      <c r="AC189" s="36">
        <f t="shared" ref="AC189:AC213" si="183">IF(AQ189="1",BI189,0)</f>
        <v>0</v>
      </c>
      <c r="AD189" s="36">
        <f t="shared" ref="AD189:AD213" si="184">IF(AQ189="7",BH189,0)</f>
        <v>0</v>
      </c>
      <c r="AE189" s="36">
        <f t="shared" ref="AE189:AE213" si="185">IF(AQ189="7",BI189,0)</f>
        <v>0</v>
      </c>
      <c r="AF189" s="36">
        <f t="shared" ref="AF189:AF213" si="186">IF(AQ189="2",BH189,0)</f>
        <v>0</v>
      </c>
      <c r="AG189" s="36">
        <f t="shared" ref="AG189:AG213" si="187">IF(AQ189="2",BI189,0)</f>
        <v>0</v>
      </c>
      <c r="AH189" s="36">
        <f t="shared" ref="AH189:AH213" si="188">IF(AQ189="0",BJ189,0)</f>
        <v>0</v>
      </c>
      <c r="AI189" s="35" t="s">
        <v>2894</v>
      </c>
      <c r="AJ189" s="20">
        <f t="shared" ref="AJ189:AJ213" si="189">IF(AN189=0,L189,0)</f>
        <v>0</v>
      </c>
      <c r="AK189" s="20">
        <f t="shared" ref="AK189:AK213" si="190">IF(AN189=15,L189,0)</f>
        <v>0</v>
      </c>
      <c r="AL189" s="20">
        <f t="shared" ref="AL189:AL213" si="191">IF(AN189=21,L189,0)</f>
        <v>0</v>
      </c>
      <c r="AN189" s="36">
        <v>21</v>
      </c>
      <c r="AO189" s="36">
        <f>I189*0</f>
        <v>0</v>
      </c>
      <c r="AP189" s="36">
        <f>I189*(1-0)</f>
        <v>0</v>
      </c>
      <c r="AQ189" s="37" t="s">
        <v>13</v>
      </c>
      <c r="AV189" s="36">
        <f t="shared" ref="AV189:AV213" si="192">AW189+AX189</f>
        <v>0</v>
      </c>
      <c r="AW189" s="36">
        <f t="shared" ref="AW189:AW213" si="193">H189*AO189</f>
        <v>0</v>
      </c>
      <c r="AX189" s="36">
        <f t="shared" ref="AX189:AX213" si="194">H189*AP189</f>
        <v>0</v>
      </c>
      <c r="AY189" s="39" t="s">
        <v>2926</v>
      </c>
      <c r="AZ189" s="39" t="s">
        <v>2953</v>
      </c>
      <c r="BA189" s="35" t="s">
        <v>2967</v>
      </c>
      <c r="BC189" s="36">
        <f t="shared" ref="BC189:BC213" si="195">AW189+AX189</f>
        <v>0</v>
      </c>
      <c r="BD189" s="36">
        <f t="shared" ref="BD189:BD213" si="196">I189/(100-BE189)*100</f>
        <v>0</v>
      </c>
      <c r="BE189" s="36">
        <v>0</v>
      </c>
      <c r="BF189" s="36">
        <f>189</f>
        <v>189</v>
      </c>
      <c r="BH189" s="20">
        <f t="shared" ref="BH189:BH213" si="197">H189*AO189</f>
        <v>0</v>
      </c>
      <c r="BI189" s="20">
        <f t="shared" ref="BI189:BI213" si="198">H189*AP189</f>
        <v>0</v>
      </c>
      <c r="BJ189" s="20">
        <f t="shared" ref="BJ189:BJ213" si="199">H189*I189</f>
        <v>0</v>
      </c>
      <c r="BK189" s="20" t="s">
        <v>2978</v>
      </c>
      <c r="BL189" s="36">
        <v>713</v>
      </c>
    </row>
    <row r="190" spans="1:64" x14ac:dyDescent="0.2">
      <c r="A190" s="6" t="s">
        <v>154</v>
      </c>
      <c r="B190" s="15" t="s">
        <v>1091</v>
      </c>
      <c r="C190" s="182" t="s">
        <v>2031</v>
      </c>
      <c r="D190" s="183"/>
      <c r="E190" s="183"/>
      <c r="F190" s="183"/>
      <c r="G190" s="15" t="s">
        <v>2854</v>
      </c>
      <c r="H190" s="84">
        <v>71.400000000000006</v>
      </c>
      <c r="I190" s="110">
        <v>0</v>
      </c>
      <c r="J190" s="21">
        <f t="shared" si="178"/>
        <v>0</v>
      </c>
      <c r="K190" s="21">
        <f t="shared" si="179"/>
        <v>0</v>
      </c>
      <c r="L190" s="21">
        <f t="shared" si="180"/>
        <v>0</v>
      </c>
      <c r="M190" s="32" t="s">
        <v>2884</v>
      </c>
      <c r="N190" s="5"/>
      <c r="Z190" s="36">
        <f t="shared" si="181"/>
        <v>0</v>
      </c>
      <c r="AB190" s="36">
        <f t="shared" si="182"/>
        <v>0</v>
      </c>
      <c r="AC190" s="36">
        <f t="shared" si="183"/>
        <v>0</v>
      </c>
      <c r="AD190" s="36">
        <f t="shared" si="184"/>
        <v>0</v>
      </c>
      <c r="AE190" s="36">
        <f t="shared" si="185"/>
        <v>0</v>
      </c>
      <c r="AF190" s="36">
        <f t="shared" si="186"/>
        <v>0</v>
      </c>
      <c r="AG190" s="36">
        <f t="shared" si="187"/>
        <v>0</v>
      </c>
      <c r="AH190" s="36">
        <f t="shared" si="188"/>
        <v>0</v>
      </c>
      <c r="AI190" s="35" t="s">
        <v>2894</v>
      </c>
      <c r="AJ190" s="21">
        <f t="shared" si="189"/>
        <v>0</v>
      </c>
      <c r="AK190" s="21">
        <f t="shared" si="190"/>
        <v>0</v>
      </c>
      <c r="AL190" s="21">
        <f t="shared" si="191"/>
        <v>0</v>
      </c>
      <c r="AN190" s="36">
        <v>21</v>
      </c>
      <c r="AO190" s="36">
        <f>I190*1</f>
        <v>0</v>
      </c>
      <c r="AP190" s="36">
        <f>I190*(1-1)</f>
        <v>0</v>
      </c>
      <c r="AQ190" s="38" t="s">
        <v>13</v>
      </c>
      <c r="AV190" s="36">
        <f t="shared" si="192"/>
        <v>0</v>
      </c>
      <c r="AW190" s="36">
        <f t="shared" si="193"/>
        <v>0</v>
      </c>
      <c r="AX190" s="36">
        <f t="shared" si="194"/>
        <v>0</v>
      </c>
      <c r="AY190" s="39" t="s">
        <v>2926</v>
      </c>
      <c r="AZ190" s="39" t="s">
        <v>2953</v>
      </c>
      <c r="BA190" s="35" t="s">
        <v>2967</v>
      </c>
      <c r="BC190" s="36">
        <f t="shared" si="195"/>
        <v>0</v>
      </c>
      <c r="BD190" s="36">
        <f t="shared" si="196"/>
        <v>0</v>
      </c>
      <c r="BE190" s="36">
        <v>0</v>
      </c>
      <c r="BF190" s="36">
        <f>190</f>
        <v>190</v>
      </c>
      <c r="BH190" s="21">
        <f t="shared" si="197"/>
        <v>0</v>
      </c>
      <c r="BI190" s="21">
        <f t="shared" si="198"/>
        <v>0</v>
      </c>
      <c r="BJ190" s="21">
        <f t="shared" si="199"/>
        <v>0</v>
      </c>
      <c r="BK190" s="21" t="s">
        <v>2979</v>
      </c>
      <c r="BL190" s="36">
        <v>713</v>
      </c>
    </row>
    <row r="191" spans="1:64" x14ac:dyDescent="0.2">
      <c r="A191" s="4" t="s">
        <v>155</v>
      </c>
      <c r="B191" s="13" t="s">
        <v>1090</v>
      </c>
      <c r="C191" s="174" t="s">
        <v>2032</v>
      </c>
      <c r="D191" s="175"/>
      <c r="E191" s="175"/>
      <c r="F191" s="175"/>
      <c r="G191" s="13" t="s">
        <v>2854</v>
      </c>
      <c r="H191" s="82">
        <v>500.2</v>
      </c>
      <c r="I191" s="109">
        <v>0</v>
      </c>
      <c r="J191" s="20">
        <f t="shared" si="178"/>
        <v>0</v>
      </c>
      <c r="K191" s="20">
        <f t="shared" si="179"/>
        <v>0</v>
      </c>
      <c r="L191" s="20">
        <f t="shared" si="180"/>
        <v>0</v>
      </c>
      <c r="M191" s="31" t="s">
        <v>2884</v>
      </c>
      <c r="N191" s="5"/>
      <c r="Z191" s="36">
        <f t="shared" si="181"/>
        <v>0</v>
      </c>
      <c r="AB191" s="36">
        <f t="shared" si="182"/>
        <v>0</v>
      </c>
      <c r="AC191" s="36">
        <f t="shared" si="183"/>
        <v>0</v>
      </c>
      <c r="AD191" s="36">
        <f t="shared" si="184"/>
        <v>0</v>
      </c>
      <c r="AE191" s="36">
        <f t="shared" si="185"/>
        <v>0</v>
      </c>
      <c r="AF191" s="36">
        <f t="shared" si="186"/>
        <v>0</v>
      </c>
      <c r="AG191" s="36">
        <f t="shared" si="187"/>
        <v>0</v>
      </c>
      <c r="AH191" s="36">
        <f t="shared" si="188"/>
        <v>0</v>
      </c>
      <c r="AI191" s="35" t="s">
        <v>2894</v>
      </c>
      <c r="AJ191" s="20">
        <f t="shared" si="189"/>
        <v>0</v>
      </c>
      <c r="AK191" s="20">
        <f t="shared" si="190"/>
        <v>0</v>
      </c>
      <c r="AL191" s="20">
        <f t="shared" si="191"/>
        <v>0</v>
      </c>
      <c r="AN191" s="36">
        <v>21</v>
      </c>
      <c r="AO191" s="36">
        <f>I191*0</f>
        <v>0</v>
      </c>
      <c r="AP191" s="36">
        <f>I191*(1-0)</f>
        <v>0</v>
      </c>
      <c r="AQ191" s="37" t="s">
        <v>13</v>
      </c>
      <c r="AV191" s="36">
        <f t="shared" si="192"/>
        <v>0</v>
      </c>
      <c r="AW191" s="36">
        <f t="shared" si="193"/>
        <v>0</v>
      </c>
      <c r="AX191" s="36">
        <f t="shared" si="194"/>
        <v>0</v>
      </c>
      <c r="AY191" s="39" t="s">
        <v>2926</v>
      </c>
      <c r="AZ191" s="39" t="s">
        <v>2953</v>
      </c>
      <c r="BA191" s="35" t="s">
        <v>2967</v>
      </c>
      <c r="BC191" s="36">
        <f t="shared" si="195"/>
        <v>0</v>
      </c>
      <c r="BD191" s="36">
        <f t="shared" si="196"/>
        <v>0</v>
      </c>
      <c r="BE191" s="36">
        <v>0</v>
      </c>
      <c r="BF191" s="36">
        <f>191</f>
        <v>191</v>
      </c>
      <c r="BH191" s="20">
        <f t="shared" si="197"/>
        <v>0</v>
      </c>
      <c r="BI191" s="20">
        <f t="shared" si="198"/>
        <v>0</v>
      </c>
      <c r="BJ191" s="20">
        <f t="shared" si="199"/>
        <v>0</v>
      </c>
      <c r="BK191" s="20" t="s">
        <v>2978</v>
      </c>
      <c r="BL191" s="36">
        <v>713</v>
      </c>
    </row>
    <row r="192" spans="1:64" x14ac:dyDescent="0.2">
      <c r="A192" s="6" t="s">
        <v>156</v>
      </c>
      <c r="B192" s="15" t="s">
        <v>1092</v>
      </c>
      <c r="C192" s="182" t="s">
        <v>2033</v>
      </c>
      <c r="D192" s="183"/>
      <c r="E192" s="183"/>
      <c r="F192" s="183"/>
      <c r="G192" s="15" t="s">
        <v>2854</v>
      </c>
      <c r="H192" s="84">
        <v>525.21</v>
      </c>
      <c r="I192" s="110">
        <v>0</v>
      </c>
      <c r="J192" s="21">
        <f t="shared" si="178"/>
        <v>0</v>
      </c>
      <c r="K192" s="21">
        <f t="shared" si="179"/>
        <v>0</v>
      </c>
      <c r="L192" s="21">
        <f t="shared" si="180"/>
        <v>0</v>
      </c>
      <c r="M192" s="32" t="s">
        <v>2884</v>
      </c>
      <c r="N192" s="5"/>
      <c r="Z192" s="36">
        <f t="shared" si="181"/>
        <v>0</v>
      </c>
      <c r="AB192" s="36">
        <f t="shared" si="182"/>
        <v>0</v>
      </c>
      <c r="AC192" s="36">
        <f t="shared" si="183"/>
        <v>0</v>
      </c>
      <c r="AD192" s="36">
        <f t="shared" si="184"/>
        <v>0</v>
      </c>
      <c r="AE192" s="36">
        <f t="shared" si="185"/>
        <v>0</v>
      </c>
      <c r="AF192" s="36">
        <f t="shared" si="186"/>
        <v>0</v>
      </c>
      <c r="AG192" s="36">
        <f t="shared" si="187"/>
        <v>0</v>
      </c>
      <c r="AH192" s="36">
        <f t="shared" si="188"/>
        <v>0</v>
      </c>
      <c r="AI192" s="35" t="s">
        <v>2894</v>
      </c>
      <c r="AJ192" s="21">
        <f t="shared" si="189"/>
        <v>0</v>
      </c>
      <c r="AK192" s="21">
        <f t="shared" si="190"/>
        <v>0</v>
      </c>
      <c r="AL192" s="21">
        <f t="shared" si="191"/>
        <v>0</v>
      </c>
      <c r="AN192" s="36">
        <v>21</v>
      </c>
      <c r="AO192" s="36">
        <f>I192*1</f>
        <v>0</v>
      </c>
      <c r="AP192" s="36">
        <f>I192*(1-1)</f>
        <v>0</v>
      </c>
      <c r="AQ192" s="38" t="s">
        <v>13</v>
      </c>
      <c r="AV192" s="36">
        <f t="shared" si="192"/>
        <v>0</v>
      </c>
      <c r="AW192" s="36">
        <f t="shared" si="193"/>
        <v>0</v>
      </c>
      <c r="AX192" s="36">
        <f t="shared" si="194"/>
        <v>0</v>
      </c>
      <c r="AY192" s="39" t="s">
        <v>2926</v>
      </c>
      <c r="AZ192" s="39" t="s">
        <v>2953</v>
      </c>
      <c r="BA192" s="35" t="s">
        <v>2967</v>
      </c>
      <c r="BC192" s="36">
        <f t="shared" si="195"/>
        <v>0</v>
      </c>
      <c r="BD192" s="36">
        <f t="shared" si="196"/>
        <v>0</v>
      </c>
      <c r="BE192" s="36">
        <v>0</v>
      </c>
      <c r="BF192" s="36">
        <f>192</f>
        <v>192</v>
      </c>
      <c r="BH192" s="21">
        <f t="shared" si="197"/>
        <v>0</v>
      </c>
      <c r="BI192" s="21">
        <f t="shared" si="198"/>
        <v>0</v>
      </c>
      <c r="BJ192" s="21">
        <f t="shared" si="199"/>
        <v>0</v>
      </c>
      <c r="BK192" s="21" t="s">
        <v>2979</v>
      </c>
      <c r="BL192" s="36">
        <v>713</v>
      </c>
    </row>
    <row r="193" spans="1:64" x14ac:dyDescent="0.2">
      <c r="A193" s="4" t="s">
        <v>157</v>
      </c>
      <c r="B193" s="13" t="s">
        <v>1090</v>
      </c>
      <c r="C193" s="174" t="s">
        <v>2034</v>
      </c>
      <c r="D193" s="175"/>
      <c r="E193" s="175"/>
      <c r="F193" s="175"/>
      <c r="G193" s="13" t="s">
        <v>2854</v>
      </c>
      <c r="H193" s="82">
        <v>432.2</v>
      </c>
      <c r="I193" s="109">
        <v>0</v>
      </c>
      <c r="J193" s="20">
        <f t="shared" si="178"/>
        <v>0</v>
      </c>
      <c r="K193" s="20">
        <f t="shared" si="179"/>
        <v>0</v>
      </c>
      <c r="L193" s="20">
        <f t="shared" si="180"/>
        <v>0</v>
      </c>
      <c r="M193" s="31" t="s">
        <v>2884</v>
      </c>
      <c r="N193" s="5"/>
      <c r="Z193" s="36">
        <f t="shared" si="181"/>
        <v>0</v>
      </c>
      <c r="AB193" s="36">
        <f t="shared" si="182"/>
        <v>0</v>
      </c>
      <c r="AC193" s="36">
        <f t="shared" si="183"/>
        <v>0</v>
      </c>
      <c r="AD193" s="36">
        <f t="shared" si="184"/>
        <v>0</v>
      </c>
      <c r="AE193" s="36">
        <f t="shared" si="185"/>
        <v>0</v>
      </c>
      <c r="AF193" s="36">
        <f t="shared" si="186"/>
        <v>0</v>
      </c>
      <c r="AG193" s="36">
        <f t="shared" si="187"/>
        <v>0</v>
      </c>
      <c r="AH193" s="36">
        <f t="shared" si="188"/>
        <v>0</v>
      </c>
      <c r="AI193" s="35" t="s">
        <v>2894</v>
      </c>
      <c r="AJ193" s="20">
        <f t="shared" si="189"/>
        <v>0</v>
      </c>
      <c r="AK193" s="20">
        <f t="shared" si="190"/>
        <v>0</v>
      </c>
      <c r="AL193" s="20">
        <f t="shared" si="191"/>
        <v>0</v>
      </c>
      <c r="AN193" s="36">
        <v>21</v>
      </c>
      <c r="AO193" s="36">
        <f>I193*0</f>
        <v>0</v>
      </c>
      <c r="AP193" s="36">
        <f>I193*(1-0)</f>
        <v>0</v>
      </c>
      <c r="AQ193" s="37" t="s">
        <v>13</v>
      </c>
      <c r="AV193" s="36">
        <f t="shared" si="192"/>
        <v>0</v>
      </c>
      <c r="AW193" s="36">
        <f t="shared" si="193"/>
        <v>0</v>
      </c>
      <c r="AX193" s="36">
        <f t="shared" si="194"/>
        <v>0</v>
      </c>
      <c r="AY193" s="39" t="s">
        <v>2926</v>
      </c>
      <c r="AZ193" s="39" t="s">
        <v>2953</v>
      </c>
      <c r="BA193" s="35" t="s">
        <v>2967</v>
      </c>
      <c r="BC193" s="36">
        <f t="shared" si="195"/>
        <v>0</v>
      </c>
      <c r="BD193" s="36">
        <f t="shared" si="196"/>
        <v>0</v>
      </c>
      <c r="BE193" s="36">
        <v>0</v>
      </c>
      <c r="BF193" s="36">
        <f>193</f>
        <v>193</v>
      </c>
      <c r="BH193" s="20">
        <f t="shared" si="197"/>
        <v>0</v>
      </c>
      <c r="BI193" s="20">
        <f t="shared" si="198"/>
        <v>0</v>
      </c>
      <c r="BJ193" s="20">
        <f t="shared" si="199"/>
        <v>0</v>
      </c>
      <c r="BK193" s="20" t="s">
        <v>2978</v>
      </c>
      <c r="BL193" s="36">
        <v>713</v>
      </c>
    </row>
    <row r="194" spans="1:64" x14ac:dyDescent="0.2">
      <c r="A194" s="6" t="s">
        <v>158</v>
      </c>
      <c r="B194" s="15" t="s">
        <v>1093</v>
      </c>
      <c r="C194" s="182" t="s">
        <v>2035</v>
      </c>
      <c r="D194" s="183"/>
      <c r="E194" s="183"/>
      <c r="F194" s="183"/>
      <c r="G194" s="15" t="s">
        <v>2854</v>
      </c>
      <c r="H194" s="84">
        <v>453.81</v>
      </c>
      <c r="I194" s="110">
        <v>0</v>
      </c>
      <c r="J194" s="21">
        <f t="shared" si="178"/>
        <v>0</v>
      </c>
      <c r="K194" s="21">
        <f t="shared" si="179"/>
        <v>0</v>
      </c>
      <c r="L194" s="21">
        <f t="shared" si="180"/>
        <v>0</v>
      </c>
      <c r="M194" s="32" t="s">
        <v>2884</v>
      </c>
      <c r="N194" s="5"/>
      <c r="Z194" s="36">
        <f t="shared" si="181"/>
        <v>0</v>
      </c>
      <c r="AB194" s="36">
        <f t="shared" si="182"/>
        <v>0</v>
      </c>
      <c r="AC194" s="36">
        <f t="shared" si="183"/>
        <v>0</v>
      </c>
      <c r="AD194" s="36">
        <f t="shared" si="184"/>
        <v>0</v>
      </c>
      <c r="AE194" s="36">
        <f t="shared" si="185"/>
        <v>0</v>
      </c>
      <c r="AF194" s="36">
        <f t="shared" si="186"/>
        <v>0</v>
      </c>
      <c r="AG194" s="36">
        <f t="shared" si="187"/>
        <v>0</v>
      </c>
      <c r="AH194" s="36">
        <f t="shared" si="188"/>
        <v>0</v>
      </c>
      <c r="AI194" s="35" t="s">
        <v>2894</v>
      </c>
      <c r="AJ194" s="21">
        <f t="shared" si="189"/>
        <v>0</v>
      </c>
      <c r="AK194" s="21">
        <f t="shared" si="190"/>
        <v>0</v>
      </c>
      <c r="AL194" s="21">
        <f t="shared" si="191"/>
        <v>0</v>
      </c>
      <c r="AN194" s="36">
        <v>21</v>
      </c>
      <c r="AO194" s="36">
        <f>I194*1</f>
        <v>0</v>
      </c>
      <c r="AP194" s="36">
        <f>I194*(1-1)</f>
        <v>0</v>
      </c>
      <c r="AQ194" s="38" t="s">
        <v>13</v>
      </c>
      <c r="AV194" s="36">
        <f t="shared" si="192"/>
        <v>0</v>
      </c>
      <c r="AW194" s="36">
        <f t="shared" si="193"/>
        <v>0</v>
      </c>
      <c r="AX194" s="36">
        <f t="shared" si="194"/>
        <v>0</v>
      </c>
      <c r="AY194" s="39" t="s">
        <v>2926</v>
      </c>
      <c r="AZ194" s="39" t="s">
        <v>2953</v>
      </c>
      <c r="BA194" s="35" t="s">
        <v>2967</v>
      </c>
      <c r="BC194" s="36">
        <f t="shared" si="195"/>
        <v>0</v>
      </c>
      <c r="BD194" s="36">
        <f t="shared" si="196"/>
        <v>0</v>
      </c>
      <c r="BE194" s="36">
        <v>0</v>
      </c>
      <c r="BF194" s="36">
        <f>194</f>
        <v>194</v>
      </c>
      <c r="BH194" s="21">
        <f t="shared" si="197"/>
        <v>0</v>
      </c>
      <c r="BI194" s="21">
        <f t="shared" si="198"/>
        <v>0</v>
      </c>
      <c r="BJ194" s="21">
        <f t="shared" si="199"/>
        <v>0</v>
      </c>
      <c r="BK194" s="21" t="s">
        <v>2979</v>
      </c>
      <c r="BL194" s="36">
        <v>713</v>
      </c>
    </row>
    <row r="195" spans="1:64" x14ac:dyDescent="0.2">
      <c r="A195" s="4" t="s">
        <v>159</v>
      </c>
      <c r="B195" s="13" t="s">
        <v>1094</v>
      </c>
      <c r="C195" s="174" t="s">
        <v>2036</v>
      </c>
      <c r="D195" s="175"/>
      <c r="E195" s="175"/>
      <c r="F195" s="175"/>
      <c r="G195" s="13" t="s">
        <v>2854</v>
      </c>
      <c r="H195" s="82">
        <v>432.2</v>
      </c>
      <c r="I195" s="109">
        <v>0</v>
      </c>
      <c r="J195" s="20">
        <f t="shared" si="178"/>
        <v>0</v>
      </c>
      <c r="K195" s="20">
        <f t="shared" si="179"/>
        <v>0</v>
      </c>
      <c r="L195" s="20">
        <f t="shared" si="180"/>
        <v>0</v>
      </c>
      <c r="M195" s="31" t="s">
        <v>2884</v>
      </c>
      <c r="N195" s="5"/>
      <c r="Z195" s="36">
        <f t="shared" si="181"/>
        <v>0</v>
      </c>
      <c r="AB195" s="36">
        <f t="shared" si="182"/>
        <v>0</v>
      </c>
      <c r="AC195" s="36">
        <f t="shared" si="183"/>
        <v>0</v>
      </c>
      <c r="AD195" s="36">
        <f t="shared" si="184"/>
        <v>0</v>
      </c>
      <c r="AE195" s="36">
        <f t="shared" si="185"/>
        <v>0</v>
      </c>
      <c r="AF195" s="36">
        <f t="shared" si="186"/>
        <v>0</v>
      </c>
      <c r="AG195" s="36">
        <f t="shared" si="187"/>
        <v>0</v>
      </c>
      <c r="AH195" s="36">
        <f t="shared" si="188"/>
        <v>0</v>
      </c>
      <c r="AI195" s="35" t="s">
        <v>2894</v>
      </c>
      <c r="AJ195" s="20">
        <f t="shared" si="189"/>
        <v>0</v>
      </c>
      <c r="AK195" s="20">
        <f t="shared" si="190"/>
        <v>0</v>
      </c>
      <c r="AL195" s="20">
        <f t="shared" si="191"/>
        <v>0</v>
      </c>
      <c r="AN195" s="36">
        <v>21</v>
      </c>
      <c r="AO195" s="36">
        <f>I195*0</f>
        <v>0</v>
      </c>
      <c r="AP195" s="36">
        <f>I195*(1-0)</f>
        <v>0</v>
      </c>
      <c r="AQ195" s="37" t="s">
        <v>13</v>
      </c>
      <c r="AV195" s="36">
        <f t="shared" si="192"/>
        <v>0</v>
      </c>
      <c r="AW195" s="36">
        <f t="shared" si="193"/>
        <v>0</v>
      </c>
      <c r="AX195" s="36">
        <f t="shared" si="194"/>
        <v>0</v>
      </c>
      <c r="AY195" s="39" t="s">
        <v>2926</v>
      </c>
      <c r="AZ195" s="39" t="s">
        <v>2953</v>
      </c>
      <c r="BA195" s="35" t="s">
        <v>2967</v>
      </c>
      <c r="BC195" s="36">
        <f t="shared" si="195"/>
        <v>0</v>
      </c>
      <c r="BD195" s="36">
        <f t="shared" si="196"/>
        <v>0</v>
      </c>
      <c r="BE195" s="36">
        <v>0</v>
      </c>
      <c r="BF195" s="36">
        <f>195</f>
        <v>195</v>
      </c>
      <c r="BH195" s="20">
        <f t="shared" si="197"/>
        <v>0</v>
      </c>
      <c r="BI195" s="20">
        <f t="shared" si="198"/>
        <v>0</v>
      </c>
      <c r="BJ195" s="20">
        <f t="shared" si="199"/>
        <v>0</v>
      </c>
      <c r="BK195" s="20" t="s">
        <v>2978</v>
      </c>
      <c r="BL195" s="36">
        <v>713</v>
      </c>
    </row>
    <row r="196" spans="1:64" x14ac:dyDescent="0.2">
      <c r="A196" s="6" t="s">
        <v>160</v>
      </c>
      <c r="B196" s="15" t="s">
        <v>1093</v>
      </c>
      <c r="C196" s="182" t="s">
        <v>2035</v>
      </c>
      <c r="D196" s="183"/>
      <c r="E196" s="183"/>
      <c r="F196" s="183"/>
      <c r="G196" s="15" t="s">
        <v>2854</v>
      </c>
      <c r="H196" s="84">
        <v>453.81</v>
      </c>
      <c r="I196" s="110">
        <v>0</v>
      </c>
      <c r="J196" s="21">
        <f t="shared" si="178"/>
        <v>0</v>
      </c>
      <c r="K196" s="21">
        <f t="shared" si="179"/>
        <v>0</v>
      </c>
      <c r="L196" s="21">
        <f t="shared" si="180"/>
        <v>0</v>
      </c>
      <c r="M196" s="32" t="s">
        <v>2884</v>
      </c>
      <c r="N196" s="5"/>
      <c r="Z196" s="36">
        <f t="shared" si="181"/>
        <v>0</v>
      </c>
      <c r="AB196" s="36">
        <f t="shared" si="182"/>
        <v>0</v>
      </c>
      <c r="AC196" s="36">
        <f t="shared" si="183"/>
        <v>0</v>
      </c>
      <c r="AD196" s="36">
        <f t="shared" si="184"/>
        <v>0</v>
      </c>
      <c r="AE196" s="36">
        <f t="shared" si="185"/>
        <v>0</v>
      </c>
      <c r="AF196" s="36">
        <f t="shared" si="186"/>
        <v>0</v>
      </c>
      <c r="AG196" s="36">
        <f t="shared" si="187"/>
        <v>0</v>
      </c>
      <c r="AH196" s="36">
        <f t="shared" si="188"/>
        <v>0</v>
      </c>
      <c r="AI196" s="35" t="s">
        <v>2894</v>
      </c>
      <c r="AJ196" s="21">
        <f t="shared" si="189"/>
        <v>0</v>
      </c>
      <c r="AK196" s="21">
        <f t="shared" si="190"/>
        <v>0</v>
      </c>
      <c r="AL196" s="21">
        <f t="shared" si="191"/>
        <v>0</v>
      </c>
      <c r="AN196" s="36">
        <v>21</v>
      </c>
      <c r="AO196" s="36">
        <f>I196*1</f>
        <v>0</v>
      </c>
      <c r="AP196" s="36">
        <f>I196*(1-1)</f>
        <v>0</v>
      </c>
      <c r="AQ196" s="38" t="s">
        <v>13</v>
      </c>
      <c r="AV196" s="36">
        <f t="shared" si="192"/>
        <v>0</v>
      </c>
      <c r="AW196" s="36">
        <f t="shared" si="193"/>
        <v>0</v>
      </c>
      <c r="AX196" s="36">
        <f t="shared" si="194"/>
        <v>0</v>
      </c>
      <c r="AY196" s="39" t="s">
        <v>2926</v>
      </c>
      <c r="AZ196" s="39" t="s">
        <v>2953</v>
      </c>
      <c r="BA196" s="35" t="s">
        <v>2967</v>
      </c>
      <c r="BC196" s="36">
        <f t="shared" si="195"/>
        <v>0</v>
      </c>
      <c r="BD196" s="36">
        <f t="shared" si="196"/>
        <v>0</v>
      </c>
      <c r="BE196" s="36">
        <v>0</v>
      </c>
      <c r="BF196" s="36">
        <f>196</f>
        <v>196</v>
      </c>
      <c r="BH196" s="21">
        <f t="shared" si="197"/>
        <v>0</v>
      </c>
      <c r="BI196" s="21">
        <f t="shared" si="198"/>
        <v>0</v>
      </c>
      <c r="BJ196" s="21">
        <f t="shared" si="199"/>
        <v>0</v>
      </c>
      <c r="BK196" s="21" t="s">
        <v>2979</v>
      </c>
      <c r="BL196" s="36">
        <v>713</v>
      </c>
    </row>
    <row r="197" spans="1:64" x14ac:dyDescent="0.2">
      <c r="A197" s="6" t="s">
        <v>161</v>
      </c>
      <c r="B197" s="15" t="s">
        <v>1095</v>
      </c>
      <c r="C197" s="182" t="s">
        <v>2037</v>
      </c>
      <c r="D197" s="183"/>
      <c r="E197" s="183"/>
      <c r="F197" s="183"/>
      <c r="G197" s="15" t="s">
        <v>2854</v>
      </c>
      <c r="H197" s="84">
        <v>453.81</v>
      </c>
      <c r="I197" s="110">
        <v>0</v>
      </c>
      <c r="J197" s="21">
        <f t="shared" si="178"/>
        <v>0</v>
      </c>
      <c r="K197" s="21">
        <f t="shared" si="179"/>
        <v>0</v>
      </c>
      <c r="L197" s="21">
        <f t="shared" si="180"/>
        <v>0</v>
      </c>
      <c r="M197" s="32" t="s">
        <v>2884</v>
      </c>
      <c r="N197" s="5"/>
      <c r="Z197" s="36">
        <f t="shared" si="181"/>
        <v>0</v>
      </c>
      <c r="AB197" s="36">
        <f t="shared" si="182"/>
        <v>0</v>
      </c>
      <c r="AC197" s="36">
        <f t="shared" si="183"/>
        <v>0</v>
      </c>
      <c r="AD197" s="36">
        <f t="shared" si="184"/>
        <v>0</v>
      </c>
      <c r="AE197" s="36">
        <f t="shared" si="185"/>
        <v>0</v>
      </c>
      <c r="AF197" s="36">
        <f t="shared" si="186"/>
        <v>0</v>
      </c>
      <c r="AG197" s="36">
        <f t="shared" si="187"/>
        <v>0</v>
      </c>
      <c r="AH197" s="36">
        <f t="shared" si="188"/>
        <v>0</v>
      </c>
      <c r="AI197" s="35" t="s">
        <v>2894</v>
      </c>
      <c r="AJ197" s="21">
        <f t="shared" si="189"/>
        <v>0</v>
      </c>
      <c r="AK197" s="21">
        <f t="shared" si="190"/>
        <v>0</v>
      </c>
      <c r="AL197" s="21">
        <f t="shared" si="191"/>
        <v>0</v>
      </c>
      <c r="AN197" s="36">
        <v>21</v>
      </c>
      <c r="AO197" s="36">
        <f>I197*1</f>
        <v>0</v>
      </c>
      <c r="AP197" s="36">
        <f>I197*(1-1)</f>
        <v>0</v>
      </c>
      <c r="AQ197" s="38" t="s">
        <v>13</v>
      </c>
      <c r="AV197" s="36">
        <f t="shared" si="192"/>
        <v>0</v>
      </c>
      <c r="AW197" s="36">
        <f t="shared" si="193"/>
        <v>0</v>
      </c>
      <c r="AX197" s="36">
        <f t="shared" si="194"/>
        <v>0</v>
      </c>
      <c r="AY197" s="39" t="s">
        <v>2926</v>
      </c>
      <c r="AZ197" s="39" t="s">
        <v>2953</v>
      </c>
      <c r="BA197" s="35" t="s">
        <v>2967</v>
      </c>
      <c r="BC197" s="36">
        <f t="shared" si="195"/>
        <v>0</v>
      </c>
      <c r="BD197" s="36">
        <f t="shared" si="196"/>
        <v>0</v>
      </c>
      <c r="BE197" s="36">
        <v>0</v>
      </c>
      <c r="BF197" s="36">
        <f>197</f>
        <v>197</v>
      </c>
      <c r="BH197" s="21">
        <f t="shared" si="197"/>
        <v>0</v>
      </c>
      <c r="BI197" s="21">
        <f t="shared" si="198"/>
        <v>0</v>
      </c>
      <c r="BJ197" s="21">
        <f t="shared" si="199"/>
        <v>0</v>
      </c>
      <c r="BK197" s="21" t="s">
        <v>2979</v>
      </c>
      <c r="BL197" s="36">
        <v>713</v>
      </c>
    </row>
    <row r="198" spans="1:64" x14ac:dyDescent="0.2">
      <c r="A198" s="4" t="s">
        <v>162</v>
      </c>
      <c r="B198" s="13" t="s">
        <v>1096</v>
      </c>
      <c r="C198" s="174" t="s">
        <v>2038</v>
      </c>
      <c r="D198" s="175"/>
      <c r="E198" s="175"/>
      <c r="F198" s="175"/>
      <c r="G198" s="13" t="s">
        <v>2854</v>
      </c>
      <c r="H198" s="82">
        <v>56.387999999999998</v>
      </c>
      <c r="I198" s="109">
        <v>0</v>
      </c>
      <c r="J198" s="20">
        <f t="shared" si="178"/>
        <v>0</v>
      </c>
      <c r="K198" s="20">
        <f t="shared" si="179"/>
        <v>0</v>
      </c>
      <c r="L198" s="20">
        <f t="shared" si="180"/>
        <v>0</v>
      </c>
      <c r="M198" s="31" t="s">
        <v>2884</v>
      </c>
      <c r="N198" s="5"/>
      <c r="Z198" s="36">
        <f t="shared" si="181"/>
        <v>0</v>
      </c>
      <c r="AB198" s="36">
        <f t="shared" si="182"/>
        <v>0</v>
      </c>
      <c r="AC198" s="36">
        <f t="shared" si="183"/>
        <v>0</v>
      </c>
      <c r="AD198" s="36">
        <f t="shared" si="184"/>
        <v>0</v>
      </c>
      <c r="AE198" s="36">
        <f t="shared" si="185"/>
        <v>0</v>
      </c>
      <c r="AF198" s="36">
        <f t="shared" si="186"/>
        <v>0</v>
      </c>
      <c r="AG198" s="36">
        <f t="shared" si="187"/>
        <v>0</v>
      </c>
      <c r="AH198" s="36">
        <f t="shared" si="188"/>
        <v>0</v>
      </c>
      <c r="AI198" s="35" t="s">
        <v>2894</v>
      </c>
      <c r="AJ198" s="20">
        <f t="shared" si="189"/>
        <v>0</v>
      </c>
      <c r="AK198" s="20">
        <f t="shared" si="190"/>
        <v>0</v>
      </c>
      <c r="AL198" s="20">
        <f t="shared" si="191"/>
        <v>0</v>
      </c>
      <c r="AN198" s="36">
        <v>21</v>
      </c>
      <c r="AO198" s="36">
        <f>I198*0.205629532207443</f>
        <v>0</v>
      </c>
      <c r="AP198" s="36">
        <f>I198*(1-0.205629532207443)</f>
        <v>0</v>
      </c>
      <c r="AQ198" s="37" t="s">
        <v>13</v>
      </c>
      <c r="AV198" s="36">
        <f t="shared" si="192"/>
        <v>0</v>
      </c>
      <c r="AW198" s="36">
        <f t="shared" si="193"/>
        <v>0</v>
      </c>
      <c r="AX198" s="36">
        <f t="shared" si="194"/>
        <v>0</v>
      </c>
      <c r="AY198" s="39" t="s">
        <v>2926</v>
      </c>
      <c r="AZ198" s="39" t="s">
        <v>2953</v>
      </c>
      <c r="BA198" s="35" t="s">
        <v>2967</v>
      </c>
      <c r="BC198" s="36">
        <f t="shared" si="195"/>
        <v>0</v>
      </c>
      <c r="BD198" s="36">
        <f t="shared" si="196"/>
        <v>0</v>
      </c>
      <c r="BE198" s="36">
        <v>0</v>
      </c>
      <c r="BF198" s="36">
        <f>198</f>
        <v>198</v>
      </c>
      <c r="BH198" s="20">
        <f t="shared" si="197"/>
        <v>0</v>
      </c>
      <c r="BI198" s="20">
        <f t="shared" si="198"/>
        <v>0</v>
      </c>
      <c r="BJ198" s="20">
        <f t="shared" si="199"/>
        <v>0</v>
      </c>
      <c r="BK198" s="20" t="s">
        <v>2978</v>
      </c>
      <c r="BL198" s="36">
        <v>713</v>
      </c>
    </row>
    <row r="199" spans="1:64" x14ac:dyDescent="0.2">
      <c r="A199" s="6" t="s">
        <v>163</v>
      </c>
      <c r="B199" s="15" t="s">
        <v>1097</v>
      </c>
      <c r="C199" s="182" t="s">
        <v>2039</v>
      </c>
      <c r="D199" s="183"/>
      <c r="E199" s="183"/>
      <c r="F199" s="183"/>
      <c r="G199" s="15" t="s">
        <v>2854</v>
      </c>
      <c r="H199" s="84">
        <v>59.207000000000001</v>
      </c>
      <c r="I199" s="110">
        <v>0</v>
      </c>
      <c r="J199" s="21">
        <f t="shared" si="178"/>
        <v>0</v>
      </c>
      <c r="K199" s="21">
        <f t="shared" si="179"/>
        <v>0</v>
      </c>
      <c r="L199" s="21">
        <f t="shared" si="180"/>
        <v>0</v>
      </c>
      <c r="M199" s="32" t="s">
        <v>2884</v>
      </c>
      <c r="N199" s="5"/>
      <c r="Z199" s="36">
        <f t="shared" si="181"/>
        <v>0</v>
      </c>
      <c r="AB199" s="36">
        <f t="shared" si="182"/>
        <v>0</v>
      </c>
      <c r="AC199" s="36">
        <f t="shared" si="183"/>
        <v>0</v>
      </c>
      <c r="AD199" s="36">
        <f t="shared" si="184"/>
        <v>0</v>
      </c>
      <c r="AE199" s="36">
        <f t="shared" si="185"/>
        <v>0</v>
      </c>
      <c r="AF199" s="36">
        <f t="shared" si="186"/>
        <v>0</v>
      </c>
      <c r="AG199" s="36">
        <f t="shared" si="187"/>
        <v>0</v>
      </c>
      <c r="AH199" s="36">
        <f t="shared" si="188"/>
        <v>0</v>
      </c>
      <c r="AI199" s="35" t="s">
        <v>2894</v>
      </c>
      <c r="AJ199" s="21">
        <f t="shared" si="189"/>
        <v>0</v>
      </c>
      <c r="AK199" s="21">
        <f t="shared" si="190"/>
        <v>0</v>
      </c>
      <c r="AL199" s="21">
        <f t="shared" si="191"/>
        <v>0</v>
      </c>
      <c r="AN199" s="36">
        <v>21</v>
      </c>
      <c r="AO199" s="36">
        <f>I199*1</f>
        <v>0</v>
      </c>
      <c r="AP199" s="36">
        <f>I199*(1-1)</f>
        <v>0</v>
      </c>
      <c r="AQ199" s="38" t="s">
        <v>13</v>
      </c>
      <c r="AV199" s="36">
        <f t="shared" si="192"/>
        <v>0</v>
      </c>
      <c r="AW199" s="36">
        <f t="shared" si="193"/>
        <v>0</v>
      </c>
      <c r="AX199" s="36">
        <f t="shared" si="194"/>
        <v>0</v>
      </c>
      <c r="AY199" s="39" t="s">
        <v>2926</v>
      </c>
      <c r="AZ199" s="39" t="s">
        <v>2953</v>
      </c>
      <c r="BA199" s="35" t="s">
        <v>2967</v>
      </c>
      <c r="BC199" s="36">
        <f t="shared" si="195"/>
        <v>0</v>
      </c>
      <c r="BD199" s="36">
        <f t="shared" si="196"/>
        <v>0</v>
      </c>
      <c r="BE199" s="36">
        <v>0</v>
      </c>
      <c r="BF199" s="36">
        <f>199</f>
        <v>199</v>
      </c>
      <c r="BH199" s="21">
        <f t="shared" si="197"/>
        <v>0</v>
      </c>
      <c r="BI199" s="21">
        <f t="shared" si="198"/>
        <v>0</v>
      </c>
      <c r="BJ199" s="21">
        <f t="shared" si="199"/>
        <v>0</v>
      </c>
      <c r="BK199" s="21" t="s">
        <v>2979</v>
      </c>
      <c r="BL199" s="36">
        <v>713</v>
      </c>
    </row>
    <row r="200" spans="1:64" x14ac:dyDescent="0.2">
      <c r="A200" s="4" t="s">
        <v>164</v>
      </c>
      <c r="B200" s="13" t="s">
        <v>1096</v>
      </c>
      <c r="C200" s="174" t="s">
        <v>2040</v>
      </c>
      <c r="D200" s="175"/>
      <c r="E200" s="175"/>
      <c r="F200" s="175"/>
      <c r="G200" s="13" t="s">
        <v>2854</v>
      </c>
      <c r="H200" s="82">
        <v>4.1100000000000003</v>
      </c>
      <c r="I200" s="109">
        <v>0</v>
      </c>
      <c r="J200" s="20">
        <f t="shared" si="178"/>
        <v>0</v>
      </c>
      <c r="K200" s="20">
        <f t="shared" si="179"/>
        <v>0</v>
      </c>
      <c r="L200" s="20">
        <f t="shared" si="180"/>
        <v>0</v>
      </c>
      <c r="M200" s="31" t="s">
        <v>2884</v>
      </c>
      <c r="N200" s="5"/>
      <c r="Z200" s="36">
        <f t="shared" si="181"/>
        <v>0</v>
      </c>
      <c r="AB200" s="36">
        <f t="shared" si="182"/>
        <v>0</v>
      </c>
      <c r="AC200" s="36">
        <f t="shared" si="183"/>
        <v>0</v>
      </c>
      <c r="AD200" s="36">
        <f t="shared" si="184"/>
        <v>0</v>
      </c>
      <c r="AE200" s="36">
        <f t="shared" si="185"/>
        <v>0</v>
      </c>
      <c r="AF200" s="36">
        <f t="shared" si="186"/>
        <v>0</v>
      </c>
      <c r="AG200" s="36">
        <f t="shared" si="187"/>
        <v>0</v>
      </c>
      <c r="AH200" s="36">
        <f t="shared" si="188"/>
        <v>0</v>
      </c>
      <c r="AI200" s="35" t="s">
        <v>2894</v>
      </c>
      <c r="AJ200" s="20">
        <f t="shared" si="189"/>
        <v>0</v>
      </c>
      <c r="AK200" s="20">
        <f t="shared" si="190"/>
        <v>0</v>
      </c>
      <c r="AL200" s="20">
        <f t="shared" si="191"/>
        <v>0</v>
      </c>
      <c r="AN200" s="36">
        <v>21</v>
      </c>
      <c r="AO200" s="36">
        <f>I200*0.205629220548432</f>
        <v>0</v>
      </c>
      <c r="AP200" s="36">
        <f>I200*(1-0.205629220548432)</f>
        <v>0</v>
      </c>
      <c r="AQ200" s="37" t="s">
        <v>13</v>
      </c>
      <c r="AV200" s="36">
        <f t="shared" si="192"/>
        <v>0</v>
      </c>
      <c r="AW200" s="36">
        <f t="shared" si="193"/>
        <v>0</v>
      </c>
      <c r="AX200" s="36">
        <f t="shared" si="194"/>
        <v>0</v>
      </c>
      <c r="AY200" s="39" t="s">
        <v>2926</v>
      </c>
      <c r="AZ200" s="39" t="s">
        <v>2953</v>
      </c>
      <c r="BA200" s="35" t="s">
        <v>2967</v>
      </c>
      <c r="BC200" s="36">
        <f t="shared" si="195"/>
        <v>0</v>
      </c>
      <c r="BD200" s="36">
        <f t="shared" si="196"/>
        <v>0</v>
      </c>
      <c r="BE200" s="36">
        <v>0</v>
      </c>
      <c r="BF200" s="36">
        <f>200</f>
        <v>200</v>
      </c>
      <c r="BH200" s="20">
        <f t="shared" si="197"/>
        <v>0</v>
      </c>
      <c r="BI200" s="20">
        <f t="shared" si="198"/>
        <v>0</v>
      </c>
      <c r="BJ200" s="20">
        <f t="shared" si="199"/>
        <v>0</v>
      </c>
      <c r="BK200" s="20" t="s">
        <v>2978</v>
      </c>
      <c r="BL200" s="36">
        <v>713</v>
      </c>
    </row>
    <row r="201" spans="1:64" x14ac:dyDescent="0.2">
      <c r="A201" s="6" t="s">
        <v>165</v>
      </c>
      <c r="B201" s="15" t="s">
        <v>1098</v>
      </c>
      <c r="C201" s="182" t="s">
        <v>2041</v>
      </c>
      <c r="D201" s="183"/>
      <c r="E201" s="183"/>
      <c r="F201" s="183"/>
      <c r="G201" s="15" t="s">
        <v>2854</v>
      </c>
      <c r="H201" s="84">
        <v>4.3159999999999998</v>
      </c>
      <c r="I201" s="110">
        <v>0</v>
      </c>
      <c r="J201" s="21">
        <f t="shared" si="178"/>
        <v>0</v>
      </c>
      <c r="K201" s="21">
        <f t="shared" si="179"/>
        <v>0</v>
      </c>
      <c r="L201" s="21">
        <f t="shared" si="180"/>
        <v>0</v>
      </c>
      <c r="M201" s="32" t="s">
        <v>2884</v>
      </c>
      <c r="N201" s="5"/>
      <c r="Z201" s="36">
        <f t="shared" si="181"/>
        <v>0</v>
      </c>
      <c r="AB201" s="36">
        <f t="shared" si="182"/>
        <v>0</v>
      </c>
      <c r="AC201" s="36">
        <f t="shared" si="183"/>
        <v>0</v>
      </c>
      <c r="AD201" s="36">
        <f t="shared" si="184"/>
        <v>0</v>
      </c>
      <c r="AE201" s="36">
        <f t="shared" si="185"/>
        <v>0</v>
      </c>
      <c r="AF201" s="36">
        <f t="shared" si="186"/>
        <v>0</v>
      </c>
      <c r="AG201" s="36">
        <f t="shared" si="187"/>
        <v>0</v>
      </c>
      <c r="AH201" s="36">
        <f t="shared" si="188"/>
        <v>0</v>
      </c>
      <c r="AI201" s="35" t="s">
        <v>2894</v>
      </c>
      <c r="AJ201" s="21">
        <f t="shared" si="189"/>
        <v>0</v>
      </c>
      <c r="AK201" s="21">
        <f t="shared" si="190"/>
        <v>0</v>
      </c>
      <c r="AL201" s="21">
        <f t="shared" si="191"/>
        <v>0</v>
      </c>
      <c r="AN201" s="36">
        <v>21</v>
      </c>
      <c r="AO201" s="36">
        <f>I201*1</f>
        <v>0</v>
      </c>
      <c r="AP201" s="36">
        <f>I201*(1-1)</f>
        <v>0</v>
      </c>
      <c r="AQ201" s="38" t="s">
        <v>13</v>
      </c>
      <c r="AV201" s="36">
        <f t="shared" si="192"/>
        <v>0</v>
      </c>
      <c r="AW201" s="36">
        <f t="shared" si="193"/>
        <v>0</v>
      </c>
      <c r="AX201" s="36">
        <f t="shared" si="194"/>
        <v>0</v>
      </c>
      <c r="AY201" s="39" t="s">
        <v>2926</v>
      </c>
      <c r="AZ201" s="39" t="s">
        <v>2953</v>
      </c>
      <c r="BA201" s="35" t="s">
        <v>2967</v>
      </c>
      <c r="BC201" s="36">
        <f t="shared" si="195"/>
        <v>0</v>
      </c>
      <c r="BD201" s="36">
        <f t="shared" si="196"/>
        <v>0</v>
      </c>
      <c r="BE201" s="36">
        <v>0</v>
      </c>
      <c r="BF201" s="36">
        <f>201</f>
        <v>201</v>
      </c>
      <c r="BH201" s="21">
        <f t="shared" si="197"/>
        <v>0</v>
      </c>
      <c r="BI201" s="21">
        <f t="shared" si="198"/>
        <v>0</v>
      </c>
      <c r="BJ201" s="21">
        <f t="shared" si="199"/>
        <v>0</v>
      </c>
      <c r="BK201" s="21" t="s">
        <v>2979</v>
      </c>
      <c r="BL201" s="36">
        <v>713</v>
      </c>
    </row>
    <row r="202" spans="1:64" x14ac:dyDescent="0.2">
      <c r="A202" s="4" t="s">
        <v>166</v>
      </c>
      <c r="B202" s="13" t="s">
        <v>1096</v>
      </c>
      <c r="C202" s="174" t="s">
        <v>2042</v>
      </c>
      <c r="D202" s="175"/>
      <c r="E202" s="175"/>
      <c r="F202" s="175"/>
      <c r="G202" s="13" t="s">
        <v>2854</v>
      </c>
      <c r="H202" s="82">
        <v>41.76</v>
      </c>
      <c r="I202" s="109">
        <v>0</v>
      </c>
      <c r="J202" s="20">
        <f t="shared" si="178"/>
        <v>0</v>
      </c>
      <c r="K202" s="20">
        <f t="shared" si="179"/>
        <v>0</v>
      </c>
      <c r="L202" s="20">
        <f t="shared" si="180"/>
        <v>0</v>
      </c>
      <c r="M202" s="31" t="s">
        <v>2884</v>
      </c>
      <c r="N202" s="5"/>
      <c r="Z202" s="36">
        <f t="shared" si="181"/>
        <v>0</v>
      </c>
      <c r="AB202" s="36">
        <f t="shared" si="182"/>
        <v>0</v>
      </c>
      <c r="AC202" s="36">
        <f t="shared" si="183"/>
        <v>0</v>
      </c>
      <c r="AD202" s="36">
        <f t="shared" si="184"/>
        <v>0</v>
      </c>
      <c r="AE202" s="36">
        <f t="shared" si="185"/>
        <v>0</v>
      </c>
      <c r="AF202" s="36">
        <f t="shared" si="186"/>
        <v>0</v>
      </c>
      <c r="AG202" s="36">
        <f t="shared" si="187"/>
        <v>0</v>
      </c>
      <c r="AH202" s="36">
        <f t="shared" si="188"/>
        <v>0</v>
      </c>
      <c r="AI202" s="35" t="s">
        <v>2894</v>
      </c>
      <c r="AJ202" s="20">
        <f t="shared" si="189"/>
        <v>0</v>
      </c>
      <c r="AK202" s="20">
        <f t="shared" si="190"/>
        <v>0</v>
      </c>
      <c r="AL202" s="20">
        <f t="shared" si="191"/>
        <v>0</v>
      </c>
      <c r="AN202" s="36">
        <v>21</v>
      </c>
      <c r="AO202" s="36">
        <f>I202*0.205629596144687</f>
        <v>0</v>
      </c>
      <c r="AP202" s="36">
        <f>I202*(1-0.205629596144687)</f>
        <v>0</v>
      </c>
      <c r="AQ202" s="37" t="s">
        <v>13</v>
      </c>
      <c r="AV202" s="36">
        <f t="shared" si="192"/>
        <v>0</v>
      </c>
      <c r="AW202" s="36">
        <f t="shared" si="193"/>
        <v>0</v>
      </c>
      <c r="AX202" s="36">
        <f t="shared" si="194"/>
        <v>0</v>
      </c>
      <c r="AY202" s="39" t="s">
        <v>2926</v>
      </c>
      <c r="AZ202" s="39" t="s">
        <v>2953</v>
      </c>
      <c r="BA202" s="35" t="s">
        <v>2967</v>
      </c>
      <c r="BC202" s="36">
        <f t="shared" si="195"/>
        <v>0</v>
      </c>
      <c r="BD202" s="36">
        <f t="shared" si="196"/>
        <v>0</v>
      </c>
      <c r="BE202" s="36">
        <v>0</v>
      </c>
      <c r="BF202" s="36">
        <f>202</f>
        <v>202</v>
      </c>
      <c r="BH202" s="20">
        <f t="shared" si="197"/>
        <v>0</v>
      </c>
      <c r="BI202" s="20">
        <f t="shared" si="198"/>
        <v>0</v>
      </c>
      <c r="BJ202" s="20">
        <f t="shared" si="199"/>
        <v>0</v>
      </c>
      <c r="BK202" s="20" t="s">
        <v>2978</v>
      </c>
      <c r="BL202" s="36">
        <v>713</v>
      </c>
    </row>
    <row r="203" spans="1:64" x14ac:dyDescent="0.2">
      <c r="A203" s="6" t="s">
        <v>167</v>
      </c>
      <c r="B203" s="15" t="s">
        <v>1099</v>
      </c>
      <c r="C203" s="182" t="s">
        <v>2043</v>
      </c>
      <c r="D203" s="183"/>
      <c r="E203" s="183"/>
      <c r="F203" s="183"/>
      <c r="G203" s="15" t="s">
        <v>2854</v>
      </c>
      <c r="H203" s="84">
        <v>41.76</v>
      </c>
      <c r="I203" s="110">
        <v>0</v>
      </c>
      <c r="J203" s="21">
        <f t="shared" si="178"/>
        <v>0</v>
      </c>
      <c r="K203" s="21">
        <f t="shared" si="179"/>
        <v>0</v>
      </c>
      <c r="L203" s="21">
        <f t="shared" si="180"/>
        <v>0</v>
      </c>
      <c r="M203" s="32" t="s">
        <v>2884</v>
      </c>
      <c r="N203" s="5"/>
      <c r="Z203" s="36">
        <f t="shared" si="181"/>
        <v>0</v>
      </c>
      <c r="AB203" s="36">
        <f t="shared" si="182"/>
        <v>0</v>
      </c>
      <c r="AC203" s="36">
        <f t="shared" si="183"/>
        <v>0</v>
      </c>
      <c r="AD203" s="36">
        <f t="shared" si="184"/>
        <v>0</v>
      </c>
      <c r="AE203" s="36">
        <f t="shared" si="185"/>
        <v>0</v>
      </c>
      <c r="AF203" s="36">
        <f t="shared" si="186"/>
        <v>0</v>
      </c>
      <c r="AG203" s="36">
        <f t="shared" si="187"/>
        <v>0</v>
      </c>
      <c r="AH203" s="36">
        <f t="shared" si="188"/>
        <v>0</v>
      </c>
      <c r="AI203" s="35" t="s">
        <v>2894</v>
      </c>
      <c r="AJ203" s="21">
        <f t="shared" si="189"/>
        <v>0</v>
      </c>
      <c r="AK203" s="21">
        <f t="shared" si="190"/>
        <v>0</v>
      </c>
      <c r="AL203" s="21">
        <f t="shared" si="191"/>
        <v>0</v>
      </c>
      <c r="AN203" s="36">
        <v>21</v>
      </c>
      <c r="AO203" s="36">
        <f>I203*1</f>
        <v>0</v>
      </c>
      <c r="AP203" s="36">
        <f>I203*(1-1)</f>
        <v>0</v>
      </c>
      <c r="AQ203" s="38" t="s">
        <v>13</v>
      </c>
      <c r="AV203" s="36">
        <f t="shared" si="192"/>
        <v>0</v>
      </c>
      <c r="AW203" s="36">
        <f t="shared" si="193"/>
        <v>0</v>
      </c>
      <c r="AX203" s="36">
        <f t="shared" si="194"/>
        <v>0</v>
      </c>
      <c r="AY203" s="39" t="s">
        <v>2926</v>
      </c>
      <c r="AZ203" s="39" t="s">
        <v>2953</v>
      </c>
      <c r="BA203" s="35" t="s">
        <v>2967</v>
      </c>
      <c r="BC203" s="36">
        <f t="shared" si="195"/>
        <v>0</v>
      </c>
      <c r="BD203" s="36">
        <f t="shared" si="196"/>
        <v>0</v>
      </c>
      <c r="BE203" s="36">
        <v>0</v>
      </c>
      <c r="BF203" s="36">
        <f>203</f>
        <v>203</v>
      </c>
      <c r="BH203" s="21">
        <f t="shared" si="197"/>
        <v>0</v>
      </c>
      <c r="BI203" s="21">
        <f t="shared" si="198"/>
        <v>0</v>
      </c>
      <c r="BJ203" s="21">
        <f t="shared" si="199"/>
        <v>0</v>
      </c>
      <c r="BK203" s="21" t="s">
        <v>2979</v>
      </c>
      <c r="BL203" s="36">
        <v>713</v>
      </c>
    </row>
    <row r="204" spans="1:64" x14ac:dyDescent="0.2">
      <c r="A204" s="4" t="s">
        <v>168</v>
      </c>
      <c r="B204" s="13" t="s">
        <v>1096</v>
      </c>
      <c r="C204" s="174" t="s">
        <v>2044</v>
      </c>
      <c r="D204" s="175"/>
      <c r="E204" s="175"/>
      <c r="F204" s="175"/>
      <c r="G204" s="13" t="s">
        <v>2854</v>
      </c>
      <c r="H204" s="82">
        <v>26.46</v>
      </c>
      <c r="I204" s="109">
        <v>0</v>
      </c>
      <c r="J204" s="20">
        <f t="shared" si="178"/>
        <v>0</v>
      </c>
      <c r="K204" s="20">
        <f t="shared" si="179"/>
        <v>0</v>
      </c>
      <c r="L204" s="20">
        <f t="shared" si="180"/>
        <v>0</v>
      </c>
      <c r="M204" s="31" t="s">
        <v>2884</v>
      </c>
      <c r="N204" s="5"/>
      <c r="Z204" s="36">
        <f t="shared" si="181"/>
        <v>0</v>
      </c>
      <c r="AB204" s="36">
        <f t="shared" si="182"/>
        <v>0</v>
      </c>
      <c r="AC204" s="36">
        <f t="shared" si="183"/>
        <v>0</v>
      </c>
      <c r="AD204" s="36">
        <f t="shared" si="184"/>
        <v>0</v>
      </c>
      <c r="AE204" s="36">
        <f t="shared" si="185"/>
        <v>0</v>
      </c>
      <c r="AF204" s="36">
        <f t="shared" si="186"/>
        <v>0</v>
      </c>
      <c r="AG204" s="36">
        <f t="shared" si="187"/>
        <v>0</v>
      </c>
      <c r="AH204" s="36">
        <f t="shared" si="188"/>
        <v>0</v>
      </c>
      <c r="AI204" s="35" t="s">
        <v>2894</v>
      </c>
      <c r="AJ204" s="20">
        <f t="shared" si="189"/>
        <v>0</v>
      </c>
      <c r="AK204" s="20">
        <f t="shared" si="190"/>
        <v>0</v>
      </c>
      <c r="AL204" s="20">
        <f t="shared" si="191"/>
        <v>0</v>
      </c>
      <c r="AN204" s="36">
        <v>21</v>
      </c>
      <c r="AO204" s="36">
        <f>I204*0.205629328905517</f>
        <v>0</v>
      </c>
      <c r="AP204" s="36">
        <f>I204*(1-0.205629328905517)</f>
        <v>0</v>
      </c>
      <c r="AQ204" s="37" t="s">
        <v>13</v>
      </c>
      <c r="AV204" s="36">
        <f t="shared" si="192"/>
        <v>0</v>
      </c>
      <c r="AW204" s="36">
        <f t="shared" si="193"/>
        <v>0</v>
      </c>
      <c r="AX204" s="36">
        <f t="shared" si="194"/>
        <v>0</v>
      </c>
      <c r="AY204" s="39" t="s">
        <v>2926</v>
      </c>
      <c r="AZ204" s="39" t="s">
        <v>2953</v>
      </c>
      <c r="BA204" s="35" t="s">
        <v>2967</v>
      </c>
      <c r="BC204" s="36">
        <f t="shared" si="195"/>
        <v>0</v>
      </c>
      <c r="BD204" s="36">
        <f t="shared" si="196"/>
        <v>0</v>
      </c>
      <c r="BE204" s="36">
        <v>0</v>
      </c>
      <c r="BF204" s="36">
        <f>204</f>
        <v>204</v>
      </c>
      <c r="BH204" s="20">
        <f t="shared" si="197"/>
        <v>0</v>
      </c>
      <c r="BI204" s="20">
        <f t="shared" si="198"/>
        <v>0</v>
      </c>
      <c r="BJ204" s="20">
        <f t="shared" si="199"/>
        <v>0</v>
      </c>
      <c r="BK204" s="20" t="s">
        <v>2978</v>
      </c>
      <c r="BL204" s="36">
        <v>713</v>
      </c>
    </row>
    <row r="205" spans="1:64" x14ac:dyDescent="0.2">
      <c r="A205" s="6" t="s">
        <v>169</v>
      </c>
      <c r="B205" s="15" t="s">
        <v>1100</v>
      </c>
      <c r="C205" s="182" t="s">
        <v>2045</v>
      </c>
      <c r="D205" s="183"/>
      <c r="E205" s="183"/>
      <c r="F205" s="183"/>
      <c r="G205" s="15" t="s">
        <v>2854</v>
      </c>
      <c r="H205" s="84">
        <v>27.783000000000001</v>
      </c>
      <c r="I205" s="110">
        <v>0</v>
      </c>
      <c r="J205" s="21">
        <f t="shared" si="178"/>
        <v>0</v>
      </c>
      <c r="K205" s="21">
        <f t="shared" si="179"/>
        <v>0</v>
      </c>
      <c r="L205" s="21">
        <f t="shared" si="180"/>
        <v>0</v>
      </c>
      <c r="M205" s="32" t="s">
        <v>2884</v>
      </c>
      <c r="N205" s="5"/>
      <c r="Z205" s="36">
        <f t="shared" si="181"/>
        <v>0</v>
      </c>
      <c r="AB205" s="36">
        <f t="shared" si="182"/>
        <v>0</v>
      </c>
      <c r="AC205" s="36">
        <f t="shared" si="183"/>
        <v>0</v>
      </c>
      <c r="AD205" s="36">
        <f t="shared" si="184"/>
        <v>0</v>
      </c>
      <c r="AE205" s="36">
        <f t="shared" si="185"/>
        <v>0</v>
      </c>
      <c r="AF205" s="36">
        <f t="shared" si="186"/>
        <v>0</v>
      </c>
      <c r="AG205" s="36">
        <f t="shared" si="187"/>
        <v>0</v>
      </c>
      <c r="AH205" s="36">
        <f t="shared" si="188"/>
        <v>0</v>
      </c>
      <c r="AI205" s="35" t="s">
        <v>2894</v>
      </c>
      <c r="AJ205" s="21">
        <f t="shared" si="189"/>
        <v>0</v>
      </c>
      <c r="AK205" s="21">
        <f t="shared" si="190"/>
        <v>0</v>
      </c>
      <c r="AL205" s="21">
        <f t="shared" si="191"/>
        <v>0</v>
      </c>
      <c r="AN205" s="36">
        <v>21</v>
      </c>
      <c r="AO205" s="36">
        <f>I205*1</f>
        <v>0</v>
      </c>
      <c r="AP205" s="36">
        <f>I205*(1-1)</f>
        <v>0</v>
      </c>
      <c r="AQ205" s="38" t="s">
        <v>13</v>
      </c>
      <c r="AV205" s="36">
        <f t="shared" si="192"/>
        <v>0</v>
      </c>
      <c r="AW205" s="36">
        <f t="shared" si="193"/>
        <v>0</v>
      </c>
      <c r="AX205" s="36">
        <f t="shared" si="194"/>
        <v>0</v>
      </c>
      <c r="AY205" s="39" t="s">
        <v>2926</v>
      </c>
      <c r="AZ205" s="39" t="s">
        <v>2953</v>
      </c>
      <c r="BA205" s="35" t="s">
        <v>2967</v>
      </c>
      <c r="BC205" s="36">
        <f t="shared" si="195"/>
        <v>0</v>
      </c>
      <c r="BD205" s="36">
        <f t="shared" si="196"/>
        <v>0</v>
      </c>
      <c r="BE205" s="36">
        <v>0</v>
      </c>
      <c r="BF205" s="36">
        <f>205</f>
        <v>205</v>
      </c>
      <c r="BH205" s="21">
        <f t="shared" si="197"/>
        <v>0</v>
      </c>
      <c r="BI205" s="21">
        <f t="shared" si="198"/>
        <v>0</v>
      </c>
      <c r="BJ205" s="21">
        <f t="shared" si="199"/>
        <v>0</v>
      </c>
      <c r="BK205" s="21" t="s">
        <v>2979</v>
      </c>
      <c r="BL205" s="36">
        <v>713</v>
      </c>
    </row>
    <row r="206" spans="1:64" x14ac:dyDescent="0.2">
      <c r="A206" s="4" t="s">
        <v>170</v>
      </c>
      <c r="B206" s="13" t="s">
        <v>1101</v>
      </c>
      <c r="C206" s="174" t="s">
        <v>2046</v>
      </c>
      <c r="D206" s="175"/>
      <c r="E206" s="175"/>
      <c r="F206" s="175"/>
      <c r="G206" s="13" t="s">
        <v>2854</v>
      </c>
      <c r="H206" s="82">
        <v>500.2</v>
      </c>
      <c r="I206" s="109">
        <v>0</v>
      </c>
      <c r="J206" s="20">
        <f t="shared" si="178"/>
        <v>0</v>
      </c>
      <c r="K206" s="20">
        <f t="shared" si="179"/>
        <v>0</v>
      </c>
      <c r="L206" s="20">
        <f t="shared" si="180"/>
        <v>0</v>
      </c>
      <c r="M206" s="31" t="s">
        <v>2884</v>
      </c>
      <c r="N206" s="5"/>
      <c r="Z206" s="36">
        <f t="shared" si="181"/>
        <v>0</v>
      </c>
      <c r="AB206" s="36">
        <f t="shared" si="182"/>
        <v>0</v>
      </c>
      <c r="AC206" s="36">
        <f t="shared" si="183"/>
        <v>0</v>
      </c>
      <c r="AD206" s="36">
        <f t="shared" si="184"/>
        <v>0</v>
      </c>
      <c r="AE206" s="36">
        <f t="shared" si="185"/>
        <v>0</v>
      </c>
      <c r="AF206" s="36">
        <f t="shared" si="186"/>
        <v>0</v>
      </c>
      <c r="AG206" s="36">
        <f t="shared" si="187"/>
        <v>0</v>
      </c>
      <c r="AH206" s="36">
        <f t="shared" si="188"/>
        <v>0</v>
      </c>
      <c r="AI206" s="35" t="s">
        <v>2894</v>
      </c>
      <c r="AJ206" s="20">
        <f t="shared" si="189"/>
        <v>0</v>
      </c>
      <c r="AK206" s="20">
        <f t="shared" si="190"/>
        <v>0</v>
      </c>
      <c r="AL206" s="20">
        <f t="shared" si="191"/>
        <v>0</v>
      </c>
      <c r="AN206" s="36">
        <v>21</v>
      </c>
      <c r="AO206" s="36">
        <f>I206*0.320939334637965</f>
        <v>0</v>
      </c>
      <c r="AP206" s="36">
        <f>I206*(1-0.320939334637965)</f>
        <v>0</v>
      </c>
      <c r="AQ206" s="37" t="s">
        <v>13</v>
      </c>
      <c r="AV206" s="36">
        <f t="shared" si="192"/>
        <v>0</v>
      </c>
      <c r="AW206" s="36">
        <f t="shared" si="193"/>
        <v>0</v>
      </c>
      <c r="AX206" s="36">
        <f t="shared" si="194"/>
        <v>0</v>
      </c>
      <c r="AY206" s="39" t="s">
        <v>2926</v>
      </c>
      <c r="AZ206" s="39" t="s">
        <v>2953</v>
      </c>
      <c r="BA206" s="35" t="s">
        <v>2967</v>
      </c>
      <c r="BC206" s="36">
        <f t="shared" si="195"/>
        <v>0</v>
      </c>
      <c r="BD206" s="36">
        <f t="shared" si="196"/>
        <v>0</v>
      </c>
      <c r="BE206" s="36">
        <v>0</v>
      </c>
      <c r="BF206" s="36">
        <f>206</f>
        <v>206</v>
      </c>
      <c r="BH206" s="20">
        <f t="shared" si="197"/>
        <v>0</v>
      </c>
      <c r="BI206" s="20">
        <f t="shared" si="198"/>
        <v>0</v>
      </c>
      <c r="BJ206" s="20">
        <f t="shared" si="199"/>
        <v>0</v>
      </c>
      <c r="BK206" s="20" t="s">
        <v>2978</v>
      </c>
      <c r="BL206" s="36">
        <v>713</v>
      </c>
    </row>
    <row r="207" spans="1:64" x14ac:dyDescent="0.2">
      <c r="A207" s="4" t="s">
        <v>171</v>
      </c>
      <c r="B207" s="13" t="s">
        <v>1102</v>
      </c>
      <c r="C207" s="174" t="s">
        <v>2047</v>
      </c>
      <c r="D207" s="175"/>
      <c r="E207" s="175"/>
      <c r="F207" s="175"/>
      <c r="G207" s="13" t="s">
        <v>2854</v>
      </c>
      <c r="H207" s="82">
        <v>445.55500000000001</v>
      </c>
      <c r="I207" s="109">
        <v>0</v>
      </c>
      <c r="J207" s="20">
        <f t="shared" si="178"/>
        <v>0</v>
      </c>
      <c r="K207" s="20">
        <f t="shared" si="179"/>
        <v>0</v>
      </c>
      <c r="L207" s="20">
        <f t="shared" si="180"/>
        <v>0</v>
      </c>
      <c r="M207" s="31" t="s">
        <v>2884</v>
      </c>
      <c r="N207" s="5"/>
      <c r="Z207" s="36">
        <f t="shared" si="181"/>
        <v>0</v>
      </c>
      <c r="AB207" s="36">
        <f t="shared" si="182"/>
        <v>0</v>
      </c>
      <c r="AC207" s="36">
        <f t="shared" si="183"/>
        <v>0</v>
      </c>
      <c r="AD207" s="36">
        <f t="shared" si="184"/>
        <v>0</v>
      </c>
      <c r="AE207" s="36">
        <f t="shared" si="185"/>
        <v>0</v>
      </c>
      <c r="AF207" s="36">
        <f t="shared" si="186"/>
        <v>0</v>
      </c>
      <c r="AG207" s="36">
        <f t="shared" si="187"/>
        <v>0</v>
      </c>
      <c r="AH207" s="36">
        <f t="shared" si="188"/>
        <v>0</v>
      </c>
      <c r="AI207" s="35" t="s">
        <v>2894</v>
      </c>
      <c r="AJ207" s="20">
        <f t="shared" si="189"/>
        <v>0</v>
      </c>
      <c r="AK207" s="20">
        <f t="shared" si="190"/>
        <v>0</v>
      </c>
      <c r="AL207" s="20">
        <f t="shared" si="191"/>
        <v>0</v>
      </c>
      <c r="AN207" s="36">
        <v>21</v>
      </c>
      <c r="AO207" s="36">
        <f>I207*0</f>
        <v>0</v>
      </c>
      <c r="AP207" s="36">
        <f>I207*(1-0)</f>
        <v>0</v>
      </c>
      <c r="AQ207" s="37" t="s">
        <v>13</v>
      </c>
      <c r="AV207" s="36">
        <f t="shared" si="192"/>
        <v>0</v>
      </c>
      <c r="AW207" s="36">
        <f t="shared" si="193"/>
        <v>0</v>
      </c>
      <c r="AX207" s="36">
        <f t="shared" si="194"/>
        <v>0</v>
      </c>
      <c r="AY207" s="39" t="s">
        <v>2926</v>
      </c>
      <c r="AZ207" s="39" t="s">
        <v>2953</v>
      </c>
      <c r="BA207" s="35" t="s">
        <v>2967</v>
      </c>
      <c r="BC207" s="36">
        <f t="shared" si="195"/>
        <v>0</v>
      </c>
      <c r="BD207" s="36">
        <f t="shared" si="196"/>
        <v>0</v>
      </c>
      <c r="BE207" s="36">
        <v>0</v>
      </c>
      <c r="BF207" s="36">
        <f>207</f>
        <v>207</v>
      </c>
      <c r="BH207" s="20">
        <f t="shared" si="197"/>
        <v>0</v>
      </c>
      <c r="BI207" s="20">
        <f t="shared" si="198"/>
        <v>0</v>
      </c>
      <c r="BJ207" s="20">
        <f t="shared" si="199"/>
        <v>0</v>
      </c>
      <c r="BK207" s="20" t="s">
        <v>2978</v>
      </c>
      <c r="BL207" s="36">
        <v>713</v>
      </c>
    </row>
    <row r="208" spans="1:64" x14ac:dyDescent="0.2">
      <c r="A208" s="6" t="s">
        <v>172</v>
      </c>
      <c r="B208" s="15" t="s">
        <v>1099</v>
      </c>
      <c r="C208" s="182" t="s">
        <v>2043</v>
      </c>
      <c r="D208" s="183"/>
      <c r="E208" s="183"/>
      <c r="F208" s="183"/>
      <c r="G208" s="15" t="s">
        <v>2854</v>
      </c>
      <c r="H208" s="84">
        <v>467.83300000000003</v>
      </c>
      <c r="I208" s="110">
        <v>0</v>
      </c>
      <c r="J208" s="21">
        <f t="shared" si="178"/>
        <v>0</v>
      </c>
      <c r="K208" s="21">
        <f t="shared" si="179"/>
        <v>0</v>
      </c>
      <c r="L208" s="21">
        <f t="shared" si="180"/>
        <v>0</v>
      </c>
      <c r="M208" s="32" t="s">
        <v>2884</v>
      </c>
      <c r="N208" s="5"/>
      <c r="Z208" s="36">
        <f t="shared" si="181"/>
        <v>0</v>
      </c>
      <c r="AB208" s="36">
        <f t="shared" si="182"/>
        <v>0</v>
      </c>
      <c r="AC208" s="36">
        <f t="shared" si="183"/>
        <v>0</v>
      </c>
      <c r="AD208" s="36">
        <f t="shared" si="184"/>
        <v>0</v>
      </c>
      <c r="AE208" s="36">
        <f t="shared" si="185"/>
        <v>0</v>
      </c>
      <c r="AF208" s="36">
        <f t="shared" si="186"/>
        <v>0</v>
      </c>
      <c r="AG208" s="36">
        <f t="shared" si="187"/>
        <v>0</v>
      </c>
      <c r="AH208" s="36">
        <f t="shared" si="188"/>
        <v>0</v>
      </c>
      <c r="AI208" s="35" t="s">
        <v>2894</v>
      </c>
      <c r="AJ208" s="21">
        <f t="shared" si="189"/>
        <v>0</v>
      </c>
      <c r="AK208" s="21">
        <f t="shared" si="190"/>
        <v>0</v>
      </c>
      <c r="AL208" s="21">
        <f t="shared" si="191"/>
        <v>0</v>
      </c>
      <c r="AN208" s="36">
        <v>21</v>
      </c>
      <c r="AO208" s="36">
        <f>I208*1</f>
        <v>0</v>
      </c>
      <c r="AP208" s="36">
        <f>I208*(1-1)</f>
        <v>0</v>
      </c>
      <c r="AQ208" s="38" t="s">
        <v>13</v>
      </c>
      <c r="AV208" s="36">
        <f t="shared" si="192"/>
        <v>0</v>
      </c>
      <c r="AW208" s="36">
        <f t="shared" si="193"/>
        <v>0</v>
      </c>
      <c r="AX208" s="36">
        <f t="shared" si="194"/>
        <v>0</v>
      </c>
      <c r="AY208" s="39" t="s">
        <v>2926</v>
      </c>
      <c r="AZ208" s="39" t="s">
        <v>2953</v>
      </c>
      <c r="BA208" s="35" t="s">
        <v>2967</v>
      </c>
      <c r="BC208" s="36">
        <f t="shared" si="195"/>
        <v>0</v>
      </c>
      <c r="BD208" s="36">
        <f t="shared" si="196"/>
        <v>0</v>
      </c>
      <c r="BE208" s="36">
        <v>0</v>
      </c>
      <c r="BF208" s="36">
        <f>208</f>
        <v>208</v>
      </c>
      <c r="BH208" s="21">
        <f t="shared" si="197"/>
        <v>0</v>
      </c>
      <c r="BI208" s="21">
        <f t="shared" si="198"/>
        <v>0</v>
      </c>
      <c r="BJ208" s="21">
        <f t="shared" si="199"/>
        <v>0</v>
      </c>
      <c r="BK208" s="21" t="s">
        <v>2979</v>
      </c>
      <c r="BL208" s="36">
        <v>713</v>
      </c>
    </row>
    <row r="209" spans="1:64" x14ac:dyDescent="0.2">
      <c r="A209" s="4" t="s">
        <v>173</v>
      </c>
      <c r="B209" s="13" t="s">
        <v>1103</v>
      </c>
      <c r="C209" s="174" t="s">
        <v>2048</v>
      </c>
      <c r="D209" s="175"/>
      <c r="E209" s="175"/>
      <c r="F209" s="175"/>
      <c r="G209" s="13" t="s">
        <v>2854</v>
      </c>
      <c r="H209" s="82">
        <v>445.55500000000001</v>
      </c>
      <c r="I209" s="109">
        <v>0</v>
      </c>
      <c r="J209" s="20">
        <f t="shared" si="178"/>
        <v>0</v>
      </c>
      <c r="K209" s="20">
        <f t="shared" si="179"/>
        <v>0</v>
      </c>
      <c r="L209" s="20">
        <f t="shared" si="180"/>
        <v>0</v>
      </c>
      <c r="M209" s="31" t="s">
        <v>2884</v>
      </c>
      <c r="N209" s="5"/>
      <c r="Z209" s="36">
        <f t="shared" si="181"/>
        <v>0</v>
      </c>
      <c r="AB209" s="36">
        <f t="shared" si="182"/>
        <v>0</v>
      </c>
      <c r="AC209" s="36">
        <f t="shared" si="183"/>
        <v>0</v>
      </c>
      <c r="AD209" s="36">
        <f t="shared" si="184"/>
        <v>0</v>
      </c>
      <c r="AE209" s="36">
        <f t="shared" si="185"/>
        <v>0</v>
      </c>
      <c r="AF209" s="36">
        <f t="shared" si="186"/>
        <v>0</v>
      </c>
      <c r="AG209" s="36">
        <f t="shared" si="187"/>
        <v>0</v>
      </c>
      <c r="AH209" s="36">
        <f t="shared" si="188"/>
        <v>0</v>
      </c>
      <c r="AI209" s="35" t="s">
        <v>2894</v>
      </c>
      <c r="AJ209" s="20">
        <f t="shared" si="189"/>
        <v>0</v>
      </c>
      <c r="AK209" s="20">
        <f t="shared" si="190"/>
        <v>0</v>
      </c>
      <c r="AL209" s="20">
        <f t="shared" si="191"/>
        <v>0</v>
      </c>
      <c r="AN209" s="36">
        <v>21</v>
      </c>
      <c r="AO209" s="36">
        <f>I209*0.448536733196437</f>
        <v>0</v>
      </c>
      <c r="AP209" s="36">
        <f>I209*(1-0.448536733196437)</f>
        <v>0</v>
      </c>
      <c r="AQ209" s="37" t="s">
        <v>13</v>
      </c>
      <c r="AV209" s="36">
        <f t="shared" si="192"/>
        <v>0</v>
      </c>
      <c r="AW209" s="36">
        <f t="shared" si="193"/>
        <v>0</v>
      </c>
      <c r="AX209" s="36">
        <f t="shared" si="194"/>
        <v>0</v>
      </c>
      <c r="AY209" s="39" t="s">
        <v>2926</v>
      </c>
      <c r="AZ209" s="39" t="s">
        <v>2953</v>
      </c>
      <c r="BA209" s="35" t="s">
        <v>2967</v>
      </c>
      <c r="BC209" s="36">
        <f t="shared" si="195"/>
        <v>0</v>
      </c>
      <c r="BD209" s="36">
        <f t="shared" si="196"/>
        <v>0</v>
      </c>
      <c r="BE209" s="36">
        <v>0</v>
      </c>
      <c r="BF209" s="36">
        <f>209</f>
        <v>209</v>
      </c>
      <c r="BH209" s="20">
        <f t="shared" si="197"/>
        <v>0</v>
      </c>
      <c r="BI209" s="20">
        <f t="shared" si="198"/>
        <v>0</v>
      </c>
      <c r="BJ209" s="20">
        <f t="shared" si="199"/>
        <v>0</v>
      </c>
      <c r="BK209" s="20" t="s">
        <v>2978</v>
      </c>
      <c r="BL209" s="36">
        <v>713</v>
      </c>
    </row>
    <row r="210" spans="1:64" x14ac:dyDescent="0.2">
      <c r="A210" s="4" t="s">
        <v>174</v>
      </c>
      <c r="B210" s="13" t="s">
        <v>1104</v>
      </c>
      <c r="C210" s="174" t="s">
        <v>2049</v>
      </c>
      <c r="D210" s="175"/>
      <c r="E210" s="175"/>
      <c r="F210" s="175"/>
      <c r="G210" s="13" t="s">
        <v>2854</v>
      </c>
      <c r="H210" s="82">
        <v>501.43900000000002</v>
      </c>
      <c r="I210" s="109">
        <v>0</v>
      </c>
      <c r="J210" s="20">
        <f t="shared" si="178"/>
        <v>0</v>
      </c>
      <c r="K210" s="20">
        <f t="shared" si="179"/>
        <v>0</v>
      </c>
      <c r="L210" s="20">
        <f t="shared" si="180"/>
        <v>0</v>
      </c>
      <c r="M210" s="31" t="s">
        <v>2884</v>
      </c>
      <c r="N210" s="5"/>
      <c r="Z210" s="36">
        <f t="shared" si="181"/>
        <v>0</v>
      </c>
      <c r="AB210" s="36">
        <f t="shared" si="182"/>
        <v>0</v>
      </c>
      <c r="AC210" s="36">
        <f t="shared" si="183"/>
        <v>0</v>
      </c>
      <c r="AD210" s="36">
        <f t="shared" si="184"/>
        <v>0</v>
      </c>
      <c r="AE210" s="36">
        <f t="shared" si="185"/>
        <v>0</v>
      </c>
      <c r="AF210" s="36">
        <f t="shared" si="186"/>
        <v>0</v>
      </c>
      <c r="AG210" s="36">
        <f t="shared" si="187"/>
        <v>0</v>
      </c>
      <c r="AH210" s="36">
        <f t="shared" si="188"/>
        <v>0</v>
      </c>
      <c r="AI210" s="35" t="s">
        <v>2894</v>
      </c>
      <c r="AJ210" s="20">
        <f t="shared" si="189"/>
        <v>0</v>
      </c>
      <c r="AK210" s="20">
        <f t="shared" si="190"/>
        <v>0</v>
      </c>
      <c r="AL210" s="20">
        <f t="shared" si="191"/>
        <v>0</v>
      </c>
      <c r="AN210" s="36">
        <v>21</v>
      </c>
      <c r="AO210" s="36">
        <f>I210*0.631752014587234</f>
        <v>0</v>
      </c>
      <c r="AP210" s="36">
        <f>I210*(1-0.631752014587234)</f>
        <v>0</v>
      </c>
      <c r="AQ210" s="37" t="s">
        <v>13</v>
      </c>
      <c r="AV210" s="36">
        <f t="shared" si="192"/>
        <v>0</v>
      </c>
      <c r="AW210" s="36">
        <f t="shared" si="193"/>
        <v>0</v>
      </c>
      <c r="AX210" s="36">
        <f t="shared" si="194"/>
        <v>0</v>
      </c>
      <c r="AY210" s="39" t="s">
        <v>2926</v>
      </c>
      <c r="AZ210" s="39" t="s">
        <v>2953</v>
      </c>
      <c r="BA210" s="35" t="s">
        <v>2967</v>
      </c>
      <c r="BC210" s="36">
        <f t="shared" si="195"/>
        <v>0</v>
      </c>
      <c r="BD210" s="36">
        <f t="shared" si="196"/>
        <v>0</v>
      </c>
      <c r="BE210" s="36">
        <v>0</v>
      </c>
      <c r="BF210" s="36">
        <f>210</f>
        <v>210</v>
      </c>
      <c r="BH210" s="20">
        <f t="shared" si="197"/>
        <v>0</v>
      </c>
      <c r="BI210" s="20">
        <f t="shared" si="198"/>
        <v>0</v>
      </c>
      <c r="BJ210" s="20">
        <f t="shared" si="199"/>
        <v>0</v>
      </c>
      <c r="BK210" s="20" t="s">
        <v>2978</v>
      </c>
      <c r="BL210" s="36">
        <v>713</v>
      </c>
    </row>
    <row r="211" spans="1:64" x14ac:dyDescent="0.2">
      <c r="A211" s="4" t="s">
        <v>175</v>
      </c>
      <c r="B211" s="13" t="s">
        <v>1105</v>
      </c>
      <c r="C211" s="174" t="s">
        <v>2050</v>
      </c>
      <c r="D211" s="175"/>
      <c r="E211" s="175"/>
      <c r="F211" s="175"/>
      <c r="G211" s="13" t="s">
        <v>2854</v>
      </c>
      <c r="H211" s="82">
        <v>501.43900000000002</v>
      </c>
      <c r="I211" s="109">
        <v>0</v>
      </c>
      <c r="J211" s="20">
        <f t="shared" si="178"/>
        <v>0</v>
      </c>
      <c r="K211" s="20">
        <f t="shared" si="179"/>
        <v>0</v>
      </c>
      <c r="L211" s="20">
        <f t="shared" si="180"/>
        <v>0</v>
      </c>
      <c r="M211" s="31" t="s">
        <v>2884</v>
      </c>
      <c r="N211" s="5"/>
      <c r="Z211" s="36">
        <f t="shared" si="181"/>
        <v>0</v>
      </c>
      <c r="AB211" s="36">
        <f t="shared" si="182"/>
        <v>0</v>
      </c>
      <c r="AC211" s="36">
        <f t="shared" si="183"/>
        <v>0</v>
      </c>
      <c r="AD211" s="36">
        <f t="shared" si="184"/>
        <v>0</v>
      </c>
      <c r="AE211" s="36">
        <f t="shared" si="185"/>
        <v>0</v>
      </c>
      <c r="AF211" s="36">
        <f t="shared" si="186"/>
        <v>0</v>
      </c>
      <c r="AG211" s="36">
        <f t="shared" si="187"/>
        <v>0</v>
      </c>
      <c r="AH211" s="36">
        <f t="shared" si="188"/>
        <v>0</v>
      </c>
      <c r="AI211" s="35" t="s">
        <v>2894</v>
      </c>
      <c r="AJ211" s="20">
        <f t="shared" si="189"/>
        <v>0</v>
      </c>
      <c r="AK211" s="20">
        <f t="shared" si="190"/>
        <v>0</v>
      </c>
      <c r="AL211" s="20">
        <f t="shared" si="191"/>
        <v>0</v>
      </c>
      <c r="AN211" s="36">
        <v>21</v>
      </c>
      <c r="AO211" s="36">
        <f>I211*0.120348848372417</f>
        <v>0</v>
      </c>
      <c r="AP211" s="36">
        <f>I211*(1-0.120348848372417)</f>
        <v>0</v>
      </c>
      <c r="AQ211" s="37" t="s">
        <v>13</v>
      </c>
      <c r="AV211" s="36">
        <f t="shared" si="192"/>
        <v>0</v>
      </c>
      <c r="AW211" s="36">
        <f t="shared" si="193"/>
        <v>0</v>
      </c>
      <c r="AX211" s="36">
        <f t="shared" si="194"/>
        <v>0</v>
      </c>
      <c r="AY211" s="39" t="s">
        <v>2926</v>
      </c>
      <c r="AZ211" s="39" t="s">
        <v>2953</v>
      </c>
      <c r="BA211" s="35" t="s">
        <v>2967</v>
      </c>
      <c r="BC211" s="36">
        <f t="shared" si="195"/>
        <v>0</v>
      </c>
      <c r="BD211" s="36">
        <f t="shared" si="196"/>
        <v>0</v>
      </c>
      <c r="BE211" s="36">
        <v>0</v>
      </c>
      <c r="BF211" s="36">
        <f>211</f>
        <v>211</v>
      </c>
      <c r="BH211" s="20">
        <f t="shared" si="197"/>
        <v>0</v>
      </c>
      <c r="BI211" s="20">
        <f t="shared" si="198"/>
        <v>0</v>
      </c>
      <c r="BJ211" s="20">
        <f t="shared" si="199"/>
        <v>0</v>
      </c>
      <c r="BK211" s="20" t="s">
        <v>2978</v>
      </c>
      <c r="BL211" s="36">
        <v>713</v>
      </c>
    </row>
    <row r="212" spans="1:64" x14ac:dyDescent="0.2">
      <c r="A212" s="6" t="s">
        <v>176</v>
      </c>
      <c r="B212" s="15" t="s">
        <v>1106</v>
      </c>
      <c r="C212" s="182" t="s">
        <v>2051</v>
      </c>
      <c r="D212" s="183"/>
      <c r="E212" s="183"/>
      <c r="F212" s="183"/>
      <c r="G212" s="15" t="s">
        <v>2854</v>
      </c>
      <c r="H212" s="84">
        <v>576.65499999999997</v>
      </c>
      <c r="I212" s="110">
        <v>0</v>
      </c>
      <c r="J212" s="21">
        <f t="shared" si="178"/>
        <v>0</v>
      </c>
      <c r="K212" s="21">
        <f t="shared" si="179"/>
        <v>0</v>
      </c>
      <c r="L212" s="21">
        <f t="shared" si="180"/>
        <v>0</v>
      </c>
      <c r="M212" s="32" t="s">
        <v>2884</v>
      </c>
      <c r="N212" s="5"/>
      <c r="Z212" s="36">
        <f t="shared" si="181"/>
        <v>0</v>
      </c>
      <c r="AB212" s="36">
        <f t="shared" si="182"/>
        <v>0</v>
      </c>
      <c r="AC212" s="36">
        <f t="shared" si="183"/>
        <v>0</v>
      </c>
      <c r="AD212" s="36">
        <f t="shared" si="184"/>
        <v>0</v>
      </c>
      <c r="AE212" s="36">
        <f t="shared" si="185"/>
        <v>0</v>
      </c>
      <c r="AF212" s="36">
        <f t="shared" si="186"/>
        <v>0</v>
      </c>
      <c r="AG212" s="36">
        <f t="shared" si="187"/>
        <v>0</v>
      </c>
      <c r="AH212" s="36">
        <f t="shared" si="188"/>
        <v>0</v>
      </c>
      <c r="AI212" s="35" t="s">
        <v>2894</v>
      </c>
      <c r="AJ212" s="21">
        <f t="shared" si="189"/>
        <v>0</v>
      </c>
      <c r="AK212" s="21">
        <f t="shared" si="190"/>
        <v>0</v>
      </c>
      <c r="AL212" s="21">
        <f t="shared" si="191"/>
        <v>0</v>
      </c>
      <c r="AN212" s="36">
        <v>21</v>
      </c>
      <c r="AO212" s="36">
        <f>I212*1</f>
        <v>0</v>
      </c>
      <c r="AP212" s="36">
        <f>I212*(1-1)</f>
        <v>0</v>
      </c>
      <c r="AQ212" s="38" t="s">
        <v>13</v>
      </c>
      <c r="AV212" s="36">
        <f t="shared" si="192"/>
        <v>0</v>
      </c>
      <c r="AW212" s="36">
        <f t="shared" si="193"/>
        <v>0</v>
      </c>
      <c r="AX212" s="36">
        <f t="shared" si="194"/>
        <v>0</v>
      </c>
      <c r="AY212" s="39" t="s">
        <v>2926</v>
      </c>
      <c r="AZ212" s="39" t="s">
        <v>2953</v>
      </c>
      <c r="BA212" s="35" t="s">
        <v>2967</v>
      </c>
      <c r="BC212" s="36">
        <f t="shared" si="195"/>
        <v>0</v>
      </c>
      <c r="BD212" s="36">
        <f t="shared" si="196"/>
        <v>0</v>
      </c>
      <c r="BE212" s="36">
        <v>0</v>
      </c>
      <c r="BF212" s="36">
        <f>212</f>
        <v>212</v>
      </c>
      <c r="BH212" s="21">
        <f t="shared" si="197"/>
        <v>0</v>
      </c>
      <c r="BI212" s="21">
        <f t="shared" si="198"/>
        <v>0</v>
      </c>
      <c r="BJ212" s="21">
        <f t="shared" si="199"/>
        <v>0</v>
      </c>
      <c r="BK212" s="21" t="s">
        <v>2979</v>
      </c>
      <c r="BL212" s="36">
        <v>713</v>
      </c>
    </row>
    <row r="213" spans="1:64" x14ac:dyDescent="0.2">
      <c r="A213" s="4" t="s">
        <v>177</v>
      </c>
      <c r="B213" s="13" t="s">
        <v>1107</v>
      </c>
      <c r="C213" s="174" t="s">
        <v>2052</v>
      </c>
      <c r="D213" s="175"/>
      <c r="E213" s="175"/>
      <c r="F213" s="175"/>
      <c r="G213" s="13" t="s">
        <v>2856</v>
      </c>
      <c r="H213" s="82">
        <v>12.645</v>
      </c>
      <c r="I213" s="109">
        <v>0</v>
      </c>
      <c r="J213" s="20">
        <f t="shared" si="178"/>
        <v>0</v>
      </c>
      <c r="K213" s="20">
        <f t="shared" si="179"/>
        <v>0</v>
      </c>
      <c r="L213" s="20">
        <f t="shared" si="180"/>
        <v>0</v>
      </c>
      <c r="M213" s="31" t="s">
        <v>2884</v>
      </c>
      <c r="N213" s="5"/>
      <c r="Z213" s="36">
        <f t="shared" si="181"/>
        <v>0</v>
      </c>
      <c r="AB213" s="36">
        <f t="shared" si="182"/>
        <v>0</v>
      </c>
      <c r="AC213" s="36">
        <f t="shared" si="183"/>
        <v>0</v>
      </c>
      <c r="AD213" s="36">
        <f t="shared" si="184"/>
        <v>0</v>
      </c>
      <c r="AE213" s="36">
        <f t="shared" si="185"/>
        <v>0</v>
      </c>
      <c r="AF213" s="36">
        <f t="shared" si="186"/>
        <v>0</v>
      </c>
      <c r="AG213" s="36">
        <f t="shared" si="187"/>
        <v>0</v>
      </c>
      <c r="AH213" s="36">
        <f t="shared" si="188"/>
        <v>0</v>
      </c>
      <c r="AI213" s="35" t="s">
        <v>2894</v>
      </c>
      <c r="AJ213" s="20">
        <f t="shared" si="189"/>
        <v>0</v>
      </c>
      <c r="AK213" s="20">
        <f t="shared" si="190"/>
        <v>0</v>
      </c>
      <c r="AL213" s="20">
        <f t="shared" si="191"/>
        <v>0</v>
      </c>
      <c r="AN213" s="36">
        <v>21</v>
      </c>
      <c r="AO213" s="36">
        <f>I213*0</f>
        <v>0</v>
      </c>
      <c r="AP213" s="36">
        <f>I213*(1-0)</f>
        <v>0</v>
      </c>
      <c r="AQ213" s="37" t="s">
        <v>11</v>
      </c>
      <c r="AV213" s="36">
        <f t="shared" si="192"/>
        <v>0</v>
      </c>
      <c r="AW213" s="36">
        <f t="shared" si="193"/>
        <v>0</v>
      </c>
      <c r="AX213" s="36">
        <f t="shared" si="194"/>
        <v>0</v>
      </c>
      <c r="AY213" s="39" t="s">
        <v>2926</v>
      </c>
      <c r="AZ213" s="39" t="s">
        <v>2953</v>
      </c>
      <c r="BA213" s="35" t="s">
        <v>2967</v>
      </c>
      <c r="BC213" s="36">
        <f t="shared" si="195"/>
        <v>0</v>
      </c>
      <c r="BD213" s="36">
        <f t="shared" si="196"/>
        <v>0</v>
      </c>
      <c r="BE213" s="36">
        <v>0</v>
      </c>
      <c r="BF213" s="36">
        <f>213</f>
        <v>213</v>
      </c>
      <c r="BH213" s="20">
        <f t="shared" si="197"/>
        <v>0</v>
      </c>
      <c r="BI213" s="20">
        <f t="shared" si="198"/>
        <v>0</v>
      </c>
      <c r="BJ213" s="20">
        <f t="shared" si="199"/>
        <v>0</v>
      </c>
      <c r="BK213" s="20" t="s">
        <v>2978</v>
      </c>
      <c r="BL213" s="36">
        <v>713</v>
      </c>
    </row>
    <row r="214" spans="1:64" x14ac:dyDescent="0.2">
      <c r="A214" s="3"/>
      <c r="B214" s="12" t="s">
        <v>727</v>
      </c>
      <c r="C214" s="172" t="s">
        <v>2053</v>
      </c>
      <c r="D214" s="173"/>
      <c r="E214" s="173"/>
      <c r="F214" s="173"/>
      <c r="G214" s="18" t="s">
        <v>6</v>
      </c>
      <c r="H214" s="18" t="s">
        <v>6</v>
      </c>
      <c r="I214" s="18" t="s">
        <v>6</v>
      </c>
      <c r="J214" s="41">
        <f>SUM(J215:J288)</f>
        <v>0</v>
      </c>
      <c r="K214" s="41">
        <f>SUM(K215:K288)</f>
        <v>0</v>
      </c>
      <c r="L214" s="41">
        <f>SUM(L215:L288)</f>
        <v>0</v>
      </c>
      <c r="M214" s="30"/>
      <c r="N214" s="5"/>
      <c r="AI214" s="35" t="s">
        <v>2894</v>
      </c>
      <c r="AS214" s="41">
        <f>SUM(AJ215:AJ288)</f>
        <v>0</v>
      </c>
      <c r="AT214" s="41">
        <f>SUM(AK215:AK288)</f>
        <v>0</v>
      </c>
      <c r="AU214" s="41">
        <f>SUM(AL215:AL288)</f>
        <v>0</v>
      </c>
    </row>
    <row r="215" spans="1:64" x14ac:dyDescent="0.2">
      <c r="A215" s="4" t="s">
        <v>178</v>
      </c>
      <c r="B215" s="13" t="s">
        <v>1108</v>
      </c>
      <c r="C215" s="174" t="s">
        <v>2054</v>
      </c>
      <c r="D215" s="175"/>
      <c r="E215" s="175"/>
      <c r="F215" s="175"/>
      <c r="G215" s="13" t="s">
        <v>2855</v>
      </c>
      <c r="H215" s="82">
        <v>51</v>
      </c>
      <c r="I215" s="109">
        <v>0</v>
      </c>
      <c r="J215" s="20">
        <f>H215*AO215</f>
        <v>0</v>
      </c>
      <c r="K215" s="20">
        <f>H215*AP215</f>
        <v>0</v>
      </c>
      <c r="L215" s="20">
        <f>H215*I215</f>
        <v>0</v>
      </c>
      <c r="M215" s="31" t="s">
        <v>2884</v>
      </c>
      <c r="N215" s="5"/>
      <c r="Z215" s="36">
        <f>IF(AQ215="5",BJ215,0)</f>
        <v>0</v>
      </c>
      <c r="AB215" s="36">
        <f>IF(AQ215="1",BH215,0)</f>
        <v>0</v>
      </c>
      <c r="AC215" s="36">
        <f>IF(AQ215="1",BI215,0)</f>
        <v>0</v>
      </c>
      <c r="AD215" s="36">
        <f>IF(AQ215="7",BH215,0)</f>
        <v>0</v>
      </c>
      <c r="AE215" s="36">
        <f>IF(AQ215="7",BI215,0)</f>
        <v>0</v>
      </c>
      <c r="AF215" s="36">
        <f>IF(AQ215="2",BH215,0)</f>
        <v>0</v>
      </c>
      <c r="AG215" s="36">
        <f>IF(AQ215="2",BI215,0)</f>
        <v>0</v>
      </c>
      <c r="AH215" s="36">
        <f>IF(AQ215="0",BJ215,0)</f>
        <v>0</v>
      </c>
      <c r="AI215" s="35" t="s">
        <v>2894</v>
      </c>
      <c r="AJ215" s="20">
        <f>IF(AN215=0,L215,0)</f>
        <v>0</v>
      </c>
      <c r="AK215" s="20">
        <f>IF(AN215=15,L215,0)</f>
        <v>0</v>
      </c>
      <c r="AL215" s="20">
        <f>IF(AN215=21,L215,0)</f>
        <v>0</v>
      </c>
      <c r="AN215" s="36">
        <v>21</v>
      </c>
      <c r="AO215" s="36">
        <f>I215*0.53</f>
        <v>0</v>
      </c>
      <c r="AP215" s="36">
        <f>I215*(1-0.53)</f>
        <v>0</v>
      </c>
      <c r="AQ215" s="37" t="s">
        <v>13</v>
      </c>
      <c r="AV215" s="36">
        <f>AW215+AX215</f>
        <v>0</v>
      </c>
      <c r="AW215" s="36">
        <f>H215*AO215</f>
        <v>0</v>
      </c>
      <c r="AX215" s="36">
        <f>H215*AP215</f>
        <v>0</v>
      </c>
      <c r="AY215" s="39" t="s">
        <v>2927</v>
      </c>
      <c r="AZ215" s="39" t="s">
        <v>2954</v>
      </c>
      <c r="BA215" s="35" t="s">
        <v>2967</v>
      </c>
      <c r="BC215" s="36">
        <f>AW215+AX215</f>
        <v>0</v>
      </c>
      <c r="BD215" s="36">
        <f>I215/(100-BE215)*100</f>
        <v>0</v>
      </c>
      <c r="BE215" s="36">
        <v>0</v>
      </c>
      <c r="BF215" s="36">
        <f>215</f>
        <v>215</v>
      </c>
      <c r="BH215" s="20">
        <f>H215*AO215</f>
        <v>0</v>
      </c>
      <c r="BI215" s="20">
        <f>H215*AP215</f>
        <v>0</v>
      </c>
      <c r="BJ215" s="20">
        <f>H215*I215</f>
        <v>0</v>
      </c>
      <c r="BK215" s="20" t="s">
        <v>2978</v>
      </c>
      <c r="BL215" s="36">
        <v>721</v>
      </c>
    </row>
    <row r="216" spans="1:64" ht="25.7" customHeight="1" x14ac:dyDescent="0.2">
      <c r="A216" s="5"/>
      <c r="B216" s="14"/>
      <c r="C216" s="179" t="s">
        <v>2055</v>
      </c>
      <c r="D216" s="180"/>
      <c r="E216" s="180"/>
      <c r="F216" s="180"/>
      <c r="G216" s="180"/>
      <c r="H216" s="180"/>
      <c r="I216" s="180"/>
      <c r="J216" s="180"/>
      <c r="K216" s="180"/>
      <c r="L216" s="180"/>
      <c r="M216" s="181"/>
      <c r="N216" s="5"/>
    </row>
    <row r="217" spans="1:64" x14ac:dyDescent="0.2">
      <c r="A217" s="4" t="s">
        <v>179</v>
      </c>
      <c r="B217" s="13" t="s">
        <v>1109</v>
      </c>
      <c r="C217" s="174" t="s">
        <v>2056</v>
      </c>
      <c r="D217" s="175"/>
      <c r="E217" s="175"/>
      <c r="F217" s="175"/>
      <c r="G217" s="13" t="s">
        <v>2855</v>
      </c>
      <c r="H217" s="82">
        <v>102</v>
      </c>
      <c r="I217" s="109">
        <v>0</v>
      </c>
      <c r="J217" s="20">
        <f>H217*AO217</f>
        <v>0</v>
      </c>
      <c r="K217" s="20">
        <f>H217*AP217</f>
        <v>0</v>
      </c>
      <c r="L217" s="20">
        <f>H217*I217</f>
        <v>0</v>
      </c>
      <c r="M217" s="31" t="s">
        <v>2884</v>
      </c>
      <c r="N217" s="5"/>
      <c r="Z217" s="36">
        <f>IF(AQ217="5",BJ217,0)</f>
        <v>0</v>
      </c>
      <c r="AB217" s="36">
        <f>IF(AQ217="1",BH217,0)</f>
        <v>0</v>
      </c>
      <c r="AC217" s="36">
        <f>IF(AQ217="1",BI217,0)</f>
        <v>0</v>
      </c>
      <c r="AD217" s="36">
        <f>IF(AQ217="7",BH217,0)</f>
        <v>0</v>
      </c>
      <c r="AE217" s="36">
        <f>IF(AQ217="7",BI217,0)</f>
        <v>0</v>
      </c>
      <c r="AF217" s="36">
        <f>IF(AQ217="2",BH217,0)</f>
        <v>0</v>
      </c>
      <c r="AG217" s="36">
        <f>IF(AQ217="2",BI217,0)</f>
        <v>0</v>
      </c>
      <c r="AH217" s="36">
        <f>IF(AQ217="0",BJ217,0)</f>
        <v>0</v>
      </c>
      <c r="AI217" s="35" t="s">
        <v>2894</v>
      </c>
      <c r="AJ217" s="20">
        <f>IF(AN217=0,L217,0)</f>
        <v>0</v>
      </c>
      <c r="AK217" s="20">
        <f>IF(AN217=15,L217,0)</f>
        <v>0</v>
      </c>
      <c r="AL217" s="20">
        <f>IF(AN217=21,L217,0)</f>
        <v>0</v>
      </c>
      <c r="AN217" s="36">
        <v>21</v>
      </c>
      <c r="AO217" s="36">
        <f>I217*0.53</f>
        <v>0</v>
      </c>
      <c r="AP217" s="36">
        <f>I217*(1-0.53)</f>
        <v>0</v>
      </c>
      <c r="AQ217" s="37" t="s">
        <v>13</v>
      </c>
      <c r="AV217" s="36">
        <f>AW217+AX217</f>
        <v>0</v>
      </c>
      <c r="AW217" s="36">
        <f>H217*AO217</f>
        <v>0</v>
      </c>
      <c r="AX217" s="36">
        <f>H217*AP217</f>
        <v>0</v>
      </c>
      <c r="AY217" s="39" t="s">
        <v>2927</v>
      </c>
      <c r="AZ217" s="39" t="s">
        <v>2954</v>
      </c>
      <c r="BA217" s="35" t="s">
        <v>2967</v>
      </c>
      <c r="BC217" s="36">
        <f>AW217+AX217</f>
        <v>0</v>
      </c>
      <c r="BD217" s="36">
        <f>I217/(100-BE217)*100</f>
        <v>0</v>
      </c>
      <c r="BE217" s="36">
        <v>0</v>
      </c>
      <c r="BF217" s="36">
        <f>217</f>
        <v>217</v>
      </c>
      <c r="BH217" s="20">
        <f>H217*AO217</f>
        <v>0</v>
      </c>
      <c r="BI217" s="20">
        <f>H217*AP217</f>
        <v>0</v>
      </c>
      <c r="BJ217" s="20">
        <f>H217*I217</f>
        <v>0</v>
      </c>
      <c r="BK217" s="20" t="s">
        <v>2978</v>
      </c>
      <c r="BL217" s="36">
        <v>721</v>
      </c>
    </row>
    <row r="218" spans="1:64" x14ac:dyDescent="0.2">
      <c r="A218" s="4" t="s">
        <v>180</v>
      </c>
      <c r="B218" s="13" t="s">
        <v>1110</v>
      </c>
      <c r="C218" s="174" t="s">
        <v>2057</v>
      </c>
      <c r="D218" s="175"/>
      <c r="E218" s="175"/>
      <c r="F218" s="175"/>
      <c r="G218" s="13" t="s">
        <v>2855</v>
      </c>
      <c r="H218" s="82">
        <v>23</v>
      </c>
      <c r="I218" s="109">
        <v>0</v>
      </c>
      <c r="J218" s="20">
        <f>H218*AO218</f>
        <v>0</v>
      </c>
      <c r="K218" s="20">
        <f>H218*AP218</f>
        <v>0</v>
      </c>
      <c r="L218" s="20">
        <f>H218*I218</f>
        <v>0</v>
      </c>
      <c r="M218" s="31" t="s">
        <v>2884</v>
      </c>
      <c r="N218" s="5"/>
      <c r="Z218" s="36">
        <f>IF(AQ218="5",BJ218,0)</f>
        <v>0</v>
      </c>
      <c r="AB218" s="36">
        <f>IF(AQ218="1",BH218,0)</f>
        <v>0</v>
      </c>
      <c r="AC218" s="36">
        <f>IF(AQ218="1",BI218,0)</f>
        <v>0</v>
      </c>
      <c r="AD218" s="36">
        <f>IF(AQ218="7",BH218,0)</f>
        <v>0</v>
      </c>
      <c r="AE218" s="36">
        <f>IF(AQ218="7",BI218,0)</f>
        <v>0</v>
      </c>
      <c r="AF218" s="36">
        <f>IF(AQ218="2",BH218,0)</f>
        <v>0</v>
      </c>
      <c r="AG218" s="36">
        <f>IF(AQ218="2",BI218,0)</f>
        <v>0</v>
      </c>
      <c r="AH218" s="36">
        <f>IF(AQ218="0",BJ218,0)</f>
        <v>0</v>
      </c>
      <c r="AI218" s="35" t="s">
        <v>2894</v>
      </c>
      <c r="AJ218" s="20">
        <f>IF(AN218=0,L218,0)</f>
        <v>0</v>
      </c>
      <c r="AK218" s="20">
        <f>IF(AN218=15,L218,0)</f>
        <v>0</v>
      </c>
      <c r="AL218" s="20">
        <f>IF(AN218=21,L218,0)</f>
        <v>0</v>
      </c>
      <c r="AN218" s="36">
        <v>21</v>
      </c>
      <c r="AO218" s="36">
        <f>I218*0.53</f>
        <v>0</v>
      </c>
      <c r="AP218" s="36">
        <f>I218*(1-0.53)</f>
        <v>0</v>
      </c>
      <c r="AQ218" s="37" t="s">
        <v>13</v>
      </c>
      <c r="AV218" s="36">
        <f>AW218+AX218</f>
        <v>0</v>
      </c>
      <c r="AW218" s="36">
        <f>H218*AO218</f>
        <v>0</v>
      </c>
      <c r="AX218" s="36">
        <f>H218*AP218</f>
        <v>0</v>
      </c>
      <c r="AY218" s="39" t="s">
        <v>2927</v>
      </c>
      <c r="AZ218" s="39" t="s">
        <v>2954</v>
      </c>
      <c r="BA218" s="35" t="s">
        <v>2967</v>
      </c>
      <c r="BC218" s="36">
        <f>AW218+AX218</f>
        <v>0</v>
      </c>
      <c r="BD218" s="36">
        <f>I218/(100-BE218)*100</f>
        <v>0</v>
      </c>
      <c r="BE218" s="36">
        <v>0</v>
      </c>
      <c r="BF218" s="36">
        <f>218</f>
        <v>218</v>
      </c>
      <c r="BH218" s="20">
        <f>H218*AO218</f>
        <v>0</v>
      </c>
      <c r="BI218" s="20">
        <f>H218*AP218</f>
        <v>0</v>
      </c>
      <c r="BJ218" s="20">
        <f>H218*I218</f>
        <v>0</v>
      </c>
      <c r="BK218" s="20" t="s">
        <v>2978</v>
      </c>
      <c r="BL218" s="36">
        <v>721</v>
      </c>
    </row>
    <row r="219" spans="1:64" x14ac:dyDescent="0.2">
      <c r="A219" s="4" t="s">
        <v>181</v>
      </c>
      <c r="B219" s="13" t="s">
        <v>1111</v>
      </c>
      <c r="C219" s="174" t="s">
        <v>2058</v>
      </c>
      <c r="D219" s="175"/>
      <c r="E219" s="175"/>
      <c r="F219" s="175"/>
      <c r="G219" s="13" t="s">
        <v>2855</v>
      </c>
      <c r="H219" s="82">
        <v>5</v>
      </c>
      <c r="I219" s="109">
        <v>0</v>
      </c>
      <c r="J219" s="20">
        <f>H219*AO219</f>
        <v>0</v>
      </c>
      <c r="K219" s="20">
        <f>H219*AP219</f>
        <v>0</v>
      </c>
      <c r="L219" s="20">
        <f>H219*I219</f>
        <v>0</v>
      </c>
      <c r="M219" s="31" t="s">
        <v>2884</v>
      </c>
      <c r="N219" s="5"/>
      <c r="Z219" s="36">
        <f>IF(AQ219="5",BJ219,0)</f>
        <v>0</v>
      </c>
      <c r="AB219" s="36">
        <f>IF(AQ219="1",BH219,0)</f>
        <v>0</v>
      </c>
      <c r="AC219" s="36">
        <f>IF(AQ219="1",BI219,0)</f>
        <v>0</v>
      </c>
      <c r="AD219" s="36">
        <f>IF(AQ219="7",BH219,0)</f>
        <v>0</v>
      </c>
      <c r="AE219" s="36">
        <f>IF(AQ219="7",BI219,0)</f>
        <v>0</v>
      </c>
      <c r="AF219" s="36">
        <f>IF(AQ219="2",BH219,0)</f>
        <v>0</v>
      </c>
      <c r="AG219" s="36">
        <f>IF(AQ219="2",BI219,0)</f>
        <v>0</v>
      </c>
      <c r="AH219" s="36">
        <f>IF(AQ219="0",BJ219,0)</f>
        <v>0</v>
      </c>
      <c r="AI219" s="35" t="s">
        <v>2894</v>
      </c>
      <c r="AJ219" s="20">
        <f>IF(AN219=0,L219,0)</f>
        <v>0</v>
      </c>
      <c r="AK219" s="20">
        <f>IF(AN219=15,L219,0)</f>
        <v>0</v>
      </c>
      <c r="AL219" s="20">
        <f>IF(AN219=21,L219,0)</f>
        <v>0</v>
      </c>
      <c r="AN219" s="36">
        <v>21</v>
      </c>
      <c r="AO219" s="36">
        <f>I219*0.53</f>
        <v>0</v>
      </c>
      <c r="AP219" s="36">
        <f>I219*(1-0.53)</f>
        <v>0</v>
      </c>
      <c r="AQ219" s="37" t="s">
        <v>13</v>
      </c>
      <c r="AV219" s="36">
        <f>AW219+AX219</f>
        <v>0</v>
      </c>
      <c r="AW219" s="36">
        <f>H219*AO219</f>
        <v>0</v>
      </c>
      <c r="AX219" s="36">
        <f>H219*AP219</f>
        <v>0</v>
      </c>
      <c r="AY219" s="39" t="s">
        <v>2927</v>
      </c>
      <c r="AZ219" s="39" t="s">
        <v>2954</v>
      </c>
      <c r="BA219" s="35" t="s">
        <v>2967</v>
      </c>
      <c r="BC219" s="36">
        <f>AW219+AX219</f>
        <v>0</v>
      </c>
      <c r="BD219" s="36">
        <f>I219/(100-BE219)*100</f>
        <v>0</v>
      </c>
      <c r="BE219" s="36">
        <v>0</v>
      </c>
      <c r="BF219" s="36">
        <f>219</f>
        <v>219</v>
      </c>
      <c r="BH219" s="20">
        <f>H219*AO219</f>
        <v>0</v>
      </c>
      <c r="BI219" s="20">
        <f>H219*AP219</f>
        <v>0</v>
      </c>
      <c r="BJ219" s="20">
        <f>H219*I219</f>
        <v>0</v>
      </c>
      <c r="BK219" s="20" t="s">
        <v>2978</v>
      </c>
      <c r="BL219" s="36">
        <v>721</v>
      </c>
    </row>
    <row r="220" spans="1:64" ht="25.7" customHeight="1" x14ac:dyDescent="0.2">
      <c r="A220" s="5"/>
      <c r="B220" s="14"/>
      <c r="C220" s="179" t="s">
        <v>2059</v>
      </c>
      <c r="D220" s="180"/>
      <c r="E220" s="180"/>
      <c r="F220" s="180"/>
      <c r="G220" s="180"/>
      <c r="H220" s="180"/>
      <c r="I220" s="180"/>
      <c r="J220" s="180"/>
      <c r="K220" s="180"/>
      <c r="L220" s="180"/>
      <c r="M220" s="181"/>
      <c r="N220" s="5"/>
    </row>
    <row r="221" spans="1:64" x14ac:dyDescent="0.2">
      <c r="A221" s="4" t="s">
        <v>182</v>
      </c>
      <c r="B221" s="13" t="s">
        <v>1112</v>
      </c>
      <c r="C221" s="174" t="s">
        <v>2060</v>
      </c>
      <c r="D221" s="175"/>
      <c r="E221" s="175"/>
      <c r="F221" s="175"/>
      <c r="G221" s="13" t="s">
        <v>2855</v>
      </c>
      <c r="H221" s="82">
        <v>41</v>
      </c>
      <c r="I221" s="109">
        <v>0</v>
      </c>
      <c r="J221" s="20">
        <f>H221*AO221</f>
        <v>0</v>
      </c>
      <c r="K221" s="20">
        <f>H221*AP221</f>
        <v>0</v>
      </c>
      <c r="L221" s="20">
        <f>H221*I221</f>
        <v>0</v>
      </c>
      <c r="M221" s="31" t="s">
        <v>2884</v>
      </c>
      <c r="N221" s="5"/>
      <c r="Z221" s="36">
        <f>IF(AQ221="5",BJ221,0)</f>
        <v>0</v>
      </c>
      <c r="AB221" s="36">
        <f>IF(AQ221="1",BH221,0)</f>
        <v>0</v>
      </c>
      <c r="AC221" s="36">
        <f>IF(AQ221="1",BI221,0)</f>
        <v>0</v>
      </c>
      <c r="AD221" s="36">
        <f>IF(AQ221="7",BH221,0)</f>
        <v>0</v>
      </c>
      <c r="AE221" s="36">
        <f>IF(AQ221="7",BI221,0)</f>
        <v>0</v>
      </c>
      <c r="AF221" s="36">
        <f>IF(AQ221="2",BH221,0)</f>
        <v>0</v>
      </c>
      <c r="AG221" s="36">
        <f>IF(AQ221="2",BI221,0)</f>
        <v>0</v>
      </c>
      <c r="AH221" s="36">
        <f>IF(AQ221="0",BJ221,0)</f>
        <v>0</v>
      </c>
      <c r="AI221" s="35" t="s">
        <v>2894</v>
      </c>
      <c r="AJ221" s="20">
        <f>IF(AN221=0,L221,0)</f>
        <v>0</v>
      </c>
      <c r="AK221" s="20">
        <f>IF(AN221=15,L221,0)</f>
        <v>0</v>
      </c>
      <c r="AL221" s="20">
        <f>IF(AN221=21,L221,0)</f>
        <v>0</v>
      </c>
      <c r="AN221" s="36">
        <v>21</v>
      </c>
      <c r="AO221" s="36">
        <f>I221*0.53</f>
        <v>0</v>
      </c>
      <c r="AP221" s="36">
        <f>I221*(1-0.53)</f>
        <v>0</v>
      </c>
      <c r="AQ221" s="37" t="s">
        <v>13</v>
      </c>
      <c r="AV221" s="36">
        <f>AW221+AX221</f>
        <v>0</v>
      </c>
      <c r="AW221" s="36">
        <f>H221*AO221</f>
        <v>0</v>
      </c>
      <c r="AX221" s="36">
        <f>H221*AP221</f>
        <v>0</v>
      </c>
      <c r="AY221" s="39" t="s">
        <v>2927</v>
      </c>
      <c r="AZ221" s="39" t="s">
        <v>2954</v>
      </c>
      <c r="BA221" s="35" t="s">
        <v>2967</v>
      </c>
      <c r="BC221" s="36">
        <f>AW221+AX221</f>
        <v>0</v>
      </c>
      <c r="BD221" s="36">
        <f>I221/(100-BE221)*100</f>
        <v>0</v>
      </c>
      <c r="BE221" s="36">
        <v>0</v>
      </c>
      <c r="BF221" s="36">
        <f>221</f>
        <v>221</v>
      </c>
      <c r="BH221" s="20">
        <f>H221*AO221</f>
        <v>0</v>
      </c>
      <c r="BI221" s="20">
        <f>H221*AP221</f>
        <v>0</v>
      </c>
      <c r="BJ221" s="20">
        <f>H221*I221</f>
        <v>0</v>
      </c>
      <c r="BK221" s="20" t="s">
        <v>2978</v>
      </c>
      <c r="BL221" s="36">
        <v>721</v>
      </c>
    </row>
    <row r="222" spans="1:64" x14ac:dyDescent="0.2">
      <c r="A222" s="4" t="s">
        <v>183</v>
      </c>
      <c r="B222" s="13" t="s">
        <v>1113</v>
      </c>
      <c r="C222" s="174" t="s">
        <v>2061</v>
      </c>
      <c r="D222" s="175"/>
      <c r="E222" s="175"/>
      <c r="F222" s="175"/>
      <c r="G222" s="13" t="s">
        <v>2855</v>
      </c>
      <c r="H222" s="82">
        <v>25</v>
      </c>
      <c r="I222" s="109">
        <v>0</v>
      </c>
      <c r="J222" s="20">
        <f>H222*AO222</f>
        <v>0</v>
      </c>
      <c r="K222" s="20">
        <f>H222*AP222</f>
        <v>0</v>
      </c>
      <c r="L222" s="20">
        <f>H222*I222</f>
        <v>0</v>
      </c>
      <c r="M222" s="31" t="s">
        <v>2884</v>
      </c>
      <c r="N222" s="5"/>
      <c r="Z222" s="36">
        <f>IF(AQ222="5",BJ222,0)</f>
        <v>0</v>
      </c>
      <c r="AB222" s="36">
        <f>IF(AQ222="1",BH222,0)</f>
        <v>0</v>
      </c>
      <c r="AC222" s="36">
        <f>IF(AQ222="1",BI222,0)</f>
        <v>0</v>
      </c>
      <c r="AD222" s="36">
        <f>IF(AQ222="7",BH222,0)</f>
        <v>0</v>
      </c>
      <c r="AE222" s="36">
        <f>IF(AQ222="7",BI222,0)</f>
        <v>0</v>
      </c>
      <c r="AF222" s="36">
        <f>IF(AQ222="2",BH222,0)</f>
        <v>0</v>
      </c>
      <c r="AG222" s="36">
        <f>IF(AQ222="2",BI222,0)</f>
        <v>0</v>
      </c>
      <c r="AH222" s="36">
        <f>IF(AQ222="0",BJ222,0)</f>
        <v>0</v>
      </c>
      <c r="AI222" s="35" t="s">
        <v>2894</v>
      </c>
      <c r="AJ222" s="20">
        <f>IF(AN222=0,L222,0)</f>
        <v>0</v>
      </c>
      <c r="AK222" s="20">
        <f>IF(AN222=15,L222,0)</f>
        <v>0</v>
      </c>
      <c r="AL222" s="20">
        <f>IF(AN222=21,L222,0)</f>
        <v>0</v>
      </c>
      <c r="AN222" s="36">
        <v>21</v>
      </c>
      <c r="AO222" s="36">
        <f>I222*0.53</f>
        <v>0</v>
      </c>
      <c r="AP222" s="36">
        <f>I222*(1-0.53)</f>
        <v>0</v>
      </c>
      <c r="AQ222" s="37" t="s">
        <v>13</v>
      </c>
      <c r="AV222" s="36">
        <f>AW222+AX222</f>
        <v>0</v>
      </c>
      <c r="AW222" s="36">
        <f>H222*AO222</f>
        <v>0</v>
      </c>
      <c r="AX222" s="36">
        <f>H222*AP222</f>
        <v>0</v>
      </c>
      <c r="AY222" s="39" t="s">
        <v>2927</v>
      </c>
      <c r="AZ222" s="39" t="s">
        <v>2954</v>
      </c>
      <c r="BA222" s="35" t="s">
        <v>2967</v>
      </c>
      <c r="BC222" s="36">
        <f>AW222+AX222</f>
        <v>0</v>
      </c>
      <c r="BD222" s="36">
        <f>I222/(100-BE222)*100</f>
        <v>0</v>
      </c>
      <c r="BE222" s="36">
        <v>0</v>
      </c>
      <c r="BF222" s="36">
        <f>222</f>
        <v>222</v>
      </c>
      <c r="BH222" s="20">
        <f>H222*AO222</f>
        <v>0</v>
      </c>
      <c r="BI222" s="20">
        <f>H222*AP222</f>
        <v>0</v>
      </c>
      <c r="BJ222" s="20">
        <f>H222*I222</f>
        <v>0</v>
      </c>
      <c r="BK222" s="20" t="s">
        <v>2978</v>
      </c>
      <c r="BL222" s="36">
        <v>721</v>
      </c>
    </row>
    <row r="223" spans="1:64" x14ac:dyDescent="0.2">
      <c r="A223" s="4" t="s">
        <v>184</v>
      </c>
      <c r="B223" s="13" t="s">
        <v>1114</v>
      </c>
      <c r="C223" s="174" t="s">
        <v>2062</v>
      </c>
      <c r="D223" s="175"/>
      <c r="E223" s="175"/>
      <c r="F223" s="175"/>
      <c r="G223" s="13" t="s">
        <v>2855</v>
      </c>
      <c r="H223" s="82">
        <v>68</v>
      </c>
      <c r="I223" s="109">
        <v>0</v>
      </c>
      <c r="J223" s="20">
        <f>H223*AO223</f>
        <v>0</v>
      </c>
      <c r="K223" s="20">
        <f>H223*AP223</f>
        <v>0</v>
      </c>
      <c r="L223" s="20">
        <f>H223*I223</f>
        <v>0</v>
      </c>
      <c r="M223" s="31" t="s">
        <v>2884</v>
      </c>
      <c r="N223" s="5"/>
      <c r="Z223" s="36">
        <f>IF(AQ223="5",BJ223,0)</f>
        <v>0</v>
      </c>
      <c r="AB223" s="36">
        <f>IF(AQ223="1",BH223,0)</f>
        <v>0</v>
      </c>
      <c r="AC223" s="36">
        <f>IF(AQ223="1",BI223,0)</f>
        <v>0</v>
      </c>
      <c r="AD223" s="36">
        <f>IF(AQ223="7",BH223,0)</f>
        <v>0</v>
      </c>
      <c r="AE223" s="36">
        <f>IF(AQ223="7",BI223,0)</f>
        <v>0</v>
      </c>
      <c r="AF223" s="36">
        <f>IF(AQ223="2",BH223,0)</f>
        <v>0</v>
      </c>
      <c r="AG223" s="36">
        <f>IF(AQ223="2",BI223,0)</f>
        <v>0</v>
      </c>
      <c r="AH223" s="36">
        <f>IF(AQ223="0",BJ223,0)</f>
        <v>0</v>
      </c>
      <c r="AI223" s="35" t="s">
        <v>2894</v>
      </c>
      <c r="AJ223" s="20">
        <f>IF(AN223=0,L223,0)</f>
        <v>0</v>
      </c>
      <c r="AK223" s="20">
        <f>IF(AN223=15,L223,0)</f>
        <v>0</v>
      </c>
      <c r="AL223" s="20">
        <f>IF(AN223=21,L223,0)</f>
        <v>0</v>
      </c>
      <c r="AN223" s="36">
        <v>21</v>
      </c>
      <c r="AO223" s="36">
        <f>I223*0.53</f>
        <v>0</v>
      </c>
      <c r="AP223" s="36">
        <f>I223*(1-0.53)</f>
        <v>0</v>
      </c>
      <c r="AQ223" s="37" t="s">
        <v>13</v>
      </c>
      <c r="AV223" s="36">
        <f>AW223+AX223</f>
        <v>0</v>
      </c>
      <c r="AW223" s="36">
        <f>H223*AO223</f>
        <v>0</v>
      </c>
      <c r="AX223" s="36">
        <f>H223*AP223</f>
        <v>0</v>
      </c>
      <c r="AY223" s="39" t="s">
        <v>2927</v>
      </c>
      <c r="AZ223" s="39" t="s">
        <v>2954</v>
      </c>
      <c r="BA223" s="35" t="s">
        <v>2967</v>
      </c>
      <c r="BC223" s="36">
        <f>AW223+AX223</f>
        <v>0</v>
      </c>
      <c r="BD223" s="36">
        <f>I223/(100-BE223)*100</f>
        <v>0</v>
      </c>
      <c r="BE223" s="36">
        <v>0</v>
      </c>
      <c r="BF223" s="36">
        <f>223</f>
        <v>223</v>
      </c>
      <c r="BH223" s="20">
        <f>H223*AO223</f>
        <v>0</v>
      </c>
      <c r="BI223" s="20">
        <f>H223*AP223</f>
        <v>0</v>
      </c>
      <c r="BJ223" s="20">
        <f>H223*I223</f>
        <v>0</v>
      </c>
      <c r="BK223" s="20" t="s">
        <v>2978</v>
      </c>
      <c r="BL223" s="36">
        <v>721</v>
      </c>
    </row>
    <row r="224" spans="1:64" x14ac:dyDescent="0.2">
      <c r="A224" s="4" t="s">
        <v>185</v>
      </c>
      <c r="B224" s="13" t="s">
        <v>1115</v>
      </c>
      <c r="C224" s="174" t="s">
        <v>2063</v>
      </c>
      <c r="D224" s="175"/>
      <c r="E224" s="175"/>
      <c r="F224" s="175"/>
      <c r="G224" s="13" t="s">
        <v>2860</v>
      </c>
      <c r="H224" s="82">
        <v>45</v>
      </c>
      <c r="I224" s="109">
        <v>0</v>
      </c>
      <c r="J224" s="20">
        <f>H224*AO224</f>
        <v>0</v>
      </c>
      <c r="K224" s="20">
        <f>H224*AP224</f>
        <v>0</v>
      </c>
      <c r="L224" s="20">
        <f>H224*I224</f>
        <v>0</v>
      </c>
      <c r="M224" s="31" t="s">
        <v>2884</v>
      </c>
      <c r="N224" s="5"/>
      <c r="Z224" s="36">
        <f>IF(AQ224="5",BJ224,0)</f>
        <v>0</v>
      </c>
      <c r="AB224" s="36">
        <f>IF(AQ224="1",BH224,0)</f>
        <v>0</v>
      </c>
      <c r="AC224" s="36">
        <f>IF(AQ224="1",BI224,0)</f>
        <v>0</v>
      </c>
      <c r="AD224" s="36">
        <f>IF(AQ224="7",BH224,0)</f>
        <v>0</v>
      </c>
      <c r="AE224" s="36">
        <f>IF(AQ224="7",BI224,0)</f>
        <v>0</v>
      </c>
      <c r="AF224" s="36">
        <f>IF(AQ224="2",BH224,0)</f>
        <v>0</v>
      </c>
      <c r="AG224" s="36">
        <f>IF(AQ224="2",BI224,0)</f>
        <v>0</v>
      </c>
      <c r="AH224" s="36">
        <f>IF(AQ224="0",BJ224,0)</f>
        <v>0</v>
      </c>
      <c r="AI224" s="35" t="s">
        <v>2894</v>
      </c>
      <c r="AJ224" s="20">
        <f>IF(AN224=0,L224,0)</f>
        <v>0</v>
      </c>
      <c r="AK224" s="20">
        <f>IF(AN224=15,L224,0)</f>
        <v>0</v>
      </c>
      <c r="AL224" s="20">
        <f>IF(AN224=21,L224,0)</f>
        <v>0</v>
      </c>
      <c r="AN224" s="36">
        <v>21</v>
      </c>
      <c r="AO224" s="36">
        <f>I224*0.53</f>
        <v>0</v>
      </c>
      <c r="AP224" s="36">
        <f>I224*(1-0.53)</f>
        <v>0</v>
      </c>
      <c r="AQ224" s="37" t="s">
        <v>13</v>
      </c>
      <c r="AV224" s="36">
        <f>AW224+AX224</f>
        <v>0</v>
      </c>
      <c r="AW224" s="36">
        <f>H224*AO224</f>
        <v>0</v>
      </c>
      <c r="AX224" s="36">
        <f>H224*AP224</f>
        <v>0</v>
      </c>
      <c r="AY224" s="39" t="s">
        <v>2927</v>
      </c>
      <c r="AZ224" s="39" t="s">
        <v>2954</v>
      </c>
      <c r="BA224" s="35" t="s">
        <v>2967</v>
      </c>
      <c r="BC224" s="36">
        <f>AW224+AX224</f>
        <v>0</v>
      </c>
      <c r="BD224" s="36">
        <f>I224/(100-BE224)*100</f>
        <v>0</v>
      </c>
      <c r="BE224" s="36">
        <v>0</v>
      </c>
      <c r="BF224" s="36">
        <f>224</f>
        <v>224</v>
      </c>
      <c r="BH224" s="20">
        <f>H224*AO224</f>
        <v>0</v>
      </c>
      <c r="BI224" s="20">
        <f>H224*AP224</f>
        <v>0</v>
      </c>
      <c r="BJ224" s="20">
        <f>H224*I224</f>
        <v>0</v>
      </c>
      <c r="BK224" s="20" t="s">
        <v>2978</v>
      </c>
      <c r="BL224" s="36">
        <v>721</v>
      </c>
    </row>
    <row r="225" spans="1:64" x14ac:dyDescent="0.2">
      <c r="A225" s="5"/>
      <c r="B225" s="14"/>
      <c r="C225" s="179" t="s">
        <v>2064</v>
      </c>
      <c r="D225" s="180"/>
      <c r="E225" s="180"/>
      <c r="F225" s="180"/>
      <c r="G225" s="180"/>
      <c r="H225" s="180"/>
      <c r="I225" s="180"/>
      <c r="J225" s="180"/>
      <c r="K225" s="180"/>
      <c r="L225" s="180"/>
      <c r="M225" s="181"/>
      <c r="N225" s="5"/>
    </row>
    <row r="226" spans="1:64" x14ac:dyDescent="0.2">
      <c r="A226" s="4" t="s">
        <v>186</v>
      </c>
      <c r="B226" s="13" t="s">
        <v>1116</v>
      </c>
      <c r="C226" s="174" t="s">
        <v>2065</v>
      </c>
      <c r="D226" s="175"/>
      <c r="E226" s="175"/>
      <c r="F226" s="175"/>
      <c r="G226" s="13" t="s">
        <v>2860</v>
      </c>
      <c r="H226" s="82">
        <v>3</v>
      </c>
      <c r="I226" s="109">
        <v>0</v>
      </c>
      <c r="J226" s="20">
        <f>H226*AO226</f>
        <v>0</v>
      </c>
      <c r="K226" s="20">
        <f>H226*AP226</f>
        <v>0</v>
      </c>
      <c r="L226" s="20">
        <f>H226*I226</f>
        <v>0</v>
      </c>
      <c r="M226" s="31" t="s">
        <v>2884</v>
      </c>
      <c r="N226" s="5"/>
      <c r="Z226" s="36">
        <f>IF(AQ226="5",BJ226,0)</f>
        <v>0</v>
      </c>
      <c r="AB226" s="36">
        <f>IF(AQ226="1",BH226,0)</f>
        <v>0</v>
      </c>
      <c r="AC226" s="36">
        <f>IF(AQ226="1",BI226,0)</f>
        <v>0</v>
      </c>
      <c r="AD226" s="36">
        <f>IF(AQ226="7",BH226,0)</f>
        <v>0</v>
      </c>
      <c r="AE226" s="36">
        <f>IF(AQ226="7",BI226,0)</f>
        <v>0</v>
      </c>
      <c r="AF226" s="36">
        <f>IF(AQ226="2",BH226,0)</f>
        <v>0</v>
      </c>
      <c r="AG226" s="36">
        <f>IF(AQ226="2",BI226,0)</f>
        <v>0</v>
      </c>
      <c r="AH226" s="36">
        <f>IF(AQ226="0",BJ226,0)</f>
        <v>0</v>
      </c>
      <c r="AI226" s="35" t="s">
        <v>2894</v>
      </c>
      <c r="AJ226" s="20">
        <f>IF(AN226=0,L226,0)</f>
        <v>0</v>
      </c>
      <c r="AK226" s="20">
        <f>IF(AN226=15,L226,0)</f>
        <v>0</v>
      </c>
      <c r="AL226" s="20">
        <f>IF(AN226=21,L226,0)</f>
        <v>0</v>
      </c>
      <c r="AN226" s="36">
        <v>21</v>
      </c>
      <c r="AO226" s="36">
        <f>I226*0.53</f>
        <v>0</v>
      </c>
      <c r="AP226" s="36">
        <f>I226*(1-0.53)</f>
        <v>0</v>
      </c>
      <c r="AQ226" s="37" t="s">
        <v>13</v>
      </c>
      <c r="AV226" s="36">
        <f>AW226+AX226</f>
        <v>0</v>
      </c>
      <c r="AW226" s="36">
        <f>H226*AO226</f>
        <v>0</v>
      </c>
      <c r="AX226" s="36">
        <f>H226*AP226</f>
        <v>0</v>
      </c>
      <c r="AY226" s="39" t="s">
        <v>2927</v>
      </c>
      <c r="AZ226" s="39" t="s">
        <v>2954</v>
      </c>
      <c r="BA226" s="35" t="s">
        <v>2967</v>
      </c>
      <c r="BC226" s="36">
        <f>AW226+AX226</f>
        <v>0</v>
      </c>
      <c r="BD226" s="36">
        <f>I226/(100-BE226)*100</f>
        <v>0</v>
      </c>
      <c r="BE226" s="36">
        <v>0</v>
      </c>
      <c r="BF226" s="36">
        <f>226</f>
        <v>226</v>
      </c>
      <c r="BH226" s="20">
        <f>H226*AO226</f>
        <v>0</v>
      </c>
      <c r="BI226" s="20">
        <f>H226*AP226</f>
        <v>0</v>
      </c>
      <c r="BJ226" s="20">
        <f>H226*I226</f>
        <v>0</v>
      </c>
      <c r="BK226" s="20" t="s">
        <v>2978</v>
      </c>
      <c r="BL226" s="36">
        <v>721</v>
      </c>
    </row>
    <row r="227" spans="1:64" x14ac:dyDescent="0.2">
      <c r="A227" s="4" t="s">
        <v>187</v>
      </c>
      <c r="B227" s="13" t="s">
        <v>1117</v>
      </c>
      <c r="C227" s="174" t="s">
        <v>2066</v>
      </c>
      <c r="D227" s="175"/>
      <c r="E227" s="175"/>
      <c r="F227" s="175"/>
      <c r="G227" s="13" t="s">
        <v>2860</v>
      </c>
      <c r="H227" s="82">
        <v>9</v>
      </c>
      <c r="I227" s="109">
        <v>0</v>
      </c>
      <c r="J227" s="20">
        <f>H227*AO227</f>
        <v>0</v>
      </c>
      <c r="K227" s="20">
        <f>H227*AP227</f>
        <v>0</v>
      </c>
      <c r="L227" s="20">
        <f>H227*I227</f>
        <v>0</v>
      </c>
      <c r="M227" s="31" t="s">
        <v>2884</v>
      </c>
      <c r="N227" s="5"/>
      <c r="Z227" s="36">
        <f>IF(AQ227="5",BJ227,0)</f>
        <v>0</v>
      </c>
      <c r="AB227" s="36">
        <f>IF(AQ227="1",BH227,0)</f>
        <v>0</v>
      </c>
      <c r="AC227" s="36">
        <f>IF(AQ227="1",BI227,0)</f>
        <v>0</v>
      </c>
      <c r="AD227" s="36">
        <f>IF(AQ227="7",BH227,0)</f>
        <v>0</v>
      </c>
      <c r="AE227" s="36">
        <f>IF(AQ227="7",BI227,0)</f>
        <v>0</v>
      </c>
      <c r="AF227" s="36">
        <f>IF(AQ227="2",BH227,0)</f>
        <v>0</v>
      </c>
      <c r="AG227" s="36">
        <f>IF(AQ227="2",BI227,0)</f>
        <v>0</v>
      </c>
      <c r="AH227" s="36">
        <f>IF(AQ227="0",BJ227,0)</f>
        <v>0</v>
      </c>
      <c r="AI227" s="35" t="s">
        <v>2894</v>
      </c>
      <c r="AJ227" s="20">
        <f>IF(AN227=0,L227,0)</f>
        <v>0</v>
      </c>
      <c r="AK227" s="20">
        <f>IF(AN227=15,L227,0)</f>
        <v>0</v>
      </c>
      <c r="AL227" s="20">
        <f>IF(AN227=21,L227,0)</f>
        <v>0</v>
      </c>
      <c r="AN227" s="36">
        <v>21</v>
      </c>
      <c r="AO227" s="36">
        <f>I227*0.53</f>
        <v>0</v>
      </c>
      <c r="AP227" s="36">
        <f>I227*(1-0.53)</f>
        <v>0</v>
      </c>
      <c r="AQ227" s="37" t="s">
        <v>13</v>
      </c>
      <c r="AV227" s="36">
        <f>AW227+AX227</f>
        <v>0</v>
      </c>
      <c r="AW227" s="36">
        <f>H227*AO227</f>
        <v>0</v>
      </c>
      <c r="AX227" s="36">
        <f>H227*AP227</f>
        <v>0</v>
      </c>
      <c r="AY227" s="39" t="s">
        <v>2927</v>
      </c>
      <c r="AZ227" s="39" t="s">
        <v>2954</v>
      </c>
      <c r="BA227" s="35" t="s">
        <v>2967</v>
      </c>
      <c r="BC227" s="36">
        <f>AW227+AX227</f>
        <v>0</v>
      </c>
      <c r="BD227" s="36">
        <f>I227/(100-BE227)*100</f>
        <v>0</v>
      </c>
      <c r="BE227" s="36">
        <v>0</v>
      </c>
      <c r="BF227" s="36">
        <f>227</f>
        <v>227</v>
      </c>
      <c r="BH227" s="20">
        <f>H227*AO227</f>
        <v>0</v>
      </c>
      <c r="BI227" s="20">
        <f>H227*AP227</f>
        <v>0</v>
      </c>
      <c r="BJ227" s="20">
        <f>H227*I227</f>
        <v>0</v>
      </c>
      <c r="BK227" s="20" t="s">
        <v>2978</v>
      </c>
      <c r="BL227" s="36">
        <v>721</v>
      </c>
    </row>
    <row r="228" spans="1:64" x14ac:dyDescent="0.2">
      <c r="A228" s="4" t="s">
        <v>188</v>
      </c>
      <c r="B228" s="13" t="s">
        <v>1118</v>
      </c>
      <c r="C228" s="174" t="s">
        <v>2067</v>
      </c>
      <c r="D228" s="175"/>
      <c r="E228" s="175"/>
      <c r="F228" s="175"/>
      <c r="G228" s="13" t="s">
        <v>2860</v>
      </c>
      <c r="H228" s="82">
        <v>1</v>
      </c>
      <c r="I228" s="109">
        <v>0</v>
      </c>
      <c r="J228" s="20">
        <f>H228*AO228</f>
        <v>0</v>
      </c>
      <c r="K228" s="20">
        <f>H228*AP228</f>
        <v>0</v>
      </c>
      <c r="L228" s="20">
        <f>H228*I228</f>
        <v>0</v>
      </c>
      <c r="M228" s="31" t="s">
        <v>2884</v>
      </c>
      <c r="N228" s="5"/>
      <c r="Z228" s="36">
        <f>IF(AQ228="5",BJ228,0)</f>
        <v>0</v>
      </c>
      <c r="AB228" s="36">
        <f>IF(AQ228="1",BH228,0)</f>
        <v>0</v>
      </c>
      <c r="AC228" s="36">
        <f>IF(AQ228="1",BI228,0)</f>
        <v>0</v>
      </c>
      <c r="AD228" s="36">
        <f>IF(AQ228="7",BH228,0)</f>
        <v>0</v>
      </c>
      <c r="AE228" s="36">
        <f>IF(AQ228="7",BI228,0)</f>
        <v>0</v>
      </c>
      <c r="AF228" s="36">
        <f>IF(AQ228="2",BH228,0)</f>
        <v>0</v>
      </c>
      <c r="AG228" s="36">
        <f>IF(AQ228="2",BI228,0)</f>
        <v>0</v>
      </c>
      <c r="AH228" s="36">
        <f>IF(AQ228="0",BJ228,0)</f>
        <v>0</v>
      </c>
      <c r="AI228" s="35" t="s">
        <v>2894</v>
      </c>
      <c r="AJ228" s="20">
        <f>IF(AN228=0,L228,0)</f>
        <v>0</v>
      </c>
      <c r="AK228" s="20">
        <f>IF(AN228=15,L228,0)</f>
        <v>0</v>
      </c>
      <c r="AL228" s="20">
        <f>IF(AN228=21,L228,0)</f>
        <v>0</v>
      </c>
      <c r="AN228" s="36">
        <v>21</v>
      </c>
      <c r="AO228" s="36">
        <f>I228*0.53</f>
        <v>0</v>
      </c>
      <c r="AP228" s="36">
        <f>I228*(1-0.53)</f>
        <v>0</v>
      </c>
      <c r="AQ228" s="37" t="s">
        <v>13</v>
      </c>
      <c r="AV228" s="36">
        <f>AW228+AX228</f>
        <v>0</v>
      </c>
      <c r="AW228" s="36">
        <f>H228*AO228</f>
        <v>0</v>
      </c>
      <c r="AX228" s="36">
        <f>H228*AP228</f>
        <v>0</v>
      </c>
      <c r="AY228" s="39" t="s">
        <v>2927</v>
      </c>
      <c r="AZ228" s="39" t="s">
        <v>2954</v>
      </c>
      <c r="BA228" s="35" t="s">
        <v>2967</v>
      </c>
      <c r="BC228" s="36">
        <f>AW228+AX228</f>
        <v>0</v>
      </c>
      <c r="BD228" s="36">
        <f>I228/(100-BE228)*100</f>
        <v>0</v>
      </c>
      <c r="BE228" s="36">
        <v>0</v>
      </c>
      <c r="BF228" s="36">
        <f>228</f>
        <v>228</v>
      </c>
      <c r="BH228" s="20">
        <f>H228*AO228</f>
        <v>0</v>
      </c>
      <c r="BI228" s="20">
        <f>H228*AP228</f>
        <v>0</v>
      </c>
      <c r="BJ228" s="20">
        <f>H228*I228</f>
        <v>0</v>
      </c>
      <c r="BK228" s="20" t="s">
        <v>2978</v>
      </c>
      <c r="BL228" s="36">
        <v>721</v>
      </c>
    </row>
    <row r="229" spans="1:64" x14ac:dyDescent="0.2">
      <c r="A229" s="4" t="s">
        <v>189</v>
      </c>
      <c r="B229" s="13" t="s">
        <v>1119</v>
      </c>
      <c r="C229" s="174" t="s">
        <v>2068</v>
      </c>
      <c r="D229" s="175"/>
      <c r="E229" s="175"/>
      <c r="F229" s="175"/>
      <c r="G229" s="13" t="s">
        <v>2860</v>
      </c>
      <c r="H229" s="82">
        <v>2</v>
      </c>
      <c r="I229" s="109">
        <v>0</v>
      </c>
      <c r="J229" s="20">
        <f>H229*AO229</f>
        <v>0</v>
      </c>
      <c r="K229" s="20">
        <f>H229*AP229</f>
        <v>0</v>
      </c>
      <c r="L229" s="20">
        <f>H229*I229</f>
        <v>0</v>
      </c>
      <c r="M229" s="31" t="s">
        <v>2884</v>
      </c>
      <c r="N229" s="5"/>
      <c r="Z229" s="36">
        <f>IF(AQ229="5",BJ229,0)</f>
        <v>0</v>
      </c>
      <c r="AB229" s="36">
        <f>IF(AQ229="1",BH229,0)</f>
        <v>0</v>
      </c>
      <c r="AC229" s="36">
        <f>IF(AQ229="1",BI229,0)</f>
        <v>0</v>
      </c>
      <c r="AD229" s="36">
        <f>IF(AQ229="7",BH229,0)</f>
        <v>0</v>
      </c>
      <c r="AE229" s="36">
        <f>IF(AQ229="7",BI229,0)</f>
        <v>0</v>
      </c>
      <c r="AF229" s="36">
        <f>IF(AQ229="2",BH229,0)</f>
        <v>0</v>
      </c>
      <c r="AG229" s="36">
        <f>IF(AQ229="2",BI229,0)</f>
        <v>0</v>
      </c>
      <c r="AH229" s="36">
        <f>IF(AQ229="0",BJ229,0)</f>
        <v>0</v>
      </c>
      <c r="AI229" s="35" t="s">
        <v>2894</v>
      </c>
      <c r="AJ229" s="20">
        <f>IF(AN229=0,L229,0)</f>
        <v>0</v>
      </c>
      <c r="AK229" s="20">
        <f>IF(AN229=15,L229,0)</f>
        <v>0</v>
      </c>
      <c r="AL229" s="20">
        <f>IF(AN229=21,L229,0)</f>
        <v>0</v>
      </c>
      <c r="AN229" s="36">
        <v>21</v>
      </c>
      <c r="AO229" s="36">
        <f>I229*0.53</f>
        <v>0</v>
      </c>
      <c r="AP229" s="36">
        <f>I229*(1-0.53)</f>
        <v>0</v>
      </c>
      <c r="AQ229" s="37" t="s">
        <v>13</v>
      </c>
      <c r="AV229" s="36">
        <f>AW229+AX229</f>
        <v>0</v>
      </c>
      <c r="AW229" s="36">
        <f>H229*AO229</f>
        <v>0</v>
      </c>
      <c r="AX229" s="36">
        <f>H229*AP229</f>
        <v>0</v>
      </c>
      <c r="AY229" s="39" t="s">
        <v>2927</v>
      </c>
      <c r="AZ229" s="39" t="s">
        <v>2954</v>
      </c>
      <c r="BA229" s="35" t="s">
        <v>2967</v>
      </c>
      <c r="BC229" s="36">
        <f>AW229+AX229</f>
        <v>0</v>
      </c>
      <c r="BD229" s="36">
        <f>I229/(100-BE229)*100</f>
        <v>0</v>
      </c>
      <c r="BE229" s="36">
        <v>0</v>
      </c>
      <c r="BF229" s="36">
        <f>229</f>
        <v>229</v>
      </c>
      <c r="BH229" s="20">
        <f>H229*AO229</f>
        <v>0</v>
      </c>
      <c r="BI229" s="20">
        <f>H229*AP229</f>
        <v>0</v>
      </c>
      <c r="BJ229" s="20">
        <f>H229*I229</f>
        <v>0</v>
      </c>
      <c r="BK229" s="20" t="s">
        <v>2978</v>
      </c>
      <c r="BL229" s="36">
        <v>721</v>
      </c>
    </row>
    <row r="230" spans="1:64" x14ac:dyDescent="0.2">
      <c r="A230" s="4" t="s">
        <v>190</v>
      </c>
      <c r="B230" s="13" t="s">
        <v>1120</v>
      </c>
      <c r="C230" s="174" t="s">
        <v>2069</v>
      </c>
      <c r="D230" s="175"/>
      <c r="E230" s="175"/>
      <c r="F230" s="175"/>
      <c r="G230" s="13" t="s">
        <v>2860</v>
      </c>
      <c r="H230" s="82">
        <v>4</v>
      </c>
      <c r="I230" s="109">
        <v>0</v>
      </c>
      <c r="J230" s="20">
        <f>H230*AO230</f>
        <v>0</v>
      </c>
      <c r="K230" s="20">
        <f>H230*AP230</f>
        <v>0</v>
      </c>
      <c r="L230" s="20">
        <f>H230*I230</f>
        <v>0</v>
      </c>
      <c r="M230" s="31" t="s">
        <v>2884</v>
      </c>
      <c r="N230" s="5"/>
      <c r="Z230" s="36">
        <f>IF(AQ230="5",BJ230,0)</f>
        <v>0</v>
      </c>
      <c r="AB230" s="36">
        <f>IF(AQ230="1",BH230,0)</f>
        <v>0</v>
      </c>
      <c r="AC230" s="36">
        <f>IF(AQ230="1",BI230,0)</f>
        <v>0</v>
      </c>
      <c r="AD230" s="36">
        <f>IF(AQ230="7",BH230,0)</f>
        <v>0</v>
      </c>
      <c r="AE230" s="36">
        <f>IF(AQ230="7",BI230,0)</f>
        <v>0</v>
      </c>
      <c r="AF230" s="36">
        <f>IF(AQ230="2",BH230,0)</f>
        <v>0</v>
      </c>
      <c r="AG230" s="36">
        <f>IF(AQ230="2",BI230,0)</f>
        <v>0</v>
      </c>
      <c r="AH230" s="36">
        <f>IF(AQ230="0",BJ230,0)</f>
        <v>0</v>
      </c>
      <c r="AI230" s="35" t="s">
        <v>2894</v>
      </c>
      <c r="AJ230" s="20">
        <f>IF(AN230=0,L230,0)</f>
        <v>0</v>
      </c>
      <c r="AK230" s="20">
        <f>IF(AN230=15,L230,0)</f>
        <v>0</v>
      </c>
      <c r="AL230" s="20">
        <f>IF(AN230=21,L230,0)</f>
        <v>0</v>
      </c>
      <c r="AN230" s="36">
        <v>21</v>
      </c>
      <c r="AO230" s="36">
        <f>I230*0.53</f>
        <v>0</v>
      </c>
      <c r="AP230" s="36">
        <f>I230*(1-0.53)</f>
        <v>0</v>
      </c>
      <c r="AQ230" s="37" t="s">
        <v>13</v>
      </c>
      <c r="AV230" s="36">
        <f>AW230+AX230</f>
        <v>0</v>
      </c>
      <c r="AW230" s="36">
        <f>H230*AO230</f>
        <v>0</v>
      </c>
      <c r="AX230" s="36">
        <f>H230*AP230</f>
        <v>0</v>
      </c>
      <c r="AY230" s="39" t="s">
        <v>2927</v>
      </c>
      <c r="AZ230" s="39" t="s">
        <v>2954</v>
      </c>
      <c r="BA230" s="35" t="s">
        <v>2967</v>
      </c>
      <c r="BC230" s="36">
        <f>AW230+AX230</f>
        <v>0</v>
      </c>
      <c r="BD230" s="36">
        <f>I230/(100-BE230)*100</f>
        <v>0</v>
      </c>
      <c r="BE230" s="36">
        <v>0</v>
      </c>
      <c r="BF230" s="36">
        <f>230</f>
        <v>230</v>
      </c>
      <c r="BH230" s="20">
        <f>H230*AO230</f>
        <v>0</v>
      </c>
      <c r="BI230" s="20">
        <f>H230*AP230</f>
        <v>0</v>
      </c>
      <c r="BJ230" s="20">
        <f>H230*I230</f>
        <v>0</v>
      </c>
      <c r="BK230" s="20" t="s">
        <v>2978</v>
      </c>
      <c r="BL230" s="36">
        <v>721</v>
      </c>
    </row>
    <row r="231" spans="1:64" x14ac:dyDescent="0.2">
      <c r="A231" s="5"/>
      <c r="B231" s="14"/>
      <c r="C231" s="179" t="s">
        <v>2070</v>
      </c>
      <c r="D231" s="180"/>
      <c r="E231" s="180"/>
      <c r="F231" s="180"/>
      <c r="G231" s="180"/>
      <c r="H231" s="180"/>
      <c r="I231" s="180"/>
      <c r="J231" s="180"/>
      <c r="K231" s="180"/>
      <c r="L231" s="180"/>
      <c r="M231" s="181"/>
      <c r="N231" s="5"/>
    </row>
    <row r="232" spans="1:64" x14ac:dyDescent="0.2">
      <c r="A232" s="4" t="s">
        <v>191</v>
      </c>
      <c r="B232" s="13" t="s">
        <v>1121</v>
      </c>
      <c r="C232" s="174" t="s">
        <v>2071</v>
      </c>
      <c r="D232" s="175"/>
      <c r="E232" s="175"/>
      <c r="F232" s="175"/>
      <c r="G232" s="13" t="s">
        <v>2860</v>
      </c>
      <c r="H232" s="82">
        <v>2</v>
      </c>
      <c r="I232" s="109">
        <v>0</v>
      </c>
      <c r="J232" s="20">
        <f>H232*AO232</f>
        <v>0</v>
      </c>
      <c r="K232" s="20">
        <f>H232*AP232</f>
        <v>0</v>
      </c>
      <c r="L232" s="20">
        <f>H232*I232</f>
        <v>0</v>
      </c>
      <c r="M232" s="31" t="s">
        <v>2884</v>
      </c>
      <c r="N232" s="5"/>
      <c r="Z232" s="36">
        <f>IF(AQ232="5",BJ232,0)</f>
        <v>0</v>
      </c>
      <c r="AB232" s="36">
        <f>IF(AQ232="1",BH232,0)</f>
        <v>0</v>
      </c>
      <c r="AC232" s="36">
        <f>IF(AQ232="1",BI232,0)</f>
        <v>0</v>
      </c>
      <c r="AD232" s="36">
        <f>IF(AQ232="7",BH232,0)</f>
        <v>0</v>
      </c>
      <c r="AE232" s="36">
        <f>IF(AQ232="7",BI232,0)</f>
        <v>0</v>
      </c>
      <c r="AF232" s="36">
        <f>IF(AQ232="2",BH232,0)</f>
        <v>0</v>
      </c>
      <c r="AG232" s="36">
        <f>IF(AQ232="2",BI232,0)</f>
        <v>0</v>
      </c>
      <c r="AH232" s="36">
        <f>IF(AQ232="0",BJ232,0)</f>
        <v>0</v>
      </c>
      <c r="AI232" s="35" t="s">
        <v>2894</v>
      </c>
      <c r="AJ232" s="20">
        <f>IF(AN232=0,L232,0)</f>
        <v>0</v>
      </c>
      <c r="AK232" s="20">
        <f>IF(AN232=15,L232,0)</f>
        <v>0</v>
      </c>
      <c r="AL232" s="20">
        <f>IF(AN232=21,L232,0)</f>
        <v>0</v>
      </c>
      <c r="AN232" s="36">
        <v>21</v>
      </c>
      <c r="AO232" s="36">
        <f>I232*0.53</f>
        <v>0</v>
      </c>
      <c r="AP232" s="36">
        <f>I232*(1-0.53)</f>
        <v>0</v>
      </c>
      <c r="AQ232" s="37" t="s">
        <v>13</v>
      </c>
      <c r="AV232" s="36">
        <f>AW232+AX232</f>
        <v>0</v>
      </c>
      <c r="AW232" s="36">
        <f>H232*AO232</f>
        <v>0</v>
      </c>
      <c r="AX232" s="36">
        <f>H232*AP232</f>
        <v>0</v>
      </c>
      <c r="AY232" s="39" t="s">
        <v>2927</v>
      </c>
      <c r="AZ232" s="39" t="s">
        <v>2954</v>
      </c>
      <c r="BA232" s="35" t="s">
        <v>2967</v>
      </c>
      <c r="BC232" s="36">
        <f>AW232+AX232</f>
        <v>0</v>
      </c>
      <c r="BD232" s="36">
        <f>I232/(100-BE232)*100</f>
        <v>0</v>
      </c>
      <c r="BE232" s="36">
        <v>0</v>
      </c>
      <c r="BF232" s="36">
        <f>232</f>
        <v>232</v>
      </c>
      <c r="BH232" s="20">
        <f>H232*AO232</f>
        <v>0</v>
      </c>
      <c r="BI232" s="20">
        <f>H232*AP232</f>
        <v>0</v>
      </c>
      <c r="BJ232" s="20">
        <f>H232*I232</f>
        <v>0</v>
      </c>
      <c r="BK232" s="20" t="s">
        <v>2978</v>
      </c>
      <c r="BL232" s="36">
        <v>721</v>
      </c>
    </row>
    <row r="233" spans="1:64" x14ac:dyDescent="0.2">
      <c r="A233" s="5"/>
      <c r="B233" s="14"/>
      <c r="C233" s="179" t="s">
        <v>2072</v>
      </c>
      <c r="D233" s="180"/>
      <c r="E233" s="180"/>
      <c r="F233" s="180"/>
      <c r="G233" s="180"/>
      <c r="H233" s="180"/>
      <c r="I233" s="180"/>
      <c r="J233" s="180"/>
      <c r="K233" s="180"/>
      <c r="L233" s="180"/>
      <c r="M233" s="181"/>
      <c r="N233" s="5"/>
    </row>
    <row r="234" spans="1:64" x14ac:dyDescent="0.2">
      <c r="A234" s="4" t="s">
        <v>192</v>
      </c>
      <c r="B234" s="13" t="s">
        <v>1122</v>
      </c>
      <c r="C234" s="174" t="s">
        <v>2073</v>
      </c>
      <c r="D234" s="175"/>
      <c r="E234" s="175"/>
      <c r="F234" s="175"/>
      <c r="G234" s="13" t="s">
        <v>2860</v>
      </c>
      <c r="H234" s="82">
        <v>3</v>
      </c>
      <c r="I234" s="109">
        <v>0</v>
      </c>
      <c r="J234" s="20">
        <f>H234*AO234</f>
        <v>0</v>
      </c>
      <c r="K234" s="20">
        <f>H234*AP234</f>
        <v>0</v>
      </c>
      <c r="L234" s="20">
        <f>H234*I234</f>
        <v>0</v>
      </c>
      <c r="M234" s="31" t="s">
        <v>2884</v>
      </c>
      <c r="N234" s="5"/>
      <c r="Z234" s="36">
        <f>IF(AQ234="5",BJ234,0)</f>
        <v>0</v>
      </c>
      <c r="AB234" s="36">
        <f>IF(AQ234="1",BH234,0)</f>
        <v>0</v>
      </c>
      <c r="AC234" s="36">
        <f>IF(AQ234="1",BI234,0)</f>
        <v>0</v>
      </c>
      <c r="AD234" s="36">
        <f>IF(AQ234="7",BH234,0)</f>
        <v>0</v>
      </c>
      <c r="AE234" s="36">
        <f>IF(AQ234="7",BI234,0)</f>
        <v>0</v>
      </c>
      <c r="AF234" s="36">
        <f>IF(AQ234="2",BH234,0)</f>
        <v>0</v>
      </c>
      <c r="AG234" s="36">
        <f>IF(AQ234="2",BI234,0)</f>
        <v>0</v>
      </c>
      <c r="AH234" s="36">
        <f>IF(AQ234="0",BJ234,0)</f>
        <v>0</v>
      </c>
      <c r="AI234" s="35" t="s">
        <v>2894</v>
      </c>
      <c r="AJ234" s="20">
        <f>IF(AN234=0,L234,0)</f>
        <v>0</v>
      </c>
      <c r="AK234" s="20">
        <f>IF(AN234=15,L234,0)</f>
        <v>0</v>
      </c>
      <c r="AL234" s="20">
        <f>IF(AN234=21,L234,0)</f>
        <v>0</v>
      </c>
      <c r="AN234" s="36">
        <v>21</v>
      </c>
      <c r="AO234" s="36">
        <f>I234*0.53</f>
        <v>0</v>
      </c>
      <c r="AP234" s="36">
        <f>I234*(1-0.53)</f>
        <v>0</v>
      </c>
      <c r="AQ234" s="37" t="s">
        <v>13</v>
      </c>
      <c r="AV234" s="36">
        <f>AW234+AX234</f>
        <v>0</v>
      </c>
      <c r="AW234" s="36">
        <f>H234*AO234</f>
        <v>0</v>
      </c>
      <c r="AX234" s="36">
        <f>H234*AP234</f>
        <v>0</v>
      </c>
      <c r="AY234" s="39" t="s">
        <v>2927</v>
      </c>
      <c r="AZ234" s="39" t="s">
        <v>2954</v>
      </c>
      <c r="BA234" s="35" t="s">
        <v>2967</v>
      </c>
      <c r="BC234" s="36">
        <f>AW234+AX234</f>
        <v>0</v>
      </c>
      <c r="BD234" s="36">
        <f>I234/(100-BE234)*100</f>
        <v>0</v>
      </c>
      <c r="BE234" s="36">
        <v>0</v>
      </c>
      <c r="BF234" s="36">
        <f>234</f>
        <v>234</v>
      </c>
      <c r="BH234" s="20">
        <f>H234*AO234</f>
        <v>0</v>
      </c>
      <c r="BI234" s="20">
        <f>H234*AP234</f>
        <v>0</v>
      </c>
      <c r="BJ234" s="20">
        <f>H234*I234</f>
        <v>0</v>
      </c>
      <c r="BK234" s="20" t="s">
        <v>2978</v>
      </c>
      <c r="BL234" s="36">
        <v>721</v>
      </c>
    </row>
    <row r="235" spans="1:64" ht="25.7" customHeight="1" x14ac:dyDescent="0.2">
      <c r="A235" s="5"/>
      <c r="B235" s="14"/>
      <c r="C235" s="179" t="s">
        <v>2074</v>
      </c>
      <c r="D235" s="180"/>
      <c r="E235" s="180"/>
      <c r="F235" s="180"/>
      <c r="G235" s="180"/>
      <c r="H235" s="180"/>
      <c r="I235" s="180"/>
      <c r="J235" s="180"/>
      <c r="K235" s="180"/>
      <c r="L235" s="180"/>
      <c r="M235" s="181"/>
      <c r="N235" s="5"/>
    </row>
    <row r="236" spans="1:64" x14ac:dyDescent="0.2">
      <c r="A236" s="4" t="s">
        <v>193</v>
      </c>
      <c r="B236" s="13" t="s">
        <v>1123</v>
      </c>
      <c r="C236" s="174" t="s">
        <v>2075</v>
      </c>
      <c r="D236" s="175"/>
      <c r="E236" s="175"/>
      <c r="F236" s="175"/>
      <c r="G236" s="13" t="s">
        <v>2860</v>
      </c>
      <c r="H236" s="82">
        <v>4</v>
      </c>
      <c r="I236" s="109">
        <v>0</v>
      </c>
      <c r="J236" s="20">
        <f>H236*AO236</f>
        <v>0</v>
      </c>
      <c r="K236" s="20">
        <f>H236*AP236</f>
        <v>0</v>
      </c>
      <c r="L236" s="20">
        <f>H236*I236</f>
        <v>0</v>
      </c>
      <c r="M236" s="31" t="s">
        <v>2884</v>
      </c>
      <c r="N236" s="5"/>
      <c r="Z236" s="36">
        <f>IF(AQ236="5",BJ236,0)</f>
        <v>0</v>
      </c>
      <c r="AB236" s="36">
        <f>IF(AQ236="1",BH236,0)</f>
        <v>0</v>
      </c>
      <c r="AC236" s="36">
        <f>IF(AQ236="1",BI236,0)</f>
        <v>0</v>
      </c>
      <c r="AD236" s="36">
        <f>IF(AQ236="7",BH236,0)</f>
        <v>0</v>
      </c>
      <c r="AE236" s="36">
        <f>IF(AQ236="7",BI236,0)</f>
        <v>0</v>
      </c>
      <c r="AF236" s="36">
        <f>IF(AQ236="2",BH236,0)</f>
        <v>0</v>
      </c>
      <c r="AG236" s="36">
        <f>IF(AQ236="2",BI236,0)</f>
        <v>0</v>
      </c>
      <c r="AH236" s="36">
        <f>IF(AQ236="0",BJ236,0)</f>
        <v>0</v>
      </c>
      <c r="AI236" s="35" t="s">
        <v>2894</v>
      </c>
      <c r="AJ236" s="20">
        <f>IF(AN236=0,L236,0)</f>
        <v>0</v>
      </c>
      <c r="AK236" s="20">
        <f>IF(AN236=15,L236,0)</f>
        <v>0</v>
      </c>
      <c r="AL236" s="20">
        <f>IF(AN236=21,L236,0)</f>
        <v>0</v>
      </c>
      <c r="AN236" s="36">
        <v>21</v>
      </c>
      <c r="AO236" s="36">
        <f>I236*0.53</f>
        <v>0</v>
      </c>
      <c r="AP236" s="36">
        <f>I236*(1-0.53)</f>
        <v>0</v>
      </c>
      <c r="AQ236" s="37" t="s">
        <v>13</v>
      </c>
      <c r="AV236" s="36">
        <f>AW236+AX236</f>
        <v>0</v>
      </c>
      <c r="AW236" s="36">
        <f>H236*AO236</f>
        <v>0</v>
      </c>
      <c r="AX236" s="36">
        <f>H236*AP236</f>
        <v>0</v>
      </c>
      <c r="AY236" s="39" t="s">
        <v>2927</v>
      </c>
      <c r="AZ236" s="39" t="s">
        <v>2954</v>
      </c>
      <c r="BA236" s="35" t="s">
        <v>2967</v>
      </c>
      <c r="BC236" s="36">
        <f>AW236+AX236</f>
        <v>0</v>
      </c>
      <c r="BD236" s="36">
        <f>I236/(100-BE236)*100</f>
        <v>0</v>
      </c>
      <c r="BE236" s="36">
        <v>0</v>
      </c>
      <c r="BF236" s="36">
        <f>236</f>
        <v>236</v>
      </c>
      <c r="BH236" s="20">
        <f>H236*AO236</f>
        <v>0</v>
      </c>
      <c r="BI236" s="20">
        <f>H236*AP236</f>
        <v>0</v>
      </c>
      <c r="BJ236" s="20">
        <f>H236*I236</f>
        <v>0</v>
      </c>
      <c r="BK236" s="20" t="s">
        <v>2978</v>
      </c>
      <c r="BL236" s="36">
        <v>721</v>
      </c>
    </row>
    <row r="237" spans="1:64" x14ac:dyDescent="0.2">
      <c r="A237" s="5"/>
      <c r="B237" s="14"/>
      <c r="C237" s="179" t="s">
        <v>2076</v>
      </c>
      <c r="D237" s="180"/>
      <c r="E237" s="180"/>
      <c r="F237" s="180"/>
      <c r="G237" s="180"/>
      <c r="H237" s="180"/>
      <c r="I237" s="180"/>
      <c r="J237" s="180"/>
      <c r="K237" s="180"/>
      <c r="L237" s="180"/>
      <c r="M237" s="181"/>
      <c r="N237" s="5"/>
    </row>
    <row r="238" spans="1:64" x14ac:dyDescent="0.2">
      <c r="A238" s="4" t="s">
        <v>194</v>
      </c>
      <c r="B238" s="13" t="s">
        <v>1124</v>
      </c>
      <c r="C238" s="174" t="s">
        <v>2077</v>
      </c>
      <c r="D238" s="175"/>
      <c r="E238" s="175"/>
      <c r="F238" s="175"/>
      <c r="G238" s="13" t="s">
        <v>2860</v>
      </c>
      <c r="H238" s="82">
        <v>3</v>
      </c>
      <c r="I238" s="109">
        <v>0</v>
      </c>
      <c r="J238" s="20">
        <f>H238*AO238</f>
        <v>0</v>
      </c>
      <c r="K238" s="20">
        <f>H238*AP238</f>
        <v>0</v>
      </c>
      <c r="L238" s="20">
        <f>H238*I238</f>
        <v>0</v>
      </c>
      <c r="M238" s="31" t="s">
        <v>2884</v>
      </c>
      <c r="N238" s="5"/>
      <c r="Z238" s="36">
        <f>IF(AQ238="5",BJ238,0)</f>
        <v>0</v>
      </c>
      <c r="AB238" s="36">
        <f>IF(AQ238="1",BH238,0)</f>
        <v>0</v>
      </c>
      <c r="AC238" s="36">
        <f>IF(AQ238="1",BI238,0)</f>
        <v>0</v>
      </c>
      <c r="AD238" s="36">
        <f>IF(AQ238="7",BH238,0)</f>
        <v>0</v>
      </c>
      <c r="AE238" s="36">
        <f>IF(AQ238="7",BI238,0)</f>
        <v>0</v>
      </c>
      <c r="AF238" s="36">
        <f>IF(AQ238="2",BH238,0)</f>
        <v>0</v>
      </c>
      <c r="AG238" s="36">
        <f>IF(AQ238="2",BI238,0)</f>
        <v>0</v>
      </c>
      <c r="AH238" s="36">
        <f>IF(AQ238="0",BJ238,0)</f>
        <v>0</v>
      </c>
      <c r="AI238" s="35" t="s">
        <v>2894</v>
      </c>
      <c r="AJ238" s="20">
        <f>IF(AN238=0,L238,0)</f>
        <v>0</v>
      </c>
      <c r="AK238" s="20">
        <f>IF(AN238=15,L238,0)</f>
        <v>0</v>
      </c>
      <c r="AL238" s="20">
        <f>IF(AN238=21,L238,0)</f>
        <v>0</v>
      </c>
      <c r="AN238" s="36">
        <v>21</v>
      </c>
      <c r="AO238" s="36">
        <f>I238*0.53</f>
        <v>0</v>
      </c>
      <c r="AP238" s="36">
        <f>I238*(1-0.53)</f>
        <v>0</v>
      </c>
      <c r="AQ238" s="37" t="s">
        <v>13</v>
      </c>
      <c r="AV238" s="36">
        <f>AW238+AX238</f>
        <v>0</v>
      </c>
      <c r="AW238" s="36">
        <f>H238*AO238</f>
        <v>0</v>
      </c>
      <c r="AX238" s="36">
        <f>H238*AP238</f>
        <v>0</v>
      </c>
      <c r="AY238" s="39" t="s">
        <v>2927</v>
      </c>
      <c r="AZ238" s="39" t="s">
        <v>2954</v>
      </c>
      <c r="BA238" s="35" t="s">
        <v>2967</v>
      </c>
      <c r="BC238" s="36">
        <f>AW238+AX238</f>
        <v>0</v>
      </c>
      <c r="BD238" s="36">
        <f>I238/(100-BE238)*100</f>
        <v>0</v>
      </c>
      <c r="BE238" s="36">
        <v>0</v>
      </c>
      <c r="BF238" s="36">
        <f>238</f>
        <v>238</v>
      </c>
      <c r="BH238" s="20">
        <f>H238*AO238</f>
        <v>0</v>
      </c>
      <c r="BI238" s="20">
        <f>H238*AP238</f>
        <v>0</v>
      </c>
      <c r="BJ238" s="20">
        <f>H238*I238</f>
        <v>0</v>
      </c>
      <c r="BK238" s="20" t="s">
        <v>2978</v>
      </c>
      <c r="BL238" s="36">
        <v>721</v>
      </c>
    </row>
    <row r="239" spans="1:64" x14ac:dyDescent="0.2">
      <c r="A239" s="5"/>
      <c r="B239" s="14"/>
      <c r="C239" s="179" t="s">
        <v>2076</v>
      </c>
      <c r="D239" s="180"/>
      <c r="E239" s="180"/>
      <c r="F239" s="180"/>
      <c r="G239" s="180"/>
      <c r="H239" s="180"/>
      <c r="I239" s="180"/>
      <c r="J239" s="180"/>
      <c r="K239" s="180"/>
      <c r="L239" s="180"/>
      <c r="M239" s="181"/>
      <c r="N239" s="5"/>
    </row>
    <row r="240" spans="1:64" x14ac:dyDescent="0.2">
      <c r="A240" s="4" t="s">
        <v>195</v>
      </c>
      <c r="B240" s="13" t="s">
        <v>1125</v>
      </c>
      <c r="C240" s="174" t="s">
        <v>2078</v>
      </c>
      <c r="D240" s="175"/>
      <c r="E240" s="175"/>
      <c r="F240" s="175"/>
      <c r="G240" s="13" t="s">
        <v>2860</v>
      </c>
      <c r="H240" s="82">
        <v>1</v>
      </c>
      <c r="I240" s="109">
        <v>0</v>
      </c>
      <c r="J240" s="20">
        <f>H240*AO240</f>
        <v>0</v>
      </c>
      <c r="K240" s="20">
        <f>H240*AP240</f>
        <v>0</v>
      </c>
      <c r="L240" s="20">
        <f>H240*I240</f>
        <v>0</v>
      </c>
      <c r="M240" s="31" t="s">
        <v>2884</v>
      </c>
      <c r="N240" s="5"/>
      <c r="Z240" s="36">
        <f>IF(AQ240="5",BJ240,0)</f>
        <v>0</v>
      </c>
      <c r="AB240" s="36">
        <f>IF(AQ240="1",BH240,0)</f>
        <v>0</v>
      </c>
      <c r="AC240" s="36">
        <f>IF(AQ240="1",BI240,0)</f>
        <v>0</v>
      </c>
      <c r="AD240" s="36">
        <f>IF(AQ240="7",BH240,0)</f>
        <v>0</v>
      </c>
      <c r="AE240" s="36">
        <f>IF(AQ240="7",BI240,0)</f>
        <v>0</v>
      </c>
      <c r="AF240" s="36">
        <f>IF(AQ240="2",BH240,0)</f>
        <v>0</v>
      </c>
      <c r="AG240" s="36">
        <f>IF(AQ240="2",BI240,0)</f>
        <v>0</v>
      </c>
      <c r="AH240" s="36">
        <f>IF(AQ240="0",BJ240,0)</f>
        <v>0</v>
      </c>
      <c r="AI240" s="35" t="s">
        <v>2894</v>
      </c>
      <c r="AJ240" s="20">
        <f>IF(AN240=0,L240,0)</f>
        <v>0</v>
      </c>
      <c r="AK240" s="20">
        <f>IF(AN240=15,L240,0)</f>
        <v>0</v>
      </c>
      <c r="AL240" s="20">
        <f>IF(AN240=21,L240,0)</f>
        <v>0</v>
      </c>
      <c r="AN240" s="36">
        <v>21</v>
      </c>
      <c r="AO240" s="36">
        <f>I240*0.53</f>
        <v>0</v>
      </c>
      <c r="AP240" s="36">
        <f>I240*(1-0.53)</f>
        <v>0</v>
      </c>
      <c r="AQ240" s="37" t="s">
        <v>13</v>
      </c>
      <c r="AV240" s="36">
        <f>AW240+AX240</f>
        <v>0</v>
      </c>
      <c r="AW240" s="36">
        <f>H240*AO240</f>
        <v>0</v>
      </c>
      <c r="AX240" s="36">
        <f>H240*AP240</f>
        <v>0</v>
      </c>
      <c r="AY240" s="39" t="s">
        <v>2927</v>
      </c>
      <c r="AZ240" s="39" t="s">
        <v>2954</v>
      </c>
      <c r="BA240" s="35" t="s">
        <v>2967</v>
      </c>
      <c r="BC240" s="36">
        <f>AW240+AX240</f>
        <v>0</v>
      </c>
      <c r="BD240" s="36">
        <f>I240/(100-BE240)*100</f>
        <v>0</v>
      </c>
      <c r="BE240" s="36">
        <v>0</v>
      </c>
      <c r="BF240" s="36">
        <f>240</f>
        <v>240</v>
      </c>
      <c r="BH240" s="20">
        <f>H240*AO240</f>
        <v>0</v>
      </c>
      <c r="BI240" s="20">
        <f>H240*AP240</f>
        <v>0</v>
      </c>
      <c r="BJ240" s="20">
        <f>H240*I240</f>
        <v>0</v>
      </c>
      <c r="BK240" s="20" t="s">
        <v>2978</v>
      </c>
      <c r="BL240" s="36">
        <v>721</v>
      </c>
    </row>
    <row r="241" spans="1:64" ht="25.7" customHeight="1" x14ac:dyDescent="0.2">
      <c r="A241" s="5"/>
      <c r="B241" s="14"/>
      <c r="C241" s="179" t="s">
        <v>2079</v>
      </c>
      <c r="D241" s="180"/>
      <c r="E241" s="180"/>
      <c r="F241" s="180"/>
      <c r="G241" s="180"/>
      <c r="H241" s="180"/>
      <c r="I241" s="180"/>
      <c r="J241" s="180"/>
      <c r="K241" s="180"/>
      <c r="L241" s="180"/>
      <c r="M241" s="181"/>
      <c r="N241" s="5"/>
    </row>
    <row r="242" spans="1:64" x14ac:dyDescent="0.2">
      <c r="A242" s="4" t="s">
        <v>196</v>
      </c>
      <c r="B242" s="13" t="s">
        <v>1126</v>
      </c>
      <c r="C242" s="174" t="s">
        <v>2080</v>
      </c>
      <c r="D242" s="175"/>
      <c r="E242" s="175"/>
      <c r="F242" s="175"/>
      <c r="G242" s="13" t="s">
        <v>2860</v>
      </c>
      <c r="H242" s="82">
        <v>4</v>
      </c>
      <c r="I242" s="109">
        <v>0</v>
      </c>
      <c r="J242" s="20">
        <f>H242*AO242</f>
        <v>0</v>
      </c>
      <c r="K242" s="20">
        <f>H242*AP242</f>
        <v>0</v>
      </c>
      <c r="L242" s="20">
        <f>H242*I242</f>
        <v>0</v>
      </c>
      <c r="M242" s="31" t="s">
        <v>2884</v>
      </c>
      <c r="N242" s="5"/>
      <c r="Z242" s="36">
        <f>IF(AQ242="5",BJ242,0)</f>
        <v>0</v>
      </c>
      <c r="AB242" s="36">
        <f>IF(AQ242="1",BH242,0)</f>
        <v>0</v>
      </c>
      <c r="AC242" s="36">
        <f>IF(AQ242="1",BI242,0)</f>
        <v>0</v>
      </c>
      <c r="AD242" s="36">
        <f>IF(AQ242="7",BH242,0)</f>
        <v>0</v>
      </c>
      <c r="AE242" s="36">
        <f>IF(AQ242="7",BI242,0)</f>
        <v>0</v>
      </c>
      <c r="AF242" s="36">
        <f>IF(AQ242="2",BH242,0)</f>
        <v>0</v>
      </c>
      <c r="AG242" s="36">
        <f>IF(AQ242="2",BI242,0)</f>
        <v>0</v>
      </c>
      <c r="AH242" s="36">
        <f>IF(AQ242="0",BJ242,0)</f>
        <v>0</v>
      </c>
      <c r="AI242" s="35" t="s">
        <v>2894</v>
      </c>
      <c r="AJ242" s="20">
        <f>IF(AN242=0,L242,0)</f>
        <v>0</v>
      </c>
      <c r="AK242" s="20">
        <f>IF(AN242=15,L242,0)</f>
        <v>0</v>
      </c>
      <c r="AL242" s="20">
        <f>IF(AN242=21,L242,0)</f>
        <v>0</v>
      </c>
      <c r="AN242" s="36">
        <v>21</v>
      </c>
      <c r="AO242" s="36">
        <f>I242*0.53</f>
        <v>0</v>
      </c>
      <c r="AP242" s="36">
        <f>I242*(1-0.53)</f>
        <v>0</v>
      </c>
      <c r="AQ242" s="37" t="s">
        <v>13</v>
      </c>
      <c r="AV242" s="36">
        <f>AW242+AX242</f>
        <v>0</v>
      </c>
      <c r="AW242" s="36">
        <f>H242*AO242</f>
        <v>0</v>
      </c>
      <c r="AX242" s="36">
        <f>H242*AP242</f>
        <v>0</v>
      </c>
      <c r="AY242" s="39" t="s">
        <v>2927</v>
      </c>
      <c r="AZ242" s="39" t="s">
        <v>2954</v>
      </c>
      <c r="BA242" s="35" t="s">
        <v>2967</v>
      </c>
      <c r="BC242" s="36">
        <f>AW242+AX242</f>
        <v>0</v>
      </c>
      <c r="BD242" s="36">
        <f>I242/(100-BE242)*100</f>
        <v>0</v>
      </c>
      <c r="BE242" s="36">
        <v>0</v>
      </c>
      <c r="BF242" s="36">
        <f>242</f>
        <v>242</v>
      </c>
      <c r="BH242" s="20">
        <f>H242*AO242</f>
        <v>0</v>
      </c>
      <c r="BI242" s="20">
        <f>H242*AP242</f>
        <v>0</v>
      </c>
      <c r="BJ242" s="20">
        <f>H242*I242</f>
        <v>0</v>
      </c>
      <c r="BK242" s="20" t="s">
        <v>2978</v>
      </c>
      <c r="BL242" s="36">
        <v>721</v>
      </c>
    </row>
    <row r="243" spans="1:64" x14ac:dyDescent="0.2">
      <c r="A243" s="5"/>
      <c r="B243" s="14"/>
      <c r="C243" s="179" t="s">
        <v>2076</v>
      </c>
      <c r="D243" s="180"/>
      <c r="E243" s="180"/>
      <c r="F243" s="180"/>
      <c r="G243" s="180"/>
      <c r="H243" s="180"/>
      <c r="I243" s="180"/>
      <c r="J243" s="180"/>
      <c r="K243" s="180"/>
      <c r="L243" s="180"/>
      <c r="M243" s="181"/>
      <c r="N243" s="5"/>
    </row>
    <row r="244" spans="1:64" x14ac:dyDescent="0.2">
      <c r="A244" s="4" t="s">
        <v>197</v>
      </c>
      <c r="B244" s="13" t="s">
        <v>1127</v>
      </c>
      <c r="C244" s="174" t="s">
        <v>2081</v>
      </c>
      <c r="D244" s="175"/>
      <c r="E244" s="175"/>
      <c r="F244" s="175"/>
      <c r="G244" s="13" t="s">
        <v>2860</v>
      </c>
      <c r="H244" s="82">
        <v>2</v>
      </c>
      <c r="I244" s="109">
        <v>0</v>
      </c>
      <c r="J244" s="20">
        <f>H244*AO244</f>
        <v>0</v>
      </c>
      <c r="K244" s="20">
        <f>H244*AP244</f>
        <v>0</v>
      </c>
      <c r="L244" s="20">
        <f>H244*I244</f>
        <v>0</v>
      </c>
      <c r="M244" s="31" t="s">
        <v>2884</v>
      </c>
      <c r="N244" s="5"/>
      <c r="Z244" s="36">
        <f>IF(AQ244="5",BJ244,0)</f>
        <v>0</v>
      </c>
      <c r="AB244" s="36">
        <f>IF(AQ244="1",BH244,0)</f>
        <v>0</v>
      </c>
      <c r="AC244" s="36">
        <f>IF(AQ244="1",BI244,0)</f>
        <v>0</v>
      </c>
      <c r="AD244" s="36">
        <f>IF(AQ244="7",BH244,0)</f>
        <v>0</v>
      </c>
      <c r="AE244" s="36">
        <f>IF(AQ244="7",BI244,0)</f>
        <v>0</v>
      </c>
      <c r="AF244" s="36">
        <f>IF(AQ244="2",BH244,0)</f>
        <v>0</v>
      </c>
      <c r="AG244" s="36">
        <f>IF(AQ244="2",BI244,0)</f>
        <v>0</v>
      </c>
      <c r="AH244" s="36">
        <f>IF(AQ244="0",BJ244,0)</f>
        <v>0</v>
      </c>
      <c r="AI244" s="35" t="s">
        <v>2894</v>
      </c>
      <c r="AJ244" s="20">
        <f>IF(AN244=0,L244,0)</f>
        <v>0</v>
      </c>
      <c r="AK244" s="20">
        <f>IF(AN244=15,L244,0)</f>
        <v>0</v>
      </c>
      <c r="AL244" s="20">
        <f>IF(AN244=21,L244,0)</f>
        <v>0</v>
      </c>
      <c r="AN244" s="36">
        <v>21</v>
      </c>
      <c r="AO244" s="36">
        <f>I244*0.53</f>
        <v>0</v>
      </c>
      <c r="AP244" s="36">
        <f>I244*(1-0.53)</f>
        <v>0</v>
      </c>
      <c r="AQ244" s="37" t="s">
        <v>13</v>
      </c>
      <c r="AV244" s="36">
        <f>AW244+AX244</f>
        <v>0</v>
      </c>
      <c r="AW244" s="36">
        <f>H244*AO244</f>
        <v>0</v>
      </c>
      <c r="AX244" s="36">
        <f>H244*AP244</f>
        <v>0</v>
      </c>
      <c r="AY244" s="39" t="s">
        <v>2927</v>
      </c>
      <c r="AZ244" s="39" t="s">
        <v>2954</v>
      </c>
      <c r="BA244" s="35" t="s">
        <v>2967</v>
      </c>
      <c r="BC244" s="36">
        <f>AW244+AX244</f>
        <v>0</v>
      </c>
      <c r="BD244" s="36">
        <f>I244/(100-BE244)*100</f>
        <v>0</v>
      </c>
      <c r="BE244" s="36">
        <v>0</v>
      </c>
      <c r="BF244" s="36">
        <f>244</f>
        <v>244</v>
      </c>
      <c r="BH244" s="20">
        <f>H244*AO244</f>
        <v>0</v>
      </c>
      <c r="BI244" s="20">
        <f>H244*AP244</f>
        <v>0</v>
      </c>
      <c r="BJ244" s="20">
        <f>H244*I244</f>
        <v>0</v>
      </c>
      <c r="BK244" s="20" t="s">
        <v>2978</v>
      </c>
      <c r="BL244" s="36">
        <v>721</v>
      </c>
    </row>
    <row r="245" spans="1:64" x14ac:dyDescent="0.2">
      <c r="A245" s="5"/>
      <c r="B245" s="14"/>
      <c r="C245" s="179" t="s">
        <v>2076</v>
      </c>
      <c r="D245" s="180"/>
      <c r="E245" s="180"/>
      <c r="F245" s="180"/>
      <c r="G245" s="180"/>
      <c r="H245" s="180"/>
      <c r="I245" s="180"/>
      <c r="J245" s="180"/>
      <c r="K245" s="180"/>
      <c r="L245" s="180"/>
      <c r="M245" s="181"/>
      <c r="N245" s="5"/>
    </row>
    <row r="246" spans="1:64" x14ac:dyDescent="0.2">
      <c r="A246" s="4" t="s">
        <v>198</v>
      </c>
      <c r="B246" s="13" t="s">
        <v>1128</v>
      </c>
      <c r="C246" s="174" t="s">
        <v>2082</v>
      </c>
      <c r="D246" s="175"/>
      <c r="E246" s="175"/>
      <c r="F246" s="175"/>
      <c r="G246" s="13" t="s">
        <v>2860</v>
      </c>
      <c r="H246" s="82">
        <v>2</v>
      </c>
      <c r="I246" s="109">
        <v>0</v>
      </c>
      <c r="J246" s="20">
        <f>H246*AO246</f>
        <v>0</v>
      </c>
      <c r="K246" s="20">
        <f>H246*AP246</f>
        <v>0</v>
      </c>
      <c r="L246" s="20">
        <f>H246*I246</f>
        <v>0</v>
      </c>
      <c r="M246" s="31" t="s">
        <v>2884</v>
      </c>
      <c r="N246" s="5"/>
      <c r="Z246" s="36">
        <f>IF(AQ246="5",BJ246,0)</f>
        <v>0</v>
      </c>
      <c r="AB246" s="36">
        <f>IF(AQ246="1",BH246,0)</f>
        <v>0</v>
      </c>
      <c r="AC246" s="36">
        <f>IF(AQ246="1",BI246,0)</f>
        <v>0</v>
      </c>
      <c r="AD246" s="36">
        <f>IF(AQ246="7",BH246,0)</f>
        <v>0</v>
      </c>
      <c r="AE246" s="36">
        <f>IF(AQ246="7",BI246,0)</f>
        <v>0</v>
      </c>
      <c r="AF246" s="36">
        <f>IF(AQ246="2",BH246,0)</f>
        <v>0</v>
      </c>
      <c r="AG246" s="36">
        <f>IF(AQ246="2",BI246,0)</f>
        <v>0</v>
      </c>
      <c r="AH246" s="36">
        <f>IF(AQ246="0",BJ246,0)</f>
        <v>0</v>
      </c>
      <c r="AI246" s="35" t="s">
        <v>2894</v>
      </c>
      <c r="AJ246" s="20">
        <f>IF(AN246=0,L246,0)</f>
        <v>0</v>
      </c>
      <c r="AK246" s="20">
        <f>IF(AN246=15,L246,0)</f>
        <v>0</v>
      </c>
      <c r="AL246" s="20">
        <f>IF(AN246=21,L246,0)</f>
        <v>0</v>
      </c>
      <c r="AN246" s="36">
        <v>21</v>
      </c>
      <c r="AO246" s="36">
        <f>I246*0.53</f>
        <v>0</v>
      </c>
      <c r="AP246" s="36">
        <f>I246*(1-0.53)</f>
        <v>0</v>
      </c>
      <c r="AQ246" s="37" t="s">
        <v>13</v>
      </c>
      <c r="AV246" s="36">
        <f>AW246+AX246</f>
        <v>0</v>
      </c>
      <c r="AW246" s="36">
        <f>H246*AO246</f>
        <v>0</v>
      </c>
      <c r="AX246" s="36">
        <f>H246*AP246</f>
        <v>0</v>
      </c>
      <c r="AY246" s="39" t="s">
        <v>2927</v>
      </c>
      <c r="AZ246" s="39" t="s">
        <v>2954</v>
      </c>
      <c r="BA246" s="35" t="s">
        <v>2967</v>
      </c>
      <c r="BC246" s="36">
        <f>AW246+AX246</f>
        <v>0</v>
      </c>
      <c r="BD246" s="36">
        <f>I246/(100-BE246)*100</f>
        <v>0</v>
      </c>
      <c r="BE246" s="36">
        <v>0</v>
      </c>
      <c r="BF246" s="36">
        <f>246</f>
        <v>246</v>
      </c>
      <c r="BH246" s="20">
        <f>H246*AO246</f>
        <v>0</v>
      </c>
      <c r="BI246" s="20">
        <f>H246*AP246</f>
        <v>0</v>
      </c>
      <c r="BJ246" s="20">
        <f>H246*I246</f>
        <v>0</v>
      </c>
      <c r="BK246" s="20" t="s">
        <v>2978</v>
      </c>
      <c r="BL246" s="36">
        <v>721</v>
      </c>
    </row>
    <row r="247" spans="1:64" ht="38.450000000000003" customHeight="1" x14ac:dyDescent="0.2">
      <c r="A247" s="5"/>
      <c r="B247" s="14"/>
      <c r="C247" s="179" t="s">
        <v>2083</v>
      </c>
      <c r="D247" s="180"/>
      <c r="E247" s="180"/>
      <c r="F247" s="180"/>
      <c r="G247" s="180"/>
      <c r="H247" s="180"/>
      <c r="I247" s="180"/>
      <c r="J247" s="180"/>
      <c r="K247" s="180"/>
      <c r="L247" s="180"/>
      <c r="M247" s="181"/>
      <c r="N247" s="5"/>
    </row>
    <row r="248" spans="1:64" x14ac:dyDescent="0.2">
      <c r="A248" s="4" t="s">
        <v>199</v>
      </c>
      <c r="B248" s="13" t="s">
        <v>1129</v>
      </c>
      <c r="C248" s="174" t="s">
        <v>2084</v>
      </c>
      <c r="D248" s="175"/>
      <c r="E248" s="175"/>
      <c r="F248" s="175"/>
      <c r="G248" s="13" t="s">
        <v>2860</v>
      </c>
      <c r="H248" s="82">
        <v>1</v>
      </c>
      <c r="I248" s="109">
        <v>0</v>
      </c>
      <c r="J248" s="20">
        <f>H248*AO248</f>
        <v>0</v>
      </c>
      <c r="K248" s="20">
        <f>H248*AP248</f>
        <v>0</v>
      </c>
      <c r="L248" s="20">
        <f>H248*I248</f>
        <v>0</v>
      </c>
      <c r="M248" s="31" t="s">
        <v>2884</v>
      </c>
      <c r="N248" s="5"/>
      <c r="Z248" s="36">
        <f>IF(AQ248="5",BJ248,0)</f>
        <v>0</v>
      </c>
      <c r="AB248" s="36">
        <f>IF(AQ248="1",BH248,0)</f>
        <v>0</v>
      </c>
      <c r="AC248" s="36">
        <f>IF(AQ248="1",BI248,0)</f>
        <v>0</v>
      </c>
      <c r="AD248" s="36">
        <f>IF(AQ248="7",BH248,0)</f>
        <v>0</v>
      </c>
      <c r="AE248" s="36">
        <f>IF(AQ248="7",BI248,0)</f>
        <v>0</v>
      </c>
      <c r="AF248" s="36">
        <f>IF(AQ248="2",BH248,0)</f>
        <v>0</v>
      </c>
      <c r="AG248" s="36">
        <f>IF(AQ248="2",BI248,0)</f>
        <v>0</v>
      </c>
      <c r="AH248" s="36">
        <f>IF(AQ248="0",BJ248,0)</f>
        <v>0</v>
      </c>
      <c r="AI248" s="35" t="s">
        <v>2894</v>
      </c>
      <c r="AJ248" s="20">
        <f>IF(AN248=0,L248,0)</f>
        <v>0</v>
      </c>
      <c r="AK248" s="20">
        <f>IF(AN248=15,L248,0)</f>
        <v>0</v>
      </c>
      <c r="AL248" s="20">
        <f>IF(AN248=21,L248,0)</f>
        <v>0</v>
      </c>
      <c r="AN248" s="36">
        <v>21</v>
      </c>
      <c r="AO248" s="36">
        <f>I248*0.53</f>
        <v>0</v>
      </c>
      <c r="AP248" s="36">
        <f>I248*(1-0.53)</f>
        <v>0</v>
      </c>
      <c r="AQ248" s="37" t="s">
        <v>13</v>
      </c>
      <c r="AV248" s="36">
        <f>AW248+AX248</f>
        <v>0</v>
      </c>
      <c r="AW248" s="36">
        <f>H248*AO248</f>
        <v>0</v>
      </c>
      <c r="AX248" s="36">
        <f>H248*AP248</f>
        <v>0</v>
      </c>
      <c r="AY248" s="39" t="s">
        <v>2927</v>
      </c>
      <c r="AZ248" s="39" t="s">
        <v>2954</v>
      </c>
      <c r="BA248" s="35" t="s">
        <v>2967</v>
      </c>
      <c r="BC248" s="36">
        <f>AW248+AX248</f>
        <v>0</v>
      </c>
      <c r="BD248" s="36">
        <f>I248/(100-BE248)*100</f>
        <v>0</v>
      </c>
      <c r="BE248" s="36">
        <v>0</v>
      </c>
      <c r="BF248" s="36">
        <f>248</f>
        <v>248</v>
      </c>
      <c r="BH248" s="20">
        <f>H248*AO248</f>
        <v>0</v>
      </c>
      <c r="BI248" s="20">
        <f>H248*AP248</f>
        <v>0</v>
      </c>
      <c r="BJ248" s="20">
        <f>H248*I248</f>
        <v>0</v>
      </c>
      <c r="BK248" s="20" t="s">
        <v>2978</v>
      </c>
      <c r="BL248" s="36">
        <v>721</v>
      </c>
    </row>
    <row r="249" spans="1:64" x14ac:dyDescent="0.2">
      <c r="A249" s="5"/>
      <c r="B249" s="14"/>
      <c r="C249" s="179" t="s">
        <v>2085</v>
      </c>
      <c r="D249" s="180"/>
      <c r="E249" s="180"/>
      <c r="F249" s="180"/>
      <c r="G249" s="180"/>
      <c r="H249" s="180"/>
      <c r="I249" s="180"/>
      <c r="J249" s="180"/>
      <c r="K249" s="180"/>
      <c r="L249" s="180"/>
      <c r="M249" s="181"/>
      <c r="N249" s="5"/>
    </row>
    <row r="250" spans="1:64" x14ac:dyDescent="0.2">
      <c r="A250" s="4" t="s">
        <v>200</v>
      </c>
      <c r="B250" s="13" t="s">
        <v>1130</v>
      </c>
      <c r="C250" s="174" t="s">
        <v>2086</v>
      </c>
      <c r="D250" s="175"/>
      <c r="E250" s="175"/>
      <c r="F250" s="175"/>
      <c r="G250" s="13" t="s">
        <v>2860</v>
      </c>
      <c r="H250" s="82">
        <v>1</v>
      </c>
      <c r="I250" s="109">
        <v>0</v>
      </c>
      <c r="J250" s="20">
        <f>H250*AO250</f>
        <v>0</v>
      </c>
      <c r="K250" s="20">
        <f>H250*AP250</f>
        <v>0</v>
      </c>
      <c r="L250" s="20">
        <f>H250*I250</f>
        <v>0</v>
      </c>
      <c r="M250" s="31" t="s">
        <v>2884</v>
      </c>
      <c r="N250" s="5"/>
      <c r="Z250" s="36">
        <f>IF(AQ250="5",BJ250,0)</f>
        <v>0</v>
      </c>
      <c r="AB250" s="36">
        <f>IF(AQ250="1",BH250,0)</f>
        <v>0</v>
      </c>
      <c r="AC250" s="36">
        <f>IF(AQ250="1",BI250,0)</f>
        <v>0</v>
      </c>
      <c r="AD250" s="36">
        <f>IF(AQ250="7",BH250,0)</f>
        <v>0</v>
      </c>
      <c r="AE250" s="36">
        <f>IF(AQ250="7",BI250,0)</f>
        <v>0</v>
      </c>
      <c r="AF250" s="36">
        <f>IF(AQ250="2",BH250,0)</f>
        <v>0</v>
      </c>
      <c r="AG250" s="36">
        <f>IF(AQ250="2",BI250,0)</f>
        <v>0</v>
      </c>
      <c r="AH250" s="36">
        <f>IF(AQ250="0",BJ250,0)</f>
        <v>0</v>
      </c>
      <c r="AI250" s="35" t="s">
        <v>2894</v>
      </c>
      <c r="AJ250" s="20">
        <f>IF(AN250=0,L250,0)</f>
        <v>0</v>
      </c>
      <c r="AK250" s="20">
        <f>IF(AN250=15,L250,0)</f>
        <v>0</v>
      </c>
      <c r="AL250" s="20">
        <f>IF(AN250=21,L250,0)</f>
        <v>0</v>
      </c>
      <c r="AN250" s="36">
        <v>21</v>
      </c>
      <c r="AO250" s="36">
        <f>I250*0.53</f>
        <v>0</v>
      </c>
      <c r="AP250" s="36">
        <f>I250*(1-0.53)</f>
        <v>0</v>
      </c>
      <c r="AQ250" s="37" t="s">
        <v>13</v>
      </c>
      <c r="AV250" s="36">
        <f>AW250+AX250</f>
        <v>0</v>
      </c>
      <c r="AW250" s="36">
        <f>H250*AO250</f>
        <v>0</v>
      </c>
      <c r="AX250" s="36">
        <f>H250*AP250</f>
        <v>0</v>
      </c>
      <c r="AY250" s="39" t="s">
        <v>2927</v>
      </c>
      <c r="AZ250" s="39" t="s">
        <v>2954</v>
      </c>
      <c r="BA250" s="35" t="s">
        <v>2967</v>
      </c>
      <c r="BC250" s="36">
        <f>AW250+AX250</f>
        <v>0</v>
      </c>
      <c r="BD250" s="36">
        <f>I250/(100-BE250)*100</f>
        <v>0</v>
      </c>
      <c r="BE250" s="36">
        <v>0</v>
      </c>
      <c r="BF250" s="36">
        <f>250</f>
        <v>250</v>
      </c>
      <c r="BH250" s="20">
        <f>H250*AO250</f>
        <v>0</v>
      </c>
      <c r="BI250" s="20">
        <f>H250*AP250</f>
        <v>0</v>
      </c>
      <c r="BJ250" s="20">
        <f>H250*I250</f>
        <v>0</v>
      </c>
      <c r="BK250" s="20" t="s">
        <v>2978</v>
      </c>
      <c r="BL250" s="36">
        <v>721</v>
      </c>
    </row>
    <row r="251" spans="1:64" x14ac:dyDescent="0.2">
      <c r="A251" s="5"/>
      <c r="B251" s="14"/>
      <c r="C251" s="179" t="s">
        <v>2085</v>
      </c>
      <c r="D251" s="180"/>
      <c r="E251" s="180"/>
      <c r="F251" s="180"/>
      <c r="G251" s="180"/>
      <c r="H251" s="180"/>
      <c r="I251" s="180"/>
      <c r="J251" s="180"/>
      <c r="K251" s="180"/>
      <c r="L251" s="180"/>
      <c r="M251" s="181"/>
      <c r="N251" s="5"/>
    </row>
    <row r="252" spans="1:64" x14ac:dyDescent="0.2">
      <c r="A252" s="4" t="s">
        <v>201</v>
      </c>
      <c r="B252" s="13" t="s">
        <v>1131</v>
      </c>
      <c r="C252" s="174" t="s">
        <v>2087</v>
      </c>
      <c r="D252" s="175"/>
      <c r="E252" s="175"/>
      <c r="F252" s="175"/>
      <c r="G252" s="13" t="s">
        <v>2860</v>
      </c>
      <c r="H252" s="82">
        <v>2</v>
      </c>
      <c r="I252" s="109">
        <v>0</v>
      </c>
      <c r="J252" s="20">
        <f>H252*AO252</f>
        <v>0</v>
      </c>
      <c r="K252" s="20">
        <f>H252*AP252</f>
        <v>0</v>
      </c>
      <c r="L252" s="20">
        <f>H252*I252</f>
        <v>0</v>
      </c>
      <c r="M252" s="31" t="s">
        <v>2884</v>
      </c>
      <c r="N252" s="5"/>
      <c r="Z252" s="36">
        <f>IF(AQ252="5",BJ252,0)</f>
        <v>0</v>
      </c>
      <c r="AB252" s="36">
        <f>IF(AQ252="1",BH252,0)</f>
        <v>0</v>
      </c>
      <c r="AC252" s="36">
        <f>IF(AQ252="1",BI252,0)</f>
        <v>0</v>
      </c>
      <c r="AD252" s="36">
        <f>IF(AQ252="7",BH252,0)</f>
        <v>0</v>
      </c>
      <c r="AE252" s="36">
        <f>IF(AQ252="7",BI252,0)</f>
        <v>0</v>
      </c>
      <c r="AF252" s="36">
        <f>IF(AQ252="2",BH252,0)</f>
        <v>0</v>
      </c>
      <c r="AG252" s="36">
        <f>IF(AQ252="2",BI252,0)</f>
        <v>0</v>
      </c>
      <c r="AH252" s="36">
        <f>IF(AQ252="0",BJ252,0)</f>
        <v>0</v>
      </c>
      <c r="AI252" s="35" t="s">
        <v>2894</v>
      </c>
      <c r="AJ252" s="20">
        <f>IF(AN252=0,L252,0)</f>
        <v>0</v>
      </c>
      <c r="AK252" s="20">
        <f>IF(AN252=15,L252,0)</f>
        <v>0</v>
      </c>
      <c r="AL252" s="20">
        <f>IF(AN252=21,L252,0)</f>
        <v>0</v>
      </c>
      <c r="AN252" s="36">
        <v>21</v>
      </c>
      <c r="AO252" s="36">
        <f>I252*0.53</f>
        <v>0</v>
      </c>
      <c r="AP252" s="36">
        <f>I252*(1-0.53)</f>
        <v>0</v>
      </c>
      <c r="AQ252" s="37" t="s">
        <v>13</v>
      </c>
      <c r="AV252" s="36">
        <f>AW252+AX252</f>
        <v>0</v>
      </c>
      <c r="AW252" s="36">
        <f>H252*AO252</f>
        <v>0</v>
      </c>
      <c r="AX252" s="36">
        <f>H252*AP252</f>
        <v>0</v>
      </c>
      <c r="AY252" s="39" t="s">
        <v>2927</v>
      </c>
      <c r="AZ252" s="39" t="s">
        <v>2954</v>
      </c>
      <c r="BA252" s="35" t="s">
        <v>2967</v>
      </c>
      <c r="BC252" s="36">
        <f>AW252+AX252</f>
        <v>0</v>
      </c>
      <c r="BD252" s="36">
        <f>I252/(100-BE252)*100</f>
        <v>0</v>
      </c>
      <c r="BE252" s="36">
        <v>0</v>
      </c>
      <c r="BF252" s="36">
        <f>252</f>
        <v>252</v>
      </c>
      <c r="BH252" s="20">
        <f>H252*AO252</f>
        <v>0</v>
      </c>
      <c r="BI252" s="20">
        <f>H252*AP252</f>
        <v>0</v>
      </c>
      <c r="BJ252" s="20">
        <f>H252*I252</f>
        <v>0</v>
      </c>
      <c r="BK252" s="20" t="s">
        <v>2978</v>
      </c>
      <c r="BL252" s="36">
        <v>721</v>
      </c>
    </row>
    <row r="253" spans="1:64" ht="25.7" customHeight="1" x14ac:dyDescent="0.2">
      <c r="A253" s="5"/>
      <c r="B253" s="14"/>
      <c r="C253" s="179" t="s">
        <v>2088</v>
      </c>
      <c r="D253" s="180"/>
      <c r="E253" s="180"/>
      <c r="F253" s="180"/>
      <c r="G253" s="180"/>
      <c r="H253" s="180"/>
      <c r="I253" s="180"/>
      <c r="J253" s="180"/>
      <c r="K253" s="180"/>
      <c r="L253" s="180"/>
      <c r="M253" s="181"/>
      <c r="N253" s="5"/>
    </row>
    <row r="254" spans="1:64" x14ac:dyDescent="0.2">
      <c r="A254" s="4" t="s">
        <v>202</v>
      </c>
      <c r="B254" s="13" t="s">
        <v>1132</v>
      </c>
      <c r="C254" s="174" t="s">
        <v>2089</v>
      </c>
      <c r="D254" s="175"/>
      <c r="E254" s="175"/>
      <c r="F254" s="175"/>
      <c r="G254" s="13" t="s">
        <v>2860</v>
      </c>
      <c r="H254" s="82">
        <v>1</v>
      </c>
      <c r="I254" s="109">
        <v>0</v>
      </c>
      <c r="J254" s="20">
        <f>H254*AO254</f>
        <v>0</v>
      </c>
      <c r="K254" s="20">
        <f>H254*AP254</f>
        <v>0</v>
      </c>
      <c r="L254" s="20">
        <f>H254*I254</f>
        <v>0</v>
      </c>
      <c r="M254" s="31" t="s">
        <v>2884</v>
      </c>
      <c r="N254" s="5"/>
      <c r="Z254" s="36">
        <f>IF(AQ254="5",BJ254,0)</f>
        <v>0</v>
      </c>
      <c r="AB254" s="36">
        <f>IF(AQ254="1",BH254,0)</f>
        <v>0</v>
      </c>
      <c r="AC254" s="36">
        <f>IF(AQ254="1",BI254,0)</f>
        <v>0</v>
      </c>
      <c r="AD254" s="36">
        <f>IF(AQ254="7",BH254,0)</f>
        <v>0</v>
      </c>
      <c r="AE254" s="36">
        <f>IF(AQ254="7",BI254,0)</f>
        <v>0</v>
      </c>
      <c r="AF254" s="36">
        <f>IF(AQ254="2",BH254,0)</f>
        <v>0</v>
      </c>
      <c r="AG254" s="36">
        <f>IF(AQ254="2",BI254,0)</f>
        <v>0</v>
      </c>
      <c r="AH254" s="36">
        <f>IF(AQ254="0",BJ254,0)</f>
        <v>0</v>
      </c>
      <c r="AI254" s="35" t="s">
        <v>2894</v>
      </c>
      <c r="AJ254" s="20">
        <f>IF(AN254=0,L254,0)</f>
        <v>0</v>
      </c>
      <c r="AK254" s="20">
        <f>IF(AN254=15,L254,0)</f>
        <v>0</v>
      </c>
      <c r="AL254" s="20">
        <f>IF(AN254=21,L254,0)</f>
        <v>0</v>
      </c>
      <c r="AN254" s="36">
        <v>21</v>
      </c>
      <c r="AO254" s="36">
        <f>I254*0.53</f>
        <v>0</v>
      </c>
      <c r="AP254" s="36">
        <f>I254*(1-0.53)</f>
        <v>0</v>
      </c>
      <c r="AQ254" s="37" t="s">
        <v>13</v>
      </c>
      <c r="AV254" s="36">
        <f>AW254+AX254</f>
        <v>0</v>
      </c>
      <c r="AW254" s="36">
        <f>H254*AO254</f>
        <v>0</v>
      </c>
      <c r="AX254" s="36">
        <f>H254*AP254</f>
        <v>0</v>
      </c>
      <c r="AY254" s="39" t="s">
        <v>2927</v>
      </c>
      <c r="AZ254" s="39" t="s">
        <v>2954</v>
      </c>
      <c r="BA254" s="35" t="s">
        <v>2967</v>
      </c>
      <c r="BC254" s="36">
        <f>AW254+AX254</f>
        <v>0</v>
      </c>
      <c r="BD254" s="36">
        <f>I254/(100-BE254)*100</f>
        <v>0</v>
      </c>
      <c r="BE254" s="36">
        <v>0</v>
      </c>
      <c r="BF254" s="36">
        <f>254</f>
        <v>254</v>
      </c>
      <c r="BH254" s="20">
        <f>H254*AO254</f>
        <v>0</v>
      </c>
      <c r="BI254" s="20">
        <f>H254*AP254</f>
        <v>0</v>
      </c>
      <c r="BJ254" s="20">
        <f>H254*I254</f>
        <v>0</v>
      </c>
      <c r="BK254" s="20" t="s">
        <v>2978</v>
      </c>
      <c r="BL254" s="36">
        <v>721</v>
      </c>
    </row>
    <row r="255" spans="1:64" ht="25.7" customHeight="1" x14ac:dyDescent="0.2">
      <c r="A255" s="5"/>
      <c r="B255" s="14"/>
      <c r="C255" s="179" t="s">
        <v>2090</v>
      </c>
      <c r="D255" s="180"/>
      <c r="E255" s="180"/>
      <c r="F255" s="180"/>
      <c r="G255" s="180"/>
      <c r="H255" s="180"/>
      <c r="I255" s="180"/>
      <c r="J255" s="180"/>
      <c r="K255" s="180"/>
      <c r="L255" s="180"/>
      <c r="M255" s="181"/>
      <c r="N255" s="5"/>
    </row>
    <row r="256" spans="1:64" x14ac:dyDescent="0.2">
      <c r="A256" s="4" t="s">
        <v>203</v>
      </c>
      <c r="B256" s="13" t="s">
        <v>1133</v>
      </c>
      <c r="C256" s="174" t="s">
        <v>2091</v>
      </c>
      <c r="D256" s="175"/>
      <c r="E256" s="175"/>
      <c r="F256" s="175"/>
      <c r="G256" s="13" t="s">
        <v>2860</v>
      </c>
      <c r="H256" s="82">
        <v>2</v>
      </c>
      <c r="I256" s="109">
        <v>0</v>
      </c>
      <c r="J256" s="20">
        <f>H256*AO256</f>
        <v>0</v>
      </c>
      <c r="K256" s="20">
        <f>H256*AP256</f>
        <v>0</v>
      </c>
      <c r="L256" s="20">
        <f>H256*I256</f>
        <v>0</v>
      </c>
      <c r="M256" s="31" t="s">
        <v>2884</v>
      </c>
      <c r="N256" s="5"/>
      <c r="Z256" s="36">
        <f>IF(AQ256="5",BJ256,0)</f>
        <v>0</v>
      </c>
      <c r="AB256" s="36">
        <f>IF(AQ256="1",BH256,0)</f>
        <v>0</v>
      </c>
      <c r="AC256" s="36">
        <f>IF(AQ256="1",BI256,0)</f>
        <v>0</v>
      </c>
      <c r="AD256" s="36">
        <f>IF(AQ256="7",BH256,0)</f>
        <v>0</v>
      </c>
      <c r="AE256" s="36">
        <f>IF(AQ256="7",BI256,0)</f>
        <v>0</v>
      </c>
      <c r="AF256" s="36">
        <f>IF(AQ256="2",BH256,0)</f>
        <v>0</v>
      </c>
      <c r="AG256" s="36">
        <f>IF(AQ256="2",BI256,0)</f>
        <v>0</v>
      </c>
      <c r="AH256" s="36">
        <f>IF(AQ256="0",BJ256,0)</f>
        <v>0</v>
      </c>
      <c r="AI256" s="35" t="s">
        <v>2894</v>
      </c>
      <c r="AJ256" s="20">
        <f>IF(AN256=0,L256,0)</f>
        <v>0</v>
      </c>
      <c r="AK256" s="20">
        <f>IF(AN256=15,L256,0)</f>
        <v>0</v>
      </c>
      <c r="AL256" s="20">
        <f>IF(AN256=21,L256,0)</f>
        <v>0</v>
      </c>
      <c r="AN256" s="36">
        <v>21</v>
      </c>
      <c r="AO256" s="36">
        <f>I256*0.53</f>
        <v>0</v>
      </c>
      <c r="AP256" s="36">
        <f>I256*(1-0.53)</f>
        <v>0</v>
      </c>
      <c r="AQ256" s="37" t="s">
        <v>13</v>
      </c>
      <c r="AV256" s="36">
        <f>AW256+AX256</f>
        <v>0</v>
      </c>
      <c r="AW256" s="36">
        <f>H256*AO256</f>
        <v>0</v>
      </c>
      <c r="AX256" s="36">
        <f>H256*AP256</f>
        <v>0</v>
      </c>
      <c r="AY256" s="39" t="s">
        <v>2927</v>
      </c>
      <c r="AZ256" s="39" t="s">
        <v>2954</v>
      </c>
      <c r="BA256" s="35" t="s">
        <v>2967</v>
      </c>
      <c r="BC256" s="36">
        <f>AW256+AX256</f>
        <v>0</v>
      </c>
      <c r="BD256" s="36">
        <f>I256/(100-BE256)*100</f>
        <v>0</v>
      </c>
      <c r="BE256" s="36">
        <v>0</v>
      </c>
      <c r="BF256" s="36">
        <f>256</f>
        <v>256</v>
      </c>
      <c r="BH256" s="20">
        <f>H256*AO256</f>
        <v>0</v>
      </c>
      <c r="BI256" s="20">
        <f>H256*AP256</f>
        <v>0</v>
      </c>
      <c r="BJ256" s="20">
        <f>H256*I256</f>
        <v>0</v>
      </c>
      <c r="BK256" s="20" t="s">
        <v>2978</v>
      </c>
      <c r="BL256" s="36">
        <v>721</v>
      </c>
    </row>
    <row r="257" spans="1:64" ht="25.7" customHeight="1" x14ac:dyDescent="0.2">
      <c r="A257" s="5"/>
      <c r="B257" s="14"/>
      <c r="C257" s="179" t="s">
        <v>2092</v>
      </c>
      <c r="D257" s="180"/>
      <c r="E257" s="180"/>
      <c r="F257" s="180"/>
      <c r="G257" s="180"/>
      <c r="H257" s="180"/>
      <c r="I257" s="180"/>
      <c r="J257" s="180"/>
      <c r="K257" s="180"/>
      <c r="L257" s="180"/>
      <c r="M257" s="181"/>
      <c r="N257" s="5"/>
    </row>
    <row r="258" spans="1:64" x14ac:dyDescent="0.2">
      <c r="A258" s="4" t="s">
        <v>204</v>
      </c>
      <c r="B258" s="13" t="s">
        <v>1134</v>
      </c>
      <c r="C258" s="174" t="s">
        <v>2093</v>
      </c>
      <c r="D258" s="175"/>
      <c r="E258" s="175"/>
      <c r="F258" s="175"/>
      <c r="G258" s="13" t="s">
        <v>2860</v>
      </c>
      <c r="H258" s="82">
        <v>1</v>
      </c>
      <c r="I258" s="109">
        <v>0</v>
      </c>
      <c r="J258" s="20">
        <f>H258*AO258</f>
        <v>0</v>
      </c>
      <c r="K258" s="20">
        <f>H258*AP258</f>
        <v>0</v>
      </c>
      <c r="L258" s="20">
        <f>H258*I258</f>
        <v>0</v>
      </c>
      <c r="M258" s="31" t="s">
        <v>2884</v>
      </c>
      <c r="N258" s="5"/>
      <c r="Z258" s="36">
        <f>IF(AQ258="5",BJ258,0)</f>
        <v>0</v>
      </c>
      <c r="AB258" s="36">
        <f>IF(AQ258="1",BH258,0)</f>
        <v>0</v>
      </c>
      <c r="AC258" s="36">
        <f>IF(AQ258="1",BI258,0)</f>
        <v>0</v>
      </c>
      <c r="AD258" s="36">
        <f>IF(AQ258="7",BH258,0)</f>
        <v>0</v>
      </c>
      <c r="AE258" s="36">
        <f>IF(AQ258="7",BI258,0)</f>
        <v>0</v>
      </c>
      <c r="AF258" s="36">
        <f>IF(AQ258="2",BH258,0)</f>
        <v>0</v>
      </c>
      <c r="AG258" s="36">
        <f>IF(AQ258="2",BI258,0)</f>
        <v>0</v>
      </c>
      <c r="AH258" s="36">
        <f>IF(AQ258="0",BJ258,0)</f>
        <v>0</v>
      </c>
      <c r="AI258" s="35" t="s">
        <v>2894</v>
      </c>
      <c r="AJ258" s="20">
        <f>IF(AN258=0,L258,0)</f>
        <v>0</v>
      </c>
      <c r="AK258" s="20">
        <f>IF(AN258=15,L258,0)</f>
        <v>0</v>
      </c>
      <c r="AL258" s="20">
        <f>IF(AN258=21,L258,0)</f>
        <v>0</v>
      </c>
      <c r="AN258" s="36">
        <v>21</v>
      </c>
      <c r="AO258" s="36">
        <f>I258*0.53</f>
        <v>0</v>
      </c>
      <c r="AP258" s="36">
        <f>I258*(1-0.53)</f>
        <v>0</v>
      </c>
      <c r="AQ258" s="37" t="s">
        <v>13</v>
      </c>
      <c r="AV258" s="36">
        <f>AW258+AX258</f>
        <v>0</v>
      </c>
      <c r="AW258" s="36">
        <f>H258*AO258</f>
        <v>0</v>
      </c>
      <c r="AX258" s="36">
        <f>H258*AP258</f>
        <v>0</v>
      </c>
      <c r="AY258" s="39" t="s">
        <v>2927</v>
      </c>
      <c r="AZ258" s="39" t="s">
        <v>2954</v>
      </c>
      <c r="BA258" s="35" t="s">
        <v>2967</v>
      </c>
      <c r="BC258" s="36">
        <f>AW258+AX258</f>
        <v>0</v>
      </c>
      <c r="BD258" s="36">
        <f>I258/(100-BE258)*100</f>
        <v>0</v>
      </c>
      <c r="BE258" s="36">
        <v>0</v>
      </c>
      <c r="BF258" s="36">
        <f>258</f>
        <v>258</v>
      </c>
      <c r="BH258" s="20">
        <f>H258*AO258</f>
        <v>0</v>
      </c>
      <c r="BI258" s="20">
        <f>H258*AP258</f>
        <v>0</v>
      </c>
      <c r="BJ258" s="20">
        <f>H258*I258</f>
        <v>0</v>
      </c>
      <c r="BK258" s="20" t="s">
        <v>2978</v>
      </c>
      <c r="BL258" s="36">
        <v>721</v>
      </c>
    </row>
    <row r="259" spans="1:64" x14ac:dyDescent="0.2">
      <c r="A259" s="5"/>
      <c r="B259" s="14"/>
      <c r="C259" s="179" t="s">
        <v>2094</v>
      </c>
      <c r="D259" s="180"/>
      <c r="E259" s="180"/>
      <c r="F259" s="180"/>
      <c r="G259" s="180"/>
      <c r="H259" s="180"/>
      <c r="I259" s="180"/>
      <c r="J259" s="180"/>
      <c r="K259" s="180"/>
      <c r="L259" s="180"/>
      <c r="M259" s="181"/>
      <c r="N259" s="5"/>
    </row>
    <row r="260" spans="1:64" x14ac:dyDescent="0.2">
      <c r="A260" s="4" t="s">
        <v>205</v>
      </c>
      <c r="B260" s="13" t="s">
        <v>1135</v>
      </c>
      <c r="C260" s="174" t="s">
        <v>2095</v>
      </c>
      <c r="D260" s="175"/>
      <c r="E260" s="175"/>
      <c r="F260" s="175"/>
      <c r="G260" s="13" t="s">
        <v>2860</v>
      </c>
      <c r="H260" s="82">
        <v>3</v>
      </c>
      <c r="I260" s="109">
        <v>0</v>
      </c>
      <c r="J260" s="20">
        <f>H260*AO260</f>
        <v>0</v>
      </c>
      <c r="K260" s="20">
        <f>H260*AP260</f>
        <v>0</v>
      </c>
      <c r="L260" s="20">
        <f>H260*I260</f>
        <v>0</v>
      </c>
      <c r="M260" s="31" t="s">
        <v>2884</v>
      </c>
      <c r="N260" s="5"/>
      <c r="Z260" s="36">
        <f>IF(AQ260="5",BJ260,0)</f>
        <v>0</v>
      </c>
      <c r="AB260" s="36">
        <f>IF(AQ260="1",BH260,0)</f>
        <v>0</v>
      </c>
      <c r="AC260" s="36">
        <f>IF(AQ260="1",BI260,0)</f>
        <v>0</v>
      </c>
      <c r="AD260" s="36">
        <f>IF(AQ260="7",BH260,0)</f>
        <v>0</v>
      </c>
      <c r="AE260" s="36">
        <f>IF(AQ260="7",BI260,0)</f>
        <v>0</v>
      </c>
      <c r="AF260" s="36">
        <f>IF(AQ260="2",BH260,0)</f>
        <v>0</v>
      </c>
      <c r="AG260" s="36">
        <f>IF(AQ260="2",BI260,0)</f>
        <v>0</v>
      </c>
      <c r="AH260" s="36">
        <f>IF(AQ260="0",BJ260,0)</f>
        <v>0</v>
      </c>
      <c r="AI260" s="35" t="s">
        <v>2894</v>
      </c>
      <c r="AJ260" s="20">
        <f>IF(AN260=0,L260,0)</f>
        <v>0</v>
      </c>
      <c r="AK260" s="20">
        <f>IF(AN260=15,L260,0)</f>
        <v>0</v>
      </c>
      <c r="AL260" s="20">
        <f>IF(AN260=21,L260,0)</f>
        <v>0</v>
      </c>
      <c r="AN260" s="36">
        <v>21</v>
      </c>
      <c r="AO260" s="36">
        <f>I260*0.53</f>
        <v>0</v>
      </c>
      <c r="AP260" s="36">
        <f>I260*(1-0.53)</f>
        <v>0</v>
      </c>
      <c r="AQ260" s="37" t="s">
        <v>13</v>
      </c>
      <c r="AV260" s="36">
        <f>AW260+AX260</f>
        <v>0</v>
      </c>
      <c r="AW260" s="36">
        <f>H260*AO260</f>
        <v>0</v>
      </c>
      <c r="AX260" s="36">
        <f>H260*AP260</f>
        <v>0</v>
      </c>
      <c r="AY260" s="39" t="s">
        <v>2927</v>
      </c>
      <c r="AZ260" s="39" t="s">
        <v>2954</v>
      </c>
      <c r="BA260" s="35" t="s">
        <v>2967</v>
      </c>
      <c r="BC260" s="36">
        <f>AW260+AX260</f>
        <v>0</v>
      </c>
      <c r="BD260" s="36">
        <f>I260/(100-BE260)*100</f>
        <v>0</v>
      </c>
      <c r="BE260" s="36">
        <v>0</v>
      </c>
      <c r="BF260" s="36">
        <f>260</f>
        <v>260</v>
      </c>
      <c r="BH260" s="20">
        <f>H260*AO260</f>
        <v>0</v>
      </c>
      <c r="BI260" s="20">
        <f>H260*AP260</f>
        <v>0</v>
      </c>
      <c r="BJ260" s="20">
        <f>H260*I260</f>
        <v>0</v>
      </c>
      <c r="BK260" s="20" t="s">
        <v>2978</v>
      </c>
      <c r="BL260" s="36">
        <v>721</v>
      </c>
    </row>
    <row r="261" spans="1:64" x14ac:dyDescent="0.2">
      <c r="A261" s="5"/>
      <c r="B261" s="14"/>
      <c r="C261" s="179" t="s">
        <v>2096</v>
      </c>
      <c r="D261" s="180"/>
      <c r="E261" s="180"/>
      <c r="F261" s="180"/>
      <c r="G261" s="180"/>
      <c r="H261" s="180"/>
      <c r="I261" s="180"/>
      <c r="J261" s="180"/>
      <c r="K261" s="180"/>
      <c r="L261" s="180"/>
      <c r="M261" s="181"/>
      <c r="N261" s="5"/>
    </row>
    <row r="262" spans="1:64" x14ac:dyDescent="0.2">
      <c r="A262" s="4" t="s">
        <v>206</v>
      </c>
      <c r="B262" s="13" t="s">
        <v>1136</v>
      </c>
      <c r="C262" s="174" t="s">
        <v>2097</v>
      </c>
      <c r="D262" s="175"/>
      <c r="E262" s="175"/>
      <c r="F262" s="175"/>
      <c r="G262" s="13" t="s">
        <v>2860</v>
      </c>
      <c r="H262" s="82">
        <v>1</v>
      </c>
      <c r="I262" s="109">
        <v>0</v>
      </c>
      <c r="J262" s="20">
        <f>H262*AO262</f>
        <v>0</v>
      </c>
      <c r="K262" s="20">
        <f>H262*AP262</f>
        <v>0</v>
      </c>
      <c r="L262" s="20">
        <f>H262*I262</f>
        <v>0</v>
      </c>
      <c r="M262" s="31" t="s">
        <v>2884</v>
      </c>
      <c r="N262" s="5"/>
      <c r="Z262" s="36">
        <f>IF(AQ262="5",BJ262,0)</f>
        <v>0</v>
      </c>
      <c r="AB262" s="36">
        <f>IF(AQ262="1",BH262,0)</f>
        <v>0</v>
      </c>
      <c r="AC262" s="36">
        <f>IF(AQ262="1",BI262,0)</f>
        <v>0</v>
      </c>
      <c r="AD262" s="36">
        <f>IF(AQ262="7",BH262,0)</f>
        <v>0</v>
      </c>
      <c r="AE262" s="36">
        <f>IF(AQ262="7",BI262,0)</f>
        <v>0</v>
      </c>
      <c r="AF262" s="36">
        <f>IF(AQ262="2",BH262,0)</f>
        <v>0</v>
      </c>
      <c r="AG262" s="36">
        <f>IF(AQ262="2",BI262,0)</f>
        <v>0</v>
      </c>
      <c r="AH262" s="36">
        <f>IF(AQ262="0",BJ262,0)</f>
        <v>0</v>
      </c>
      <c r="AI262" s="35" t="s">
        <v>2894</v>
      </c>
      <c r="AJ262" s="20">
        <f>IF(AN262=0,L262,0)</f>
        <v>0</v>
      </c>
      <c r="AK262" s="20">
        <f>IF(AN262=15,L262,0)</f>
        <v>0</v>
      </c>
      <c r="AL262" s="20">
        <f>IF(AN262=21,L262,0)</f>
        <v>0</v>
      </c>
      <c r="AN262" s="36">
        <v>21</v>
      </c>
      <c r="AO262" s="36">
        <f>I262*0.53</f>
        <v>0</v>
      </c>
      <c r="AP262" s="36">
        <f>I262*(1-0.53)</f>
        <v>0</v>
      </c>
      <c r="AQ262" s="37" t="s">
        <v>13</v>
      </c>
      <c r="AV262" s="36">
        <f>AW262+AX262</f>
        <v>0</v>
      </c>
      <c r="AW262" s="36">
        <f>H262*AO262</f>
        <v>0</v>
      </c>
      <c r="AX262" s="36">
        <f>H262*AP262</f>
        <v>0</v>
      </c>
      <c r="AY262" s="39" t="s">
        <v>2927</v>
      </c>
      <c r="AZ262" s="39" t="s">
        <v>2954</v>
      </c>
      <c r="BA262" s="35" t="s">
        <v>2967</v>
      </c>
      <c r="BC262" s="36">
        <f>AW262+AX262</f>
        <v>0</v>
      </c>
      <c r="BD262" s="36">
        <f>I262/(100-BE262)*100</f>
        <v>0</v>
      </c>
      <c r="BE262" s="36">
        <v>0</v>
      </c>
      <c r="BF262" s="36">
        <f>262</f>
        <v>262</v>
      </c>
      <c r="BH262" s="20">
        <f>H262*AO262</f>
        <v>0</v>
      </c>
      <c r="BI262" s="20">
        <f>H262*AP262</f>
        <v>0</v>
      </c>
      <c r="BJ262" s="20">
        <f>H262*I262</f>
        <v>0</v>
      </c>
      <c r="BK262" s="20" t="s">
        <v>2978</v>
      </c>
      <c r="BL262" s="36">
        <v>721</v>
      </c>
    </row>
    <row r="263" spans="1:64" ht="25.7" customHeight="1" x14ac:dyDescent="0.2">
      <c r="A263" s="5"/>
      <c r="B263" s="14"/>
      <c r="C263" s="179" t="s">
        <v>2098</v>
      </c>
      <c r="D263" s="180"/>
      <c r="E263" s="180"/>
      <c r="F263" s="180"/>
      <c r="G263" s="180"/>
      <c r="H263" s="180"/>
      <c r="I263" s="180"/>
      <c r="J263" s="180"/>
      <c r="K263" s="180"/>
      <c r="L263" s="180"/>
      <c r="M263" s="181"/>
      <c r="N263" s="5"/>
    </row>
    <row r="264" spans="1:64" x14ac:dyDescent="0.2">
      <c r="A264" s="4" t="s">
        <v>207</v>
      </c>
      <c r="B264" s="13" t="s">
        <v>1137</v>
      </c>
      <c r="C264" s="174" t="s">
        <v>2099</v>
      </c>
      <c r="D264" s="175"/>
      <c r="E264" s="175"/>
      <c r="F264" s="175"/>
      <c r="G264" s="13" t="s">
        <v>2860</v>
      </c>
      <c r="H264" s="82">
        <v>2</v>
      </c>
      <c r="I264" s="109">
        <v>0</v>
      </c>
      <c r="J264" s="20">
        <f>H264*AO264</f>
        <v>0</v>
      </c>
      <c r="K264" s="20">
        <f>H264*AP264</f>
        <v>0</v>
      </c>
      <c r="L264" s="20">
        <f>H264*I264</f>
        <v>0</v>
      </c>
      <c r="M264" s="31" t="s">
        <v>2884</v>
      </c>
      <c r="N264" s="5"/>
      <c r="Z264" s="36">
        <f>IF(AQ264="5",BJ264,0)</f>
        <v>0</v>
      </c>
      <c r="AB264" s="36">
        <f>IF(AQ264="1",BH264,0)</f>
        <v>0</v>
      </c>
      <c r="AC264" s="36">
        <f>IF(AQ264="1",BI264,0)</f>
        <v>0</v>
      </c>
      <c r="AD264" s="36">
        <f>IF(AQ264="7",BH264,0)</f>
        <v>0</v>
      </c>
      <c r="AE264" s="36">
        <f>IF(AQ264="7",BI264,0)</f>
        <v>0</v>
      </c>
      <c r="AF264" s="36">
        <f>IF(AQ264="2",BH264,0)</f>
        <v>0</v>
      </c>
      <c r="AG264" s="36">
        <f>IF(AQ264="2",BI264,0)</f>
        <v>0</v>
      </c>
      <c r="AH264" s="36">
        <f>IF(AQ264="0",BJ264,0)</f>
        <v>0</v>
      </c>
      <c r="AI264" s="35" t="s">
        <v>2894</v>
      </c>
      <c r="AJ264" s="20">
        <f>IF(AN264=0,L264,0)</f>
        <v>0</v>
      </c>
      <c r="AK264" s="20">
        <f>IF(AN264=15,L264,0)</f>
        <v>0</v>
      </c>
      <c r="AL264" s="20">
        <f>IF(AN264=21,L264,0)</f>
        <v>0</v>
      </c>
      <c r="AN264" s="36">
        <v>21</v>
      </c>
      <c r="AO264" s="36">
        <f>I264*0.53</f>
        <v>0</v>
      </c>
      <c r="AP264" s="36">
        <f>I264*(1-0.53)</f>
        <v>0</v>
      </c>
      <c r="AQ264" s="37" t="s">
        <v>13</v>
      </c>
      <c r="AV264" s="36">
        <f>AW264+AX264</f>
        <v>0</v>
      </c>
      <c r="AW264" s="36">
        <f>H264*AO264</f>
        <v>0</v>
      </c>
      <c r="AX264" s="36">
        <f>H264*AP264</f>
        <v>0</v>
      </c>
      <c r="AY264" s="39" t="s">
        <v>2927</v>
      </c>
      <c r="AZ264" s="39" t="s">
        <v>2954</v>
      </c>
      <c r="BA264" s="35" t="s">
        <v>2967</v>
      </c>
      <c r="BC264" s="36">
        <f>AW264+AX264</f>
        <v>0</v>
      </c>
      <c r="BD264" s="36">
        <f>I264/(100-BE264)*100</f>
        <v>0</v>
      </c>
      <c r="BE264" s="36">
        <v>0</v>
      </c>
      <c r="BF264" s="36">
        <f>264</f>
        <v>264</v>
      </c>
      <c r="BH264" s="20">
        <f>H264*AO264</f>
        <v>0</v>
      </c>
      <c r="BI264" s="20">
        <f>H264*AP264</f>
        <v>0</v>
      </c>
      <c r="BJ264" s="20">
        <f>H264*I264</f>
        <v>0</v>
      </c>
      <c r="BK264" s="20" t="s">
        <v>2978</v>
      </c>
      <c r="BL264" s="36">
        <v>721</v>
      </c>
    </row>
    <row r="265" spans="1:64" ht="38.450000000000003" customHeight="1" x14ac:dyDescent="0.2">
      <c r="A265" s="5"/>
      <c r="B265" s="14"/>
      <c r="C265" s="179" t="s">
        <v>2100</v>
      </c>
      <c r="D265" s="180"/>
      <c r="E265" s="180"/>
      <c r="F265" s="180"/>
      <c r="G265" s="180"/>
      <c r="H265" s="180"/>
      <c r="I265" s="180"/>
      <c r="J265" s="180"/>
      <c r="K265" s="180"/>
      <c r="L265" s="180"/>
      <c r="M265" s="181"/>
      <c r="N265" s="5"/>
    </row>
    <row r="266" spans="1:64" x14ac:dyDescent="0.2">
      <c r="A266" s="4" t="s">
        <v>208</v>
      </c>
      <c r="B266" s="13" t="s">
        <v>1138</v>
      </c>
      <c r="C266" s="174" t="s">
        <v>2101</v>
      </c>
      <c r="D266" s="175"/>
      <c r="E266" s="175"/>
      <c r="F266" s="175"/>
      <c r="G266" s="13" t="s">
        <v>2860</v>
      </c>
      <c r="H266" s="82">
        <v>2</v>
      </c>
      <c r="I266" s="109">
        <v>0</v>
      </c>
      <c r="J266" s="20">
        <f>H266*AO266</f>
        <v>0</v>
      </c>
      <c r="K266" s="20">
        <f>H266*AP266</f>
        <v>0</v>
      </c>
      <c r="L266" s="20">
        <f>H266*I266</f>
        <v>0</v>
      </c>
      <c r="M266" s="31" t="s">
        <v>2884</v>
      </c>
      <c r="N266" s="5"/>
      <c r="Z266" s="36">
        <f>IF(AQ266="5",BJ266,0)</f>
        <v>0</v>
      </c>
      <c r="AB266" s="36">
        <f>IF(AQ266="1",BH266,0)</f>
        <v>0</v>
      </c>
      <c r="AC266" s="36">
        <f>IF(AQ266="1",BI266,0)</f>
        <v>0</v>
      </c>
      <c r="AD266" s="36">
        <f>IF(AQ266="7",BH266,0)</f>
        <v>0</v>
      </c>
      <c r="AE266" s="36">
        <f>IF(AQ266="7",BI266,0)</f>
        <v>0</v>
      </c>
      <c r="AF266" s="36">
        <f>IF(AQ266="2",BH266,0)</f>
        <v>0</v>
      </c>
      <c r="AG266" s="36">
        <f>IF(AQ266="2",BI266,0)</f>
        <v>0</v>
      </c>
      <c r="AH266" s="36">
        <f>IF(AQ266="0",BJ266,0)</f>
        <v>0</v>
      </c>
      <c r="AI266" s="35" t="s">
        <v>2894</v>
      </c>
      <c r="AJ266" s="20">
        <f>IF(AN266=0,L266,0)</f>
        <v>0</v>
      </c>
      <c r="AK266" s="20">
        <f>IF(AN266=15,L266,0)</f>
        <v>0</v>
      </c>
      <c r="AL266" s="20">
        <f>IF(AN266=21,L266,0)</f>
        <v>0</v>
      </c>
      <c r="AN266" s="36">
        <v>21</v>
      </c>
      <c r="AO266" s="36">
        <f>I266*0.53</f>
        <v>0</v>
      </c>
      <c r="AP266" s="36">
        <f>I266*(1-0.53)</f>
        <v>0</v>
      </c>
      <c r="AQ266" s="37" t="s">
        <v>13</v>
      </c>
      <c r="AV266" s="36">
        <f>AW266+AX266</f>
        <v>0</v>
      </c>
      <c r="AW266" s="36">
        <f>H266*AO266</f>
        <v>0</v>
      </c>
      <c r="AX266" s="36">
        <f>H266*AP266</f>
        <v>0</v>
      </c>
      <c r="AY266" s="39" t="s">
        <v>2927</v>
      </c>
      <c r="AZ266" s="39" t="s">
        <v>2954</v>
      </c>
      <c r="BA266" s="35" t="s">
        <v>2967</v>
      </c>
      <c r="BC266" s="36">
        <f>AW266+AX266</f>
        <v>0</v>
      </c>
      <c r="BD266" s="36">
        <f>I266/(100-BE266)*100</f>
        <v>0</v>
      </c>
      <c r="BE266" s="36">
        <v>0</v>
      </c>
      <c r="BF266" s="36">
        <f>266</f>
        <v>266</v>
      </c>
      <c r="BH266" s="20">
        <f>H266*AO266</f>
        <v>0</v>
      </c>
      <c r="BI266" s="20">
        <f>H266*AP266</f>
        <v>0</v>
      </c>
      <c r="BJ266" s="20">
        <f>H266*I266</f>
        <v>0</v>
      </c>
      <c r="BK266" s="20" t="s">
        <v>2978</v>
      </c>
      <c r="BL266" s="36">
        <v>721</v>
      </c>
    </row>
    <row r="267" spans="1:64" ht="38.450000000000003" customHeight="1" x14ac:dyDescent="0.2">
      <c r="A267" s="5"/>
      <c r="B267" s="14"/>
      <c r="C267" s="179" t="s">
        <v>2102</v>
      </c>
      <c r="D267" s="180"/>
      <c r="E267" s="180"/>
      <c r="F267" s="180"/>
      <c r="G267" s="180"/>
      <c r="H267" s="180"/>
      <c r="I267" s="180"/>
      <c r="J267" s="180"/>
      <c r="K267" s="180"/>
      <c r="L267" s="180"/>
      <c r="M267" s="181"/>
      <c r="N267" s="5"/>
    </row>
    <row r="268" spans="1:64" x14ac:dyDescent="0.2">
      <c r="A268" s="4" t="s">
        <v>209</v>
      </c>
      <c r="B268" s="13" t="s">
        <v>1139</v>
      </c>
      <c r="C268" s="174" t="s">
        <v>2103</v>
      </c>
      <c r="D268" s="175"/>
      <c r="E268" s="175"/>
      <c r="F268" s="175"/>
      <c r="G268" s="13" t="s">
        <v>2860</v>
      </c>
      <c r="H268" s="82">
        <v>2</v>
      </c>
      <c r="I268" s="109">
        <v>0</v>
      </c>
      <c r="J268" s="20">
        <f>H268*AO268</f>
        <v>0</v>
      </c>
      <c r="K268" s="20">
        <f>H268*AP268</f>
        <v>0</v>
      </c>
      <c r="L268" s="20">
        <f>H268*I268</f>
        <v>0</v>
      </c>
      <c r="M268" s="31" t="s">
        <v>2884</v>
      </c>
      <c r="N268" s="5"/>
      <c r="Z268" s="36">
        <f>IF(AQ268="5",BJ268,0)</f>
        <v>0</v>
      </c>
      <c r="AB268" s="36">
        <f>IF(AQ268="1",BH268,0)</f>
        <v>0</v>
      </c>
      <c r="AC268" s="36">
        <f>IF(AQ268="1",BI268,0)</f>
        <v>0</v>
      </c>
      <c r="AD268" s="36">
        <f>IF(AQ268="7",BH268,0)</f>
        <v>0</v>
      </c>
      <c r="AE268" s="36">
        <f>IF(AQ268="7",BI268,0)</f>
        <v>0</v>
      </c>
      <c r="AF268" s="36">
        <f>IF(AQ268="2",BH268,0)</f>
        <v>0</v>
      </c>
      <c r="AG268" s="36">
        <f>IF(AQ268="2",BI268,0)</f>
        <v>0</v>
      </c>
      <c r="AH268" s="36">
        <f>IF(AQ268="0",BJ268,0)</f>
        <v>0</v>
      </c>
      <c r="AI268" s="35" t="s">
        <v>2894</v>
      </c>
      <c r="AJ268" s="20">
        <f>IF(AN268=0,L268,0)</f>
        <v>0</v>
      </c>
      <c r="AK268" s="20">
        <f>IF(AN268=15,L268,0)</f>
        <v>0</v>
      </c>
      <c r="AL268" s="20">
        <f>IF(AN268=21,L268,0)</f>
        <v>0</v>
      </c>
      <c r="AN268" s="36">
        <v>21</v>
      </c>
      <c r="AO268" s="36">
        <f>I268*0.53</f>
        <v>0</v>
      </c>
      <c r="AP268" s="36">
        <f>I268*(1-0.53)</f>
        <v>0</v>
      </c>
      <c r="AQ268" s="37" t="s">
        <v>13</v>
      </c>
      <c r="AV268" s="36">
        <f>AW268+AX268</f>
        <v>0</v>
      </c>
      <c r="AW268" s="36">
        <f>H268*AO268</f>
        <v>0</v>
      </c>
      <c r="AX268" s="36">
        <f>H268*AP268</f>
        <v>0</v>
      </c>
      <c r="AY268" s="39" t="s">
        <v>2927</v>
      </c>
      <c r="AZ268" s="39" t="s">
        <v>2954</v>
      </c>
      <c r="BA268" s="35" t="s">
        <v>2967</v>
      </c>
      <c r="BC268" s="36">
        <f>AW268+AX268</f>
        <v>0</v>
      </c>
      <c r="BD268" s="36">
        <f>I268/(100-BE268)*100</f>
        <v>0</v>
      </c>
      <c r="BE268" s="36">
        <v>0</v>
      </c>
      <c r="BF268" s="36">
        <f>268</f>
        <v>268</v>
      </c>
      <c r="BH268" s="20">
        <f>H268*AO268</f>
        <v>0</v>
      </c>
      <c r="BI268" s="20">
        <f>H268*AP268</f>
        <v>0</v>
      </c>
      <c r="BJ268" s="20">
        <f>H268*I268</f>
        <v>0</v>
      </c>
      <c r="BK268" s="20" t="s">
        <v>2978</v>
      </c>
      <c r="BL268" s="36">
        <v>721</v>
      </c>
    </row>
    <row r="269" spans="1:64" x14ac:dyDescent="0.2">
      <c r="A269" s="4" t="s">
        <v>210</v>
      </c>
      <c r="B269" s="13" t="s">
        <v>1140</v>
      </c>
      <c r="C269" s="174" t="s">
        <v>2104</v>
      </c>
      <c r="D269" s="175"/>
      <c r="E269" s="175"/>
      <c r="F269" s="175"/>
      <c r="G269" s="13" t="s">
        <v>2860</v>
      </c>
      <c r="H269" s="82">
        <v>2</v>
      </c>
      <c r="I269" s="109">
        <v>0</v>
      </c>
      <c r="J269" s="20">
        <f>H269*AO269</f>
        <v>0</v>
      </c>
      <c r="K269" s="20">
        <f>H269*AP269</f>
        <v>0</v>
      </c>
      <c r="L269" s="20">
        <f>H269*I269</f>
        <v>0</v>
      </c>
      <c r="M269" s="31" t="s">
        <v>2884</v>
      </c>
      <c r="N269" s="5"/>
      <c r="Z269" s="36">
        <f>IF(AQ269="5",BJ269,0)</f>
        <v>0</v>
      </c>
      <c r="AB269" s="36">
        <f>IF(AQ269="1",BH269,0)</f>
        <v>0</v>
      </c>
      <c r="AC269" s="36">
        <f>IF(AQ269="1",BI269,0)</f>
        <v>0</v>
      </c>
      <c r="AD269" s="36">
        <f>IF(AQ269="7",BH269,0)</f>
        <v>0</v>
      </c>
      <c r="AE269" s="36">
        <f>IF(AQ269="7",BI269,0)</f>
        <v>0</v>
      </c>
      <c r="AF269" s="36">
        <f>IF(AQ269="2",BH269,0)</f>
        <v>0</v>
      </c>
      <c r="AG269" s="36">
        <f>IF(AQ269="2",BI269,0)</f>
        <v>0</v>
      </c>
      <c r="AH269" s="36">
        <f>IF(AQ269="0",BJ269,0)</f>
        <v>0</v>
      </c>
      <c r="AI269" s="35" t="s">
        <v>2894</v>
      </c>
      <c r="AJ269" s="20">
        <f>IF(AN269=0,L269,0)</f>
        <v>0</v>
      </c>
      <c r="AK269" s="20">
        <f>IF(AN269=15,L269,0)</f>
        <v>0</v>
      </c>
      <c r="AL269" s="20">
        <f>IF(AN269=21,L269,0)</f>
        <v>0</v>
      </c>
      <c r="AN269" s="36">
        <v>21</v>
      </c>
      <c r="AO269" s="36">
        <f>I269*0.53</f>
        <v>0</v>
      </c>
      <c r="AP269" s="36">
        <f>I269*(1-0.53)</f>
        <v>0</v>
      </c>
      <c r="AQ269" s="37" t="s">
        <v>13</v>
      </c>
      <c r="AV269" s="36">
        <f>AW269+AX269</f>
        <v>0</v>
      </c>
      <c r="AW269" s="36">
        <f>H269*AO269</f>
        <v>0</v>
      </c>
      <c r="AX269" s="36">
        <f>H269*AP269</f>
        <v>0</v>
      </c>
      <c r="AY269" s="39" t="s">
        <v>2927</v>
      </c>
      <c r="AZ269" s="39" t="s">
        <v>2954</v>
      </c>
      <c r="BA269" s="35" t="s">
        <v>2967</v>
      </c>
      <c r="BC269" s="36">
        <f>AW269+AX269</f>
        <v>0</v>
      </c>
      <c r="BD269" s="36">
        <f>I269/(100-BE269)*100</f>
        <v>0</v>
      </c>
      <c r="BE269" s="36">
        <v>0</v>
      </c>
      <c r="BF269" s="36">
        <f>269</f>
        <v>269</v>
      </c>
      <c r="BH269" s="20">
        <f>H269*AO269</f>
        <v>0</v>
      </c>
      <c r="BI269" s="20">
        <f>H269*AP269</f>
        <v>0</v>
      </c>
      <c r="BJ269" s="20">
        <f>H269*I269</f>
        <v>0</v>
      </c>
      <c r="BK269" s="20" t="s">
        <v>2978</v>
      </c>
      <c r="BL269" s="36">
        <v>721</v>
      </c>
    </row>
    <row r="270" spans="1:64" x14ac:dyDescent="0.2">
      <c r="A270" s="4" t="s">
        <v>211</v>
      </c>
      <c r="B270" s="13" t="s">
        <v>1141</v>
      </c>
      <c r="C270" s="174" t="s">
        <v>2105</v>
      </c>
      <c r="D270" s="175"/>
      <c r="E270" s="175"/>
      <c r="F270" s="175"/>
      <c r="G270" s="13" t="s">
        <v>2860</v>
      </c>
      <c r="H270" s="82">
        <v>12</v>
      </c>
      <c r="I270" s="109">
        <v>0</v>
      </c>
      <c r="J270" s="20">
        <f>H270*AO270</f>
        <v>0</v>
      </c>
      <c r="K270" s="20">
        <f>H270*AP270</f>
        <v>0</v>
      </c>
      <c r="L270" s="20">
        <f>H270*I270</f>
        <v>0</v>
      </c>
      <c r="M270" s="31" t="s">
        <v>2884</v>
      </c>
      <c r="N270" s="5"/>
      <c r="Z270" s="36">
        <f>IF(AQ270="5",BJ270,0)</f>
        <v>0</v>
      </c>
      <c r="AB270" s="36">
        <f>IF(AQ270="1",BH270,0)</f>
        <v>0</v>
      </c>
      <c r="AC270" s="36">
        <f>IF(AQ270="1",BI270,0)</f>
        <v>0</v>
      </c>
      <c r="AD270" s="36">
        <f>IF(AQ270="7",BH270,0)</f>
        <v>0</v>
      </c>
      <c r="AE270" s="36">
        <f>IF(AQ270="7",BI270,0)</f>
        <v>0</v>
      </c>
      <c r="AF270" s="36">
        <f>IF(AQ270="2",BH270,0)</f>
        <v>0</v>
      </c>
      <c r="AG270" s="36">
        <f>IF(AQ270="2",BI270,0)</f>
        <v>0</v>
      </c>
      <c r="AH270" s="36">
        <f>IF(AQ270="0",BJ270,0)</f>
        <v>0</v>
      </c>
      <c r="AI270" s="35" t="s">
        <v>2894</v>
      </c>
      <c r="AJ270" s="20">
        <f>IF(AN270=0,L270,0)</f>
        <v>0</v>
      </c>
      <c r="AK270" s="20">
        <f>IF(AN270=15,L270,0)</f>
        <v>0</v>
      </c>
      <c r="AL270" s="20">
        <f>IF(AN270=21,L270,0)</f>
        <v>0</v>
      </c>
      <c r="AN270" s="36">
        <v>21</v>
      </c>
      <c r="AO270" s="36">
        <f>I270*0.53</f>
        <v>0</v>
      </c>
      <c r="AP270" s="36">
        <f>I270*(1-0.53)</f>
        <v>0</v>
      </c>
      <c r="AQ270" s="37" t="s">
        <v>13</v>
      </c>
      <c r="AV270" s="36">
        <f>AW270+AX270</f>
        <v>0</v>
      </c>
      <c r="AW270" s="36">
        <f>H270*AO270</f>
        <v>0</v>
      </c>
      <c r="AX270" s="36">
        <f>H270*AP270</f>
        <v>0</v>
      </c>
      <c r="AY270" s="39" t="s">
        <v>2927</v>
      </c>
      <c r="AZ270" s="39" t="s">
        <v>2954</v>
      </c>
      <c r="BA270" s="35" t="s">
        <v>2967</v>
      </c>
      <c r="BC270" s="36">
        <f>AW270+AX270</f>
        <v>0</v>
      </c>
      <c r="BD270" s="36">
        <f>I270/(100-BE270)*100</f>
        <v>0</v>
      </c>
      <c r="BE270" s="36">
        <v>0</v>
      </c>
      <c r="BF270" s="36">
        <f>270</f>
        <v>270</v>
      </c>
      <c r="BH270" s="20">
        <f>H270*AO270</f>
        <v>0</v>
      </c>
      <c r="BI270" s="20">
        <f>H270*AP270</f>
        <v>0</v>
      </c>
      <c r="BJ270" s="20">
        <f>H270*I270</f>
        <v>0</v>
      </c>
      <c r="BK270" s="20" t="s">
        <v>2978</v>
      </c>
      <c r="BL270" s="36">
        <v>721</v>
      </c>
    </row>
    <row r="271" spans="1:64" x14ac:dyDescent="0.2">
      <c r="A271" s="4" t="s">
        <v>212</v>
      </c>
      <c r="B271" s="13" t="s">
        <v>1142</v>
      </c>
      <c r="C271" s="174" t="s">
        <v>2106</v>
      </c>
      <c r="D271" s="175"/>
      <c r="E271" s="175"/>
      <c r="F271" s="175"/>
      <c r="G271" s="13" t="s">
        <v>2860</v>
      </c>
      <c r="H271" s="82">
        <v>6</v>
      </c>
      <c r="I271" s="109">
        <v>0</v>
      </c>
      <c r="J271" s="20">
        <f>H271*AO271</f>
        <v>0</v>
      </c>
      <c r="K271" s="20">
        <f>H271*AP271</f>
        <v>0</v>
      </c>
      <c r="L271" s="20">
        <f>H271*I271</f>
        <v>0</v>
      </c>
      <c r="M271" s="31" t="s">
        <v>2884</v>
      </c>
      <c r="N271" s="5"/>
      <c r="Z271" s="36">
        <f>IF(AQ271="5",BJ271,0)</f>
        <v>0</v>
      </c>
      <c r="AB271" s="36">
        <f>IF(AQ271="1",BH271,0)</f>
        <v>0</v>
      </c>
      <c r="AC271" s="36">
        <f>IF(AQ271="1",BI271,0)</f>
        <v>0</v>
      </c>
      <c r="AD271" s="36">
        <f>IF(AQ271="7",BH271,0)</f>
        <v>0</v>
      </c>
      <c r="AE271" s="36">
        <f>IF(AQ271="7",BI271,0)</f>
        <v>0</v>
      </c>
      <c r="AF271" s="36">
        <f>IF(AQ271="2",BH271,0)</f>
        <v>0</v>
      </c>
      <c r="AG271" s="36">
        <f>IF(AQ271="2",BI271,0)</f>
        <v>0</v>
      </c>
      <c r="AH271" s="36">
        <f>IF(AQ271="0",BJ271,0)</f>
        <v>0</v>
      </c>
      <c r="AI271" s="35" t="s">
        <v>2894</v>
      </c>
      <c r="AJ271" s="20">
        <f>IF(AN271=0,L271,0)</f>
        <v>0</v>
      </c>
      <c r="AK271" s="20">
        <f>IF(AN271=15,L271,0)</f>
        <v>0</v>
      </c>
      <c r="AL271" s="20">
        <f>IF(AN271=21,L271,0)</f>
        <v>0</v>
      </c>
      <c r="AN271" s="36">
        <v>21</v>
      </c>
      <c r="AO271" s="36">
        <f>I271*0.53</f>
        <v>0</v>
      </c>
      <c r="AP271" s="36">
        <f>I271*(1-0.53)</f>
        <v>0</v>
      </c>
      <c r="AQ271" s="37" t="s">
        <v>13</v>
      </c>
      <c r="AV271" s="36">
        <f>AW271+AX271</f>
        <v>0</v>
      </c>
      <c r="AW271" s="36">
        <f>H271*AO271</f>
        <v>0</v>
      </c>
      <c r="AX271" s="36">
        <f>H271*AP271</f>
        <v>0</v>
      </c>
      <c r="AY271" s="39" t="s">
        <v>2927</v>
      </c>
      <c r="AZ271" s="39" t="s">
        <v>2954</v>
      </c>
      <c r="BA271" s="35" t="s">
        <v>2967</v>
      </c>
      <c r="BC271" s="36">
        <f>AW271+AX271</f>
        <v>0</v>
      </c>
      <c r="BD271" s="36">
        <f>I271/(100-BE271)*100</f>
        <v>0</v>
      </c>
      <c r="BE271" s="36">
        <v>0</v>
      </c>
      <c r="BF271" s="36">
        <f>271</f>
        <v>271</v>
      </c>
      <c r="BH271" s="20">
        <f>H271*AO271</f>
        <v>0</v>
      </c>
      <c r="BI271" s="20">
        <f>H271*AP271</f>
        <v>0</v>
      </c>
      <c r="BJ271" s="20">
        <f>H271*I271</f>
        <v>0</v>
      </c>
      <c r="BK271" s="20" t="s">
        <v>2978</v>
      </c>
      <c r="BL271" s="36">
        <v>721</v>
      </c>
    </row>
    <row r="272" spans="1:64" x14ac:dyDescent="0.2">
      <c r="A272" s="5"/>
      <c r="B272" s="14"/>
      <c r="C272" s="179" t="s">
        <v>2107</v>
      </c>
      <c r="D272" s="180"/>
      <c r="E272" s="180"/>
      <c r="F272" s="180"/>
      <c r="G272" s="180"/>
      <c r="H272" s="180"/>
      <c r="I272" s="180"/>
      <c r="J272" s="180"/>
      <c r="K272" s="180"/>
      <c r="L272" s="180"/>
      <c r="M272" s="181"/>
      <c r="N272" s="5"/>
    </row>
    <row r="273" spans="1:64" x14ac:dyDescent="0.2">
      <c r="A273" s="4" t="s">
        <v>213</v>
      </c>
      <c r="B273" s="13" t="s">
        <v>1143</v>
      </c>
      <c r="C273" s="174" t="s">
        <v>2108</v>
      </c>
      <c r="D273" s="175"/>
      <c r="E273" s="175"/>
      <c r="F273" s="175"/>
      <c r="G273" s="13" t="s">
        <v>2860</v>
      </c>
      <c r="H273" s="82">
        <v>6</v>
      </c>
      <c r="I273" s="109">
        <v>0</v>
      </c>
      <c r="J273" s="20">
        <f t="shared" ref="J273:J280" si="200">H273*AO273</f>
        <v>0</v>
      </c>
      <c r="K273" s="20">
        <f t="shared" ref="K273:K280" si="201">H273*AP273</f>
        <v>0</v>
      </c>
      <c r="L273" s="20">
        <f t="shared" ref="L273:L280" si="202">H273*I273</f>
        <v>0</v>
      </c>
      <c r="M273" s="31" t="s">
        <v>2884</v>
      </c>
      <c r="N273" s="5"/>
      <c r="Z273" s="36">
        <f t="shared" ref="Z273:Z280" si="203">IF(AQ273="5",BJ273,0)</f>
        <v>0</v>
      </c>
      <c r="AB273" s="36">
        <f t="shared" ref="AB273:AB280" si="204">IF(AQ273="1",BH273,0)</f>
        <v>0</v>
      </c>
      <c r="AC273" s="36">
        <f t="shared" ref="AC273:AC280" si="205">IF(AQ273="1",BI273,0)</f>
        <v>0</v>
      </c>
      <c r="AD273" s="36">
        <f t="shared" ref="AD273:AD280" si="206">IF(AQ273="7",BH273,0)</f>
        <v>0</v>
      </c>
      <c r="AE273" s="36">
        <f t="shared" ref="AE273:AE280" si="207">IF(AQ273="7",BI273,0)</f>
        <v>0</v>
      </c>
      <c r="AF273" s="36">
        <f t="shared" ref="AF273:AF280" si="208">IF(AQ273="2",BH273,0)</f>
        <v>0</v>
      </c>
      <c r="AG273" s="36">
        <f t="shared" ref="AG273:AG280" si="209">IF(AQ273="2",BI273,0)</f>
        <v>0</v>
      </c>
      <c r="AH273" s="36">
        <f t="shared" ref="AH273:AH280" si="210">IF(AQ273="0",BJ273,0)</f>
        <v>0</v>
      </c>
      <c r="AI273" s="35" t="s">
        <v>2894</v>
      </c>
      <c r="AJ273" s="20">
        <f t="shared" ref="AJ273:AJ280" si="211">IF(AN273=0,L273,0)</f>
        <v>0</v>
      </c>
      <c r="AK273" s="20">
        <f t="shared" ref="AK273:AK280" si="212">IF(AN273=15,L273,0)</f>
        <v>0</v>
      </c>
      <c r="AL273" s="20">
        <f t="shared" ref="AL273:AL280" si="213">IF(AN273=21,L273,0)</f>
        <v>0</v>
      </c>
      <c r="AN273" s="36">
        <v>21</v>
      </c>
      <c r="AO273" s="36">
        <f>I273*0.53</f>
        <v>0</v>
      </c>
      <c r="AP273" s="36">
        <f>I273*(1-0.53)</f>
        <v>0</v>
      </c>
      <c r="AQ273" s="37" t="s">
        <v>13</v>
      </c>
      <c r="AV273" s="36">
        <f t="shared" ref="AV273:AV280" si="214">AW273+AX273</f>
        <v>0</v>
      </c>
      <c r="AW273" s="36">
        <f t="shared" ref="AW273:AW280" si="215">H273*AO273</f>
        <v>0</v>
      </c>
      <c r="AX273" s="36">
        <f t="shared" ref="AX273:AX280" si="216">H273*AP273</f>
        <v>0</v>
      </c>
      <c r="AY273" s="39" t="s">
        <v>2927</v>
      </c>
      <c r="AZ273" s="39" t="s">
        <v>2954</v>
      </c>
      <c r="BA273" s="35" t="s">
        <v>2967</v>
      </c>
      <c r="BC273" s="36">
        <f t="shared" ref="BC273:BC280" si="217">AW273+AX273</f>
        <v>0</v>
      </c>
      <c r="BD273" s="36">
        <f t="shared" ref="BD273:BD280" si="218">I273/(100-BE273)*100</f>
        <v>0</v>
      </c>
      <c r="BE273" s="36">
        <v>0</v>
      </c>
      <c r="BF273" s="36">
        <f>273</f>
        <v>273</v>
      </c>
      <c r="BH273" s="20">
        <f t="shared" ref="BH273:BH280" si="219">H273*AO273</f>
        <v>0</v>
      </c>
      <c r="BI273" s="20">
        <f t="shared" ref="BI273:BI280" si="220">H273*AP273</f>
        <v>0</v>
      </c>
      <c r="BJ273" s="20">
        <f t="shared" ref="BJ273:BJ280" si="221">H273*I273</f>
        <v>0</v>
      </c>
      <c r="BK273" s="20" t="s">
        <v>2978</v>
      </c>
      <c r="BL273" s="36">
        <v>721</v>
      </c>
    </row>
    <row r="274" spans="1:64" x14ac:dyDescent="0.2">
      <c r="A274" s="4" t="s">
        <v>214</v>
      </c>
      <c r="B274" s="13" t="s">
        <v>1144</v>
      </c>
      <c r="C274" s="174" t="s">
        <v>2109</v>
      </c>
      <c r="D274" s="175"/>
      <c r="E274" s="175"/>
      <c r="F274" s="175"/>
      <c r="G274" s="13" t="s">
        <v>2861</v>
      </c>
      <c r="H274" s="82">
        <v>1</v>
      </c>
      <c r="I274" s="109">
        <v>0</v>
      </c>
      <c r="J274" s="20">
        <f t="shared" si="200"/>
        <v>0</v>
      </c>
      <c r="K274" s="20">
        <f t="shared" si="201"/>
        <v>0</v>
      </c>
      <c r="L274" s="20">
        <f t="shared" si="202"/>
        <v>0</v>
      </c>
      <c r="M274" s="31" t="s">
        <v>2884</v>
      </c>
      <c r="N274" s="5"/>
      <c r="Z274" s="36">
        <f t="shared" si="203"/>
        <v>0</v>
      </c>
      <c r="AB274" s="36">
        <f t="shared" si="204"/>
        <v>0</v>
      </c>
      <c r="AC274" s="36">
        <f t="shared" si="205"/>
        <v>0</v>
      </c>
      <c r="AD274" s="36">
        <f t="shared" si="206"/>
        <v>0</v>
      </c>
      <c r="AE274" s="36">
        <f t="shared" si="207"/>
        <v>0</v>
      </c>
      <c r="AF274" s="36">
        <f t="shared" si="208"/>
        <v>0</v>
      </c>
      <c r="AG274" s="36">
        <f t="shared" si="209"/>
        <v>0</v>
      </c>
      <c r="AH274" s="36">
        <f t="shared" si="210"/>
        <v>0</v>
      </c>
      <c r="AI274" s="35" t="s">
        <v>2894</v>
      </c>
      <c r="AJ274" s="20">
        <f t="shared" si="211"/>
        <v>0</v>
      </c>
      <c r="AK274" s="20">
        <f t="shared" si="212"/>
        <v>0</v>
      </c>
      <c r="AL274" s="20">
        <f t="shared" si="213"/>
        <v>0</v>
      </c>
      <c r="AN274" s="36">
        <v>21</v>
      </c>
      <c r="AO274" s="36">
        <f t="shared" ref="AO274:AO279" si="222">I274*0</f>
        <v>0</v>
      </c>
      <c r="AP274" s="36">
        <f t="shared" ref="AP274:AP279" si="223">I274*(1-0)</f>
        <v>0</v>
      </c>
      <c r="AQ274" s="37" t="s">
        <v>13</v>
      </c>
      <c r="AV274" s="36">
        <f t="shared" si="214"/>
        <v>0</v>
      </c>
      <c r="AW274" s="36">
        <f t="shared" si="215"/>
        <v>0</v>
      </c>
      <c r="AX274" s="36">
        <f t="shared" si="216"/>
        <v>0</v>
      </c>
      <c r="AY274" s="39" t="s">
        <v>2927</v>
      </c>
      <c r="AZ274" s="39" t="s">
        <v>2954</v>
      </c>
      <c r="BA274" s="35" t="s">
        <v>2967</v>
      </c>
      <c r="BC274" s="36">
        <f t="shared" si="217"/>
        <v>0</v>
      </c>
      <c r="BD274" s="36">
        <f t="shared" si="218"/>
        <v>0</v>
      </c>
      <c r="BE274" s="36">
        <v>0</v>
      </c>
      <c r="BF274" s="36">
        <f>274</f>
        <v>274</v>
      </c>
      <c r="BH274" s="20">
        <f t="shared" si="219"/>
        <v>0</v>
      </c>
      <c r="BI274" s="20">
        <f t="shared" si="220"/>
        <v>0</v>
      </c>
      <c r="BJ274" s="20">
        <f t="shared" si="221"/>
        <v>0</v>
      </c>
      <c r="BK274" s="20" t="s">
        <v>2978</v>
      </c>
      <c r="BL274" s="36">
        <v>721</v>
      </c>
    </row>
    <row r="275" spans="1:64" x14ac:dyDescent="0.2">
      <c r="A275" s="4" t="s">
        <v>215</v>
      </c>
      <c r="B275" s="13" t="s">
        <v>1145</v>
      </c>
      <c r="C275" s="174" t="s">
        <v>2110</v>
      </c>
      <c r="D275" s="175"/>
      <c r="E275" s="175"/>
      <c r="F275" s="175"/>
      <c r="G275" s="13" t="s">
        <v>2861</v>
      </c>
      <c r="H275" s="82">
        <v>1</v>
      </c>
      <c r="I275" s="109">
        <v>0</v>
      </c>
      <c r="J275" s="20">
        <f t="shared" si="200"/>
        <v>0</v>
      </c>
      <c r="K275" s="20">
        <f t="shared" si="201"/>
        <v>0</v>
      </c>
      <c r="L275" s="20">
        <f t="shared" si="202"/>
        <v>0</v>
      </c>
      <c r="M275" s="31" t="s">
        <v>2884</v>
      </c>
      <c r="N275" s="5"/>
      <c r="Z275" s="36">
        <f t="shared" si="203"/>
        <v>0</v>
      </c>
      <c r="AB275" s="36">
        <f t="shared" si="204"/>
        <v>0</v>
      </c>
      <c r="AC275" s="36">
        <f t="shared" si="205"/>
        <v>0</v>
      </c>
      <c r="AD275" s="36">
        <f t="shared" si="206"/>
        <v>0</v>
      </c>
      <c r="AE275" s="36">
        <f t="shared" si="207"/>
        <v>0</v>
      </c>
      <c r="AF275" s="36">
        <f t="shared" si="208"/>
        <v>0</v>
      </c>
      <c r="AG275" s="36">
        <f t="shared" si="209"/>
        <v>0</v>
      </c>
      <c r="AH275" s="36">
        <f t="shared" si="210"/>
        <v>0</v>
      </c>
      <c r="AI275" s="35" t="s">
        <v>2894</v>
      </c>
      <c r="AJ275" s="20">
        <f t="shared" si="211"/>
        <v>0</v>
      </c>
      <c r="AK275" s="20">
        <f t="shared" si="212"/>
        <v>0</v>
      </c>
      <c r="AL275" s="20">
        <f t="shared" si="213"/>
        <v>0</v>
      </c>
      <c r="AN275" s="36">
        <v>21</v>
      </c>
      <c r="AO275" s="36">
        <f t="shared" si="222"/>
        <v>0</v>
      </c>
      <c r="AP275" s="36">
        <f t="shared" si="223"/>
        <v>0</v>
      </c>
      <c r="AQ275" s="37" t="s">
        <v>13</v>
      </c>
      <c r="AV275" s="36">
        <f t="shared" si="214"/>
        <v>0</v>
      </c>
      <c r="AW275" s="36">
        <f t="shared" si="215"/>
        <v>0</v>
      </c>
      <c r="AX275" s="36">
        <f t="shared" si="216"/>
        <v>0</v>
      </c>
      <c r="AY275" s="39" t="s">
        <v>2927</v>
      </c>
      <c r="AZ275" s="39" t="s">
        <v>2954</v>
      </c>
      <c r="BA275" s="35" t="s">
        <v>2967</v>
      </c>
      <c r="BC275" s="36">
        <f t="shared" si="217"/>
        <v>0</v>
      </c>
      <c r="BD275" s="36">
        <f t="shared" si="218"/>
        <v>0</v>
      </c>
      <c r="BE275" s="36">
        <v>0</v>
      </c>
      <c r="BF275" s="36">
        <f>275</f>
        <v>275</v>
      </c>
      <c r="BH275" s="20">
        <f t="shared" si="219"/>
        <v>0</v>
      </c>
      <c r="BI275" s="20">
        <f t="shared" si="220"/>
        <v>0</v>
      </c>
      <c r="BJ275" s="20">
        <f t="shared" si="221"/>
        <v>0</v>
      </c>
      <c r="BK275" s="20" t="s">
        <v>2978</v>
      </c>
      <c r="BL275" s="36">
        <v>721</v>
      </c>
    </row>
    <row r="276" spans="1:64" x14ac:dyDescent="0.2">
      <c r="A276" s="4" t="s">
        <v>216</v>
      </c>
      <c r="B276" s="13" t="s">
        <v>1146</v>
      </c>
      <c r="C276" s="174" t="s">
        <v>2111</v>
      </c>
      <c r="D276" s="175"/>
      <c r="E276" s="175"/>
      <c r="F276" s="175"/>
      <c r="G276" s="13" t="s">
        <v>2860</v>
      </c>
      <c r="H276" s="82">
        <v>6</v>
      </c>
      <c r="I276" s="109">
        <v>0</v>
      </c>
      <c r="J276" s="20">
        <f t="shared" si="200"/>
        <v>0</v>
      </c>
      <c r="K276" s="20">
        <f t="shared" si="201"/>
        <v>0</v>
      </c>
      <c r="L276" s="20">
        <f t="shared" si="202"/>
        <v>0</v>
      </c>
      <c r="M276" s="31" t="s">
        <v>2884</v>
      </c>
      <c r="N276" s="5"/>
      <c r="Z276" s="36">
        <f t="shared" si="203"/>
        <v>0</v>
      </c>
      <c r="AB276" s="36">
        <f t="shared" si="204"/>
        <v>0</v>
      </c>
      <c r="AC276" s="36">
        <f t="shared" si="205"/>
        <v>0</v>
      </c>
      <c r="AD276" s="36">
        <f t="shared" si="206"/>
        <v>0</v>
      </c>
      <c r="AE276" s="36">
        <f t="shared" si="207"/>
        <v>0</v>
      </c>
      <c r="AF276" s="36">
        <f t="shared" si="208"/>
        <v>0</v>
      </c>
      <c r="AG276" s="36">
        <f t="shared" si="209"/>
        <v>0</v>
      </c>
      <c r="AH276" s="36">
        <f t="shared" si="210"/>
        <v>0</v>
      </c>
      <c r="AI276" s="35" t="s">
        <v>2894</v>
      </c>
      <c r="AJ276" s="20">
        <f t="shared" si="211"/>
        <v>0</v>
      </c>
      <c r="AK276" s="20">
        <f t="shared" si="212"/>
        <v>0</v>
      </c>
      <c r="AL276" s="20">
        <f t="shared" si="213"/>
        <v>0</v>
      </c>
      <c r="AN276" s="36">
        <v>21</v>
      </c>
      <c r="AO276" s="36">
        <f t="shared" si="222"/>
        <v>0</v>
      </c>
      <c r="AP276" s="36">
        <f t="shared" si="223"/>
        <v>0</v>
      </c>
      <c r="AQ276" s="37" t="s">
        <v>13</v>
      </c>
      <c r="AV276" s="36">
        <f t="shared" si="214"/>
        <v>0</v>
      </c>
      <c r="AW276" s="36">
        <f t="shared" si="215"/>
        <v>0</v>
      </c>
      <c r="AX276" s="36">
        <f t="shared" si="216"/>
        <v>0</v>
      </c>
      <c r="AY276" s="39" t="s">
        <v>2927</v>
      </c>
      <c r="AZ276" s="39" t="s">
        <v>2954</v>
      </c>
      <c r="BA276" s="35" t="s">
        <v>2967</v>
      </c>
      <c r="BC276" s="36">
        <f t="shared" si="217"/>
        <v>0</v>
      </c>
      <c r="BD276" s="36">
        <f t="shared" si="218"/>
        <v>0</v>
      </c>
      <c r="BE276" s="36">
        <v>0</v>
      </c>
      <c r="BF276" s="36">
        <f>276</f>
        <v>276</v>
      </c>
      <c r="BH276" s="20">
        <f t="shared" si="219"/>
        <v>0</v>
      </c>
      <c r="BI276" s="20">
        <f t="shared" si="220"/>
        <v>0</v>
      </c>
      <c r="BJ276" s="20">
        <f t="shared" si="221"/>
        <v>0</v>
      </c>
      <c r="BK276" s="20" t="s">
        <v>2978</v>
      </c>
      <c r="BL276" s="36">
        <v>721</v>
      </c>
    </row>
    <row r="277" spans="1:64" x14ac:dyDescent="0.2">
      <c r="A277" s="4" t="s">
        <v>217</v>
      </c>
      <c r="B277" s="13" t="s">
        <v>1147</v>
      </c>
      <c r="C277" s="174" t="s">
        <v>2112</v>
      </c>
      <c r="D277" s="175"/>
      <c r="E277" s="175"/>
      <c r="F277" s="175"/>
      <c r="G277" s="13" t="s">
        <v>2860</v>
      </c>
      <c r="H277" s="82">
        <v>13</v>
      </c>
      <c r="I277" s="109">
        <v>0</v>
      </c>
      <c r="J277" s="20">
        <f t="shared" si="200"/>
        <v>0</v>
      </c>
      <c r="K277" s="20">
        <f t="shared" si="201"/>
        <v>0</v>
      </c>
      <c r="L277" s="20">
        <f t="shared" si="202"/>
        <v>0</v>
      </c>
      <c r="M277" s="31" t="s">
        <v>2884</v>
      </c>
      <c r="N277" s="5"/>
      <c r="Z277" s="36">
        <f t="shared" si="203"/>
        <v>0</v>
      </c>
      <c r="AB277" s="36">
        <f t="shared" si="204"/>
        <v>0</v>
      </c>
      <c r="AC277" s="36">
        <f t="shared" si="205"/>
        <v>0</v>
      </c>
      <c r="AD277" s="36">
        <f t="shared" si="206"/>
        <v>0</v>
      </c>
      <c r="AE277" s="36">
        <f t="shared" si="207"/>
        <v>0</v>
      </c>
      <c r="AF277" s="36">
        <f t="shared" si="208"/>
        <v>0</v>
      </c>
      <c r="AG277" s="36">
        <f t="shared" si="209"/>
        <v>0</v>
      </c>
      <c r="AH277" s="36">
        <f t="shared" si="210"/>
        <v>0</v>
      </c>
      <c r="AI277" s="35" t="s">
        <v>2894</v>
      </c>
      <c r="AJ277" s="20">
        <f t="shared" si="211"/>
        <v>0</v>
      </c>
      <c r="AK277" s="20">
        <f t="shared" si="212"/>
        <v>0</v>
      </c>
      <c r="AL277" s="20">
        <f t="shared" si="213"/>
        <v>0</v>
      </c>
      <c r="AN277" s="36">
        <v>21</v>
      </c>
      <c r="AO277" s="36">
        <f t="shared" si="222"/>
        <v>0</v>
      </c>
      <c r="AP277" s="36">
        <f t="shared" si="223"/>
        <v>0</v>
      </c>
      <c r="AQ277" s="37" t="s">
        <v>13</v>
      </c>
      <c r="AV277" s="36">
        <f t="shared" si="214"/>
        <v>0</v>
      </c>
      <c r="AW277" s="36">
        <f t="shared" si="215"/>
        <v>0</v>
      </c>
      <c r="AX277" s="36">
        <f t="shared" si="216"/>
        <v>0</v>
      </c>
      <c r="AY277" s="39" t="s">
        <v>2927</v>
      </c>
      <c r="AZ277" s="39" t="s">
        <v>2954</v>
      </c>
      <c r="BA277" s="35" t="s">
        <v>2967</v>
      </c>
      <c r="BC277" s="36">
        <f t="shared" si="217"/>
        <v>0</v>
      </c>
      <c r="BD277" s="36">
        <f t="shared" si="218"/>
        <v>0</v>
      </c>
      <c r="BE277" s="36">
        <v>0</v>
      </c>
      <c r="BF277" s="36">
        <f>277</f>
        <v>277</v>
      </c>
      <c r="BH277" s="20">
        <f t="shared" si="219"/>
        <v>0</v>
      </c>
      <c r="BI277" s="20">
        <f t="shared" si="220"/>
        <v>0</v>
      </c>
      <c r="BJ277" s="20">
        <f t="shared" si="221"/>
        <v>0</v>
      </c>
      <c r="BK277" s="20" t="s">
        <v>2978</v>
      </c>
      <c r="BL277" s="36">
        <v>721</v>
      </c>
    </row>
    <row r="278" spans="1:64" x14ac:dyDescent="0.2">
      <c r="A278" s="4" t="s">
        <v>218</v>
      </c>
      <c r="B278" s="13" t="s">
        <v>1148</v>
      </c>
      <c r="C278" s="174" t="s">
        <v>2113</v>
      </c>
      <c r="D278" s="175"/>
      <c r="E278" s="175"/>
      <c r="F278" s="175"/>
      <c r="G278" s="13" t="s">
        <v>2860</v>
      </c>
      <c r="H278" s="82">
        <v>2</v>
      </c>
      <c r="I278" s="109">
        <v>0</v>
      </c>
      <c r="J278" s="20">
        <f t="shared" si="200"/>
        <v>0</v>
      </c>
      <c r="K278" s="20">
        <f t="shared" si="201"/>
        <v>0</v>
      </c>
      <c r="L278" s="20">
        <f t="shared" si="202"/>
        <v>0</v>
      </c>
      <c r="M278" s="31" t="s">
        <v>2884</v>
      </c>
      <c r="N278" s="5"/>
      <c r="Z278" s="36">
        <f t="shared" si="203"/>
        <v>0</v>
      </c>
      <c r="AB278" s="36">
        <f t="shared" si="204"/>
        <v>0</v>
      </c>
      <c r="AC278" s="36">
        <f t="shared" si="205"/>
        <v>0</v>
      </c>
      <c r="AD278" s="36">
        <f t="shared" si="206"/>
        <v>0</v>
      </c>
      <c r="AE278" s="36">
        <f t="shared" si="207"/>
        <v>0</v>
      </c>
      <c r="AF278" s="36">
        <f t="shared" si="208"/>
        <v>0</v>
      </c>
      <c r="AG278" s="36">
        <f t="shared" si="209"/>
        <v>0</v>
      </c>
      <c r="AH278" s="36">
        <f t="shared" si="210"/>
        <v>0</v>
      </c>
      <c r="AI278" s="35" t="s">
        <v>2894</v>
      </c>
      <c r="AJ278" s="20">
        <f t="shared" si="211"/>
        <v>0</v>
      </c>
      <c r="AK278" s="20">
        <f t="shared" si="212"/>
        <v>0</v>
      </c>
      <c r="AL278" s="20">
        <f t="shared" si="213"/>
        <v>0</v>
      </c>
      <c r="AN278" s="36">
        <v>21</v>
      </c>
      <c r="AO278" s="36">
        <f t="shared" si="222"/>
        <v>0</v>
      </c>
      <c r="AP278" s="36">
        <f t="shared" si="223"/>
        <v>0</v>
      </c>
      <c r="AQ278" s="37" t="s">
        <v>13</v>
      </c>
      <c r="AV278" s="36">
        <f t="shared" si="214"/>
        <v>0</v>
      </c>
      <c r="AW278" s="36">
        <f t="shared" si="215"/>
        <v>0</v>
      </c>
      <c r="AX278" s="36">
        <f t="shared" si="216"/>
        <v>0</v>
      </c>
      <c r="AY278" s="39" t="s">
        <v>2927</v>
      </c>
      <c r="AZ278" s="39" t="s">
        <v>2954</v>
      </c>
      <c r="BA278" s="35" t="s">
        <v>2967</v>
      </c>
      <c r="BC278" s="36">
        <f t="shared" si="217"/>
        <v>0</v>
      </c>
      <c r="BD278" s="36">
        <f t="shared" si="218"/>
        <v>0</v>
      </c>
      <c r="BE278" s="36">
        <v>0</v>
      </c>
      <c r="BF278" s="36">
        <f>278</f>
        <v>278</v>
      </c>
      <c r="BH278" s="20">
        <f t="shared" si="219"/>
        <v>0</v>
      </c>
      <c r="BI278" s="20">
        <f t="shared" si="220"/>
        <v>0</v>
      </c>
      <c r="BJ278" s="20">
        <f t="shared" si="221"/>
        <v>0</v>
      </c>
      <c r="BK278" s="20" t="s">
        <v>2978</v>
      </c>
      <c r="BL278" s="36">
        <v>721</v>
      </c>
    </row>
    <row r="279" spans="1:64" x14ac:dyDescent="0.2">
      <c r="A279" s="4" t="s">
        <v>219</v>
      </c>
      <c r="B279" s="13" t="s">
        <v>1149</v>
      </c>
      <c r="C279" s="174" t="s">
        <v>2114</v>
      </c>
      <c r="D279" s="175"/>
      <c r="E279" s="175"/>
      <c r="F279" s="175"/>
      <c r="G279" s="13" t="s">
        <v>2862</v>
      </c>
      <c r="H279" s="82">
        <v>75</v>
      </c>
      <c r="I279" s="109">
        <v>0</v>
      </c>
      <c r="J279" s="20">
        <f t="shared" si="200"/>
        <v>0</v>
      </c>
      <c r="K279" s="20">
        <f t="shared" si="201"/>
        <v>0</v>
      </c>
      <c r="L279" s="20">
        <f t="shared" si="202"/>
        <v>0</v>
      </c>
      <c r="M279" s="31" t="s">
        <v>2884</v>
      </c>
      <c r="N279" s="5"/>
      <c r="Z279" s="36">
        <f t="shared" si="203"/>
        <v>0</v>
      </c>
      <c r="AB279" s="36">
        <f t="shared" si="204"/>
        <v>0</v>
      </c>
      <c r="AC279" s="36">
        <f t="shared" si="205"/>
        <v>0</v>
      </c>
      <c r="AD279" s="36">
        <f t="shared" si="206"/>
        <v>0</v>
      </c>
      <c r="AE279" s="36">
        <f t="shared" si="207"/>
        <v>0</v>
      </c>
      <c r="AF279" s="36">
        <f t="shared" si="208"/>
        <v>0</v>
      </c>
      <c r="AG279" s="36">
        <f t="shared" si="209"/>
        <v>0</v>
      </c>
      <c r="AH279" s="36">
        <f t="shared" si="210"/>
        <v>0</v>
      </c>
      <c r="AI279" s="35" t="s">
        <v>2894</v>
      </c>
      <c r="AJ279" s="20">
        <f t="shared" si="211"/>
        <v>0</v>
      </c>
      <c r="AK279" s="20">
        <f t="shared" si="212"/>
        <v>0</v>
      </c>
      <c r="AL279" s="20">
        <f t="shared" si="213"/>
        <v>0</v>
      </c>
      <c r="AN279" s="36">
        <v>21</v>
      </c>
      <c r="AO279" s="36">
        <f t="shared" si="222"/>
        <v>0</v>
      </c>
      <c r="AP279" s="36">
        <f t="shared" si="223"/>
        <v>0</v>
      </c>
      <c r="AQ279" s="37" t="s">
        <v>13</v>
      </c>
      <c r="AV279" s="36">
        <f t="shared" si="214"/>
        <v>0</v>
      </c>
      <c r="AW279" s="36">
        <f t="shared" si="215"/>
        <v>0</v>
      </c>
      <c r="AX279" s="36">
        <f t="shared" si="216"/>
        <v>0</v>
      </c>
      <c r="AY279" s="39" t="s">
        <v>2927</v>
      </c>
      <c r="AZ279" s="39" t="s">
        <v>2954</v>
      </c>
      <c r="BA279" s="35" t="s">
        <v>2967</v>
      </c>
      <c r="BC279" s="36">
        <f t="shared" si="217"/>
        <v>0</v>
      </c>
      <c r="BD279" s="36">
        <f t="shared" si="218"/>
        <v>0</v>
      </c>
      <c r="BE279" s="36">
        <v>0</v>
      </c>
      <c r="BF279" s="36">
        <f>279</f>
        <v>279</v>
      </c>
      <c r="BH279" s="20">
        <f t="shared" si="219"/>
        <v>0</v>
      </c>
      <c r="BI279" s="20">
        <f t="shared" si="220"/>
        <v>0</v>
      </c>
      <c r="BJ279" s="20">
        <f t="shared" si="221"/>
        <v>0</v>
      </c>
      <c r="BK279" s="20" t="s">
        <v>2978</v>
      </c>
      <c r="BL279" s="36">
        <v>721</v>
      </c>
    </row>
    <row r="280" spans="1:64" x14ac:dyDescent="0.2">
      <c r="A280" s="4" t="s">
        <v>220</v>
      </c>
      <c r="B280" s="13" t="s">
        <v>1150</v>
      </c>
      <c r="C280" s="174" t="s">
        <v>2115</v>
      </c>
      <c r="D280" s="175"/>
      <c r="E280" s="175"/>
      <c r="F280" s="175"/>
      <c r="G280" s="13" t="s">
        <v>2855</v>
      </c>
      <c r="H280" s="82">
        <v>9.5</v>
      </c>
      <c r="I280" s="109">
        <v>0</v>
      </c>
      <c r="J280" s="20">
        <f t="shared" si="200"/>
        <v>0</v>
      </c>
      <c r="K280" s="20">
        <f t="shared" si="201"/>
        <v>0</v>
      </c>
      <c r="L280" s="20">
        <f t="shared" si="202"/>
        <v>0</v>
      </c>
      <c r="M280" s="31" t="s">
        <v>2884</v>
      </c>
      <c r="N280" s="5"/>
      <c r="Z280" s="36">
        <f t="shared" si="203"/>
        <v>0</v>
      </c>
      <c r="AB280" s="36">
        <f t="shared" si="204"/>
        <v>0</v>
      </c>
      <c r="AC280" s="36">
        <f t="shared" si="205"/>
        <v>0</v>
      </c>
      <c r="AD280" s="36">
        <f t="shared" si="206"/>
        <v>0</v>
      </c>
      <c r="AE280" s="36">
        <f t="shared" si="207"/>
        <v>0</v>
      </c>
      <c r="AF280" s="36">
        <f t="shared" si="208"/>
        <v>0</v>
      </c>
      <c r="AG280" s="36">
        <f t="shared" si="209"/>
        <v>0</v>
      </c>
      <c r="AH280" s="36">
        <f t="shared" si="210"/>
        <v>0</v>
      </c>
      <c r="AI280" s="35" t="s">
        <v>2894</v>
      </c>
      <c r="AJ280" s="20">
        <f t="shared" si="211"/>
        <v>0</v>
      </c>
      <c r="AK280" s="20">
        <f t="shared" si="212"/>
        <v>0</v>
      </c>
      <c r="AL280" s="20">
        <f t="shared" si="213"/>
        <v>0</v>
      </c>
      <c r="AN280" s="36">
        <v>21</v>
      </c>
      <c r="AO280" s="36">
        <f>I280*0.53</f>
        <v>0</v>
      </c>
      <c r="AP280" s="36">
        <f>I280*(1-0.53)</f>
        <v>0</v>
      </c>
      <c r="AQ280" s="37" t="s">
        <v>13</v>
      </c>
      <c r="AV280" s="36">
        <f t="shared" si="214"/>
        <v>0</v>
      </c>
      <c r="AW280" s="36">
        <f t="shared" si="215"/>
        <v>0</v>
      </c>
      <c r="AX280" s="36">
        <f t="shared" si="216"/>
        <v>0</v>
      </c>
      <c r="AY280" s="39" t="s">
        <v>2927</v>
      </c>
      <c r="AZ280" s="39" t="s">
        <v>2954</v>
      </c>
      <c r="BA280" s="35" t="s">
        <v>2967</v>
      </c>
      <c r="BC280" s="36">
        <f t="shared" si="217"/>
        <v>0</v>
      </c>
      <c r="BD280" s="36">
        <f t="shared" si="218"/>
        <v>0</v>
      </c>
      <c r="BE280" s="36">
        <v>0</v>
      </c>
      <c r="BF280" s="36">
        <f>280</f>
        <v>280</v>
      </c>
      <c r="BH280" s="20">
        <f t="shared" si="219"/>
        <v>0</v>
      </c>
      <c r="BI280" s="20">
        <f t="shared" si="220"/>
        <v>0</v>
      </c>
      <c r="BJ280" s="20">
        <f t="shared" si="221"/>
        <v>0</v>
      </c>
      <c r="BK280" s="20" t="s">
        <v>2978</v>
      </c>
      <c r="BL280" s="36">
        <v>721</v>
      </c>
    </row>
    <row r="281" spans="1:64" ht="25.7" customHeight="1" x14ac:dyDescent="0.2">
      <c r="A281" s="5"/>
      <c r="B281" s="14"/>
      <c r="C281" s="179" t="s">
        <v>2116</v>
      </c>
      <c r="D281" s="180"/>
      <c r="E281" s="180"/>
      <c r="F281" s="180"/>
      <c r="G281" s="180"/>
      <c r="H281" s="180"/>
      <c r="I281" s="180"/>
      <c r="J281" s="180"/>
      <c r="K281" s="180"/>
      <c r="L281" s="180"/>
      <c r="M281" s="181"/>
      <c r="N281" s="5"/>
    </row>
    <row r="282" spans="1:64" x14ac:dyDescent="0.2">
      <c r="A282" s="4" t="s">
        <v>221</v>
      </c>
      <c r="B282" s="13" t="s">
        <v>1151</v>
      </c>
      <c r="C282" s="174" t="s">
        <v>2117</v>
      </c>
      <c r="D282" s="175"/>
      <c r="E282" s="175"/>
      <c r="F282" s="175"/>
      <c r="G282" s="13" t="s">
        <v>2855</v>
      </c>
      <c r="H282" s="82">
        <v>324.5</v>
      </c>
      <c r="I282" s="109">
        <v>0</v>
      </c>
      <c r="J282" s="20">
        <f t="shared" ref="J282:J288" si="224">H282*AO282</f>
        <v>0</v>
      </c>
      <c r="K282" s="20">
        <f t="shared" ref="K282:K288" si="225">H282*AP282</f>
        <v>0</v>
      </c>
      <c r="L282" s="20">
        <f t="shared" ref="L282:L288" si="226">H282*I282</f>
        <v>0</v>
      </c>
      <c r="M282" s="31" t="s">
        <v>2884</v>
      </c>
      <c r="N282" s="5"/>
      <c r="Z282" s="36">
        <f t="shared" ref="Z282:Z288" si="227">IF(AQ282="5",BJ282,0)</f>
        <v>0</v>
      </c>
      <c r="AB282" s="36">
        <f t="shared" ref="AB282:AB288" si="228">IF(AQ282="1",BH282,0)</f>
        <v>0</v>
      </c>
      <c r="AC282" s="36">
        <f t="shared" ref="AC282:AC288" si="229">IF(AQ282="1",BI282,0)</f>
        <v>0</v>
      </c>
      <c r="AD282" s="36">
        <f t="shared" ref="AD282:AD288" si="230">IF(AQ282="7",BH282,0)</f>
        <v>0</v>
      </c>
      <c r="AE282" s="36">
        <f t="shared" ref="AE282:AE288" si="231">IF(AQ282="7",BI282,0)</f>
        <v>0</v>
      </c>
      <c r="AF282" s="36">
        <f t="shared" ref="AF282:AF288" si="232">IF(AQ282="2",BH282,0)</f>
        <v>0</v>
      </c>
      <c r="AG282" s="36">
        <f t="shared" ref="AG282:AG288" si="233">IF(AQ282="2",BI282,0)</f>
        <v>0</v>
      </c>
      <c r="AH282" s="36">
        <f t="shared" ref="AH282:AH288" si="234">IF(AQ282="0",BJ282,0)</f>
        <v>0</v>
      </c>
      <c r="AI282" s="35" t="s">
        <v>2894</v>
      </c>
      <c r="AJ282" s="20">
        <f t="shared" ref="AJ282:AJ288" si="235">IF(AN282=0,L282,0)</f>
        <v>0</v>
      </c>
      <c r="AK282" s="20">
        <f t="shared" ref="AK282:AK288" si="236">IF(AN282=15,L282,0)</f>
        <v>0</v>
      </c>
      <c r="AL282" s="20">
        <f t="shared" ref="AL282:AL288" si="237">IF(AN282=21,L282,0)</f>
        <v>0</v>
      </c>
      <c r="AN282" s="36">
        <v>21</v>
      </c>
      <c r="AO282" s="36">
        <f t="shared" ref="AO282:AO288" si="238">I282*0</f>
        <v>0</v>
      </c>
      <c r="AP282" s="36">
        <f t="shared" ref="AP282:AP288" si="239">I282*(1-0)</f>
        <v>0</v>
      </c>
      <c r="AQ282" s="37" t="s">
        <v>13</v>
      </c>
      <c r="AV282" s="36">
        <f t="shared" ref="AV282:AV288" si="240">AW282+AX282</f>
        <v>0</v>
      </c>
      <c r="AW282" s="36">
        <f t="shared" ref="AW282:AW288" si="241">H282*AO282</f>
        <v>0</v>
      </c>
      <c r="AX282" s="36">
        <f t="shared" ref="AX282:AX288" si="242">H282*AP282</f>
        <v>0</v>
      </c>
      <c r="AY282" s="39" t="s">
        <v>2927</v>
      </c>
      <c r="AZ282" s="39" t="s">
        <v>2954</v>
      </c>
      <c r="BA282" s="35" t="s">
        <v>2967</v>
      </c>
      <c r="BC282" s="36">
        <f t="shared" ref="BC282:BC288" si="243">AW282+AX282</f>
        <v>0</v>
      </c>
      <c r="BD282" s="36">
        <f t="shared" ref="BD282:BD288" si="244">I282/(100-BE282)*100</f>
        <v>0</v>
      </c>
      <c r="BE282" s="36">
        <v>0</v>
      </c>
      <c r="BF282" s="36">
        <f>282</f>
        <v>282</v>
      </c>
      <c r="BH282" s="20">
        <f t="shared" ref="BH282:BH288" si="245">H282*AO282</f>
        <v>0</v>
      </c>
      <c r="BI282" s="20">
        <f t="shared" ref="BI282:BI288" si="246">H282*AP282</f>
        <v>0</v>
      </c>
      <c r="BJ282" s="20">
        <f t="shared" ref="BJ282:BJ288" si="247">H282*I282</f>
        <v>0</v>
      </c>
      <c r="BK282" s="20" t="s">
        <v>2978</v>
      </c>
      <c r="BL282" s="36">
        <v>721</v>
      </c>
    </row>
    <row r="283" spans="1:64" x14ac:dyDescent="0.2">
      <c r="A283" s="4" t="s">
        <v>222</v>
      </c>
      <c r="B283" s="13" t="s">
        <v>1152</v>
      </c>
      <c r="C283" s="174" t="s">
        <v>2118</v>
      </c>
      <c r="D283" s="175"/>
      <c r="E283" s="175"/>
      <c r="F283" s="175"/>
      <c r="G283" s="13" t="s">
        <v>2855</v>
      </c>
      <c r="H283" s="82">
        <v>324.5</v>
      </c>
      <c r="I283" s="109">
        <v>0</v>
      </c>
      <c r="J283" s="20">
        <f t="shared" si="224"/>
        <v>0</v>
      </c>
      <c r="K283" s="20">
        <f t="shared" si="225"/>
        <v>0</v>
      </c>
      <c r="L283" s="20">
        <f t="shared" si="226"/>
        <v>0</v>
      </c>
      <c r="M283" s="31" t="s">
        <v>2884</v>
      </c>
      <c r="N283" s="5"/>
      <c r="Z283" s="36">
        <f t="shared" si="227"/>
        <v>0</v>
      </c>
      <c r="AB283" s="36">
        <f t="shared" si="228"/>
        <v>0</v>
      </c>
      <c r="AC283" s="36">
        <f t="shared" si="229"/>
        <v>0</v>
      </c>
      <c r="AD283" s="36">
        <f t="shared" si="230"/>
        <v>0</v>
      </c>
      <c r="AE283" s="36">
        <f t="shared" si="231"/>
        <v>0</v>
      </c>
      <c r="AF283" s="36">
        <f t="shared" si="232"/>
        <v>0</v>
      </c>
      <c r="AG283" s="36">
        <f t="shared" si="233"/>
        <v>0</v>
      </c>
      <c r="AH283" s="36">
        <f t="shared" si="234"/>
        <v>0</v>
      </c>
      <c r="AI283" s="35" t="s">
        <v>2894</v>
      </c>
      <c r="AJ283" s="20">
        <f t="shared" si="235"/>
        <v>0</v>
      </c>
      <c r="AK283" s="20">
        <f t="shared" si="236"/>
        <v>0</v>
      </c>
      <c r="AL283" s="20">
        <f t="shared" si="237"/>
        <v>0</v>
      </c>
      <c r="AN283" s="36">
        <v>21</v>
      </c>
      <c r="AO283" s="36">
        <f t="shared" si="238"/>
        <v>0</v>
      </c>
      <c r="AP283" s="36">
        <f t="shared" si="239"/>
        <v>0</v>
      </c>
      <c r="AQ283" s="37" t="s">
        <v>13</v>
      </c>
      <c r="AV283" s="36">
        <f t="shared" si="240"/>
        <v>0</v>
      </c>
      <c r="AW283" s="36">
        <f t="shared" si="241"/>
        <v>0</v>
      </c>
      <c r="AX283" s="36">
        <f t="shared" si="242"/>
        <v>0</v>
      </c>
      <c r="AY283" s="39" t="s">
        <v>2927</v>
      </c>
      <c r="AZ283" s="39" t="s">
        <v>2954</v>
      </c>
      <c r="BA283" s="35" t="s">
        <v>2967</v>
      </c>
      <c r="BC283" s="36">
        <f t="shared" si="243"/>
        <v>0</v>
      </c>
      <c r="BD283" s="36">
        <f t="shared" si="244"/>
        <v>0</v>
      </c>
      <c r="BE283" s="36">
        <v>0</v>
      </c>
      <c r="BF283" s="36">
        <f>283</f>
        <v>283</v>
      </c>
      <c r="BH283" s="20">
        <f t="shared" si="245"/>
        <v>0</v>
      </c>
      <c r="BI283" s="20">
        <f t="shared" si="246"/>
        <v>0</v>
      </c>
      <c r="BJ283" s="20">
        <f t="shared" si="247"/>
        <v>0</v>
      </c>
      <c r="BK283" s="20" t="s">
        <v>2978</v>
      </c>
      <c r="BL283" s="36">
        <v>721</v>
      </c>
    </row>
    <row r="284" spans="1:64" x14ac:dyDescent="0.2">
      <c r="A284" s="4" t="s">
        <v>223</v>
      </c>
      <c r="B284" s="13" t="s">
        <v>1153</v>
      </c>
      <c r="C284" s="174" t="s">
        <v>2119</v>
      </c>
      <c r="D284" s="175"/>
      <c r="E284" s="175"/>
      <c r="F284" s="175"/>
      <c r="G284" s="13" t="s">
        <v>2855</v>
      </c>
      <c r="H284" s="82">
        <v>324.5</v>
      </c>
      <c r="I284" s="109">
        <v>0</v>
      </c>
      <c r="J284" s="20">
        <f t="shared" si="224"/>
        <v>0</v>
      </c>
      <c r="K284" s="20">
        <f t="shared" si="225"/>
        <v>0</v>
      </c>
      <c r="L284" s="20">
        <f t="shared" si="226"/>
        <v>0</v>
      </c>
      <c r="M284" s="31" t="s">
        <v>2884</v>
      </c>
      <c r="N284" s="5"/>
      <c r="Z284" s="36">
        <f t="shared" si="227"/>
        <v>0</v>
      </c>
      <c r="AB284" s="36">
        <f t="shared" si="228"/>
        <v>0</v>
      </c>
      <c r="AC284" s="36">
        <f t="shared" si="229"/>
        <v>0</v>
      </c>
      <c r="AD284" s="36">
        <f t="shared" si="230"/>
        <v>0</v>
      </c>
      <c r="AE284" s="36">
        <f t="shared" si="231"/>
        <v>0</v>
      </c>
      <c r="AF284" s="36">
        <f t="shared" si="232"/>
        <v>0</v>
      </c>
      <c r="AG284" s="36">
        <f t="shared" si="233"/>
        <v>0</v>
      </c>
      <c r="AH284" s="36">
        <f t="shared" si="234"/>
        <v>0</v>
      </c>
      <c r="AI284" s="35" t="s">
        <v>2894</v>
      </c>
      <c r="AJ284" s="20">
        <f t="shared" si="235"/>
        <v>0</v>
      </c>
      <c r="AK284" s="20">
        <f t="shared" si="236"/>
        <v>0</v>
      </c>
      <c r="AL284" s="20">
        <f t="shared" si="237"/>
        <v>0</v>
      </c>
      <c r="AN284" s="36">
        <v>21</v>
      </c>
      <c r="AO284" s="36">
        <f t="shared" si="238"/>
        <v>0</v>
      </c>
      <c r="AP284" s="36">
        <f t="shared" si="239"/>
        <v>0</v>
      </c>
      <c r="AQ284" s="37" t="s">
        <v>13</v>
      </c>
      <c r="AV284" s="36">
        <f t="shared" si="240"/>
        <v>0</v>
      </c>
      <c r="AW284" s="36">
        <f t="shared" si="241"/>
        <v>0</v>
      </c>
      <c r="AX284" s="36">
        <f t="shared" si="242"/>
        <v>0</v>
      </c>
      <c r="AY284" s="39" t="s">
        <v>2927</v>
      </c>
      <c r="AZ284" s="39" t="s">
        <v>2954</v>
      </c>
      <c r="BA284" s="35" t="s">
        <v>2967</v>
      </c>
      <c r="BC284" s="36">
        <f t="shared" si="243"/>
        <v>0</v>
      </c>
      <c r="BD284" s="36">
        <f t="shared" si="244"/>
        <v>0</v>
      </c>
      <c r="BE284" s="36">
        <v>0</v>
      </c>
      <c r="BF284" s="36">
        <f>284</f>
        <v>284</v>
      </c>
      <c r="BH284" s="20">
        <f t="shared" si="245"/>
        <v>0</v>
      </c>
      <c r="BI284" s="20">
        <f t="shared" si="246"/>
        <v>0</v>
      </c>
      <c r="BJ284" s="20">
        <f t="shared" si="247"/>
        <v>0</v>
      </c>
      <c r="BK284" s="20" t="s">
        <v>2978</v>
      </c>
      <c r="BL284" s="36">
        <v>721</v>
      </c>
    </row>
    <row r="285" spans="1:64" x14ac:dyDescent="0.2">
      <c r="A285" s="4" t="s">
        <v>224</v>
      </c>
      <c r="B285" s="13" t="s">
        <v>1154</v>
      </c>
      <c r="C285" s="174" t="s">
        <v>2120</v>
      </c>
      <c r="D285" s="175"/>
      <c r="E285" s="175"/>
      <c r="F285" s="175"/>
      <c r="G285" s="13" t="s">
        <v>2862</v>
      </c>
      <c r="H285" s="82">
        <v>50</v>
      </c>
      <c r="I285" s="109">
        <v>0</v>
      </c>
      <c r="J285" s="20">
        <f t="shared" si="224"/>
        <v>0</v>
      </c>
      <c r="K285" s="20">
        <f t="shared" si="225"/>
        <v>0</v>
      </c>
      <c r="L285" s="20">
        <f t="shared" si="226"/>
        <v>0</v>
      </c>
      <c r="M285" s="31" t="s">
        <v>2884</v>
      </c>
      <c r="N285" s="5"/>
      <c r="Z285" s="36">
        <f t="shared" si="227"/>
        <v>0</v>
      </c>
      <c r="AB285" s="36">
        <f t="shared" si="228"/>
        <v>0</v>
      </c>
      <c r="AC285" s="36">
        <f t="shared" si="229"/>
        <v>0</v>
      </c>
      <c r="AD285" s="36">
        <f t="shared" si="230"/>
        <v>0</v>
      </c>
      <c r="AE285" s="36">
        <f t="shared" si="231"/>
        <v>0</v>
      </c>
      <c r="AF285" s="36">
        <f t="shared" si="232"/>
        <v>0</v>
      </c>
      <c r="AG285" s="36">
        <f t="shared" si="233"/>
        <v>0</v>
      </c>
      <c r="AH285" s="36">
        <f t="shared" si="234"/>
        <v>0</v>
      </c>
      <c r="AI285" s="35" t="s">
        <v>2894</v>
      </c>
      <c r="AJ285" s="20">
        <f t="shared" si="235"/>
        <v>0</v>
      </c>
      <c r="AK285" s="20">
        <f t="shared" si="236"/>
        <v>0</v>
      </c>
      <c r="AL285" s="20">
        <f t="shared" si="237"/>
        <v>0</v>
      </c>
      <c r="AN285" s="36">
        <v>21</v>
      </c>
      <c r="AO285" s="36">
        <f t="shared" si="238"/>
        <v>0</v>
      </c>
      <c r="AP285" s="36">
        <f t="shared" si="239"/>
        <v>0</v>
      </c>
      <c r="AQ285" s="37" t="s">
        <v>13</v>
      </c>
      <c r="AV285" s="36">
        <f t="shared" si="240"/>
        <v>0</v>
      </c>
      <c r="AW285" s="36">
        <f t="shared" si="241"/>
        <v>0</v>
      </c>
      <c r="AX285" s="36">
        <f t="shared" si="242"/>
        <v>0</v>
      </c>
      <c r="AY285" s="39" t="s">
        <v>2927</v>
      </c>
      <c r="AZ285" s="39" t="s">
        <v>2954</v>
      </c>
      <c r="BA285" s="35" t="s">
        <v>2967</v>
      </c>
      <c r="BC285" s="36">
        <f t="shared" si="243"/>
        <v>0</v>
      </c>
      <c r="BD285" s="36">
        <f t="shared" si="244"/>
        <v>0</v>
      </c>
      <c r="BE285" s="36">
        <v>0</v>
      </c>
      <c r="BF285" s="36">
        <f>285</f>
        <v>285</v>
      </c>
      <c r="BH285" s="20">
        <f t="shared" si="245"/>
        <v>0</v>
      </c>
      <c r="BI285" s="20">
        <f t="shared" si="246"/>
        <v>0</v>
      </c>
      <c r="BJ285" s="20">
        <f t="shared" si="247"/>
        <v>0</v>
      </c>
      <c r="BK285" s="20" t="s">
        <v>2978</v>
      </c>
      <c r="BL285" s="36">
        <v>721</v>
      </c>
    </row>
    <row r="286" spans="1:64" x14ac:dyDescent="0.2">
      <c r="A286" s="4" t="s">
        <v>225</v>
      </c>
      <c r="B286" s="13" t="s">
        <v>1155</v>
      </c>
      <c r="C286" s="174" t="s">
        <v>2121</v>
      </c>
      <c r="D286" s="175"/>
      <c r="E286" s="175"/>
      <c r="F286" s="175"/>
      <c r="G286" s="13" t="s">
        <v>2861</v>
      </c>
      <c r="H286" s="82">
        <v>1</v>
      </c>
      <c r="I286" s="109">
        <v>0</v>
      </c>
      <c r="J286" s="20">
        <f t="shared" si="224"/>
        <v>0</v>
      </c>
      <c r="K286" s="20">
        <f t="shared" si="225"/>
        <v>0</v>
      </c>
      <c r="L286" s="20">
        <f t="shared" si="226"/>
        <v>0</v>
      </c>
      <c r="M286" s="31" t="s">
        <v>2884</v>
      </c>
      <c r="N286" s="5"/>
      <c r="Z286" s="36">
        <f t="shared" si="227"/>
        <v>0</v>
      </c>
      <c r="AB286" s="36">
        <f t="shared" si="228"/>
        <v>0</v>
      </c>
      <c r="AC286" s="36">
        <f t="shared" si="229"/>
        <v>0</v>
      </c>
      <c r="AD286" s="36">
        <f t="shared" si="230"/>
        <v>0</v>
      </c>
      <c r="AE286" s="36">
        <f t="shared" si="231"/>
        <v>0</v>
      </c>
      <c r="AF286" s="36">
        <f t="shared" si="232"/>
        <v>0</v>
      </c>
      <c r="AG286" s="36">
        <f t="shared" si="233"/>
        <v>0</v>
      </c>
      <c r="AH286" s="36">
        <f t="shared" si="234"/>
        <v>0</v>
      </c>
      <c r="AI286" s="35" t="s">
        <v>2894</v>
      </c>
      <c r="AJ286" s="20">
        <f t="shared" si="235"/>
        <v>0</v>
      </c>
      <c r="AK286" s="20">
        <f t="shared" si="236"/>
        <v>0</v>
      </c>
      <c r="AL286" s="20">
        <f t="shared" si="237"/>
        <v>0</v>
      </c>
      <c r="AN286" s="36">
        <v>21</v>
      </c>
      <c r="AO286" s="36">
        <f t="shared" si="238"/>
        <v>0</v>
      </c>
      <c r="AP286" s="36">
        <f t="shared" si="239"/>
        <v>0</v>
      </c>
      <c r="AQ286" s="37" t="s">
        <v>13</v>
      </c>
      <c r="AV286" s="36">
        <f t="shared" si="240"/>
        <v>0</v>
      </c>
      <c r="AW286" s="36">
        <f t="shared" si="241"/>
        <v>0</v>
      </c>
      <c r="AX286" s="36">
        <f t="shared" si="242"/>
        <v>0</v>
      </c>
      <c r="AY286" s="39" t="s">
        <v>2927</v>
      </c>
      <c r="AZ286" s="39" t="s">
        <v>2954</v>
      </c>
      <c r="BA286" s="35" t="s">
        <v>2967</v>
      </c>
      <c r="BC286" s="36">
        <f t="shared" si="243"/>
        <v>0</v>
      </c>
      <c r="BD286" s="36">
        <f t="shared" si="244"/>
        <v>0</v>
      </c>
      <c r="BE286" s="36">
        <v>0</v>
      </c>
      <c r="BF286" s="36">
        <f>286</f>
        <v>286</v>
      </c>
      <c r="BH286" s="20">
        <f t="shared" si="245"/>
        <v>0</v>
      </c>
      <c r="BI286" s="20">
        <f t="shared" si="246"/>
        <v>0</v>
      </c>
      <c r="BJ286" s="20">
        <f t="shared" si="247"/>
        <v>0</v>
      </c>
      <c r="BK286" s="20" t="s">
        <v>2978</v>
      </c>
      <c r="BL286" s="36">
        <v>721</v>
      </c>
    </row>
    <row r="287" spans="1:64" x14ac:dyDescent="0.2">
      <c r="A287" s="4" t="s">
        <v>226</v>
      </c>
      <c r="B287" s="13" t="s">
        <v>1156</v>
      </c>
      <c r="C287" s="174" t="s">
        <v>2122</v>
      </c>
      <c r="D287" s="175"/>
      <c r="E287" s="175"/>
      <c r="F287" s="175"/>
      <c r="G287" s="13" t="s">
        <v>2860</v>
      </c>
      <c r="H287" s="82">
        <v>1</v>
      </c>
      <c r="I287" s="109">
        <v>0</v>
      </c>
      <c r="J287" s="20">
        <f t="shared" si="224"/>
        <v>0</v>
      </c>
      <c r="K287" s="20">
        <f t="shared" si="225"/>
        <v>0</v>
      </c>
      <c r="L287" s="20">
        <f t="shared" si="226"/>
        <v>0</v>
      </c>
      <c r="M287" s="31" t="s">
        <v>2884</v>
      </c>
      <c r="N287" s="5"/>
      <c r="Z287" s="36">
        <f t="shared" si="227"/>
        <v>0</v>
      </c>
      <c r="AB287" s="36">
        <f t="shared" si="228"/>
        <v>0</v>
      </c>
      <c r="AC287" s="36">
        <f t="shared" si="229"/>
        <v>0</v>
      </c>
      <c r="AD287" s="36">
        <f t="shared" si="230"/>
        <v>0</v>
      </c>
      <c r="AE287" s="36">
        <f t="shared" si="231"/>
        <v>0</v>
      </c>
      <c r="AF287" s="36">
        <f t="shared" si="232"/>
        <v>0</v>
      </c>
      <c r="AG287" s="36">
        <f t="shared" si="233"/>
        <v>0</v>
      </c>
      <c r="AH287" s="36">
        <f t="shared" si="234"/>
        <v>0</v>
      </c>
      <c r="AI287" s="35" t="s">
        <v>2894</v>
      </c>
      <c r="AJ287" s="20">
        <f t="shared" si="235"/>
        <v>0</v>
      </c>
      <c r="AK287" s="20">
        <f t="shared" si="236"/>
        <v>0</v>
      </c>
      <c r="AL287" s="20">
        <f t="shared" si="237"/>
        <v>0</v>
      </c>
      <c r="AN287" s="36">
        <v>21</v>
      </c>
      <c r="AO287" s="36">
        <f t="shared" si="238"/>
        <v>0</v>
      </c>
      <c r="AP287" s="36">
        <f t="shared" si="239"/>
        <v>0</v>
      </c>
      <c r="AQ287" s="37" t="s">
        <v>13</v>
      </c>
      <c r="AV287" s="36">
        <f t="shared" si="240"/>
        <v>0</v>
      </c>
      <c r="AW287" s="36">
        <f t="shared" si="241"/>
        <v>0</v>
      </c>
      <c r="AX287" s="36">
        <f t="shared" si="242"/>
        <v>0</v>
      </c>
      <c r="AY287" s="39" t="s">
        <v>2927</v>
      </c>
      <c r="AZ287" s="39" t="s">
        <v>2954</v>
      </c>
      <c r="BA287" s="35" t="s">
        <v>2967</v>
      </c>
      <c r="BC287" s="36">
        <f t="shared" si="243"/>
        <v>0</v>
      </c>
      <c r="BD287" s="36">
        <f t="shared" si="244"/>
        <v>0</v>
      </c>
      <c r="BE287" s="36">
        <v>0</v>
      </c>
      <c r="BF287" s="36">
        <f>287</f>
        <v>287</v>
      </c>
      <c r="BH287" s="20">
        <f t="shared" si="245"/>
        <v>0</v>
      </c>
      <c r="BI287" s="20">
        <f t="shared" si="246"/>
        <v>0</v>
      </c>
      <c r="BJ287" s="20">
        <f t="shared" si="247"/>
        <v>0</v>
      </c>
      <c r="BK287" s="20" t="s">
        <v>2978</v>
      </c>
      <c r="BL287" s="36">
        <v>721</v>
      </c>
    </row>
    <row r="288" spans="1:64" x14ac:dyDescent="0.2">
      <c r="A288" s="4" t="s">
        <v>227</v>
      </c>
      <c r="B288" s="13" t="s">
        <v>1157</v>
      </c>
      <c r="C288" s="174" t="s">
        <v>2123</v>
      </c>
      <c r="D288" s="175"/>
      <c r="E288" s="175"/>
      <c r="F288" s="175"/>
      <c r="G288" s="13" t="s">
        <v>2861</v>
      </c>
      <c r="H288" s="82">
        <v>1</v>
      </c>
      <c r="I288" s="109">
        <v>0</v>
      </c>
      <c r="J288" s="20">
        <f t="shared" si="224"/>
        <v>0</v>
      </c>
      <c r="K288" s="20">
        <f t="shared" si="225"/>
        <v>0</v>
      </c>
      <c r="L288" s="20">
        <f t="shared" si="226"/>
        <v>0</v>
      </c>
      <c r="M288" s="31" t="s">
        <v>2884</v>
      </c>
      <c r="N288" s="5"/>
      <c r="Z288" s="36">
        <f t="shared" si="227"/>
        <v>0</v>
      </c>
      <c r="AB288" s="36">
        <f t="shared" si="228"/>
        <v>0</v>
      </c>
      <c r="AC288" s="36">
        <f t="shared" si="229"/>
        <v>0</v>
      </c>
      <c r="AD288" s="36">
        <f t="shared" si="230"/>
        <v>0</v>
      </c>
      <c r="AE288" s="36">
        <f t="shared" si="231"/>
        <v>0</v>
      </c>
      <c r="AF288" s="36">
        <f t="shared" si="232"/>
        <v>0</v>
      </c>
      <c r="AG288" s="36">
        <f t="shared" si="233"/>
        <v>0</v>
      </c>
      <c r="AH288" s="36">
        <f t="shared" si="234"/>
        <v>0</v>
      </c>
      <c r="AI288" s="35" t="s">
        <v>2894</v>
      </c>
      <c r="AJ288" s="20">
        <f t="shared" si="235"/>
        <v>0</v>
      </c>
      <c r="AK288" s="20">
        <f t="shared" si="236"/>
        <v>0</v>
      </c>
      <c r="AL288" s="20">
        <f t="shared" si="237"/>
        <v>0</v>
      </c>
      <c r="AN288" s="36">
        <v>21</v>
      </c>
      <c r="AO288" s="36">
        <f t="shared" si="238"/>
        <v>0</v>
      </c>
      <c r="AP288" s="36">
        <f t="shared" si="239"/>
        <v>0</v>
      </c>
      <c r="AQ288" s="37" t="s">
        <v>13</v>
      </c>
      <c r="AV288" s="36">
        <f t="shared" si="240"/>
        <v>0</v>
      </c>
      <c r="AW288" s="36">
        <f t="shared" si="241"/>
        <v>0</v>
      </c>
      <c r="AX288" s="36">
        <f t="shared" si="242"/>
        <v>0</v>
      </c>
      <c r="AY288" s="39" t="s">
        <v>2927</v>
      </c>
      <c r="AZ288" s="39" t="s">
        <v>2954</v>
      </c>
      <c r="BA288" s="35" t="s">
        <v>2967</v>
      </c>
      <c r="BC288" s="36">
        <f t="shared" si="243"/>
        <v>0</v>
      </c>
      <c r="BD288" s="36">
        <f t="shared" si="244"/>
        <v>0</v>
      </c>
      <c r="BE288" s="36">
        <v>0</v>
      </c>
      <c r="BF288" s="36">
        <f>288</f>
        <v>288</v>
      </c>
      <c r="BH288" s="20">
        <f t="shared" si="245"/>
        <v>0</v>
      </c>
      <c r="BI288" s="20">
        <f t="shared" si="246"/>
        <v>0</v>
      </c>
      <c r="BJ288" s="20">
        <f t="shared" si="247"/>
        <v>0</v>
      </c>
      <c r="BK288" s="20" t="s">
        <v>2978</v>
      </c>
      <c r="BL288" s="36">
        <v>721</v>
      </c>
    </row>
    <row r="289" spans="1:64" x14ac:dyDescent="0.2">
      <c r="A289" s="3"/>
      <c r="B289" s="12" t="s">
        <v>728</v>
      </c>
      <c r="C289" s="172" t="s">
        <v>2124</v>
      </c>
      <c r="D289" s="173"/>
      <c r="E289" s="173"/>
      <c r="F289" s="173"/>
      <c r="G289" s="18" t="s">
        <v>6</v>
      </c>
      <c r="H289" s="18" t="s">
        <v>6</v>
      </c>
      <c r="I289" s="18" t="s">
        <v>6</v>
      </c>
      <c r="J289" s="41">
        <f>SUM(J290:J399)</f>
        <v>0</v>
      </c>
      <c r="K289" s="41">
        <f>SUM(K290:K399)</f>
        <v>0</v>
      </c>
      <c r="L289" s="41">
        <f>SUM(L290:L399)</f>
        <v>0</v>
      </c>
      <c r="M289" s="30"/>
      <c r="N289" s="5"/>
      <c r="AI289" s="35" t="s">
        <v>2894</v>
      </c>
      <c r="AS289" s="41">
        <f>SUM(AJ290:AJ399)</f>
        <v>0</v>
      </c>
      <c r="AT289" s="41">
        <f>SUM(AK290:AK399)</f>
        <v>0</v>
      </c>
      <c r="AU289" s="41">
        <f>SUM(AL290:AL399)</f>
        <v>0</v>
      </c>
    </row>
    <row r="290" spans="1:64" x14ac:dyDescent="0.2">
      <c r="A290" s="4" t="s">
        <v>228</v>
      </c>
      <c r="B290" s="13" t="s">
        <v>1158</v>
      </c>
      <c r="C290" s="174" t="s">
        <v>2125</v>
      </c>
      <c r="D290" s="175"/>
      <c r="E290" s="175"/>
      <c r="F290" s="175"/>
      <c r="G290" s="13" t="s">
        <v>2855</v>
      </c>
      <c r="H290" s="82">
        <v>198</v>
      </c>
      <c r="I290" s="109">
        <v>0</v>
      </c>
      <c r="J290" s="20">
        <f>H290*AO290</f>
        <v>0</v>
      </c>
      <c r="K290" s="20">
        <f>H290*AP290</f>
        <v>0</v>
      </c>
      <c r="L290" s="20">
        <f>H290*I290</f>
        <v>0</v>
      </c>
      <c r="M290" s="31" t="s">
        <v>2884</v>
      </c>
      <c r="N290" s="5"/>
      <c r="Z290" s="36">
        <f>IF(AQ290="5",BJ290,0)</f>
        <v>0</v>
      </c>
      <c r="AB290" s="36">
        <f>IF(AQ290="1",BH290,0)</f>
        <v>0</v>
      </c>
      <c r="AC290" s="36">
        <f>IF(AQ290="1",BI290,0)</f>
        <v>0</v>
      </c>
      <c r="AD290" s="36">
        <f>IF(AQ290="7",BH290,0)</f>
        <v>0</v>
      </c>
      <c r="AE290" s="36">
        <f>IF(AQ290="7",BI290,0)</f>
        <v>0</v>
      </c>
      <c r="AF290" s="36">
        <f>IF(AQ290="2",BH290,0)</f>
        <v>0</v>
      </c>
      <c r="AG290" s="36">
        <f>IF(AQ290="2",BI290,0)</f>
        <v>0</v>
      </c>
      <c r="AH290" s="36">
        <f>IF(AQ290="0",BJ290,0)</f>
        <v>0</v>
      </c>
      <c r="AI290" s="35" t="s">
        <v>2894</v>
      </c>
      <c r="AJ290" s="20">
        <f>IF(AN290=0,L290,0)</f>
        <v>0</v>
      </c>
      <c r="AK290" s="20">
        <f>IF(AN290=15,L290,0)</f>
        <v>0</v>
      </c>
      <c r="AL290" s="20">
        <f>IF(AN290=21,L290,0)</f>
        <v>0</v>
      </c>
      <c r="AN290" s="36">
        <v>21</v>
      </c>
      <c r="AO290" s="36">
        <f>I290*0.53</f>
        <v>0</v>
      </c>
      <c r="AP290" s="36">
        <f>I290*(1-0.53)</f>
        <v>0</v>
      </c>
      <c r="AQ290" s="37" t="s">
        <v>13</v>
      </c>
      <c r="AV290" s="36">
        <f>AW290+AX290</f>
        <v>0</v>
      </c>
      <c r="AW290" s="36">
        <f>H290*AO290</f>
        <v>0</v>
      </c>
      <c r="AX290" s="36">
        <f>H290*AP290</f>
        <v>0</v>
      </c>
      <c r="AY290" s="39" t="s">
        <v>2928</v>
      </c>
      <c r="AZ290" s="39" t="s">
        <v>2954</v>
      </c>
      <c r="BA290" s="35" t="s">
        <v>2967</v>
      </c>
      <c r="BC290" s="36">
        <f>AW290+AX290</f>
        <v>0</v>
      </c>
      <c r="BD290" s="36">
        <f>I290/(100-BE290)*100</f>
        <v>0</v>
      </c>
      <c r="BE290" s="36">
        <v>0</v>
      </c>
      <c r="BF290" s="36">
        <f>290</f>
        <v>290</v>
      </c>
      <c r="BH290" s="20">
        <f>H290*AO290</f>
        <v>0</v>
      </c>
      <c r="BI290" s="20">
        <f>H290*AP290</f>
        <v>0</v>
      </c>
      <c r="BJ290" s="20">
        <f>H290*I290</f>
        <v>0</v>
      </c>
      <c r="BK290" s="20" t="s">
        <v>2978</v>
      </c>
      <c r="BL290" s="36">
        <v>722</v>
      </c>
    </row>
    <row r="291" spans="1:64" ht="25.7" customHeight="1" x14ac:dyDescent="0.2">
      <c r="A291" s="5"/>
      <c r="B291" s="14"/>
      <c r="C291" s="179" t="s">
        <v>2126</v>
      </c>
      <c r="D291" s="180"/>
      <c r="E291" s="180"/>
      <c r="F291" s="180"/>
      <c r="G291" s="180"/>
      <c r="H291" s="180"/>
      <c r="I291" s="180"/>
      <c r="J291" s="180"/>
      <c r="K291" s="180"/>
      <c r="L291" s="180"/>
      <c r="M291" s="181"/>
      <c r="N291" s="5"/>
    </row>
    <row r="292" spans="1:64" x14ac:dyDescent="0.2">
      <c r="A292" s="4" t="s">
        <v>229</v>
      </c>
      <c r="B292" s="13" t="s">
        <v>1159</v>
      </c>
      <c r="C292" s="174" t="s">
        <v>2127</v>
      </c>
      <c r="D292" s="175"/>
      <c r="E292" s="175"/>
      <c r="F292" s="175"/>
      <c r="G292" s="13" t="s">
        <v>2855</v>
      </c>
      <c r="H292" s="82">
        <v>119</v>
      </c>
      <c r="I292" s="109">
        <v>0</v>
      </c>
      <c r="J292" s="20">
        <f>H292*AO292</f>
        <v>0</v>
      </c>
      <c r="K292" s="20">
        <f>H292*AP292</f>
        <v>0</v>
      </c>
      <c r="L292" s="20">
        <f>H292*I292</f>
        <v>0</v>
      </c>
      <c r="M292" s="31" t="s">
        <v>2884</v>
      </c>
      <c r="N292" s="5"/>
      <c r="Z292" s="36">
        <f>IF(AQ292="5",BJ292,0)</f>
        <v>0</v>
      </c>
      <c r="AB292" s="36">
        <f>IF(AQ292="1",BH292,0)</f>
        <v>0</v>
      </c>
      <c r="AC292" s="36">
        <f>IF(AQ292="1",BI292,0)</f>
        <v>0</v>
      </c>
      <c r="AD292" s="36">
        <f>IF(AQ292="7",BH292,0)</f>
        <v>0</v>
      </c>
      <c r="AE292" s="36">
        <f>IF(AQ292="7",BI292,0)</f>
        <v>0</v>
      </c>
      <c r="AF292" s="36">
        <f>IF(AQ292="2",BH292,0)</f>
        <v>0</v>
      </c>
      <c r="AG292" s="36">
        <f>IF(AQ292="2",BI292,0)</f>
        <v>0</v>
      </c>
      <c r="AH292" s="36">
        <f>IF(AQ292="0",BJ292,0)</f>
        <v>0</v>
      </c>
      <c r="AI292" s="35" t="s">
        <v>2894</v>
      </c>
      <c r="AJ292" s="20">
        <f>IF(AN292=0,L292,0)</f>
        <v>0</v>
      </c>
      <c r="AK292" s="20">
        <f>IF(AN292=15,L292,0)</f>
        <v>0</v>
      </c>
      <c r="AL292" s="20">
        <f>IF(AN292=21,L292,0)</f>
        <v>0</v>
      </c>
      <c r="AN292" s="36">
        <v>21</v>
      </c>
      <c r="AO292" s="36">
        <f>I292*0.53</f>
        <v>0</v>
      </c>
      <c r="AP292" s="36">
        <f>I292*(1-0.53)</f>
        <v>0</v>
      </c>
      <c r="AQ292" s="37" t="s">
        <v>13</v>
      </c>
      <c r="AV292" s="36">
        <f>AW292+AX292</f>
        <v>0</v>
      </c>
      <c r="AW292" s="36">
        <f>H292*AO292</f>
        <v>0</v>
      </c>
      <c r="AX292" s="36">
        <f>H292*AP292</f>
        <v>0</v>
      </c>
      <c r="AY292" s="39" t="s">
        <v>2928</v>
      </c>
      <c r="AZ292" s="39" t="s">
        <v>2954</v>
      </c>
      <c r="BA292" s="35" t="s">
        <v>2967</v>
      </c>
      <c r="BC292" s="36">
        <f>AW292+AX292</f>
        <v>0</v>
      </c>
      <c r="BD292" s="36">
        <f>I292/(100-BE292)*100</f>
        <v>0</v>
      </c>
      <c r="BE292" s="36">
        <v>0</v>
      </c>
      <c r="BF292" s="36">
        <f>292</f>
        <v>292</v>
      </c>
      <c r="BH292" s="20">
        <f>H292*AO292</f>
        <v>0</v>
      </c>
      <c r="BI292" s="20">
        <f>H292*AP292</f>
        <v>0</v>
      </c>
      <c r="BJ292" s="20">
        <f>H292*I292</f>
        <v>0</v>
      </c>
      <c r="BK292" s="20" t="s">
        <v>2978</v>
      </c>
      <c r="BL292" s="36">
        <v>722</v>
      </c>
    </row>
    <row r="293" spans="1:64" x14ac:dyDescent="0.2">
      <c r="A293" s="4" t="s">
        <v>230</v>
      </c>
      <c r="B293" s="13" t="s">
        <v>1160</v>
      </c>
      <c r="C293" s="174" t="s">
        <v>2128</v>
      </c>
      <c r="D293" s="175"/>
      <c r="E293" s="175"/>
      <c r="F293" s="175"/>
      <c r="G293" s="13" t="s">
        <v>2855</v>
      </c>
      <c r="H293" s="82">
        <v>112</v>
      </c>
      <c r="I293" s="109">
        <v>0</v>
      </c>
      <c r="J293" s="20">
        <f>H293*AO293</f>
        <v>0</v>
      </c>
      <c r="K293" s="20">
        <f>H293*AP293</f>
        <v>0</v>
      </c>
      <c r="L293" s="20">
        <f>H293*I293</f>
        <v>0</v>
      </c>
      <c r="M293" s="31" t="s">
        <v>2884</v>
      </c>
      <c r="N293" s="5"/>
      <c r="Z293" s="36">
        <f>IF(AQ293="5",BJ293,0)</f>
        <v>0</v>
      </c>
      <c r="AB293" s="36">
        <f>IF(AQ293="1",BH293,0)</f>
        <v>0</v>
      </c>
      <c r="AC293" s="36">
        <f>IF(AQ293="1",BI293,0)</f>
        <v>0</v>
      </c>
      <c r="AD293" s="36">
        <f>IF(AQ293="7",BH293,0)</f>
        <v>0</v>
      </c>
      <c r="AE293" s="36">
        <f>IF(AQ293="7",BI293,0)</f>
        <v>0</v>
      </c>
      <c r="AF293" s="36">
        <f>IF(AQ293="2",BH293,0)</f>
        <v>0</v>
      </c>
      <c r="AG293" s="36">
        <f>IF(AQ293="2",BI293,0)</f>
        <v>0</v>
      </c>
      <c r="AH293" s="36">
        <f>IF(AQ293="0",BJ293,0)</f>
        <v>0</v>
      </c>
      <c r="AI293" s="35" t="s">
        <v>2894</v>
      </c>
      <c r="AJ293" s="20">
        <f>IF(AN293=0,L293,0)</f>
        <v>0</v>
      </c>
      <c r="AK293" s="20">
        <f>IF(AN293=15,L293,0)</f>
        <v>0</v>
      </c>
      <c r="AL293" s="20">
        <f>IF(AN293=21,L293,0)</f>
        <v>0</v>
      </c>
      <c r="AN293" s="36">
        <v>21</v>
      </c>
      <c r="AO293" s="36">
        <f>I293*0.53</f>
        <v>0</v>
      </c>
      <c r="AP293" s="36">
        <f>I293*(1-0.53)</f>
        <v>0</v>
      </c>
      <c r="AQ293" s="37" t="s">
        <v>13</v>
      </c>
      <c r="AV293" s="36">
        <f>AW293+AX293</f>
        <v>0</v>
      </c>
      <c r="AW293" s="36">
        <f>H293*AO293</f>
        <v>0</v>
      </c>
      <c r="AX293" s="36">
        <f>H293*AP293</f>
        <v>0</v>
      </c>
      <c r="AY293" s="39" t="s">
        <v>2928</v>
      </c>
      <c r="AZ293" s="39" t="s">
        <v>2954</v>
      </c>
      <c r="BA293" s="35" t="s">
        <v>2967</v>
      </c>
      <c r="BC293" s="36">
        <f>AW293+AX293</f>
        <v>0</v>
      </c>
      <c r="BD293" s="36">
        <f>I293/(100-BE293)*100</f>
        <v>0</v>
      </c>
      <c r="BE293" s="36">
        <v>0</v>
      </c>
      <c r="BF293" s="36">
        <f>293</f>
        <v>293</v>
      </c>
      <c r="BH293" s="20">
        <f>H293*AO293</f>
        <v>0</v>
      </c>
      <c r="BI293" s="20">
        <f>H293*AP293</f>
        <v>0</v>
      </c>
      <c r="BJ293" s="20">
        <f>H293*I293</f>
        <v>0</v>
      </c>
      <c r="BK293" s="20" t="s">
        <v>2978</v>
      </c>
      <c r="BL293" s="36">
        <v>722</v>
      </c>
    </row>
    <row r="294" spans="1:64" x14ac:dyDescent="0.2">
      <c r="A294" s="4" t="s">
        <v>231</v>
      </c>
      <c r="B294" s="13" t="s">
        <v>1161</v>
      </c>
      <c r="C294" s="174" t="s">
        <v>2129</v>
      </c>
      <c r="D294" s="175"/>
      <c r="E294" s="175"/>
      <c r="F294" s="175"/>
      <c r="G294" s="13" t="s">
        <v>2855</v>
      </c>
      <c r="H294" s="82">
        <v>19</v>
      </c>
      <c r="I294" s="109">
        <v>0</v>
      </c>
      <c r="J294" s="20">
        <f>H294*AO294</f>
        <v>0</v>
      </c>
      <c r="K294" s="20">
        <f>H294*AP294</f>
        <v>0</v>
      </c>
      <c r="L294" s="20">
        <f>H294*I294</f>
        <v>0</v>
      </c>
      <c r="M294" s="31" t="s">
        <v>2884</v>
      </c>
      <c r="N294" s="5"/>
      <c r="Z294" s="36">
        <f>IF(AQ294="5",BJ294,0)</f>
        <v>0</v>
      </c>
      <c r="AB294" s="36">
        <f>IF(AQ294="1",BH294,0)</f>
        <v>0</v>
      </c>
      <c r="AC294" s="36">
        <f>IF(AQ294="1",BI294,0)</f>
        <v>0</v>
      </c>
      <c r="AD294" s="36">
        <f>IF(AQ294="7",BH294,0)</f>
        <v>0</v>
      </c>
      <c r="AE294" s="36">
        <f>IF(AQ294="7",BI294,0)</f>
        <v>0</v>
      </c>
      <c r="AF294" s="36">
        <f>IF(AQ294="2",BH294,0)</f>
        <v>0</v>
      </c>
      <c r="AG294" s="36">
        <f>IF(AQ294="2",BI294,0)</f>
        <v>0</v>
      </c>
      <c r="AH294" s="36">
        <f>IF(AQ294="0",BJ294,0)</f>
        <v>0</v>
      </c>
      <c r="AI294" s="35" t="s">
        <v>2894</v>
      </c>
      <c r="AJ294" s="20">
        <f>IF(AN294=0,L294,0)</f>
        <v>0</v>
      </c>
      <c r="AK294" s="20">
        <f>IF(AN294=15,L294,0)</f>
        <v>0</v>
      </c>
      <c r="AL294" s="20">
        <f>IF(AN294=21,L294,0)</f>
        <v>0</v>
      </c>
      <c r="AN294" s="36">
        <v>21</v>
      </c>
      <c r="AO294" s="36">
        <f>I294*0.53</f>
        <v>0</v>
      </c>
      <c r="AP294" s="36">
        <f>I294*(1-0.53)</f>
        <v>0</v>
      </c>
      <c r="AQ294" s="37" t="s">
        <v>13</v>
      </c>
      <c r="AV294" s="36">
        <f>AW294+AX294</f>
        <v>0</v>
      </c>
      <c r="AW294" s="36">
        <f>H294*AO294</f>
        <v>0</v>
      </c>
      <c r="AX294" s="36">
        <f>H294*AP294</f>
        <v>0</v>
      </c>
      <c r="AY294" s="39" t="s">
        <v>2928</v>
      </c>
      <c r="AZ294" s="39" t="s">
        <v>2954</v>
      </c>
      <c r="BA294" s="35" t="s">
        <v>2967</v>
      </c>
      <c r="BC294" s="36">
        <f>AW294+AX294</f>
        <v>0</v>
      </c>
      <c r="BD294" s="36">
        <f>I294/(100-BE294)*100</f>
        <v>0</v>
      </c>
      <c r="BE294" s="36">
        <v>0</v>
      </c>
      <c r="BF294" s="36">
        <f>294</f>
        <v>294</v>
      </c>
      <c r="BH294" s="20">
        <f>H294*AO294</f>
        <v>0</v>
      </c>
      <c r="BI294" s="20">
        <f>H294*AP294</f>
        <v>0</v>
      </c>
      <c r="BJ294" s="20">
        <f>H294*I294</f>
        <v>0</v>
      </c>
      <c r="BK294" s="20" t="s">
        <v>2978</v>
      </c>
      <c r="BL294" s="36">
        <v>722</v>
      </c>
    </row>
    <row r="295" spans="1:64" x14ac:dyDescent="0.2">
      <c r="A295" s="4" t="s">
        <v>232</v>
      </c>
      <c r="B295" s="13" t="s">
        <v>1162</v>
      </c>
      <c r="C295" s="174" t="s">
        <v>2130</v>
      </c>
      <c r="D295" s="175"/>
      <c r="E295" s="175"/>
      <c r="F295" s="175"/>
      <c r="G295" s="13" t="s">
        <v>2855</v>
      </c>
      <c r="H295" s="82">
        <v>5</v>
      </c>
      <c r="I295" s="109">
        <v>0</v>
      </c>
      <c r="J295" s="20">
        <f>H295*AO295</f>
        <v>0</v>
      </c>
      <c r="K295" s="20">
        <f>H295*AP295</f>
        <v>0</v>
      </c>
      <c r="L295" s="20">
        <f>H295*I295</f>
        <v>0</v>
      </c>
      <c r="M295" s="31" t="s">
        <v>2884</v>
      </c>
      <c r="N295" s="5"/>
      <c r="Z295" s="36">
        <f>IF(AQ295="5",BJ295,0)</f>
        <v>0</v>
      </c>
      <c r="AB295" s="36">
        <f>IF(AQ295="1",BH295,0)</f>
        <v>0</v>
      </c>
      <c r="AC295" s="36">
        <f>IF(AQ295="1",BI295,0)</f>
        <v>0</v>
      </c>
      <c r="AD295" s="36">
        <f>IF(AQ295="7",BH295,0)</f>
        <v>0</v>
      </c>
      <c r="AE295" s="36">
        <f>IF(AQ295="7",BI295,0)</f>
        <v>0</v>
      </c>
      <c r="AF295" s="36">
        <f>IF(AQ295="2",BH295,0)</f>
        <v>0</v>
      </c>
      <c r="AG295" s="36">
        <f>IF(AQ295="2",BI295,0)</f>
        <v>0</v>
      </c>
      <c r="AH295" s="36">
        <f>IF(AQ295="0",BJ295,0)</f>
        <v>0</v>
      </c>
      <c r="AI295" s="35" t="s">
        <v>2894</v>
      </c>
      <c r="AJ295" s="20">
        <f>IF(AN295=0,L295,0)</f>
        <v>0</v>
      </c>
      <c r="AK295" s="20">
        <f>IF(AN295=15,L295,0)</f>
        <v>0</v>
      </c>
      <c r="AL295" s="20">
        <f>IF(AN295=21,L295,0)</f>
        <v>0</v>
      </c>
      <c r="AN295" s="36">
        <v>21</v>
      </c>
      <c r="AO295" s="36">
        <f>I295*0.53</f>
        <v>0</v>
      </c>
      <c r="AP295" s="36">
        <f>I295*(1-0.53)</f>
        <v>0</v>
      </c>
      <c r="AQ295" s="37" t="s">
        <v>13</v>
      </c>
      <c r="AV295" s="36">
        <f>AW295+AX295</f>
        <v>0</v>
      </c>
      <c r="AW295" s="36">
        <f>H295*AO295</f>
        <v>0</v>
      </c>
      <c r="AX295" s="36">
        <f>H295*AP295</f>
        <v>0</v>
      </c>
      <c r="AY295" s="39" t="s">
        <v>2928</v>
      </c>
      <c r="AZ295" s="39" t="s">
        <v>2954</v>
      </c>
      <c r="BA295" s="35" t="s">
        <v>2967</v>
      </c>
      <c r="BC295" s="36">
        <f>AW295+AX295</f>
        <v>0</v>
      </c>
      <c r="BD295" s="36">
        <f>I295/(100-BE295)*100</f>
        <v>0</v>
      </c>
      <c r="BE295" s="36">
        <v>0</v>
      </c>
      <c r="BF295" s="36">
        <f>295</f>
        <v>295</v>
      </c>
      <c r="BH295" s="20">
        <f>H295*AO295</f>
        <v>0</v>
      </c>
      <c r="BI295" s="20">
        <f>H295*AP295</f>
        <v>0</v>
      </c>
      <c r="BJ295" s="20">
        <f>H295*I295</f>
        <v>0</v>
      </c>
      <c r="BK295" s="20" t="s">
        <v>2978</v>
      </c>
      <c r="BL295" s="36">
        <v>722</v>
      </c>
    </row>
    <row r="296" spans="1:64" x14ac:dyDescent="0.2">
      <c r="A296" s="4" t="s">
        <v>233</v>
      </c>
      <c r="B296" s="13" t="s">
        <v>1163</v>
      </c>
      <c r="C296" s="174" t="s">
        <v>2131</v>
      </c>
      <c r="D296" s="175"/>
      <c r="E296" s="175"/>
      <c r="F296" s="175"/>
      <c r="G296" s="13" t="s">
        <v>2855</v>
      </c>
      <c r="H296" s="82">
        <v>2</v>
      </c>
      <c r="I296" s="109">
        <v>0</v>
      </c>
      <c r="J296" s="20">
        <f>H296*AO296</f>
        <v>0</v>
      </c>
      <c r="K296" s="20">
        <f>H296*AP296</f>
        <v>0</v>
      </c>
      <c r="L296" s="20">
        <f>H296*I296</f>
        <v>0</v>
      </c>
      <c r="M296" s="31" t="s">
        <v>2884</v>
      </c>
      <c r="N296" s="5"/>
      <c r="Z296" s="36">
        <f>IF(AQ296="5",BJ296,0)</f>
        <v>0</v>
      </c>
      <c r="AB296" s="36">
        <f>IF(AQ296="1",BH296,0)</f>
        <v>0</v>
      </c>
      <c r="AC296" s="36">
        <f>IF(AQ296="1",BI296,0)</f>
        <v>0</v>
      </c>
      <c r="AD296" s="36">
        <f>IF(AQ296="7",BH296,0)</f>
        <v>0</v>
      </c>
      <c r="AE296" s="36">
        <f>IF(AQ296="7",BI296,0)</f>
        <v>0</v>
      </c>
      <c r="AF296" s="36">
        <f>IF(AQ296="2",BH296,0)</f>
        <v>0</v>
      </c>
      <c r="AG296" s="36">
        <f>IF(AQ296="2",BI296,0)</f>
        <v>0</v>
      </c>
      <c r="AH296" s="36">
        <f>IF(AQ296="0",BJ296,0)</f>
        <v>0</v>
      </c>
      <c r="AI296" s="35" t="s">
        <v>2894</v>
      </c>
      <c r="AJ296" s="20">
        <f>IF(AN296=0,L296,0)</f>
        <v>0</v>
      </c>
      <c r="AK296" s="20">
        <f>IF(AN296=15,L296,0)</f>
        <v>0</v>
      </c>
      <c r="AL296" s="20">
        <f>IF(AN296=21,L296,0)</f>
        <v>0</v>
      </c>
      <c r="AN296" s="36">
        <v>21</v>
      </c>
      <c r="AO296" s="36">
        <f>I296*0.53</f>
        <v>0</v>
      </c>
      <c r="AP296" s="36">
        <f>I296*(1-0.53)</f>
        <v>0</v>
      </c>
      <c r="AQ296" s="37" t="s">
        <v>13</v>
      </c>
      <c r="AV296" s="36">
        <f>AW296+AX296</f>
        <v>0</v>
      </c>
      <c r="AW296" s="36">
        <f>H296*AO296</f>
        <v>0</v>
      </c>
      <c r="AX296" s="36">
        <f>H296*AP296</f>
        <v>0</v>
      </c>
      <c r="AY296" s="39" t="s">
        <v>2928</v>
      </c>
      <c r="AZ296" s="39" t="s">
        <v>2954</v>
      </c>
      <c r="BA296" s="35" t="s">
        <v>2967</v>
      </c>
      <c r="BC296" s="36">
        <f>AW296+AX296</f>
        <v>0</v>
      </c>
      <c r="BD296" s="36">
        <f>I296/(100-BE296)*100</f>
        <v>0</v>
      </c>
      <c r="BE296" s="36">
        <v>0</v>
      </c>
      <c r="BF296" s="36">
        <f>296</f>
        <v>296</v>
      </c>
      <c r="BH296" s="20">
        <f>H296*AO296</f>
        <v>0</v>
      </c>
      <c r="BI296" s="20">
        <f>H296*AP296</f>
        <v>0</v>
      </c>
      <c r="BJ296" s="20">
        <f>H296*I296</f>
        <v>0</v>
      </c>
      <c r="BK296" s="20" t="s">
        <v>2978</v>
      </c>
      <c r="BL296" s="36">
        <v>722</v>
      </c>
    </row>
    <row r="297" spans="1:64" ht="25.7" customHeight="1" x14ac:dyDescent="0.2">
      <c r="A297" s="5"/>
      <c r="B297" s="14"/>
      <c r="C297" s="179" t="s">
        <v>2132</v>
      </c>
      <c r="D297" s="180"/>
      <c r="E297" s="180"/>
      <c r="F297" s="180"/>
      <c r="G297" s="180"/>
      <c r="H297" s="180"/>
      <c r="I297" s="180"/>
      <c r="J297" s="180"/>
      <c r="K297" s="180"/>
      <c r="L297" s="180"/>
      <c r="M297" s="181"/>
      <c r="N297" s="5"/>
    </row>
    <row r="298" spans="1:64" x14ac:dyDescent="0.2">
      <c r="A298" s="4" t="s">
        <v>234</v>
      </c>
      <c r="B298" s="13" t="s">
        <v>1164</v>
      </c>
      <c r="C298" s="174" t="s">
        <v>2133</v>
      </c>
      <c r="D298" s="175"/>
      <c r="E298" s="175"/>
      <c r="F298" s="175"/>
      <c r="G298" s="13" t="s">
        <v>2855</v>
      </c>
      <c r="H298" s="82">
        <v>38</v>
      </c>
      <c r="I298" s="109">
        <v>0</v>
      </c>
      <c r="J298" s="20">
        <f>H298*AO298</f>
        <v>0</v>
      </c>
      <c r="K298" s="20">
        <f>H298*AP298</f>
        <v>0</v>
      </c>
      <c r="L298" s="20">
        <f>H298*I298</f>
        <v>0</v>
      </c>
      <c r="M298" s="31" t="s">
        <v>2884</v>
      </c>
      <c r="N298" s="5"/>
      <c r="Z298" s="36">
        <f>IF(AQ298="5",BJ298,0)</f>
        <v>0</v>
      </c>
      <c r="AB298" s="36">
        <f>IF(AQ298="1",BH298,0)</f>
        <v>0</v>
      </c>
      <c r="AC298" s="36">
        <f>IF(AQ298="1",BI298,0)</f>
        <v>0</v>
      </c>
      <c r="AD298" s="36">
        <f>IF(AQ298="7",BH298,0)</f>
        <v>0</v>
      </c>
      <c r="AE298" s="36">
        <f>IF(AQ298="7",BI298,0)</f>
        <v>0</v>
      </c>
      <c r="AF298" s="36">
        <f>IF(AQ298="2",BH298,0)</f>
        <v>0</v>
      </c>
      <c r="AG298" s="36">
        <f>IF(AQ298="2",BI298,0)</f>
        <v>0</v>
      </c>
      <c r="AH298" s="36">
        <f>IF(AQ298="0",BJ298,0)</f>
        <v>0</v>
      </c>
      <c r="AI298" s="35" t="s">
        <v>2894</v>
      </c>
      <c r="AJ298" s="20">
        <f>IF(AN298=0,L298,0)</f>
        <v>0</v>
      </c>
      <c r="AK298" s="20">
        <f>IF(AN298=15,L298,0)</f>
        <v>0</v>
      </c>
      <c r="AL298" s="20">
        <f>IF(AN298=21,L298,0)</f>
        <v>0</v>
      </c>
      <c r="AN298" s="36">
        <v>21</v>
      </c>
      <c r="AO298" s="36">
        <f>I298*0.53</f>
        <v>0</v>
      </c>
      <c r="AP298" s="36">
        <f>I298*(1-0.53)</f>
        <v>0</v>
      </c>
      <c r="AQ298" s="37" t="s">
        <v>13</v>
      </c>
      <c r="AV298" s="36">
        <f>AW298+AX298</f>
        <v>0</v>
      </c>
      <c r="AW298" s="36">
        <f>H298*AO298</f>
        <v>0</v>
      </c>
      <c r="AX298" s="36">
        <f>H298*AP298</f>
        <v>0</v>
      </c>
      <c r="AY298" s="39" t="s">
        <v>2928</v>
      </c>
      <c r="AZ298" s="39" t="s">
        <v>2954</v>
      </c>
      <c r="BA298" s="35" t="s">
        <v>2967</v>
      </c>
      <c r="BC298" s="36">
        <f>AW298+AX298</f>
        <v>0</v>
      </c>
      <c r="BD298" s="36">
        <f>I298/(100-BE298)*100</f>
        <v>0</v>
      </c>
      <c r="BE298" s="36">
        <v>0</v>
      </c>
      <c r="BF298" s="36">
        <f>298</f>
        <v>298</v>
      </c>
      <c r="BH298" s="20">
        <f>H298*AO298</f>
        <v>0</v>
      </c>
      <c r="BI298" s="20">
        <f>H298*AP298</f>
        <v>0</v>
      </c>
      <c r="BJ298" s="20">
        <f>H298*I298</f>
        <v>0</v>
      </c>
      <c r="BK298" s="20" t="s">
        <v>2978</v>
      </c>
      <c r="BL298" s="36">
        <v>722</v>
      </c>
    </row>
    <row r="299" spans="1:64" x14ac:dyDescent="0.2">
      <c r="A299" s="4" t="s">
        <v>235</v>
      </c>
      <c r="B299" s="13" t="s">
        <v>1165</v>
      </c>
      <c r="C299" s="174" t="s">
        <v>2134</v>
      </c>
      <c r="D299" s="175"/>
      <c r="E299" s="175"/>
      <c r="F299" s="175"/>
      <c r="G299" s="13" t="s">
        <v>2855</v>
      </c>
      <c r="H299" s="82">
        <v>77</v>
      </c>
      <c r="I299" s="109">
        <v>0</v>
      </c>
      <c r="J299" s="20">
        <f>H299*AO299</f>
        <v>0</v>
      </c>
      <c r="K299" s="20">
        <f>H299*AP299</f>
        <v>0</v>
      </c>
      <c r="L299" s="20">
        <f>H299*I299</f>
        <v>0</v>
      </c>
      <c r="M299" s="31" t="s">
        <v>2884</v>
      </c>
      <c r="N299" s="5"/>
      <c r="Z299" s="36">
        <f>IF(AQ299="5",BJ299,0)</f>
        <v>0</v>
      </c>
      <c r="AB299" s="36">
        <f>IF(AQ299="1",BH299,0)</f>
        <v>0</v>
      </c>
      <c r="AC299" s="36">
        <f>IF(AQ299="1",BI299,0)</f>
        <v>0</v>
      </c>
      <c r="AD299" s="36">
        <f>IF(AQ299="7",BH299,0)</f>
        <v>0</v>
      </c>
      <c r="AE299" s="36">
        <f>IF(AQ299="7",BI299,0)</f>
        <v>0</v>
      </c>
      <c r="AF299" s="36">
        <f>IF(AQ299="2",BH299,0)</f>
        <v>0</v>
      </c>
      <c r="AG299" s="36">
        <f>IF(AQ299="2",BI299,0)</f>
        <v>0</v>
      </c>
      <c r="AH299" s="36">
        <f>IF(AQ299="0",BJ299,0)</f>
        <v>0</v>
      </c>
      <c r="AI299" s="35" t="s">
        <v>2894</v>
      </c>
      <c r="AJ299" s="20">
        <f>IF(AN299=0,L299,0)</f>
        <v>0</v>
      </c>
      <c r="AK299" s="20">
        <f>IF(AN299=15,L299,0)</f>
        <v>0</v>
      </c>
      <c r="AL299" s="20">
        <f>IF(AN299=21,L299,0)</f>
        <v>0</v>
      </c>
      <c r="AN299" s="36">
        <v>21</v>
      </c>
      <c r="AO299" s="36">
        <f>I299*0.53</f>
        <v>0</v>
      </c>
      <c r="AP299" s="36">
        <f>I299*(1-0.53)</f>
        <v>0</v>
      </c>
      <c r="AQ299" s="37" t="s">
        <v>13</v>
      </c>
      <c r="AV299" s="36">
        <f>AW299+AX299</f>
        <v>0</v>
      </c>
      <c r="AW299" s="36">
        <f>H299*AO299</f>
        <v>0</v>
      </c>
      <c r="AX299" s="36">
        <f>H299*AP299</f>
        <v>0</v>
      </c>
      <c r="AY299" s="39" t="s">
        <v>2928</v>
      </c>
      <c r="AZ299" s="39" t="s">
        <v>2954</v>
      </c>
      <c r="BA299" s="35" t="s">
        <v>2967</v>
      </c>
      <c r="BC299" s="36">
        <f>AW299+AX299</f>
        <v>0</v>
      </c>
      <c r="BD299" s="36">
        <f>I299/(100-BE299)*100</f>
        <v>0</v>
      </c>
      <c r="BE299" s="36">
        <v>0</v>
      </c>
      <c r="BF299" s="36">
        <f>299</f>
        <v>299</v>
      </c>
      <c r="BH299" s="20">
        <f>H299*AO299</f>
        <v>0</v>
      </c>
      <c r="BI299" s="20">
        <f>H299*AP299</f>
        <v>0</v>
      </c>
      <c r="BJ299" s="20">
        <f>H299*I299</f>
        <v>0</v>
      </c>
      <c r="BK299" s="20" t="s">
        <v>2978</v>
      </c>
      <c r="BL299" s="36">
        <v>722</v>
      </c>
    </row>
    <row r="300" spans="1:64" x14ac:dyDescent="0.2">
      <c r="A300" s="5"/>
      <c r="B300" s="14"/>
      <c r="C300" s="179" t="s">
        <v>2135</v>
      </c>
      <c r="D300" s="180"/>
      <c r="E300" s="180"/>
      <c r="F300" s="180"/>
      <c r="G300" s="180"/>
      <c r="H300" s="180"/>
      <c r="I300" s="180"/>
      <c r="J300" s="180"/>
      <c r="K300" s="180"/>
      <c r="L300" s="180"/>
      <c r="M300" s="181"/>
      <c r="N300" s="5"/>
    </row>
    <row r="301" spans="1:64" x14ac:dyDescent="0.2">
      <c r="A301" s="4" t="s">
        <v>236</v>
      </c>
      <c r="B301" s="13" t="s">
        <v>1166</v>
      </c>
      <c r="C301" s="174" t="s">
        <v>2136</v>
      </c>
      <c r="D301" s="175"/>
      <c r="E301" s="175"/>
      <c r="F301" s="175"/>
      <c r="G301" s="13" t="s">
        <v>2855</v>
      </c>
      <c r="H301" s="82">
        <v>103</v>
      </c>
      <c r="I301" s="109">
        <v>0</v>
      </c>
      <c r="J301" s="20">
        <f>H301*AO301</f>
        <v>0</v>
      </c>
      <c r="K301" s="20">
        <f>H301*AP301</f>
        <v>0</v>
      </c>
      <c r="L301" s="20">
        <f>H301*I301</f>
        <v>0</v>
      </c>
      <c r="M301" s="31" t="s">
        <v>2884</v>
      </c>
      <c r="N301" s="5"/>
      <c r="Z301" s="36">
        <f>IF(AQ301="5",BJ301,0)</f>
        <v>0</v>
      </c>
      <c r="AB301" s="36">
        <f>IF(AQ301="1",BH301,0)</f>
        <v>0</v>
      </c>
      <c r="AC301" s="36">
        <f>IF(AQ301="1",BI301,0)</f>
        <v>0</v>
      </c>
      <c r="AD301" s="36">
        <f>IF(AQ301="7",BH301,0)</f>
        <v>0</v>
      </c>
      <c r="AE301" s="36">
        <f>IF(AQ301="7",BI301,0)</f>
        <v>0</v>
      </c>
      <c r="AF301" s="36">
        <f>IF(AQ301="2",BH301,0)</f>
        <v>0</v>
      </c>
      <c r="AG301" s="36">
        <f>IF(AQ301="2",BI301,0)</f>
        <v>0</v>
      </c>
      <c r="AH301" s="36">
        <f>IF(AQ301="0",BJ301,0)</f>
        <v>0</v>
      </c>
      <c r="AI301" s="35" t="s">
        <v>2894</v>
      </c>
      <c r="AJ301" s="20">
        <f>IF(AN301=0,L301,0)</f>
        <v>0</v>
      </c>
      <c r="AK301" s="20">
        <f>IF(AN301=15,L301,0)</f>
        <v>0</v>
      </c>
      <c r="AL301" s="20">
        <f>IF(AN301=21,L301,0)</f>
        <v>0</v>
      </c>
      <c r="AN301" s="36">
        <v>21</v>
      </c>
      <c r="AO301" s="36">
        <f>I301*0.53</f>
        <v>0</v>
      </c>
      <c r="AP301" s="36">
        <f>I301*(1-0.53)</f>
        <v>0</v>
      </c>
      <c r="AQ301" s="37" t="s">
        <v>13</v>
      </c>
      <c r="AV301" s="36">
        <f>AW301+AX301</f>
        <v>0</v>
      </c>
      <c r="AW301" s="36">
        <f>H301*AO301</f>
        <v>0</v>
      </c>
      <c r="AX301" s="36">
        <f>H301*AP301</f>
        <v>0</v>
      </c>
      <c r="AY301" s="39" t="s">
        <v>2928</v>
      </c>
      <c r="AZ301" s="39" t="s">
        <v>2954</v>
      </c>
      <c r="BA301" s="35" t="s">
        <v>2967</v>
      </c>
      <c r="BC301" s="36">
        <f>AW301+AX301</f>
        <v>0</v>
      </c>
      <c r="BD301" s="36">
        <f>I301/(100-BE301)*100</f>
        <v>0</v>
      </c>
      <c r="BE301" s="36">
        <v>0</v>
      </c>
      <c r="BF301" s="36">
        <f>301</f>
        <v>301</v>
      </c>
      <c r="BH301" s="20">
        <f>H301*AO301</f>
        <v>0</v>
      </c>
      <c r="BI301" s="20">
        <f>H301*AP301</f>
        <v>0</v>
      </c>
      <c r="BJ301" s="20">
        <f>H301*I301</f>
        <v>0</v>
      </c>
      <c r="BK301" s="20" t="s">
        <v>2978</v>
      </c>
      <c r="BL301" s="36">
        <v>722</v>
      </c>
    </row>
    <row r="302" spans="1:64" x14ac:dyDescent="0.2">
      <c r="A302" s="4" t="s">
        <v>237</v>
      </c>
      <c r="B302" s="13" t="s">
        <v>1167</v>
      </c>
      <c r="C302" s="174" t="s">
        <v>2137</v>
      </c>
      <c r="D302" s="175"/>
      <c r="E302" s="175"/>
      <c r="F302" s="175"/>
      <c r="G302" s="13" t="s">
        <v>2855</v>
      </c>
      <c r="H302" s="82">
        <v>145</v>
      </c>
      <c r="I302" s="109">
        <v>0</v>
      </c>
      <c r="J302" s="20">
        <f>H302*AO302</f>
        <v>0</v>
      </c>
      <c r="K302" s="20">
        <f>H302*AP302</f>
        <v>0</v>
      </c>
      <c r="L302" s="20">
        <f>H302*I302</f>
        <v>0</v>
      </c>
      <c r="M302" s="31" t="s">
        <v>2884</v>
      </c>
      <c r="N302" s="5"/>
      <c r="Z302" s="36">
        <f>IF(AQ302="5",BJ302,0)</f>
        <v>0</v>
      </c>
      <c r="AB302" s="36">
        <f>IF(AQ302="1",BH302,0)</f>
        <v>0</v>
      </c>
      <c r="AC302" s="36">
        <f>IF(AQ302="1",BI302,0)</f>
        <v>0</v>
      </c>
      <c r="AD302" s="36">
        <f>IF(AQ302="7",BH302,0)</f>
        <v>0</v>
      </c>
      <c r="AE302" s="36">
        <f>IF(AQ302="7",BI302,0)</f>
        <v>0</v>
      </c>
      <c r="AF302" s="36">
        <f>IF(AQ302="2",BH302,0)</f>
        <v>0</v>
      </c>
      <c r="AG302" s="36">
        <f>IF(AQ302="2",BI302,0)</f>
        <v>0</v>
      </c>
      <c r="AH302" s="36">
        <f>IF(AQ302="0",BJ302,0)</f>
        <v>0</v>
      </c>
      <c r="AI302" s="35" t="s">
        <v>2894</v>
      </c>
      <c r="AJ302" s="20">
        <f>IF(AN302=0,L302,0)</f>
        <v>0</v>
      </c>
      <c r="AK302" s="20">
        <f>IF(AN302=15,L302,0)</f>
        <v>0</v>
      </c>
      <c r="AL302" s="20">
        <f>IF(AN302=21,L302,0)</f>
        <v>0</v>
      </c>
      <c r="AN302" s="36">
        <v>21</v>
      </c>
      <c r="AO302" s="36">
        <f>I302*0.53</f>
        <v>0</v>
      </c>
      <c r="AP302" s="36">
        <f>I302*(1-0.53)</f>
        <v>0</v>
      </c>
      <c r="AQ302" s="37" t="s">
        <v>13</v>
      </c>
      <c r="AV302" s="36">
        <f>AW302+AX302</f>
        <v>0</v>
      </c>
      <c r="AW302" s="36">
        <f>H302*AO302</f>
        <v>0</v>
      </c>
      <c r="AX302" s="36">
        <f>H302*AP302</f>
        <v>0</v>
      </c>
      <c r="AY302" s="39" t="s">
        <v>2928</v>
      </c>
      <c r="AZ302" s="39" t="s">
        <v>2954</v>
      </c>
      <c r="BA302" s="35" t="s">
        <v>2967</v>
      </c>
      <c r="BC302" s="36">
        <f>AW302+AX302</f>
        <v>0</v>
      </c>
      <c r="BD302" s="36">
        <f>I302/(100-BE302)*100</f>
        <v>0</v>
      </c>
      <c r="BE302" s="36">
        <v>0</v>
      </c>
      <c r="BF302" s="36">
        <f>302</f>
        <v>302</v>
      </c>
      <c r="BH302" s="20">
        <f>H302*AO302</f>
        <v>0</v>
      </c>
      <c r="BI302" s="20">
        <f>H302*AP302</f>
        <v>0</v>
      </c>
      <c r="BJ302" s="20">
        <f>H302*I302</f>
        <v>0</v>
      </c>
      <c r="BK302" s="20" t="s">
        <v>2978</v>
      </c>
      <c r="BL302" s="36">
        <v>722</v>
      </c>
    </row>
    <row r="303" spans="1:64" x14ac:dyDescent="0.2">
      <c r="A303" s="4" t="s">
        <v>238</v>
      </c>
      <c r="B303" s="13" t="s">
        <v>1168</v>
      </c>
      <c r="C303" s="174" t="s">
        <v>2138</v>
      </c>
      <c r="D303" s="175"/>
      <c r="E303" s="175"/>
      <c r="F303" s="175"/>
      <c r="G303" s="13" t="s">
        <v>2855</v>
      </c>
      <c r="H303" s="82">
        <v>19</v>
      </c>
      <c r="I303" s="109">
        <v>0</v>
      </c>
      <c r="J303" s="20">
        <f>H303*AO303</f>
        <v>0</v>
      </c>
      <c r="K303" s="20">
        <f>H303*AP303</f>
        <v>0</v>
      </c>
      <c r="L303" s="20">
        <f>H303*I303</f>
        <v>0</v>
      </c>
      <c r="M303" s="31" t="s">
        <v>2884</v>
      </c>
      <c r="N303" s="5"/>
      <c r="Z303" s="36">
        <f>IF(AQ303="5",BJ303,0)</f>
        <v>0</v>
      </c>
      <c r="AB303" s="36">
        <f>IF(AQ303="1",BH303,0)</f>
        <v>0</v>
      </c>
      <c r="AC303" s="36">
        <f>IF(AQ303="1",BI303,0)</f>
        <v>0</v>
      </c>
      <c r="AD303" s="36">
        <f>IF(AQ303="7",BH303,0)</f>
        <v>0</v>
      </c>
      <c r="AE303" s="36">
        <f>IF(AQ303="7",BI303,0)</f>
        <v>0</v>
      </c>
      <c r="AF303" s="36">
        <f>IF(AQ303="2",BH303,0)</f>
        <v>0</v>
      </c>
      <c r="AG303" s="36">
        <f>IF(AQ303="2",BI303,0)</f>
        <v>0</v>
      </c>
      <c r="AH303" s="36">
        <f>IF(AQ303="0",BJ303,0)</f>
        <v>0</v>
      </c>
      <c r="AI303" s="35" t="s">
        <v>2894</v>
      </c>
      <c r="AJ303" s="20">
        <f>IF(AN303=0,L303,0)</f>
        <v>0</v>
      </c>
      <c r="AK303" s="20">
        <f>IF(AN303=15,L303,0)</f>
        <v>0</v>
      </c>
      <c r="AL303" s="20">
        <f>IF(AN303=21,L303,0)</f>
        <v>0</v>
      </c>
      <c r="AN303" s="36">
        <v>21</v>
      </c>
      <c r="AO303" s="36">
        <f>I303*0.53</f>
        <v>0</v>
      </c>
      <c r="AP303" s="36">
        <f>I303*(1-0.53)</f>
        <v>0</v>
      </c>
      <c r="AQ303" s="37" t="s">
        <v>13</v>
      </c>
      <c r="AV303" s="36">
        <f>AW303+AX303</f>
        <v>0</v>
      </c>
      <c r="AW303" s="36">
        <f>H303*AO303</f>
        <v>0</v>
      </c>
      <c r="AX303" s="36">
        <f>H303*AP303</f>
        <v>0</v>
      </c>
      <c r="AY303" s="39" t="s">
        <v>2928</v>
      </c>
      <c r="AZ303" s="39" t="s">
        <v>2954</v>
      </c>
      <c r="BA303" s="35" t="s">
        <v>2967</v>
      </c>
      <c r="BC303" s="36">
        <f>AW303+AX303</f>
        <v>0</v>
      </c>
      <c r="BD303" s="36">
        <f>I303/(100-BE303)*100</f>
        <v>0</v>
      </c>
      <c r="BE303" s="36">
        <v>0</v>
      </c>
      <c r="BF303" s="36">
        <f>303</f>
        <v>303</v>
      </c>
      <c r="BH303" s="20">
        <f>H303*AO303</f>
        <v>0</v>
      </c>
      <c r="BI303" s="20">
        <f>H303*AP303</f>
        <v>0</v>
      </c>
      <c r="BJ303" s="20">
        <f>H303*I303</f>
        <v>0</v>
      </c>
      <c r="BK303" s="20" t="s">
        <v>2978</v>
      </c>
      <c r="BL303" s="36">
        <v>722</v>
      </c>
    </row>
    <row r="304" spans="1:64" x14ac:dyDescent="0.2">
      <c r="A304" s="4" t="s">
        <v>239</v>
      </c>
      <c r="B304" s="13" t="s">
        <v>1169</v>
      </c>
      <c r="C304" s="174" t="s">
        <v>2139</v>
      </c>
      <c r="D304" s="175"/>
      <c r="E304" s="175"/>
      <c r="F304" s="175"/>
      <c r="G304" s="13" t="s">
        <v>2855</v>
      </c>
      <c r="H304" s="82">
        <v>5</v>
      </c>
      <c r="I304" s="109">
        <v>0</v>
      </c>
      <c r="J304" s="20">
        <f>H304*AO304</f>
        <v>0</v>
      </c>
      <c r="K304" s="20">
        <f>H304*AP304</f>
        <v>0</v>
      </c>
      <c r="L304" s="20">
        <f>H304*I304</f>
        <v>0</v>
      </c>
      <c r="M304" s="31" t="s">
        <v>2884</v>
      </c>
      <c r="N304" s="5"/>
      <c r="Z304" s="36">
        <f>IF(AQ304="5",BJ304,0)</f>
        <v>0</v>
      </c>
      <c r="AB304" s="36">
        <f>IF(AQ304="1",BH304,0)</f>
        <v>0</v>
      </c>
      <c r="AC304" s="36">
        <f>IF(AQ304="1",BI304,0)</f>
        <v>0</v>
      </c>
      <c r="AD304" s="36">
        <f>IF(AQ304="7",BH304,0)</f>
        <v>0</v>
      </c>
      <c r="AE304" s="36">
        <f>IF(AQ304="7",BI304,0)</f>
        <v>0</v>
      </c>
      <c r="AF304" s="36">
        <f>IF(AQ304="2",BH304,0)</f>
        <v>0</v>
      </c>
      <c r="AG304" s="36">
        <f>IF(AQ304="2",BI304,0)</f>
        <v>0</v>
      </c>
      <c r="AH304" s="36">
        <f>IF(AQ304="0",BJ304,0)</f>
        <v>0</v>
      </c>
      <c r="AI304" s="35" t="s">
        <v>2894</v>
      </c>
      <c r="AJ304" s="20">
        <f>IF(AN304=0,L304,0)</f>
        <v>0</v>
      </c>
      <c r="AK304" s="20">
        <f>IF(AN304=15,L304,0)</f>
        <v>0</v>
      </c>
      <c r="AL304" s="20">
        <f>IF(AN304=21,L304,0)</f>
        <v>0</v>
      </c>
      <c r="AN304" s="36">
        <v>21</v>
      </c>
      <c r="AO304" s="36">
        <f>I304*0.53</f>
        <v>0</v>
      </c>
      <c r="AP304" s="36">
        <f>I304*(1-0.53)</f>
        <v>0</v>
      </c>
      <c r="AQ304" s="37" t="s">
        <v>13</v>
      </c>
      <c r="AV304" s="36">
        <f>AW304+AX304</f>
        <v>0</v>
      </c>
      <c r="AW304" s="36">
        <f>H304*AO304</f>
        <v>0</v>
      </c>
      <c r="AX304" s="36">
        <f>H304*AP304</f>
        <v>0</v>
      </c>
      <c r="AY304" s="39" t="s">
        <v>2928</v>
      </c>
      <c r="AZ304" s="39" t="s">
        <v>2954</v>
      </c>
      <c r="BA304" s="35" t="s">
        <v>2967</v>
      </c>
      <c r="BC304" s="36">
        <f>AW304+AX304</f>
        <v>0</v>
      </c>
      <c r="BD304" s="36">
        <f>I304/(100-BE304)*100</f>
        <v>0</v>
      </c>
      <c r="BE304" s="36">
        <v>0</v>
      </c>
      <c r="BF304" s="36">
        <f>304</f>
        <v>304</v>
      </c>
      <c r="BH304" s="20">
        <f>H304*AO304</f>
        <v>0</v>
      </c>
      <c r="BI304" s="20">
        <f>H304*AP304</f>
        <v>0</v>
      </c>
      <c r="BJ304" s="20">
        <f>H304*I304</f>
        <v>0</v>
      </c>
      <c r="BK304" s="20" t="s">
        <v>2978</v>
      </c>
      <c r="BL304" s="36">
        <v>722</v>
      </c>
    </row>
    <row r="305" spans="1:64" x14ac:dyDescent="0.2">
      <c r="A305" s="4" t="s">
        <v>240</v>
      </c>
      <c r="B305" s="13" t="s">
        <v>1170</v>
      </c>
      <c r="C305" s="174" t="s">
        <v>2140</v>
      </c>
      <c r="D305" s="175"/>
      <c r="E305" s="175"/>
      <c r="F305" s="175"/>
      <c r="G305" s="13" t="s">
        <v>2855</v>
      </c>
      <c r="H305" s="82">
        <v>121</v>
      </c>
      <c r="I305" s="109">
        <v>0</v>
      </c>
      <c r="J305" s="20">
        <f>H305*AO305</f>
        <v>0</v>
      </c>
      <c r="K305" s="20">
        <f>H305*AP305</f>
        <v>0</v>
      </c>
      <c r="L305" s="20">
        <f>H305*I305</f>
        <v>0</v>
      </c>
      <c r="M305" s="31" t="s">
        <v>2884</v>
      </c>
      <c r="N305" s="5"/>
      <c r="Z305" s="36">
        <f>IF(AQ305="5",BJ305,0)</f>
        <v>0</v>
      </c>
      <c r="AB305" s="36">
        <f>IF(AQ305="1",BH305,0)</f>
        <v>0</v>
      </c>
      <c r="AC305" s="36">
        <f>IF(AQ305="1",BI305,0)</f>
        <v>0</v>
      </c>
      <c r="AD305" s="36">
        <f>IF(AQ305="7",BH305,0)</f>
        <v>0</v>
      </c>
      <c r="AE305" s="36">
        <f>IF(AQ305="7",BI305,0)</f>
        <v>0</v>
      </c>
      <c r="AF305" s="36">
        <f>IF(AQ305="2",BH305,0)</f>
        <v>0</v>
      </c>
      <c r="AG305" s="36">
        <f>IF(AQ305="2",BI305,0)</f>
        <v>0</v>
      </c>
      <c r="AH305" s="36">
        <f>IF(AQ305="0",BJ305,0)</f>
        <v>0</v>
      </c>
      <c r="AI305" s="35" t="s">
        <v>2894</v>
      </c>
      <c r="AJ305" s="20">
        <f>IF(AN305=0,L305,0)</f>
        <v>0</v>
      </c>
      <c r="AK305" s="20">
        <f>IF(AN305=15,L305,0)</f>
        <v>0</v>
      </c>
      <c r="AL305" s="20">
        <f>IF(AN305=21,L305,0)</f>
        <v>0</v>
      </c>
      <c r="AN305" s="36">
        <v>21</v>
      </c>
      <c r="AO305" s="36">
        <f>I305*0.53</f>
        <v>0</v>
      </c>
      <c r="AP305" s="36">
        <f>I305*(1-0.53)</f>
        <v>0</v>
      </c>
      <c r="AQ305" s="37" t="s">
        <v>13</v>
      </c>
      <c r="AV305" s="36">
        <f>AW305+AX305</f>
        <v>0</v>
      </c>
      <c r="AW305" s="36">
        <f>H305*AO305</f>
        <v>0</v>
      </c>
      <c r="AX305" s="36">
        <f>H305*AP305</f>
        <v>0</v>
      </c>
      <c r="AY305" s="39" t="s">
        <v>2928</v>
      </c>
      <c r="AZ305" s="39" t="s">
        <v>2954</v>
      </c>
      <c r="BA305" s="35" t="s">
        <v>2967</v>
      </c>
      <c r="BC305" s="36">
        <f>AW305+AX305</f>
        <v>0</v>
      </c>
      <c r="BD305" s="36">
        <f>I305/(100-BE305)*100</f>
        <v>0</v>
      </c>
      <c r="BE305" s="36">
        <v>0</v>
      </c>
      <c r="BF305" s="36">
        <f>305</f>
        <v>305</v>
      </c>
      <c r="BH305" s="20">
        <f>H305*AO305</f>
        <v>0</v>
      </c>
      <c r="BI305" s="20">
        <f>H305*AP305</f>
        <v>0</v>
      </c>
      <c r="BJ305" s="20">
        <f>H305*I305</f>
        <v>0</v>
      </c>
      <c r="BK305" s="20" t="s">
        <v>2978</v>
      </c>
      <c r="BL305" s="36">
        <v>722</v>
      </c>
    </row>
    <row r="306" spans="1:64" x14ac:dyDescent="0.2">
      <c r="A306" s="5"/>
      <c r="B306" s="14"/>
      <c r="C306" s="179" t="s">
        <v>2141</v>
      </c>
      <c r="D306" s="180"/>
      <c r="E306" s="180"/>
      <c r="F306" s="180"/>
      <c r="G306" s="180"/>
      <c r="H306" s="180"/>
      <c r="I306" s="180"/>
      <c r="J306" s="180"/>
      <c r="K306" s="180"/>
      <c r="L306" s="180"/>
      <c r="M306" s="181"/>
      <c r="N306" s="5"/>
    </row>
    <row r="307" spans="1:64" x14ac:dyDescent="0.2">
      <c r="A307" s="4" t="s">
        <v>241</v>
      </c>
      <c r="B307" s="13" t="s">
        <v>1171</v>
      </c>
      <c r="C307" s="174" t="s">
        <v>2142</v>
      </c>
      <c r="D307" s="175"/>
      <c r="E307" s="175"/>
      <c r="F307" s="175"/>
      <c r="G307" s="13" t="s">
        <v>2855</v>
      </c>
      <c r="H307" s="82">
        <v>18</v>
      </c>
      <c r="I307" s="109">
        <v>0</v>
      </c>
      <c r="J307" s="20">
        <f>H307*AO307</f>
        <v>0</v>
      </c>
      <c r="K307" s="20">
        <f>H307*AP307</f>
        <v>0</v>
      </c>
      <c r="L307" s="20">
        <f>H307*I307</f>
        <v>0</v>
      </c>
      <c r="M307" s="31" t="s">
        <v>2884</v>
      </c>
      <c r="N307" s="5"/>
      <c r="Z307" s="36">
        <f>IF(AQ307="5",BJ307,0)</f>
        <v>0</v>
      </c>
      <c r="AB307" s="36">
        <f>IF(AQ307="1",BH307,0)</f>
        <v>0</v>
      </c>
      <c r="AC307" s="36">
        <f>IF(AQ307="1",BI307,0)</f>
        <v>0</v>
      </c>
      <c r="AD307" s="36">
        <f>IF(AQ307="7",BH307,0)</f>
        <v>0</v>
      </c>
      <c r="AE307" s="36">
        <f>IF(AQ307="7",BI307,0)</f>
        <v>0</v>
      </c>
      <c r="AF307" s="36">
        <f>IF(AQ307="2",BH307,0)</f>
        <v>0</v>
      </c>
      <c r="AG307" s="36">
        <f>IF(AQ307="2",BI307,0)</f>
        <v>0</v>
      </c>
      <c r="AH307" s="36">
        <f>IF(AQ307="0",BJ307,0)</f>
        <v>0</v>
      </c>
      <c r="AI307" s="35" t="s">
        <v>2894</v>
      </c>
      <c r="AJ307" s="20">
        <f>IF(AN307=0,L307,0)</f>
        <v>0</v>
      </c>
      <c r="AK307" s="20">
        <f>IF(AN307=15,L307,0)</f>
        <v>0</v>
      </c>
      <c r="AL307" s="20">
        <f>IF(AN307=21,L307,0)</f>
        <v>0</v>
      </c>
      <c r="AN307" s="36">
        <v>21</v>
      </c>
      <c r="AO307" s="36">
        <f>I307*0.53</f>
        <v>0</v>
      </c>
      <c r="AP307" s="36">
        <f>I307*(1-0.53)</f>
        <v>0</v>
      </c>
      <c r="AQ307" s="37" t="s">
        <v>13</v>
      </c>
      <c r="AV307" s="36">
        <f>AW307+AX307</f>
        <v>0</v>
      </c>
      <c r="AW307" s="36">
        <f>H307*AO307</f>
        <v>0</v>
      </c>
      <c r="AX307" s="36">
        <f>H307*AP307</f>
        <v>0</v>
      </c>
      <c r="AY307" s="39" t="s">
        <v>2928</v>
      </c>
      <c r="AZ307" s="39" t="s">
        <v>2954</v>
      </c>
      <c r="BA307" s="35" t="s">
        <v>2967</v>
      </c>
      <c r="BC307" s="36">
        <f>AW307+AX307</f>
        <v>0</v>
      </c>
      <c r="BD307" s="36">
        <f>I307/(100-BE307)*100</f>
        <v>0</v>
      </c>
      <c r="BE307" s="36">
        <v>0</v>
      </c>
      <c r="BF307" s="36">
        <f>307</f>
        <v>307</v>
      </c>
      <c r="BH307" s="20">
        <f>H307*AO307</f>
        <v>0</v>
      </c>
      <c r="BI307" s="20">
        <f>H307*AP307</f>
        <v>0</v>
      </c>
      <c r="BJ307" s="20">
        <f>H307*I307</f>
        <v>0</v>
      </c>
      <c r="BK307" s="20" t="s">
        <v>2978</v>
      </c>
      <c r="BL307" s="36">
        <v>722</v>
      </c>
    </row>
    <row r="308" spans="1:64" x14ac:dyDescent="0.2">
      <c r="A308" s="4" t="s">
        <v>242</v>
      </c>
      <c r="B308" s="13" t="s">
        <v>1172</v>
      </c>
      <c r="C308" s="174" t="s">
        <v>2143</v>
      </c>
      <c r="D308" s="175"/>
      <c r="E308" s="175"/>
      <c r="F308" s="175"/>
      <c r="G308" s="13" t="s">
        <v>2855</v>
      </c>
      <c r="H308" s="82">
        <v>5</v>
      </c>
      <c r="I308" s="109">
        <v>0</v>
      </c>
      <c r="J308" s="20">
        <f>H308*AO308</f>
        <v>0</v>
      </c>
      <c r="K308" s="20">
        <f>H308*AP308</f>
        <v>0</v>
      </c>
      <c r="L308" s="20">
        <f>H308*I308</f>
        <v>0</v>
      </c>
      <c r="M308" s="31" t="s">
        <v>2884</v>
      </c>
      <c r="N308" s="5"/>
      <c r="Z308" s="36">
        <f>IF(AQ308="5",BJ308,0)</f>
        <v>0</v>
      </c>
      <c r="AB308" s="36">
        <f>IF(AQ308="1",BH308,0)</f>
        <v>0</v>
      </c>
      <c r="AC308" s="36">
        <f>IF(AQ308="1",BI308,0)</f>
        <v>0</v>
      </c>
      <c r="AD308" s="36">
        <f>IF(AQ308="7",BH308,0)</f>
        <v>0</v>
      </c>
      <c r="AE308" s="36">
        <f>IF(AQ308="7",BI308,0)</f>
        <v>0</v>
      </c>
      <c r="AF308" s="36">
        <f>IF(AQ308="2",BH308,0)</f>
        <v>0</v>
      </c>
      <c r="AG308" s="36">
        <f>IF(AQ308="2",BI308,0)</f>
        <v>0</v>
      </c>
      <c r="AH308" s="36">
        <f>IF(AQ308="0",BJ308,0)</f>
        <v>0</v>
      </c>
      <c r="AI308" s="35" t="s">
        <v>2894</v>
      </c>
      <c r="AJ308" s="20">
        <f>IF(AN308=0,L308,0)</f>
        <v>0</v>
      </c>
      <c r="AK308" s="20">
        <f>IF(AN308=15,L308,0)</f>
        <v>0</v>
      </c>
      <c r="AL308" s="20">
        <f>IF(AN308=21,L308,0)</f>
        <v>0</v>
      </c>
      <c r="AN308" s="36">
        <v>21</v>
      </c>
      <c r="AO308" s="36">
        <f>I308*0.53</f>
        <v>0</v>
      </c>
      <c r="AP308" s="36">
        <f>I308*(1-0.53)</f>
        <v>0</v>
      </c>
      <c r="AQ308" s="37" t="s">
        <v>13</v>
      </c>
      <c r="AV308" s="36">
        <f>AW308+AX308</f>
        <v>0</v>
      </c>
      <c r="AW308" s="36">
        <f>H308*AO308</f>
        <v>0</v>
      </c>
      <c r="AX308" s="36">
        <f>H308*AP308</f>
        <v>0</v>
      </c>
      <c r="AY308" s="39" t="s">
        <v>2928</v>
      </c>
      <c r="AZ308" s="39" t="s">
        <v>2954</v>
      </c>
      <c r="BA308" s="35" t="s">
        <v>2967</v>
      </c>
      <c r="BC308" s="36">
        <f>AW308+AX308</f>
        <v>0</v>
      </c>
      <c r="BD308" s="36">
        <f>I308/(100-BE308)*100</f>
        <v>0</v>
      </c>
      <c r="BE308" s="36">
        <v>0</v>
      </c>
      <c r="BF308" s="36">
        <f>308</f>
        <v>308</v>
      </c>
      <c r="BH308" s="20">
        <f>H308*AO308</f>
        <v>0</v>
      </c>
      <c r="BI308" s="20">
        <f>H308*AP308</f>
        <v>0</v>
      </c>
      <c r="BJ308" s="20">
        <f>H308*I308</f>
        <v>0</v>
      </c>
      <c r="BK308" s="20" t="s">
        <v>2978</v>
      </c>
      <c r="BL308" s="36">
        <v>722</v>
      </c>
    </row>
    <row r="309" spans="1:64" x14ac:dyDescent="0.2">
      <c r="A309" s="4" t="s">
        <v>243</v>
      </c>
      <c r="B309" s="13" t="s">
        <v>1173</v>
      </c>
      <c r="C309" s="174" t="s">
        <v>2144</v>
      </c>
      <c r="D309" s="175"/>
      <c r="E309" s="175"/>
      <c r="F309" s="175"/>
      <c r="G309" s="13" t="s">
        <v>2860</v>
      </c>
      <c r="H309" s="82">
        <v>9</v>
      </c>
      <c r="I309" s="109">
        <v>0</v>
      </c>
      <c r="J309" s="20">
        <f>H309*AO309</f>
        <v>0</v>
      </c>
      <c r="K309" s="20">
        <f>H309*AP309</f>
        <v>0</v>
      </c>
      <c r="L309" s="20">
        <f>H309*I309</f>
        <v>0</v>
      </c>
      <c r="M309" s="31" t="s">
        <v>2884</v>
      </c>
      <c r="N309" s="5"/>
      <c r="Z309" s="36">
        <f>IF(AQ309="5",BJ309,0)</f>
        <v>0</v>
      </c>
      <c r="AB309" s="36">
        <f>IF(AQ309="1",BH309,0)</f>
        <v>0</v>
      </c>
      <c r="AC309" s="36">
        <f>IF(AQ309="1",BI309,0)</f>
        <v>0</v>
      </c>
      <c r="AD309" s="36">
        <f>IF(AQ309="7",BH309,0)</f>
        <v>0</v>
      </c>
      <c r="AE309" s="36">
        <f>IF(AQ309="7",BI309,0)</f>
        <v>0</v>
      </c>
      <c r="AF309" s="36">
        <f>IF(AQ309="2",BH309,0)</f>
        <v>0</v>
      </c>
      <c r="AG309" s="36">
        <f>IF(AQ309="2",BI309,0)</f>
        <v>0</v>
      </c>
      <c r="AH309" s="36">
        <f>IF(AQ309="0",BJ309,0)</f>
        <v>0</v>
      </c>
      <c r="AI309" s="35" t="s">
        <v>2894</v>
      </c>
      <c r="AJ309" s="20">
        <f>IF(AN309=0,L309,0)</f>
        <v>0</v>
      </c>
      <c r="AK309" s="20">
        <f>IF(AN309=15,L309,0)</f>
        <v>0</v>
      </c>
      <c r="AL309" s="20">
        <f>IF(AN309=21,L309,0)</f>
        <v>0</v>
      </c>
      <c r="AN309" s="36">
        <v>21</v>
      </c>
      <c r="AO309" s="36">
        <f>I309*0.53</f>
        <v>0</v>
      </c>
      <c r="AP309" s="36">
        <f>I309*(1-0.53)</f>
        <v>0</v>
      </c>
      <c r="AQ309" s="37" t="s">
        <v>13</v>
      </c>
      <c r="AV309" s="36">
        <f>AW309+AX309</f>
        <v>0</v>
      </c>
      <c r="AW309" s="36">
        <f>H309*AO309</f>
        <v>0</v>
      </c>
      <c r="AX309" s="36">
        <f>H309*AP309</f>
        <v>0</v>
      </c>
      <c r="AY309" s="39" t="s">
        <v>2928</v>
      </c>
      <c r="AZ309" s="39" t="s">
        <v>2954</v>
      </c>
      <c r="BA309" s="35" t="s">
        <v>2967</v>
      </c>
      <c r="BC309" s="36">
        <f>AW309+AX309</f>
        <v>0</v>
      </c>
      <c r="BD309" s="36">
        <f>I309/(100-BE309)*100</f>
        <v>0</v>
      </c>
      <c r="BE309" s="36">
        <v>0</v>
      </c>
      <c r="BF309" s="36">
        <f>309</f>
        <v>309</v>
      </c>
      <c r="BH309" s="20">
        <f>H309*AO309</f>
        <v>0</v>
      </c>
      <c r="BI309" s="20">
        <f>H309*AP309</f>
        <v>0</v>
      </c>
      <c r="BJ309" s="20">
        <f>H309*I309</f>
        <v>0</v>
      </c>
      <c r="BK309" s="20" t="s">
        <v>2978</v>
      </c>
      <c r="BL309" s="36">
        <v>722</v>
      </c>
    </row>
    <row r="310" spans="1:64" ht="25.7" customHeight="1" x14ac:dyDescent="0.2">
      <c r="A310" s="5"/>
      <c r="B310" s="14"/>
      <c r="C310" s="179" t="s">
        <v>2145</v>
      </c>
      <c r="D310" s="180"/>
      <c r="E310" s="180"/>
      <c r="F310" s="180"/>
      <c r="G310" s="180"/>
      <c r="H310" s="180"/>
      <c r="I310" s="180"/>
      <c r="J310" s="180"/>
      <c r="K310" s="180"/>
      <c r="L310" s="180"/>
      <c r="M310" s="181"/>
      <c r="N310" s="5"/>
    </row>
    <row r="311" spans="1:64" x14ac:dyDescent="0.2">
      <c r="A311" s="4" t="s">
        <v>244</v>
      </c>
      <c r="B311" s="13" t="s">
        <v>1174</v>
      </c>
      <c r="C311" s="174" t="s">
        <v>2146</v>
      </c>
      <c r="D311" s="175"/>
      <c r="E311" s="175"/>
      <c r="F311" s="175"/>
      <c r="G311" s="13" t="s">
        <v>2860</v>
      </c>
      <c r="H311" s="82">
        <v>7</v>
      </c>
      <c r="I311" s="109">
        <v>0</v>
      </c>
      <c r="J311" s="20">
        <f>H311*AO311</f>
        <v>0</v>
      </c>
      <c r="K311" s="20">
        <f>H311*AP311</f>
        <v>0</v>
      </c>
      <c r="L311" s="20">
        <f>H311*I311</f>
        <v>0</v>
      </c>
      <c r="M311" s="31" t="s">
        <v>2884</v>
      </c>
      <c r="N311" s="5"/>
      <c r="Z311" s="36">
        <f>IF(AQ311="5",BJ311,0)</f>
        <v>0</v>
      </c>
      <c r="AB311" s="36">
        <f>IF(AQ311="1",BH311,0)</f>
        <v>0</v>
      </c>
      <c r="AC311" s="36">
        <f>IF(AQ311="1",BI311,0)</f>
        <v>0</v>
      </c>
      <c r="AD311" s="36">
        <f>IF(AQ311="7",BH311,0)</f>
        <v>0</v>
      </c>
      <c r="AE311" s="36">
        <f>IF(AQ311="7",BI311,0)</f>
        <v>0</v>
      </c>
      <c r="AF311" s="36">
        <f>IF(AQ311="2",BH311,0)</f>
        <v>0</v>
      </c>
      <c r="AG311" s="36">
        <f>IF(AQ311="2",BI311,0)</f>
        <v>0</v>
      </c>
      <c r="AH311" s="36">
        <f>IF(AQ311="0",BJ311,0)</f>
        <v>0</v>
      </c>
      <c r="AI311" s="35" t="s">
        <v>2894</v>
      </c>
      <c r="AJ311" s="20">
        <f>IF(AN311=0,L311,0)</f>
        <v>0</v>
      </c>
      <c r="AK311" s="20">
        <f>IF(AN311=15,L311,0)</f>
        <v>0</v>
      </c>
      <c r="AL311" s="20">
        <f>IF(AN311=21,L311,0)</f>
        <v>0</v>
      </c>
      <c r="AN311" s="36">
        <v>21</v>
      </c>
      <c r="AO311" s="36">
        <f>I311*0.53</f>
        <v>0</v>
      </c>
      <c r="AP311" s="36">
        <f>I311*(1-0.53)</f>
        <v>0</v>
      </c>
      <c r="AQ311" s="37" t="s">
        <v>13</v>
      </c>
      <c r="AV311" s="36">
        <f>AW311+AX311</f>
        <v>0</v>
      </c>
      <c r="AW311" s="36">
        <f>H311*AO311</f>
        <v>0</v>
      </c>
      <c r="AX311" s="36">
        <f>H311*AP311</f>
        <v>0</v>
      </c>
      <c r="AY311" s="39" t="s">
        <v>2928</v>
      </c>
      <c r="AZ311" s="39" t="s">
        <v>2954</v>
      </c>
      <c r="BA311" s="35" t="s">
        <v>2967</v>
      </c>
      <c r="BC311" s="36">
        <f>AW311+AX311</f>
        <v>0</v>
      </c>
      <c r="BD311" s="36">
        <f>I311/(100-BE311)*100</f>
        <v>0</v>
      </c>
      <c r="BE311" s="36">
        <v>0</v>
      </c>
      <c r="BF311" s="36">
        <f>311</f>
        <v>311</v>
      </c>
      <c r="BH311" s="20">
        <f>H311*AO311</f>
        <v>0</v>
      </c>
      <c r="BI311" s="20">
        <f>H311*AP311</f>
        <v>0</v>
      </c>
      <c r="BJ311" s="20">
        <f>H311*I311</f>
        <v>0</v>
      </c>
      <c r="BK311" s="20" t="s">
        <v>2978</v>
      </c>
      <c r="BL311" s="36">
        <v>722</v>
      </c>
    </row>
    <row r="312" spans="1:64" ht="38.450000000000003" customHeight="1" x14ac:dyDescent="0.2">
      <c r="A312" s="5"/>
      <c r="B312" s="14"/>
      <c r="C312" s="179" t="s">
        <v>2147</v>
      </c>
      <c r="D312" s="180"/>
      <c r="E312" s="180"/>
      <c r="F312" s="180"/>
      <c r="G312" s="180"/>
      <c r="H312" s="180"/>
      <c r="I312" s="180"/>
      <c r="J312" s="180"/>
      <c r="K312" s="180"/>
      <c r="L312" s="180"/>
      <c r="M312" s="181"/>
      <c r="N312" s="5"/>
    </row>
    <row r="313" spans="1:64" x14ac:dyDescent="0.2">
      <c r="A313" s="4" t="s">
        <v>245</v>
      </c>
      <c r="B313" s="13" t="s">
        <v>1175</v>
      </c>
      <c r="C313" s="174" t="s">
        <v>2148</v>
      </c>
      <c r="D313" s="175"/>
      <c r="E313" s="175"/>
      <c r="F313" s="175"/>
      <c r="G313" s="13" t="s">
        <v>2860</v>
      </c>
      <c r="H313" s="82">
        <v>1</v>
      </c>
      <c r="I313" s="109">
        <v>0</v>
      </c>
      <c r="J313" s="20">
        <f>H313*AO313</f>
        <v>0</v>
      </c>
      <c r="K313" s="20">
        <f>H313*AP313</f>
        <v>0</v>
      </c>
      <c r="L313" s="20">
        <f>H313*I313</f>
        <v>0</v>
      </c>
      <c r="M313" s="31" t="s">
        <v>2884</v>
      </c>
      <c r="N313" s="5"/>
      <c r="Z313" s="36">
        <f>IF(AQ313="5",BJ313,0)</f>
        <v>0</v>
      </c>
      <c r="AB313" s="36">
        <f>IF(AQ313="1",BH313,0)</f>
        <v>0</v>
      </c>
      <c r="AC313" s="36">
        <f>IF(AQ313="1",BI313,0)</f>
        <v>0</v>
      </c>
      <c r="AD313" s="36">
        <f>IF(AQ313="7",BH313,0)</f>
        <v>0</v>
      </c>
      <c r="AE313" s="36">
        <f>IF(AQ313="7",BI313,0)</f>
        <v>0</v>
      </c>
      <c r="AF313" s="36">
        <f>IF(AQ313="2",BH313,0)</f>
        <v>0</v>
      </c>
      <c r="AG313" s="36">
        <f>IF(AQ313="2",BI313,0)</f>
        <v>0</v>
      </c>
      <c r="AH313" s="36">
        <f>IF(AQ313="0",BJ313,0)</f>
        <v>0</v>
      </c>
      <c r="AI313" s="35" t="s">
        <v>2894</v>
      </c>
      <c r="AJ313" s="20">
        <f>IF(AN313=0,L313,0)</f>
        <v>0</v>
      </c>
      <c r="AK313" s="20">
        <f>IF(AN313=15,L313,0)</f>
        <v>0</v>
      </c>
      <c r="AL313" s="20">
        <f>IF(AN313=21,L313,0)</f>
        <v>0</v>
      </c>
      <c r="AN313" s="36">
        <v>21</v>
      </c>
      <c r="AO313" s="36">
        <f>I313*0.53</f>
        <v>0</v>
      </c>
      <c r="AP313" s="36">
        <f>I313*(1-0.53)</f>
        <v>0</v>
      </c>
      <c r="AQ313" s="37" t="s">
        <v>13</v>
      </c>
      <c r="AV313" s="36">
        <f>AW313+AX313</f>
        <v>0</v>
      </c>
      <c r="AW313" s="36">
        <f>H313*AO313</f>
        <v>0</v>
      </c>
      <c r="AX313" s="36">
        <f>H313*AP313</f>
        <v>0</v>
      </c>
      <c r="AY313" s="39" t="s">
        <v>2928</v>
      </c>
      <c r="AZ313" s="39" t="s">
        <v>2954</v>
      </c>
      <c r="BA313" s="35" t="s">
        <v>2967</v>
      </c>
      <c r="BC313" s="36">
        <f>AW313+AX313</f>
        <v>0</v>
      </c>
      <c r="BD313" s="36">
        <f>I313/(100-BE313)*100</f>
        <v>0</v>
      </c>
      <c r="BE313" s="36">
        <v>0</v>
      </c>
      <c r="BF313" s="36">
        <f>313</f>
        <v>313</v>
      </c>
      <c r="BH313" s="20">
        <f>H313*AO313</f>
        <v>0</v>
      </c>
      <c r="BI313" s="20">
        <f>H313*AP313</f>
        <v>0</v>
      </c>
      <c r="BJ313" s="20">
        <f>H313*I313</f>
        <v>0</v>
      </c>
      <c r="BK313" s="20" t="s">
        <v>2978</v>
      </c>
      <c r="BL313" s="36">
        <v>722</v>
      </c>
    </row>
    <row r="314" spans="1:64" ht="25.7" customHeight="1" x14ac:dyDescent="0.2">
      <c r="A314" s="5"/>
      <c r="B314" s="14"/>
      <c r="C314" s="179" t="s">
        <v>2149</v>
      </c>
      <c r="D314" s="180"/>
      <c r="E314" s="180"/>
      <c r="F314" s="180"/>
      <c r="G314" s="180"/>
      <c r="H314" s="180"/>
      <c r="I314" s="180"/>
      <c r="J314" s="180"/>
      <c r="K314" s="180"/>
      <c r="L314" s="180"/>
      <c r="M314" s="181"/>
      <c r="N314" s="5"/>
    </row>
    <row r="315" spans="1:64" x14ac:dyDescent="0.2">
      <c r="A315" s="4" t="s">
        <v>246</v>
      </c>
      <c r="B315" s="13" t="s">
        <v>1176</v>
      </c>
      <c r="C315" s="174" t="s">
        <v>2150</v>
      </c>
      <c r="D315" s="175"/>
      <c r="E315" s="175"/>
      <c r="F315" s="175"/>
      <c r="G315" s="13" t="s">
        <v>2860</v>
      </c>
      <c r="H315" s="82">
        <v>6</v>
      </c>
      <c r="I315" s="109">
        <v>0</v>
      </c>
      <c r="J315" s="20">
        <f>H315*AO315</f>
        <v>0</v>
      </c>
      <c r="K315" s="20">
        <f>H315*AP315</f>
        <v>0</v>
      </c>
      <c r="L315" s="20">
        <f>H315*I315</f>
        <v>0</v>
      </c>
      <c r="M315" s="31" t="s">
        <v>2884</v>
      </c>
      <c r="N315" s="5"/>
      <c r="Z315" s="36">
        <f>IF(AQ315="5",BJ315,0)</f>
        <v>0</v>
      </c>
      <c r="AB315" s="36">
        <f>IF(AQ315="1",BH315,0)</f>
        <v>0</v>
      </c>
      <c r="AC315" s="36">
        <f>IF(AQ315="1",BI315,0)</f>
        <v>0</v>
      </c>
      <c r="AD315" s="36">
        <f>IF(AQ315="7",BH315,0)</f>
        <v>0</v>
      </c>
      <c r="AE315" s="36">
        <f>IF(AQ315="7",BI315,0)</f>
        <v>0</v>
      </c>
      <c r="AF315" s="36">
        <f>IF(AQ315="2",BH315,0)</f>
        <v>0</v>
      </c>
      <c r="AG315" s="36">
        <f>IF(AQ315="2",BI315,0)</f>
        <v>0</v>
      </c>
      <c r="AH315" s="36">
        <f>IF(AQ315="0",BJ315,0)</f>
        <v>0</v>
      </c>
      <c r="AI315" s="35" t="s">
        <v>2894</v>
      </c>
      <c r="AJ315" s="20">
        <f>IF(AN315=0,L315,0)</f>
        <v>0</v>
      </c>
      <c r="AK315" s="20">
        <f>IF(AN315=15,L315,0)</f>
        <v>0</v>
      </c>
      <c r="AL315" s="20">
        <f>IF(AN315=21,L315,0)</f>
        <v>0</v>
      </c>
      <c r="AN315" s="36">
        <v>21</v>
      </c>
      <c r="AO315" s="36">
        <f>I315*0.53</f>
        <v>0</v>
      </c>
      <c r="AP315" s="36">
        <f>I315*(1-0.53)</f>
        <v>0</v>
      </c>
      <c r="AQ315" s="37" t="s">
        <v>13</v>
      </c>
      <c r="AV315" s="36">
        <f>AW315+AX315</f>
        <v>0</v>
      </c>
      <c r="AW315" s="36">
        <f>H315*AO315</f>
        <v>0</v>
      </c>
      <c r="AX315" s="36">
        <f>H315*AP315</f>
        <v>0</v>
      </c>
      <c r="AY315" s="39" t="s">
        <v>2928</v>
      </c>
      <c r="AZ315" s="39" t="s">
        <v>2954</v>
      </c>
      <c r="BA315" s="35" t="s">
        <v>2967</v>
      </c>
      <c r="BC315" s="36">
        <f>AW315+AX315</f>
        <v>0</v>
      </c>
      <c r="BD315" s="36">
        <f>I315/(100-BE315)*100</f>
        <v>0</v>
      </c>
      <c r="BE315" s="36">
        <v>0</v>
      </c>
      <c r="BF315" s="36">
        <f>315</f>
        <v>315</v>
      </c>
      <c r="BH315" s="20">
        <f>H315*AO315</f>
        <v>0</v>
      </c>
      <c r="BI315" s="20">
        <f>H315*AP315</f>
        <v>0</v>
      </c>
      <c r="BJ315" s="20">
        <f>H315*I315</f>
        <v>0</v>
      </c>
      <c r="BK315" s="20" t="s">
        <v>2978</v>
      </c>
      <c r="BL315" s="36">
        <v>722</v>
      </c>
    </row>
    <row r="316" spans="1:64" ht="38.450000000000003" customHeight="1" x14ac:dyDescent="0.2">
      <c r="A316" s="5"/>
      <c r="B316" s="14"/>
      <c r="C316" s="179" t="s">
        <v>2151</v>
      </c>
      <c r="D316" s="180"/>
      <c r="E316" s="180"/>
      <c r="F316" s="180"/>
      <c r="G316" s="180"/>
      <c r="H316" s="180"/>
      <c r="I316" s="180"/>
      <c r="J316" s="180"/>
      <c r="K316" s="180"/>
      <c r="L316" s="180"/>
      <c r="M316" s="181"/>
      <c r="N316" s="5"/>
    </row>
    <row r="317" spans="1:64" x14ac:dyDescent="0.2">
      <c r="A317" s="4" t="s">
        <v>247</v>
      </c>
      <c r="B317" s="13" t="s">
        <v>1177</v>
      </c>
      <c r="C317" s="174" t="s">
        <v>2152</v>
      </c>
      <c r="D317" s="175"/>
      <c r="E317" s="175"/>
      <c r="F317" s="175"/>
      <c r="G317" s="13" t="s">
        <v>2860</v>
      </c>
      <c r="H317" s="82">
        <v>2</v>
      </c>
      <c r="I317" s="109">
        <v>0</v>
      </c>
      <c r="J317" s="20">
        <f>H317*AO317</f>
        <v>0</v>
      </c>
      <c r="K317" s="20">
        <f>H317*AP317</f>
        <v>0</v>
      </c>
      <c r="L317" s="20">
        <f>H317*I317</f>
        <v>0</v>
      </c>
      <c r="M317" s="31" t="s">
        <v>2884</v>
      </c>
      <c r="N317" s="5"/>
      <c r="Z317" s="36">
        <f>IF(AQ317="5",BJ317,0)</f>
        <v>0</v>
      </c>
      <c r="AB317" s="36">
        <f>IF(AQ317="1",BH317,0)</f>
        <v>0</v>
      </c>
      <c r="AC317" s="36">
        <f>IF(AQ317="1",BI317,0)</f>
        <v>0</v>
      </c>
      <c r="AD317" s="36">
        <f>IF(AQ317="7",BH317,0)</f>
        <v>0</v>
      </c>
      <c r="AE317" s="36">
        <f>IF(AQ317="7",BI317,0)</f>
        <v>0</v>
      </c>
      <c r="AF317" s="36">
        <f>IF(AQ317="2",BH317,0)</f>
        <v>0</v>
      </c>
      <c r="AG317" s="36">
        <f>IF(AQ317="2",BI317,0)</f>
        <v>0</v>
      </c>
      <c r="AH317" s="36">
        <f>IF(AQ317="0",BJ317,0)</f>
        <v>0</v>
      </c>
      <c r="AI317" s="35" t="s">
        <v>2894</v>
      </c>
      <c r="AJ317" s="20">
        <f>IF(AN317=0,L317,0)</f>
        <v>0</v>
      </c>
      <c r="AK317" s="20">
        <f>IF(AN317=15,L317,0)</f>
        <v>0</v>
      </c>
      <c r="AL317" s="20">
        <f>IF(AN317=21,L317,0)</f>
        <v>0</v>
      </c>
      <c r="AN317" s="36">
        <v>21</v>
      </c>
      <c r="AO317" s="36">
        <f>I317*0.53</f>
        <v>0</v>
      </c>
      <c r="AP317" s="36">
        <f>I317*(1-0.53)</f>
        <v>0</v>
      </c>
      <c r="AQ317" s="37" t="s">
        <v>13</v>
      </c>
      <c r="AV317" s="36">
        <f>AW317+AX317</f>
        <v>0</v>
      </c>
      <c r="AW317" s="36">
        <f>H317*AO317</f>
        <v>0</v>
      </c>
      <c r="AX317" s="36">
        <f>H317*AP317</f>
        <v>0</v>
      </c>
      <c r="AY317" s="39" t="s">
        <v>2928</v>
      </c>
      <c r="AZ317" s="39" t="s">
        <v>2954</v>
      </c>
      <c r="BA317" s="35" t="s">
        <v>2967</v>
      </c>
      <c r="BC317" s="36">
        <f>AW317+AX317</f>
        <v>0</v>
      </c>
      <c r="BD317" s="36">
        <f>I317/(100-BE317)*100</f>
        <v>0</v>
      </c>
      <c r="BE317" s="36">
        <v>0</v>
      </c>
      <c r="BF317" s="36">
        <f>317</f>
        <v>317</v>
      </c>
      <c r="BH317" s="20">
        <f>H317*AO317</f>
        <v>0</v>
      </c>
      <c r="BI317" s="20">
        <f>H317*AP317</f>
        <v>0</v>
      </c>
      <c r="BJ317" s="20">
        <f>H317*I317</f>
        <v>0</v>
      </c>
      <c r="BK317" s="20" t="s">
        <v>2978</v>
      </c>
      <c r="BL317" s="36">
        <v>722</v>
      </c>
    </row>
    <row r="318" spans="1:64" ht="64.150000000000006" customHeight="1" x14ac:dyDescent="0.2">
      <c r="A318" s="5"/>
      <c r="B318" s="14"/>
      <c r="C318" s="179" t="s">
        <v>2153</v>
      </c>
      <c r="D318" s="180"/>
      <c r="E318" s="180"/>
      <c r="F318" s="180"/>
      <c r="G318" s="180"/>
      <c r="H318" s="180"/>
      <c r="I318" s="180"/>
      <c r="J318" s="180"/>
      <c r="K318" s="180"/>
      <c r="L318" s="180"/>
      <c r="M318" s="181"/>
      <c r="N318" s="5"/>
    </row>
    <row r="319" spans="1:64" x14ac:dyDescent="0.2">
      <c r="A319" s="4" t="s">
        <v>248</v>
      </c>
      <c r="B319" s="13" t="s">
        <v>1178</v>
      </c>
      <c r="C319" s="174" t="s">
        <v>2154</v>
      </c>
      <c r="D319" s="175"/>
      <c r="E319" s="175"/>
      <c r="F319" s="175"/>
      <c r="G319" s="13" t="s">
        <v>2860</v>
      </c>
      <c r="H319" s="82">
        <v>1</v>
      </c>
      <c r="I319" s="109">
        <v>0</v>
      </c>
      <c r="J319" s="20">
        <f>H319*AO319</f>
        <v>0</v>
      </c>
      <c r="K319" s="20">
        <f>H319*AP319</f>
        <v>0</v>
      </c>
      <c r="L319" s="20">
        <f>H319*I319</f>
        <v>0</v>
      </c>
      <c r="M319" s="31" t="s">
        <v>2884</v>
      </c>
      <c r="N319" s="5"/>
      <c r="Z319" s="36">
        <f>IF(AQ319="5",BJ319,0)</f>
        <v>0</v>
      </c>
      <c r="AB319" s="36">
        <f>IF(AQ319="1",BH319,0)</f>
        <v>0</v>
      </c>
      <c r="AC319" s="36">
        <f>IF(AQ319="1",BI319,0)</f>
        <v>0</v>
      </c>
      <c r="AD319" s="36">
        <f>IF(AQ319="7",BH319,0)</f>
        <v>0</v>
      </c>
      <c r="AE319" s="36">
        <f>IF(AQ319="7",BI319,0)</f>
        <v>0</v>
      </c>
      <c r="AF319" s="36">
        <f>IF(AQ319="2",BH319,0)</f>
        <v>0</v>
      </c>
      <c r="AG319" s="36">
        <f>IF(AQ319="2",BI319,0)</f>
        <v>0</v>
      </c>
      <c r="AH319" s="36">
        <f>IF(AQ319="0",BJ319,0)</f>
        <v>0</v>
      </c>
      <c r="AI319" s="35" t="s">
        <v>2894</v>
      </c>
      <c r="AJ319" s="20">
        <f>IF(AN319=0,L319,0)</f>
        <v>0</v>
      </c>
      <c r="AK319" s="20">
        <f>IF(AN319=15,L319,0)</f>
        <v>0</v>
      </c>
      <c r="AL319" s="20">
        <f>IF(AN319=21,L319,0)</f>
        <v>0</v>
      </c>
      <c r="AN319" s="36">
        <v>21</v>
      </c>
      <c r="AO319" s="36">
        <f>I319*0.53</f>
        <v>0</v>
      </c>
      <c r="AP319" s="36">
        <f>I319*(1-0.53)</f>
        <v>0</v>
      </c>
      <c r="AQ319" s="37" t="s">
        <v>13</v>
      </c>
      <c r="AV319" s="36">
        <f>AW319+AX319</f>
        <v>0</v>
      </c>
      <c r="AW319" s="36">
        <f>H319*AO319</f>
        <v>0</v>
      </c>
      <c r="AX319" s="36">
        <f>H319*AP319</f>
        <v>0</v>
      </c>
      <c r="AY319" s="39" t="s">
        <v>2928</v>
      </c>
      <c r="AZ319" s="39" t="s">
        <v>2954</v>
      </c>
      <c r="BA319" s="35" t="s">
        <v>2967</v>
      </c>
      <c r="BC319" s="36">
        <f>AW319+AX319</f>
        <v>0</v>
      </c>
      <c r="BD319" s="36">
        <f>I319/(100-BE319)*100</f>
        <v>0</v>
      </c>
      <c r="BE319" s="36">
        <v>0</v>
      </c>
      <c r="BF319" s="36">
        <f>319</f>
        <v>319</v>
      </c>
      <c r="BH319" s="20">
        <f>H319*AO319</f>
        <v>0</v>
      </c>
      <c r="BI319" s="20">
        <f>H319*AP319</f>
        <v>0</v>
      </c>
      <c r="BJ319" s="20">
        <f>H319*I319</f>
        <v>0</v>
      </c>
      <c r="BK319" s="20" t="s">
        <v>2978</v>
      </c>
      <c r="BL319" s="36">
        <v>722</v>
      </c>
    </row>
    <row r="320" spans="1:64" ht="38.450000000000003" customHeight="1" x14ac:dyDescent="0.2">
      <c r="A320" s="5"/>
      <c r="B320" s="14"/>
      <c r="C320" s="179" t="s">
        <v>2155</v>
      </c>
      <c r="D320" s="180"/>
      <c r="E320" s="180"/>
      <c r="F320" s="180"/>
      <c r="G320" s="180"/>
      <c r="H320" s="180"/>
      <c r="I320" s="180"/>
      <c r="J320" s="180"/>
      <c r="K320" s="180"/>
      <c r="L320" s="180"/>
      <c r="M320" s="181"/>
      <c r="N320" s="5"/>
    </row>
    <row r="321" spans="1:64" x14ac:dyDescent="0.2">
      <c r="A321" s="4" t="s">
        <v>249</v>
      </c>
      <c r="B321" s="13" t="s">
        <v>1179</v>
      </c>
      <c r="C321" s="174" t="s">
        <v>2156</v>
      </c>
      <c r="D321" s="175"/>
      <c r="E321" s="175"/>
      <c r="F321" s="175"/>
      <c r="G321" s="13" t="s">
        <v>2860</v>
      </c>
      <c r="H321" s="82">
        <v>1</v>
      </c>
      <c r="I321" s="109">
        <v>0</v>
      </c>
      <c r="J321" s="20">
        <f>H321*AO321</f>
        <v>0</v>
      </c>
      <c r="K321" s="20">
        <f>H321*AP321</f>
        <v>0</v>
      </c>
      <c r="L321" s="20">
        <f>H321*I321</f>
        <v>0</v>
      </c>
      <c r="M321" s="31" t="s">
        <v>2884</v>
      </c>
      <c r="N321" s="5"/>
      <c r="Z321" s="36">
        <f>IF(AQ321="5",BJ321,0)</f>
        <v>0</v>
      </c>
      <c r="AB321" s="36">
        <f>IF(AQ321="1",BH321,0)</f>
        <v>0</v>
      </c>
      <c r="AC321" s="36">
        <f>IF(AQ321="1",BI321,0)</f>
        <v>0</v>
      </c>
      <c r="AD321" s="36">
        <f>IF(AQ321="7",BH321,0)</f>
        <v>0</v>
      </c>
      <c r="AE321" s="36">
        <f>IF(AQ321="7",BI321,0)</f>
        <v>0</v>
      </c>
      <c r="AF321" s="36">
        <f>IF(AQ321="2",BH321,0)</f>
        <v>0</v>
      </c>
      <c r="AG321" s="36">
        <f>IF(AQ321="2",BI321,0)</f>
        <v>0</v>
      </c>
      <c r="AH321" s="36">
        <f>IF(AQ321="0",BJ321,0)</f>
        <v>0</v>
      </c>
      <c r="AI321" s="35" t="s">
        <v>2894</v>
      </c>
      <c r="AJ321" s="20">
        <f>IF(AN321=0,L321,0)</f>
        <v>0</v>
      </c>
      <c r="AK321" s="20">
        <f>IF(AN321=15,L321,0)</f>
        <v>0</v>
      </c>
      <c r="AL321" s="20">
        <f>IF(AN321=21,L321,0)</f>
        <v>0</v>
      </c>
      <c r="AN321" s="36">
        <v>21</v>
      </c>
      <c r="AO321" s="36">
        <f>I321*0.53</f>
        <v>0</v>
      </c>
      <c r="AP321" s="36">
        <f>I321*(1-0.53)</f>
        <v>0</v>
      </c>
      <c r="AQ321" s="37" t="s">
        <v>13</v>
      </c>
      <c r="AV321" s="36">
        <f>AW321+AX321</f>
        <v>0</v>
      </c>
      <c r="AW321" s="36">
        <f>H321*AO321</f>
        <v>0</v>
      </c>
      <c r="AX321" s="36">
        <f>H321*AP321</f>
        <v>0</v>
      </c>
      <c r="AY321" s="39" t="s">
        <v>2928</v>
      </c>
      <c r="AZ321" s="39" t="s">
        <v>2954</v>
      </c>
      <c r="BA321" s="35" t="s">
        <v>2967</v>
      </c>
      <c r="BC321" s="36">
        <f>AW321+AX321</f>
        <v>0</v>
      </c>
      <c r="BD321" s="36">
        <f>I321/(100-BE321)*100</f>
        <v>0</v>
      </c>
      <c r="BE321" s="36">
        <v>0</v>
      </c>
      <c r="BF321" s="36">
        <f>321</f>
        <v>321</v>
      </c>
      <c r="BH321" s="20">
        <f>H321*AO321</f>
        <v>0</v>
      </c>
      <c r="BI321" s="20">
        <f>H321*AP321</f>
        <v>0</v>
      </c>
      <c r="BJ321" s="20">
        <f>H321*I321</f>
        <v>0</v>
      </c>
      <c r="BK321" s="20" t="s">
        <v>2978</v>
      </c>
      <c r="BL321" s="36">
        <v>722</v>
      </c>
    </row>
    <row r="322" spans="1:64" x14ac:dyDescent="0.2">
      <c r="A322" s="5"/>
      <c r="B322" s="14"/>
      <c r="C322" s="179" t="s">
        <v>2157</v>
      </c>
      <c r="D322" s="180"/>
      <c r="E322" s="180"/>
      <c r="F322" s="180"/>
      <c r="G322" s="180"/>
      <c r="H322" s="180"/>
      <c r="I322" s="180"/>
      <c r="J322" s="180"/>
      <c r="K322" s="180"/>
      <c r="L322" s="180"/>
      <c r="M322" s="181"/>
      <c r="N322" s="5"/>
    </row>
    <row r="323" spans="1:64" x14ac:dyDescent="0.2">
      <c r="A323" s="4" t="s">
        <v>250</v>
      </c>
      <c r="B323" s="13" t="s">
        <v>1180</v>
      </c>
      <c r="C323" s="174" t="s">
        <v>2158</v>
      </c>
      <c r="D323" s="175"/>
      <c r="E323" s="175"/>
      <c r="F323" s="175"/>
      <c r="G323" s="13" t="s">
        <v>2860</v>
      </c>
      <c r="H323" s="82">
        <v>1</v>
      </c>
      <c r="I323" s="109">
        <v>0</v>
      </c>
      <c r="J323" s="20">
        <f>H323*AO323</f>
        <v>0</v>
      </c>
      <c r="K323" s="20">
        <f>H323*AP323</f>
        <v>0</v>
      </c>
      <c r="L323" s="20">
        <f>H323*I323</f>
        <v>0</v>
      </c>
      <c r="M323" s="31" t="s">
        <v>2884</v>
      </c>
      <c r="N323" s="5"/>
      <c r="Z323" s="36">
        <f>IF(AQ323="5",BJ323,0)</f>
        <v>0</v>
      </c>
      <c r="AB323" s="36">
        <f>IF(AQ323="1",BH323,0)</f>
        <v>0</v>
      </c>
      <c r="AC323" s="36">
        <f>IF(AQ323="1",BI323,0)</f>
        <v>0</v>
      </c>
      <c r="AD323" s="36">
        <f>IF(AQ323="7",BH323,0)</f>
        <v>0</v>
      </c>
      <c r="AE323" s="36">
        <f>IF(AQ323="7",BI323,0)</f>
        <v>0</v>
      </c>
      <c r="AF323" s="36">
        <f>IF(AQ323="2",BH323,0)</f>
        <v>0</v>
      </c>
      <c r="AG323" s="36">
        <f>IF(AQ323="2",BI323,0)</f>
        <v>0</v>
      </c>
      <c r="AH323" s="36">
        <f>IF(AQ323="0",BJ323,0)</f>
        <v>0</v>
      </c>
      <c r="AI323" s="35" t="s">
        <v>2894</v>
      </c>
      <c r="AJ323" s="20">
        <f>IF(AN323=0,L323,0)</f>
        <v>0</v>
      </c>
      <c r="AK323" s="20">
        <f>IF(AN323=15,L323,0)</f>
        <v>0</v>
      </c>
      <c r="AL323" s="20">
        <f>IF(AN323=21,L323,0)</f>
        <v>0</v>
      </c>
      <c r="AN323" s="36">
        <v>21</v>
      </c>
      <c r="AO323" s="36">
        <f>I323*0.53</f>
        <v>0</v>
      </c>
      <c r="AP323" s="36">
        <f>I323*(1-0.53)</f>
        <v>0</v>
      </c>
      <c r="AQ323" s="37" t="s">
        <v>13</v>
      </c>
      <c r="AV323" s="36">
        <f>AW323+AX323</f>
        <v>0</v>
      </c>
      <c r="AW323" s="36">
        <f>H323*AO323</f>
        <v>0</v>
      </c>
      <c r="AX323" s="36">
        <f>H323*AP323</f>
        <v>0</v>
      </c>
      <c r="AY323" s="39" t="s">
        <v>2928</v>
      </c>
      <c r="AZ323" s="39" t="s">
        <v>2954</v>
      </c>
      <c r="BA323" s="35" t="s">
        <v>2967</v>
      </c>
      <c r="BC323" s="36">
        <f>AW323+AX323</f>
        <v>0</v>
      </c>
      <c r="BD323" s="36">
        <f>I323/(100-BE323)*100</f>
        <v>0</v>
      </c>
      <c r="BE323" s="36">
        <v>0</v>
      </c>
      <c r="BF323" s="36">
        <f>323</f>
        <v>323</v>
      </c>
      <c r="BH323" s="20">
        <f>H323*AO323</f>
        <v>0</v>
      </c>
      <c r="BI323" s="20">
        <f>H323*AP323</f>
        <v>0</v>
      </c>
      <c r="BJ323" s="20">
        <f>H323*I323</f>
        <v>0</v>
      </c>
      <c r="BK323" s="20" t="s">
        <v>2978</v>
      </c>
      <c r="BL323" s="36">
        <v>722</v>
      </c>
    </row>
    <row r="324" spans="1:64" ht="38.450000000000003" customHeight="1" x14ac:dyDescent="0.2">
      <c r="A324" s="5"/>
      <c r="B324" s="14"/>
      <c r="C324" s="179" t="s">
        <v>2159</v>
      </c>
      <c r="D324" s="180"/>
      <c r="E324" s="180"/>
      <c r="F324" s="180"/>
      <c r="G324" s="180"/>
      <c r="H324" s="180"/>
      <c r="I324" s="180"/>
      <c r="J324" s="180"/>
      <c r="K324" s="180"/>
      <c r="L324" s="180"/>
      <c r="M324" s="181"/>
      <c r="N324" s="5"/>
    </row>
    <row r="325" spans="1:64" x14ac:dyDescent="0.2">
      <c r="A325" s="4" t="s">
        <v>251</v>
      </c>
      <c r="B325" s="13" t="s">
        <v>1180</v>
      </c>
      <c r="C325" s="174" t="s">
        <v>2160</v>
      </c>
      <c r="D325" s="175"/>
      <c r="E325" s="175"/>
      <c r="F325" s="175"/>
      <c r="G325" s="13" t="s">
        <v>2860</v>
      </c>
      <c r="H325" s="82">
        <v>4</v>
      </c>
      <c r="I325" s="109">
        <v>0</v>
      </c>
      <c r="J325" s="20">
        <f>H325*AO325</f>
        <v>0</v>
      </c>
      <c r="K325" s="20">
        <f>H325*AP325</f>
        <v>0</v>
      </c>
      <c r="L325" s="20">
        <f>H325*I325</f>
        <v>0</v>
      </c>
      <c r="M325" s="31" t="s">
        <v>2884</v>
      </c>
      <c r="N325" s="5"/>
      <c r="Z325" s="36">
        <f>IF(AQ325="5",BJ325,0)</f>
        <v>0</v>
      </c>
      <c r="AB325" s="36">
        <f>IF(AQ325="1",BH325,0)</f>
        <v>0</v>
      </c>
      <c r="AC325" s="36">
        <f>IF(AQ325="1",BI325,0)</f>
        <v>0</v>
      </c>
      <c r="AD325" s="36">
        <f>IF(AQ325="7",BH325,0)</f>
        <v>0</v>
      </c>
      <c r="AE325" s="36">
        <f>IF(AQ325="7",BI325,0)</f>
        <v>0</v>
      </c>
      <c r="AF325" s="36">
        <f>IF(AQ325="2",BH325,0)</f>
        <v>0</v>
      </c>
      <c r="AG325" s="36">
        <f>IF(AQ325="2",BI325,0)</f>
        <v>0</v>
      </c>
      <c r="AH325" s="36">
        <f>IF(AQ325="0",BJ325,0)</f>
        <v>0</v>
      </c>
      <c r="AI325" s="35" t="s">
        <v>2894</v>
      </c>
      <c r="AJ325" s="20">
        <f>IF(AN325=0,L325,0)</f>
        <v>0</v>
      </c>
      <c r="AK325" s="20">
        <f>IF(AN325=15,L325,0)</f>
        <v>0</v>
      </c>
      <c r="AL325" s="20">
        <f>IF(AN325=21,L325,0)</f>
        <v>0</v>
      </c>
      <c r="AN325" s="36">
        <v>21</v>
      </c>
      <c r="AO325" s="36">
        <f>I325*0.53</f>
        <v>0</v>
      </c>
      <c r="AP325" s="36">
        <f>I325*(1-0.53)</f>
        <v>0</v>
      </c>
      <c r="AQ325" s="37" t="s">
        <v>13</v>
      </c>
      <c r="AV325" s="36">
        <f>AW325+AX325</f>
        <v>0</v>
      </c>
      <c r="AW325" s="36">
        <f>H325*AO325</f>
        <v>0</v>
      </c>
      <c r="AX325" s="36">
        <f>H325*AP325</f>
        <v>0</v>
      </c>
      <c r="AY325" s="39" t="s">
        <v>2928</v>
      </c>
      <c r="AZ325" s="39" t="s">
        <v>2954</v>
      </c>
      <c r="BA325" s="35" t="s">
        <v>2967</v>
      </c>
      <c r="BC325" s="36">
        <f>AW325+AX325</f>
        <v>0</v>
      </c>
      <c r="BD325" s="36">
        <f>I325/(100-BE325)*100</f>
        <v>0</v>
      </c>
      <c r="BE325" s="36">
        <v>0</v>
      </c>
      <c r="BF325" s="36">
        <f>325</f>
        <v>325</v>
      </c>
      <c r="BH325" s="20">
        <f>H325*AO325</f>
        <v>0</v>
      </c>
      <c r="BI325" s="20">
        <f>H325*AP325</f>
        <v>0</v>
      </c>
      <c r="BJ325" s="20">
        <f>H325*I325</f>
        <v>0</v>
      </c>
      <c r="BK325" s="20" t="s">
        <v>2978</v>
      </c>
      <c r="BL325" s="36">
        <v>722</v>
      </c>
    </row>
    <row r="326" spans="1:64" x14ac:dyDescent="0.2">
      <c r="A326" s="4" t="s">
        <v>252</v>
      </c>
      <c r="B326" s="13" t="s">
        <v>1181</v>
      </c>
      <c r="C326" s="174" t="s">
        <v>2161</v>
      </c>
      <c r="D326" s="175"/>
      <c r="E326" s="175"/>
      <c r="F326" s="175"/>
      <c r="G326" s="13" t="s">
        <v>2860</v>
      </c>
      <c r="H326" s="82">
        <v>1</v>
      </c>
      <c r="I326" s="109">
        <v>0</v>
      </c>
      <c r="J326" s="20">
        <f>H326*AO326</f>
        <v>0</v>
      </c>
      <c r="K326" s="20">
        <f>H326*AP326</f>
        <v>0</v>
      </c>
      <c r="L326" s="20">
        <f>H326*I326</f>
        <v>0</v>
      </c>
      <c r="M326" s="31" t="s">
        <v>2884</v>
      </c>
      <c r="N326" s="5"/>
      <c r="Z326" s="36">
        <f>IF(AQ326="5",BJ326,0)</f>
        <v>0</v>
      </c>
      <c r="AB326" s="36">
        <f>IF(AQ326="1",BH326,0)</f>
        <v>0</v>
      </c>
      <c r="AC326" s="36">
        <f>IF(AQ326="1",BI326,0)</f>
        <v>0</v>
      </c>
      <c r="AD326" s="36">
        <f>IF(AQ326="7",BH326,0)</f>
        <v>0</v>
      </c>
      <c r="AE326" s="36">
        <f>IF(AQ326="7",BI326,0)</f>
        <v>0</v>
      </c>
      <c r="AF326" s="36">
        <f>IF(AQ326="2",BH326,0)</f>
        <v>0</v>
      </c>
      <c r="AG326" s="36">
        <f>IF(AQ326="2",BI326,0)</f>
        <v>0</v>
      </c>
      <c r="AH326" s="36">
        <f>IF(AQ326="0",BJ326,0)</f>
        <v>0</v>
      </c>
      <c r="AI326" s="35" t="s">
        <v>2894</v>
      </c>
      <c r="AJ326" s="20">
        <f>IF(AN326=0,L326,0)</f>
        <v>0</v>
      </c>
      <c r="AK326" s="20">
        <f>IF(AN326=15,L326,0)</f>
        <v>0</v>
      </c>
      <c r="AL326" s="20">
        <f>IF(AN326=21,L326,0)</f>
        <v>0</v>
      </c>
      <c r="AN326" s="36">
        <v>21</v>
      </c>
      <c r="AO326" s="36">
        <f>I326*0.53</f>
        <v>0</v>
      </c>
      <c r="AP326" s="36">
        <f>I326*(1-0.53)</f>
        <v>0</v>
      </c>
      <c r="AQ326" s="37" t="s">
        <v>13</v>
      </c>
      <c r="AV326" s="36">
        <f>AW326+AX326</f>
        <v>0</v>
      </c>
      <c r="AW326" s="36">
        <f>H326*AO326</f>
        <v>0</v>
      </c>
      <c r="AX326" s="36">
        <f>H326*AP326</f>
        <v>0</v>
      </c>
      <c r="AY326" s="39" t="s">
        <v>2928</v>
      </c>
      <c r="AZ326" s="39" t="s">
        <v>2954</v>
      </c>
      <c r="BA326" s="35" t="s">
        <v>2967</v>
      </c>
      <c r="BC326" s="36">
        <f>AW326+AX326</f>
        <v>0</v>
      </c>
      <c r="BD326" s="36">
        <f>I326/(100-BE326)*100</f>
        <v>0</v>
      </c>
      <c r="BE326" s="36">
        <v>0</v>
      </c>
      <c r="BF326" s="36">
        <f>326</f>
        <v>326</v>
      </c>
      <c r="BH326" s="20">
        <f>H326*AO326</f>
        <v>0</v>
      </c>
      <c r="BI326" s="20">
        <f>H326*AP326</f>
        <v>0</v>
      </c>
      <c r="BJ326" s="20">
        <f>H326*I326</f>
        <v>0</v>
      </c>
      <c r="BK326" s="20" t="s">
        <v>2978</v>
      </c>
      <c r="BL326" s="36">
        <v>722</v>
      </c>
    </row>
    <row r="327" spans="1:64" x14ac:dyDescent="0.2">
      <c r="A327" s="4" t="s">
        <v>253</v>
      </c>
      <c r="B327" s="13" t="s">
        <v>1182</v>
      </c>
      <c r="C327" s="174" t="s">
        <v>2162</v>
      </c>
      <c r="D327" s="175"/>
      <c r="E327" s="175"/>
      <c r="F327" s="175"/>
      <c r="G327" s="13" t="s">
        <v>2860</v>
      </c>
      <c r="H327" s="82">
        <v>1</v>
      </c>
      <c r="I327" s="109">
        <v>0</v>
      </c>
      <c r="J327" s="20">
        <f>H327*AO327</f>
        <v>0</v>
      </c>
      <c r="K327" s="20">
        <f>H327*AP327</f>
        <v>0</v>
      </c>
      <c r="L327" s="20">
        <f>H327*I327</f>
        <v>0</v>
      </c>
      <c r="M327" s="31" t="s">
        <v>2884</v>
      </c>
      <c r="N327" s="5"/>
      <c r="Z327" s="36">
        <f>IF(AQ327="5",BJ327,0)</f>
        <v>0</v>
      </c>
      <c r="AB327" s="36">
        <f>IF(AQ327="1",BH327,0)</f>
        <v>0</v>
      </c>
      <c r="AC327" s="36">
        <f>IF(AQ327="1",BI327,0)</f>
        <v>0</v>
      </c>
      <c r="AD327" s="36">
        <f>IF(AQ327="7",BH327,0)</f>
        <v>0</v>
      </c>
      <c r="AE327" s="36">
        <f>IF(AQ327="7",BI327,0)</f>
        <v>0</v>
      </c>
      <c r="AF327" s="36">
        <f>IF(AQ327="2",BH327,0)</f>
        <v>0</v>
      </c>
      <c r="AG327" s="36">
        <f>IF(AQ327="2",BI327,0)</f>
        <v>0</v>
      </c>
      <c r="AH327" s="36">
        <f>IF(AQ327="0",BJ327,0)</f>
        <v>0</v>
      </c>
      <c r="AI327" s="35" t="s">
        <v>2894</v>
      </c>
      <c r="AJ327" s="20">
        <f>IF(AN327=0,L327,0)</f>
        <v>0</v>
      </c>
      <c r="AK327" s="20">
        <f>IF(AN327=15,L327,0)</f>
        <v>0</v>
      </c>
      <c r="AL327" s="20">
        <f>IF(AN327=21,L327,0)</f>
        <v>0</v>
      </c>
      <c r="AN327" s="36">
        <v>21</v>
      </c>
      <c r="AO327" s="36">
        <f>I327*0.53</f>
        <v>0</v>
      </c>
      <c r="AP327" s="36">
        <f>I327*(1-0.53)</f>
        <v>0</v>
      </c>
      <c r="AQ327" s="37" t="s">
        <v>13</v>
      </c>
      <c r="AV327" s="36">
        <f>AW327+AX327</f>
        <v>0</v>
      </c>
      <c r="AW327" s="36">
        <f>H327*AO327</f>
        <v>0</v>
      </c>
      <c r="AX327" s="36">
        <f>H327*AP327</f>
        <v>0</v>
      </c>
      <c r="AY327" s="39" t="s">
        <v>2928</v>
      </c>
      <c r="AZ327" s="39" t="s">
        <v>2954</v>
      </c>
      <c r="BA327" s="35" t="s">
        <v>2967</v>
      </c>
      <c r="BC327" s="36">
        <f>AW327+AX327</f>
        <v>0</v>
      </c>
      <c r="BD327" s="36">
        <f>I327/(100-BE327)*100</f>
        <v>0</v>
      </c>
      <c r="BE327" s="36">
        <v>0</v>
      </c>
      <c r="BF327" s="36">
        <f>327</f>
        <v>327</v>
      </c>
      <c r="BH327" s="20">
        <f>H327*AO327</f>
        <v>0</v>
      </c>
      <c r="BI327" s="20">
        <f>H327*AP327</f>
        <v>0</v>
      </c>
      <c r="BJ327" s="20">
        <f>H327*I327</f>
        <v>0</v>
      </c>
      <c r="BK327" s="20" t="s">
        <v>2978</v>
      </c>
      <c r="BL327" s="36">
        <v>722</v>
      </c>
    </row>
    <row r="328" spans="1:64" x14ac:dyDescent="0.2">
      <c r="A328" s="4" t="s">
        <v>254</v>
      </c>
      <c r="B328" s="13" t="s">
        <v>1183</v>
      </c>
      <c r="C328" s="174" t="s">
        <v>2163</v>
      </c>
      <c r="D328" s="175"/>
      <c r="E328" s="175"/>
      <c r="F328" s="175"/>
      <c r="G328" s="13" t="s">
        <v>2860</v>
      </c>
      <c r="H328" s="82">
        <v>1</v>
      </c>
      <c r="I328" s="109">
        <v>0</v>
      </c>
      <c r="J328" s="20">
        <f>H328*AO328</f>
        <v>0</v>
      </c>
      <c r="K328" s="20">
        <f>H328*AP328</f>
        <v>0</v>
      </c>
      <c r="L328" s="20">
        <f>H328*I328</f>
        <v>0</v>
      </c>
      <c r="M328" s="31" t="s">
        <v>2884</v>
      </c>
      <c r="N328" s="5"/>
      <c r="Z328" s="36">
        <f>IF(AQ328="5",BJ328,0)</f>
        <v>0</v>
      </c>
      <c r="AB328" s="36">
        <f>IF(AQ328="1",BH328,0)</f>
        <v>0</v>
      </c>
      <c r="AC328" s="36">
        <f>IF(AQ328="1",BI328,0)</f>
        <v>0</v>
      </c>
      <c r="AD328" s="36">
        <f>IF(AQ328="7",BH328,0)</f>
        <v>0</v>
      </c>
      <c r="AE328" s="36">
        <f>IF(AQ328="7",BI328,0)</f>
        <v>0</v>
      </c>
      <c r="AF328" s="36">
        <f>IF(AQ328="2",BH328,0)</f>
        <v>0</v>
      </c>
      <c r="AG328" s="36">
        <f>IF(AQ328="2",BI328,0)</f>
        <v>0</v>
      </c>
      <c r="AH328" s="36">
        <f>IF(AQ328="0",BJ328,0)</f>
        <v>0</v>
      </c>
      <c r="AI328" s="35" t="s">
        <v>2894</v>
      </c>
      <c r="AJ328" s="20">
        <f>IF(AN328=0,L328,0)</f>
        <v>0</v>
      </c>
      <c r="AK328" s="20">
        <f>IF(AN328=15,L328,0)</f>
        <v>0</v>
      </c>
      <c r="AL328" s="20">
        <f>IF(AN328=21,L328,0)</f>
        <v>0</v>
      </c>
      <c r="AN328" s="36">
        <v>21</v>
      </c>
      <c r="AO328" s="36">
        <f>I328*0.53</f>
        <v>0</v>
      </c>
      <c r="AP328" s="36">
        <f>I328*(1-0.53)</f>
        <v>0</v>
      </c>
      <c r="AQ328" s="37" t="s">
        <v>13</v>
      </c>
      <c r="AV328" s="36">
        <f>AW328+AX328</f>
        <v>0</v>
      </c>
      <c r="AW328" s="36">
        <f>H328*AO328</f>
        <v>0</v>
      </c>
      <c r="AX328" s="36">
        <f>H328*AP328</f>
        <v>0</v>
      </c>
      <c r="AY328" s="39" t="s">
        <v>2928</v>
      </c>
      <c r="AZ328" s="39" t="s">
        <v>2954</v>
      </c>
      <c r="BA328" s="35" t="s">
        <v>2967</v>
      </c>
      <c r="BC328" s="36">
        <f>AW328+AX328</f>
        <v>0</v>
      </c>
      <c r="BD328" s="36">
        <f>I328/(100-BE328)*100</f>
        <v>0</v>
      </c>
      <c r="BE328" s="36">
        <v>0</v>
      </c>
      <c r="BF328" s="36">
        <f>328</f>
        <v>328</v>
      </c>
      <c r="BH328" s="20">
        <f>H328*AO328</f>
        <v>0</v>
      </c>
      <c r="BI328" s="20">
        <f>H328*AP328</f>
        <v>0</v>
      </c>
      <c r="BJ328" s="20">
        <f>H328*I328</f>
        <v>0</v>
      </c>
      <c r="BK328" s="20" t="s">
        <v>2978</v>
      </c>
      <c r="BL328" s="36">
        <v>722</v>
      </c>
    </row>
    <row r="329" spans="1:64" ht="51.4" customHeight="1" x14ac:dyDescent="0.2">
      <c r="A329" s="5"/>
      <c r="B329" s="14"/>
      <c r="C329" s="179" t="s">
        <v>2164</v>
      </c>
      <c r="D329" s="180"/>
      <c r="E329" s="180"/>
      <c r="F329" s="180"/>
      <c r="G329" s="180"/>
      <c r="H329" s="180"/>
      <c r="I329" s="180"/>
      <c r="J329" s="180"/>
      <c r="K329" s="180"/>
      <c r="L329" s="180"/>
      <c r="M329" s="181"/>
      <c r="N329" s="5"/>
    </row>
    <row r="330" spans="1:64" x14ac:dyDescent="0.2">
      <c r="A330" s="4" t="s">
        <v>255</v>
      </c>
      <c r="B330" s="13" t="s">
        <v>1184</v>
      </c>
      <c r="C330" s="174" t="s">
        <v>2165</v>
      </c>
      <c r="D330" s="175"/>
      <c r="E330" s="175"/>
      <c r="F330" s="175"/>
      <c r="G330" s="13" t="s">
        <v>2860</v>
      </c>
      <c r="H330" s="82">
        <v>1</v>
      </c>
      <c r="I330" s="109">
        <v>0</v>
      </c>
      <c r="J330" s="20">
        <f>H330*AO330</f>
        <v>0</v>
      </c>
      <c r="K330" s="20">
        <f>H330*AP330</f>
        <v>0</v>
      </c>
      <c r="L330" s="20">
        <f>H330*I330</f>
        <v>0</v>
      </c>
      <c r="M330" s="31" t="s">
        <v>2884</v>
      </c>
      <c r="N330" s="5"/>
      <c r="Z330" s="36">
        <f>IF(AQ330="5",BJ330,0)</f>
        <v>0</v>
      </c>
      <c r="AB330" s="36">
        <f>IF(AQ330="1",BH330,0)</f>
        <v>0</v>
      </c>
      <c r="AC330" s="36">
        <f>IF(AQ330="1",BI330,0)</f>
        <v>0</v>
      </c>
      <c r="AD330" s="36">
        <f>IF(AQ330="7",BH330,0)</f>
        <v>0</v>
      </c>
      <c r="AE330" s="36">
        <f>IF(AQ330="7",BI330,0)</f>
        <v>0</v>
      </c>
      <c r="AF330" s="36">
        <f>IF(AQ330="2",BH330,0)</f>
        <v>0</v>
      </c>
      <c r="AG330" s="36">
        <f>IF(AQ330="2",BI330,0)</f>
        <v>0</v>
      </c>
      <c r="AH330" s="36">
        <f>IF(AQ330="0",BJ330,0)</f>
        <v>0</v>
      </c>
      <c r="AI330" s="35" t="s">
        <v>2894</v>
      </c>
      <c r="AJ330" s="20">
        <f>IF(AN330=0,L330,0)</f>
        <v>0</v>
      </c>
      <c r="AK330" s="20">
        <f>IF(AN330=15,L330,0)</f>
        <v>0</v>
      </c>
      <c r="AL330" s="20">
        <f>IF(AN330=21,L330,0)</f>
        <v>0</v>
      </c>
      <c r="AN330" s="36">
        <v>21</v>
      </c>
      <c r="AO330" s="36">
        <f>I330*0.53</f>
        <v>0</v>
      </c>
      <c r="AP330" s="36">
        <f>I330*(1-0.53)</f>
        <v>0</v>
      </c>
      <c r="AQ330" s="37" t="s">
        <v>13</v>
      </c>
      <c r="AV330" s="36">
        <f>AW330+AX330</f>
        <v>0</v>
      </c>
      <c r="AW330" s="36">
        <f>H330*AO330</f>
        <v>0</v>
      </c>
      <c r="AX330" s="36">
        <f>H330*AP330</f>
        <v>0</v>
      </c>
      <c r="AY330" s="39" t="s">
        <v>2928</v>
      </c>
      <c r="AZ330" s="39" t="s">
        <v>2954</v>
      </c>
      <c r="BA330" s="35" t="s">
        <v>2967</v>
      </c>
      <c r="BC330" s="36">
        <f>AW330+AX330</f>
        <v>0</v>
      </c>
      <c r="BD330" s="36">
        <f>I330/(100-BE330)*100</f>
        <v>0</v>
      </c>
      <c r="BE330" s="36">
        <v>0</v>
      </c>
      <c r="BF330" s="36">
        <f>330</f>
        <v>330</v>
      </c>
      <c r="BH330" s="20">
        <f>H330*AO330</f>
        <v>0</v>
      </c>
      <c r="BI330" s="20">
        <f>H330*AP330</f>
        <v>0</v>
      </c>
      <c r="BJ330" s="20">
        <f>H330*I330</f>
        <v>0</v>
      </c>
      <c r="BK330" s="20" t="s">
        <v>2978</v>
      </c>
      <c r="BL330" s="36">
        <v>722</v>
      </c>
    </row>
    <row r="331" spans="1:64" x14ac:dyDescent="0.2">
      <c r="A331" s="5"/>
      <c r="B331" s="14"/>
      <c r="C331" s="179" t="s">
        <v>2166</v>
      </c>
      <c r="D331" s="180"/>
      <c r="E331" s="180"/>
      <c r="F331" s="180"/>
      <c r="G331" s="180"/>
      <c r="H331" s="180"/>
      <c r="I331" s="180"/>
      <c r="J331" s="180"/>
      <c r="K331" s="180"/>
      <c r="L331" s="180"/>
      <c r="M331" s="181"/>
      <c r="N331" s="5"/>
    </row>
    <row r="332" spans="1:64" x14ac:dyDescent="0.2">
      <c r="A332" s="4" t="s">
        <v>256</v>
      </c>
      <c r="B332" s="13" t="s">
        <v>1185</v>
      </c>
      <c r="C332" s="174" t="s">
        <v>2167</v>
      </c>
      <c r="D332" s="175"/>
      <c r="E332" s="175"/>
      <c r="F332" s="175"/>
      <c r="G332" s="13" t="s">
        <v>2860</v>
      </c>
      <c r="H332" s="82">
        <v>1</v>
      </c>
      <c r="I332" s="109">
        <v>0</v>
      </c>
      <c r="J332" s="20">
        <f>H332*AO332</f>
        <v>0</v>
      </c>
      <c r="K332" s="20">
        <f>H332*AP332</f>
        <v>0</v>
      </c>
      <c r="L332" s="20">
        <f>H332*I332</f>
        <v>0</v>
      </c>
      <c r="M332" s="31" t="s">
        <v>2884</v>
      </c>
      <c r="N332" s="5"/>
      <c r="Z332" s="36">
        <f>IF(AQ332="5",BJ332,0)</f>
        <v>0</v>
      </c>
      <c r="AB332" s="36">
        <f>IF(AQ332="1",BH332,0)</f>
        <v>0</v>
      </c>
      <c r="AC332" s="36">
        <f>IF(AQ332="1",BI332,0)</f>
        <v>0</v>
      </c>
      <c r="AD332" s="36">
        <f>IF(AQ332="7",BH332,0)</f>
        <v>0</v>
      </c>
      <c r="AE332" s="36">
        <f>IF(AQ332="7",BI332,0)</f>
        <v>0</v>
      </c>
      <c r="AF332" s="36">
        <f>IF(AQ332="2",BH332,0)</f>
        <v>0</v>
      </c>
      <c r="AG332" s="36">
        <f>IF(AQ332="2",BI332,0)</f>
        <v>0</v>
      </c>
      <c r="AH332" s="36">
        <f>IF(AQ332="0",BJ332,0)</f>
        <v>0</v>
      </c>
      <c r="AI332" s="35" t="s">
        <v>2894</v>
      </c>
      <c r="AJ332" s="20">
        <f>IF(AN332=0,L332,0)</f>
        <v>0</v>
      </c>
      <c r="AK332" s="20">
        <f>IF(AN332=15,L332,0)</f>
        <v>0</v>
      </c>
      <c r="AL332" s="20">
        <f>IF(AN332=21,L332,0)</f>
        <v>0</v>
      </c>
      <c r="AN332" s="36">
        <v>21</v>
      </c>
      <c r="AO332" s="36">
        <f>I332*0.53</f>
        <v>0</v>
      </c>
      <c r="AP332" s="36">
        <f>I332*(1-0.53)</f>
        <v>0</v>
      </c>
      <c r="AQ332" s="37" t="s">
        <v>13</v>
      </c>
      <c r="AV332" s="36">
        <f>AW332+AX332</f>
        <v>0</v>
      </c>
      <c r="AW332" s="36">
        <f>H332*AO332</f>
        <v>0</v>
      </c>
      <c r="AX332" s="36">
        <f>H332*AP332</f>
        <v>0</v>
      </c>
      <c r="AY332" s="39" t="s">
        <v>2928</v>
      </c>
      <c r="AZ332" s="39" t="s">
        <v>2954</v>
      </c>
      <c r="BA332" s="35" t="s">
        <v>2967</v>
      </c>
      <c r="BC332" s="36">
        <f>AW332+AX332</f>
        <v>0</v>
      </c>
      <c r="BD332" s="36">
        <f>I332/(100-BE332)*100</f>
        <v>0</v>
      </c>
      <c r="BE332" s="36">
        <v>0</v>
      </c>
      <c r="BF332" s="36">
        <f>332</f>
        <v>332</v>
      </c>
      <c r="BH332" s="20">
        <f>H332*AO332</f>
        <v>0</v>
      </c>
      <c r="BI332" s="20">
        <f>H332*AP332</f>
        <v>0</v>
      </c>
      <c r="BJ332" s="20">
        <f>H332*I332</f>
        <v>0</v>
      </c>
      <c r="BK332" s="20" t="s">
        <v>2978</v>
      </c>
      <c r="BL332" s="36">
        <v>722</v>
      </c>
    </row>
    <row r="333" spans="1:64" ht="25.7" customHeight="1" x14ac:dyDescent="0.2">
      <c r="A333" s="5"/>
      <c r="B333" s="14"/>
      <c r="C333" s="179" t="s">
        <v>2168</v>
      </c>
      <c r="D333" s="180"/>
      <c r="E333" s="180"/>
      <c r="F333" s="180"/>
      <c r="G333" s="180"/>
      <c r="H333" s="180"/>
      <c r="I333" s="180"/>
      <c r="J333" s="180"/>
      <c r="K333" s="180"/>
      <c r="L333" s="180"/>
      <c r="M333" s="181"/>
      <c r="N333" s="5"/>
    </row>
    <row r="334" spans="1:64" x14ac:dyDescent="0.2">
      <c r="A334" s="4" t="s">
        <v>257</v>
      </c>
      <c r="B334" s="13" t="s">
        <v>1186</v>
      </c>
      <c r="C334" s="174" t="s">
        <v>2169</v>
      </c>
      <c r="D334" s="175"/>
      <c r="E334" s="175"/>
      <c r="F334" s="175"/>
      <c r="G334" s="13" t="s">
        <v>2860</v>
      </c>
      <c r="H334" s="82">
        <v>1</v>
      </c>
      <c r="I334" s="109">
        <v>0</v>
      </c>
      <c r="J334" s="20">
        <f>H334*AO334</f>
        <v>0</v>
      </c>
      <c r="K334" s="20">
        <f>H334*AP334</f>
        <v>0</v>
      </c>
      <c r="L334" s="20">
        <f>H334*I334</f>
        <v>0</v>
      </c>
      <c r="M334" s="31" t="s">
        <v>2884</v>
      </c>
      <c r="N334" s="5"/>
      <c r="Z334" s="36">
        <f>IF(AQ334="5",BJ334,0)</f>
        <v>0</v>
      </c>
      <c r="AB334" s="36">
        <f>IF(AQ334="1",BH334,0)</f>
        <v>0</v>
      </c>
      <c r="AC334" s="36">
        <f>IF(AQ334="1",BI334,0)</f>
        <v>0</v>
      </c>
      <c r="AD334" s="36">
        <f>IF(AQ334="7",BH334,0)</f>
        <v>0</v>
      </c>
      <c r="AE334" s="36">
        <f>IF(AQ334="7",BI334,0)</f>
        <v>0</v>
      </c>
      <c r="AF334" s="36">
        <f>IF(AQ334="2",BH334,0)</f>
        <v>0</v>
      </c>
      <c r="AG334" s="36">
        <f>IF(AQ334="2",BI334,0)</f>
        <v>0</v>
      </c>
      <c r="AH334" s="36">
        <f>IF(AQ334="0",BJ334,0)</f>
        <v>0</v>
      </c>
      <c r="AI334" s="35" t="s">
        <v>2894</v>
      </c>
      <c r="AJ334" s="20">
        <f>IF(AN334=0,L334,0)</f>
        <v>0</v>
      </c>
      <c r="AK334" s="20">
        <f>IF(AN334=15,L334,0)</f>
        <v>0</v>
      </c>
      <c r="AL334" s="20">
        <f>IF(AN334=21,L334,0)</f>
        <v>0</v>
      </c>
      <c r="AN334" s="36">
        <v>21</v>
      </c>
      <c r="AO334" s="36">
        <f>I334*0.53</f>
        <v>0</v>
      </c>
      <c r="AP334" s="36">
        <f>I334*(1-0.53)</f>
        <v>0</v>
      </c>
      <c r="AQ334" s="37" t="s">
        <v>13</v>
      </c>
      <c r="AV334" s="36">
        <f>AW334+AX334</f>
        <v>0</v>
      </c>
      <c r="AW334" s="36">
        <f>H334*AO334</f>
        <v>0</v>
      </c>
      <c r="AX334" s="36">
        <f>H334*AP334</f>
        <v>0</v>
      </c>
      <c r="AY334" s="39" t="s">
        <v>2928</v>
      </c>
      <c r="AZ334" s="39" t="s">
        <v>2954</v>
      </c>
      <c r="BA334" s="35" t="s">
        <v>2967</v>
      </c>
      <c r="BC334" s="36">
        <f>AW334+AX334</f>
        <v>0</v>
      </c>
      <c r="BD334" s="36">
        <f>I334/(100-BE334)*100</f>
        <v>0</v>
      </c>
      <c r="BE334" s="36">
        <v>0</v>
      </c>
      <c r="BF334" s="36">
        <f>334</f>
        <v>334</v>
      </c>
      <c r="BH334" s="20">
        <f>H334*AO334</f>
        <v>0</v>
      </c>
      <c r="BI334" s="20">
        <f>H334*AP334</f>
        <v>0</v>
      </c>
      <c r="BJ334" s="20">
        <f>H334*I334</f>
        <v>0</v>
      </c>
      <c r="BK334" s="20" t="s">
        <v>2978</v>
      </c>
      <c r="BL334" s="36">
        <v>722</v>
      </c>
    </row>
    <row r="335" spans="1:64" ht="38.450000000000003" customHeight="1" x14ac:dyDescent="0.2">
      <c r="A335" s="5"/>
      <c r="B335" s="14"/>
      <c r="C335" s="179" t="s">
        <v>2170</v>
      </c>
      <c r="D335" s="180"/>
      <c r="E335" s="180"/>
      <c r="F335" s="180"/>
      <c r="G335" s="180"/>
      <c r="H335" s="180"/>
      <c r="I335" s="180"/>
      <c r="J335" s="180"/>
      <c r="K335" s="180"/>
      <c r="L335" s="180"/>
      <c r="M335" s="181"/>
      <c r="N335" s="5"/>
    </row>
    <row r="336" spans="1:64" x14ac:dyDescent="0.2">
      <c r="A336" s="4" t="s">
        <v>258</v>
      </c>
      <c r="B336" s="13" t="s">
        <v>1187</v>
      </c>
      <c r="C336" s="174" t="s">
        <v>2171</v>
      </c>
      <c r="D336" s="175"/>
      <c r="E336" s="175"/>
      <c r="F336" s="175"/>
      <c r="G336" s="13" t="s">
        <v>2860</v>
      </c>
      <c r="H336" s="82">
        <v>3</v>
      </c>
      <c r="I336" s="109">
        <v>0</v>
      </c>
      <c r="J336" s="20">
        <f t="shared" ref="J336:J353" si="248">H336*AO336</f>
        <v>0</v>
      </c>
      <c r="K336" s="20">
        <f t="shared" ref="K336:K353" si="249">H336*AP336</f>
        <v>0</v>
      </c>
      <c r="L336" s="20">
        <f t="shared" ref="L336:L353" si="250">H336*I336</f>
        <v>0</v>
      </c>
      <c r="M336" s="31" t="s">
        <v>2884</v>
      </c>
      <c r="N336" s="5"/>
      <c r="Z336" s="36">
        <f t="shared" ref="Z336:Z353" si="251">IF(AQ336="5",BJ336,0)</f>
        <v>0</v>
      </c>
      <c r="AB336" s="36">
        <f t="shared" ref="AB336:AB353" si="252">IF(AQ336="1",BH336,0)</f>
        <v>0</v>
      </c>
      <c r="AC336" s="36">
        <f t="shared" ref="AC336:AC353" si="253">IF(AQ336="1",BI336,0)</f>
        <v>0</v>
      </c>
      <c r="AD336" s="36">
        <f t="shared" ref="AD336:AD353" si="254">IF(AQ336="7",BH336,0)</f>
        <v>0</v>
      </c>
      <c r="AE336" s="36">
        <f t="shared" ref="AE336:AE353" si="255">IF(AQ336="7",BI336,0)</f>
        <v>0</v>
      </c>
      <c r="AF336" s="36">
        <f t="shared" ref="AF336:AF353" si="256">IF(AQ336="2",BH336,0)</f>
        <v>0</v>
      </c>
      <c r="AG336" s="36">
        <f t="shared" ref="AG336:AG353" si="257">IF(AQ336="2",BI336,0)</f>
        <v>0</v>
      </c>
      <c r="AH336" s="36">
        <f t="shared" ref="AH336:AH353" si="258">IF(AQ336="0",BJ336,0)</f>
        <v>0</v>
      </c>
      <c r="AI336" s="35" t="s">
        <v>2894</v>
      </c>
      <c r="AJ336" s="20">
        <f t="shared" ref="AJ336:AJ353" si="259">IF(AN336=0,L336,0)</f>
        <v>0</v>
      </c>
      <c r="AK336" s="20">
        <f t="shared" ref="AK336:AK353" si="260">IF(AN336=15,L336,0)</f>
        <v>0</v>
      </c>
      <c r="AL336" s="20">
        <f t="shared" ref="AL336:AL353" si="261">IF(AN336=21,L336,0)</f>
        <v>0</v>
      </c>
      <c r="AN336" s="36">
        <v>21</v>
      </c>
      <c r="AO336" s="36">
        <f t="shared" ref="AO336:AO353" si="262">I336*0.53</f>
        <v>0</v>
      </c>
      <c r="AP336" s="36">
        <f t="shared" ref="AP336:AP353" si="263">I336*(1-0.53)</f>
        <v>0</v>
      </c>
      <c r="AQ336" s="37" t="s">
        <v>13</v>
      </c>
      <c r="AV336" s="36">
        <f t="shared" ref="AV336:AV353" si="264">AW336+AX336</f>
        <v>0</v>
      </c>
      <c r="AW336" s="36">
        <f t="shared" ref="AW336:AW353" si="265">H336*AO336</f>
        <v>0</v>
      </c>
      <c r="AX336" s="36">
        <f t="shared" ref="AX336:AX353" si="266">H336*AP336</f>
        <v>0</v>
      </c>
      <c r="AY336" s="39" t="s">
        <v>2928</v>
      </c>
      <c r="AZ336" s="39" t="s">
        <v>2954</v>
      </c>
      <c r="BA336" s="35" t="s">
        <v>2967</v>
      </c>
      <c r="BC336" s="36">
        <f t="shared" ref="BC336:BC353" si="267">AW336+AX336</f>
        <v>0</v>
      </c>
      <c r="BD336" s="36">
        <f t="shared" ref="BD336:BD353" si="268">I336/(100-BE336)*100</f>
        <v>0</v>
      </c>
      <c r="BE336" s="36">
        <v>0</v>
      </c>
      <c r="BF336" s="36">
        <f>336</f>
        <v>336</v>
      </c>
      <c r="BH336" s="20">
        <f t="shared" ref="BH336:BH353" si="269">H336*AO336</f>
        <v>0</v>
      </c>
      <c r="BI336" s="20">
        <f t="shared" ref="BI336:BI353" si="270">H336*AP336</f>
        <v>0</v>
      </c>
      <c r="BJ336" s="20">
        <f t="shared" ref="BJ336:BJ353" si="271">H336*I336</f>
        <v>0</v>
      </c>
      <c r="BK336" s="20" t="s">
        <v>2978</v>
      </c>
      <c r="BL336" s="36">
        <v>722</v>
      </c>
    </row>
    <row r="337" spans="1:64" x14ac:dyDescent="0.2">
      <c r="A337" s="4" t="s">
        <v>259</v>
      </c>
      <c r="B337" s="13" t="s">
        <v>1188</v>
      </c>
      <c r="C337" s="174" t="s">
        <v>2172</v>
      </c>
      <c r="D337" s="175"/>
      <c r="E337" s="175"/>
      <c r="F337" s="175"/>
      <c r="G337" s="13" t="s">
        <v>2860</v>
      </c>
      <c r="H337" s="82">
        <v>3</v>
      </c>
      <c r="I337" s="109">
        <v>0</v>
      </c>
      <c r="J337" s="20">
        <f t="shared" si="248"/>
        <v>0</v>
      </c>
      <c r="K337" s="20">
        <f t="shared" si="249"/>
        <v>0</v>
      </c>
      <c r="L337" s="20">
        <f t="shared" si="250"/>
        <v>0</v>
      </c>
      <c r="M337" s="31" t="s">
        <v>2884</v>
      </c>
      <c r="N337" s="5"/>
      <c r="Z337" s="36">
        <f t="shared" si="251"/>
        <v>0</v>
      </c>
      <c r="AB337" s="36">
        <f t="shared" si="252"/>
        <v>0</v>
      </c>
      <c r="AC337" s="36">
        <f t="shared" si="253"/>
        <v>0</v>
      </c>
      <c r="AD337" s="36">
        <f t="shared" si="254"/>
        <v>0</v>
      </c>
      <c r="AE337" s="36">
        <f t="shared" si="255"/>
        <v>0</v>
      </c>
      <c r="AF337" s="36">
        <f t="shared" si="256"/>
        <v>0</v>
      </c>
      <c r="AG337" s="36">
        <f t="shared" si="257"/>
        <v>0</v>
      </c>
      <c r="AH337" s="36">
        <f t="shared" si="258"/>
        <v>0</v>
      </c>
      <c r="AI337" s="35" t="s">
        <v>2894</v>
      </c>
      <c r="AJ337" s="20">
        <f t="shared" si="259"/>
        <v>0</v>
      </c>
      <c r="AK337" s="20">
        <f t="shared" si="260"/>
        <v>0</v>
      </c>
      <c r="AL337" s="20">
        <f t="shared" si="261"/>
        <v>0</v>
      </c>
      <c r="AN337" s="36">
        <v>21</v>
      </c>
      <c r="AO337" s="36">
        <f t="shared" si="262"/>
        <v>0</v>
      </c>
      <c r="AP337" s="36">
        <f t="shared" si="263"/>
        <v>0</v>
      </c>
      <c r="AQ337" s="37" t="s">
        <v>13</v>
      </c>
      <c r="AV337" s="36">
        <f t="shared" si="264"/>
        <v>0</v>
      </c>
      <c r="AW337" s="36">
        <f t="shared" si="265"/>
        <v>0</v>
      </c>
      <c r="AX337" s="36">
        <f t="shared" si="266"/>
        <v>0</v>
      </c>
      <c r="AY337" s="39" t="s">
        <v>2928</v>
      </c>
      <c r="AZ337" s="39" t="s">
        <v>2954</v>
      </c>
      <c r="BA337" s="35" t="s">
        <v>2967</v>
      </c>
      <c r="BC337" s="36">
        <f t="shared" si="267"/>
        <v>0</v>
      </c>
      <c r="BD337" s="36">
        <f t="shared" si="268"/>
        <v>0</v>
      </c>
      <c r="BE337" s="36">
        <v>0</v>
      </c>
      <c r="BF337" s="36">
        <f>337</f>
        <v>337</v>
      </c>
      <c r="BH337" s="20">
        <f t="shared" si="269"/>
        <v>0</v>
      </c>
      <c r="BI337" s="20">
        <f t="shared" si="270"/>
        <v>0</v>
      </c>
      <c r="BJ337" s="20">
        <f t="shared" si="271"/>
        <v>0</v>
      </c>
      <c r="BK337" s="20" t="s">
        <v>2978</v>
      </c>
      <c r="BL337" s="36">
        <v>722</v>
      </c>
    </row>
    <row r="338" spans="1:64" x14ac:dyDescent="0.2">
      <c r="A338" s="4" t="s">
        <v>260</v>
      </c>
      <c r="B338" s="13" t="s">
        <v>1189</v>
      </c>
      <c r="C338" s="174" t="s">
        <v>2173</v>
      </c>
      <c r="D338" s="175"/>
      <c r="E338" s="175"/>
      <c r="F338" s="175"/>
      <c r="G338" s="13" t="s">
        <v>2860</v>
      </c>
      <c r="H338" s="82">
        <v>4</v>
      </c>
      <c r="I338" s="109">
        <v>0</v>
      </c>
      <c r="J338" s="20">
        <f t="shared" si="248"/>
        <v>0</v>
      </c>
      <c r="K338" s="20">
        <f t="shared" si="249"/>
        <v>0</v>
      </c>
      <c r="L338" s="20">
        <f t="shared" si="250"/>
        <v>0</v>
      </c>
      <c r="M338" s="31" t="s">
        <v>2884</v>
      </c>
      <c r="N338" s="5"/>
      <c r="Z338" s="36">
        <f t="shared" si="251"/>
        <v>0</v>
      </c>
      <c r="AB338" s="36">
        <f t="shared" si="252"/>
        <v>0</v>
      </c>
      <c r="AC338" s="36">
        <f t="shared" si="253"/>
        <v>0</v>
      </c>
      <c r="AD338" s="36">
        <f t="shared" si="254"/>
        <v>0</v>
      </c>
      <c r="AE338" s="36">
        <f t="shared" si="255"/>
        <v>0</v>
      </c>
      <c r="AF338" s="36">
        <f t="shared" si="256"/>
        <v>0</v>
      </c>
      <c r="AG338" s="36">
        <f t="shared" si="257"/>
        <v>0</v>
      </c>
      <c r="AH338" s="36">
        <f t="shared" si="258"/>
        <v>0</v>
      </c>
      <c r="AI338" s="35" t="s">
        <v>2894</v>
      </c>
      <c r="AJ338" s="20">
        <f t="shared" si="259"/>
        <v>0</v>
      </c>
      <c r="AK338" s="20">
        <f t="shared" si="260"/>
        <v>0</v>
      </c>
      <c r="AL338" s="20">
        <f t="shared" si="261"/>
        <v>0</v>
      </c>
      <c r="AN338" s="36">
        <v>21</v>
      </c>
      <c r="AO338" s="36">
        <f t="shared" si="262"/>
        <v>0</v>
      </c>
      <c r="AP338" s="36">
        <f t="shared" si="263"/>
        <v>0</v>
      </c>
      <c r="AQ338" s="37" t="s">
        <v>13</v>
      </c>
      <c r="AV338" s="36">
        <f t="shared" si="264"/>
        <v>0</v>
      </c>
      <c r="AW338" s="36">
        <f t="shared" si="265"/>
        <v>0</v>
      </c>
      <c r="AX338" s="36">
        <f t="shared" si="266"/>
        <v>0</v>
      </c>
      <c r="AY338" s="39" t="s">
        <v>2928</v>
      </c>
      <c r="AZ338" s="39" t="s">
        <v>2954</v>
      </c>
      <c r="BA338" s="35" t="s">
        <v>2967</v>
      </c>
      <c r="BC338" s="36">
        <f t="shared" si="267"/>
        <v>0</v>
      </c>
      <c r="BD338" s="36">
        <f t="shared" si="268"/>
        <v>0</v>
      </c>
      <c r="BE338" s="36">
        <v>0</v>
      </c>
      <c r="BF338" s="36">
        <f>338</f>
        <v>338</v>
      </c>
      <c r="BH338" s="20">
        <f t="shared" si="269"/>
        <v>0</v>
      </c>
      <c r="BI338" s="20">
        <f t="shared" si="270"/>
        <v>0</v>
      </c>
      <c r="BJ338" s="20">
        <f t="shared" si="271"/>
        <v>0</v>
      </c>
      <c r="BK338" s="20" t="s">
        <v>2978</v>
      </c>
      <c r="BL338" s="36">
        <v>722</v>
      </c>
    </row>
    <row r="339" spans="1:64" x14ac:dyDescent="0.2">
      <c r="A339" s="4" t="s">
        <v>261</v>
      </c>
      <c r="B339" s="13" t="s">
        <v>1190</v>
      </c>
      <c r="C339" s="174" t="s">
        <v>2174</v>
      </c>
      <c r="D339" s="175"/>
      <c r="E339" s="175"/>
      <c r="F339" s="175"/>
      <c r="G339" s="13" t="s">
        <v>2860</v>
      </c>
      <c r="H339" s="82">
        <v>2</v>
      </c>
      <c r="I339" s="109">
        <v>0</v>
      </c>
      <c r="J339" s="20">
        <f t="shared" si="248"/>
        <v>0</v>
      </c>
      <c r="K339" s="20">
        <f t="shared" si="249"/>
        <v>0</v>
      </c>
      <c r="L339" s="20">
        <f t="shared" si="250"/>
        <v>0</v>
      </c>
      <c r="M339" s="31" t="s">
        <v>2884</v>
      </c>
      <c r="N339" s="5"/>
      <c r="Z339" s="36">
        <f t="shared" si="251"/>
        <v>0</v>
      </c>
      <c r="AB339" s="36">
        <f t="shared" si="252"/>
        <v>0</v>
      </c>
      <c r="AC339" s="36">
        <f t="shared" si="253"/>
        <v>0</v>
      </c>
      <c r="AD339" s="36">
        <f t="shared" si="254"/>
        <v>0</v>
      </c>
      <c r="AE339" s="36">
        <f t="shared" si="255"/>
        <v>0</v>
      </c>
      <c r="AF339" s="36">
        <f t="shared" si="256"/>
        <v>0</v>
      </c>
      <c r="AG339" s="36">
        <f t="shared" si="257"/>
        <v>0</v>
      </c>
      <c r="AH339" s="36">
        <f t="shared" si="258"/>
        <v>0</v>
      </c>
      <c r="AI339" s="35" t="s">
        <v>2894</v>
      </c>
      <c r="AJ339" s="20">
        <f t="shared" si="259"/>
        <v>0</v>
      </c>
      <c r="AK339" s="20">
        <f t="shared" si="260"/>
        <v>0</v>
      </c>
      <c r="AL339" s="20">
        <f t="shared" si="261"/>
        <v>0</v>
      </c>
      <c r="AN339" s="36">
        <v>21</v>
      </c>
      <c r="AO339" s="36">
        <f t="shared" si="262"/>
        <v>0</v>
      </c>
      <c r="AP339" s="36">
        <f t="shared" si="263"/>
        <v>0</v>
      </c>
      <c r="AQ339" s="37" t="s">
        <v>13</v>
      </c>
      <c r="AV339" s="36">
        <f t="shared" si="264"/>
        <v>0</v>
      </c>
      <c r="AW339" s="36">
        <f t="shared" si="265"/>
        <v>0</v>
      </c>
      <c r="AX339" s="36">
        <f t="shared" si="266"/>
        <v>0</v>
      </c>
      <c r="AY339" s="39" t="s">
        <v>2928</v>
      </c>
      <c r="AZ339" s="39" t="s">
        <v>2954</v>
      </c>
      <c r="BA339" s="35" t="s">
        <v>2967</v>
      </c>
      <c r="BC339" s="36">
        <f t="shared" si="267"/>
        <v>0</v>
      </c>
      <c r="BD339" s="36">
        <f t="shared" si="268"/>
        <v>0</v>
      </c>
      <c r="BE339" s="36">
        <v>0</v>
      </c>
      <c r="BF339" s="36">
        <f>339</f>
        <v>339</v>
      </c>
      <c r="BH339" s="20">
        <f t="shared" si="269"/>
        <v>0</v>
      </c>
      <c r="BI339" s="20">
        <f t="shared" si="270"/>
        <v>0</v>
      </c>
      <c r="BJ339" s="20">
        <f t="shared" si="271"/>
        <v>0</v>
      </c>
      <c r="BK339" s="20" t="s">
        <v>2978</v>
      </c>
      <c r="BL339" s="36">
        <v>722</v>
      </c>
    </row>
    <row r="340" spans="1:64" x14ac:dyDescent="0.2">
      <c r="A340" s="4" t="s">
        <v>262</v>
      </c>
      <c r="B340" s="13" t="s">
        <v>1191</v>
      </c>
      <c r="C340" s="174" t="s">
        <v>2175</v>
      </c>
      <c r="D340" s="175"/>
      <c r="E340" s="175"/>
      <c r="F340" s="175"/>
      <c r="G340" s="13" t="s">
        <v>2860</v>
      </c>
      <c r="H340" s="82">
        <v>24</v>
      </c>
      <c r="I340" s="109">
        <v>0</v>
      </c>
      <c r="J340" s="20">
        <f t="shared" si="248"/>
        <v>0</v>
      </c>
      <c r="K340" s="20">
        <f t="shared" si="249"/>
        <v>0</v>
      </c>
      <c r="L340" s="20">
        <f t="shared" si="250"/>
        <v>0</v>
      </c>
      <c r="M340" s="31" t="s">
        <v>2884</v>
      </c>
      <c r="N340" s="5"/>
      <c r="Z340" s="36">
        <f t="shared" si="251"/>
        <v>0</v>
      </c>
      <c r="AB340" s="36">
        <f t="shared" si="252"/>
        <v>0</v>
      </c>
      <c r="AC340" s="36">
        <f t="shared" si="253"/>
        <v>0</v>
      </c>
      <c r="AD340" s="36">
        <f t="shared" si="254"/>
        <v>0</v>
      </c>
      <c r="AE340" s="36">
        <f t="shared" si="255"/>
        <v>0</v>
      </c>
      <c r="AF340" s="36">
        <f t="shared" si="256"/>
        <v>0</v>
      </c>
      <c r="AG340" s="36">
        <f t="shared" si="257"/>
        <v>0</v>
      </c>
      <c r="AH340" s="36">
        <f t="shared" si="258"/>
        <v>0</v>
      </c>
      <c r="AI340" s="35" t="s">
        <v>2894</v>
      </c>
      <c r="AJ340" s="20">
        <f t="shared" si="259"/>
        <v>0</v>
      </c>
      <c r="AK340" s="20">
        <f t="shared" si="260"/>
        <v>0</v>
      </c>
      <c r="AL340" s="20">
        <f t="shared" si="261"/>
        <v>0</v>
      </c>
      <c r="AN340" s="36">
        <v>21</v>
      </c>
      <c r="AO340" s="36">
        <f t="shared" si="262"/>
        <v>0</v>
      </c>
      <c r="AP340" s="36">
        <f t="shared" si="263"/>
        <v>0</v>
      </c>
      <c r="AQ340" s="37" t="s">
        <v>13</v>
      </c>
      <c r="AV340" s="36">
        <f t="shared" si="264"/>
        <v>0</v>
      </c>
      <c r="AW340" s="36">
        <f t="shared" si="265"/>
        <v>0</v>
      </c>
      <c r="AX340" s="36">
        <f t="shared" si="266"/>
        <v>0</v>
      </c>
      <c r="AY340" s="39" t="s">
        <v>2928</v>
      </c>
      <c r="AZ340" s="39" t="s">
        <v>2954</v>
      </c>
      <c r="BA340" s="35" t="s">
        <v>2967</v>
      </c>
      <c r="BC340" s="36">
        <f t="shared" si="267"/>
        <v>0</v>
      </c>
      <c r="BD340" s="36">
        <f t="shared" si="268"/>
        <v>0</v>
      </c>
      <c r="BE340" s="36">
        <v>0</v>
      </c>
      <c r="BF340" s="36">
        <f>340</f>
        <v>340</v>
      </c>
      <c r="BH340" s="20">
        <f t="shared" si="269"/>
        <v>0</v>
      </c>
      <c r="BI340" s="20">
        <f t="shared" si="270"/>
        <v>0</v>
      </c>
      <c r="BJ340" s="20">
        <f t="shared" si="271"/>
        <v>0</v>
      </c>
      <c r="BK340" s="20" t="s">
        <v>2978</v>
      </c>
      <c r="BL340" s="36">
        <v>722</v>
      </c>
    </row>
    <row r="341" spans="1:64" x14ac:dyDescent="0.2">
      <c r="A341" s="4" t="s">
        <v>263</v>
      </c>
      <c r="B341" s="13" t="s">
        <v>1192</v>
      </c>
      <c r="C341" s="174" t="s">
        <v>2176</v>
      </c>
      <c r="D341" s="175"/>
      <c r="E341" s="175"/>
      <c r="F341" s="175"/>
      <c r="G341" s="13" t="s">
        <v>2860</v>
      </c>
      <c r="H341" s="82">
        <v>2</v>
      </c>
      <c r="I341" s="109">
        <v>0</v>
      </c>
      <c r="J341" s="20">
        <f t="shared" si="248"/>
        <v>0</v>
      </c>
      <c r="K341" s="20">
        <f t="shared" si="249"/>
        <v>0</v>
      </c>
      <c r="L341" s="20">
        <f t="shared" si="250"/>
        <v>0</v>
      </c>
      <c r="M341" s="31" t="s">
        <v>2884</v>
      </c>
      <c r="N341" s="5"/>
      <c r="Z341" s="36">
        <f t="shared" si="251"/>
        <v>0</v>
      </c>
      <c r="AB341" s="36">
        <f t="shared" si="252"/>
        <v>0</v>
      </c>
      <c r="AC341" s="36">
        <f t="shared" si="253"/>
        <v>0</v>
      </c>
      <c r="AD341" s="36">
        <f t="shared" si="254"/>
        <v>0</v>
      </c>
      <c r="AE341" s="36">
        <f t="shared" si="255"/>
        <v>0</v>
      </c>
      <c r="AF341" s="36">
        <f t="shared" si="256"/>
        <v>0</v>
      </c>
      <c r="AG341" s="36">
        <f t="shared" si="257"/>
        <v>0</v>
      </c>
      <c r="AH341" s="36">
        <f t="shared" si="258"/>
        <v>0</v>
      </c>
      <c r="AI341" s="35" t="s">
        <v>2894</v>
      </c>
      <c r="AJ341" s="20">
        <f t="shared" si="259"/>
        <v>0</v>
      </c>
      <c r="AK341" s="20">
        <f t="shared" si="260"/>
        <v>0</v>
      </c>
      <c r="AL341" s="20">
        <f t="shared" si="261"/>
        <v>0</v>
      </c>
      <c r="AN341" s="36">
        <v>21</v>
      </c>
      <c r="AO341" s="36">
        <f t="shared" si="262"/>
        <v>0</v>
      </c>
      <c r="AP341" s="36">
        <f t="shared" si="263"/>
        <v>0</v>
      </c>
      <c r="AQ341" s="37" t="s">
        <v>13</v>
      </c>
      <c r="AV341" s="36">
        <f t="shared" si="264"/>
        <v>0</v>
      </c>
      <c r="AW341" s="36">
        <f t="shared" si="265"/>
        <v>0</v>
      </c>
      <c r="AX341" s="36">
        <f t="shared" si="266"/>
        <v>0</v>
      </c>
      <c r="AY341" s="39" t="s">
        <v>2928</v>
      </c>
      <c r="AZ341" s="39" t="s">
        <v>2954</v>
      </c>
      <c r="BA341" s="35" t="s">
        <v>2967</v>
      </c>
      <c r="BC341" s="36">
        <f t="shared" si="267"/>
        <v>0</v>
      </c>
      <c r="BD341" s="36">
        <f t="shared" si="268"/>
        <v>0</v>
      </c>
      <c r="BE341" s="36">
        <v>0</v>
      </c>
      <c r="BF341" s="36">
        <f>341</f>
        <v>341</v>
      </c>
      <c r="BH341" s="20">
        <f t="shared" si="269"/>
        <v>0</v>
      </c>
      <c r="BI341" s="20">
        <f t="shared" si="270"/>
        <v>0</v>
      </c>
      <c r="BJ341" s="20">
        <f t="shared" si="271"/>
        <v>0</v>
      </c>
      <c r="BK341" s="20" t="s">
        <v>2978</v>
      </c>
      <c r="BL341" s="36">
        <v>722</v>
      </c>
    </row>
    <row r="342" spans="1:64" x14ac:dyDescent="0.2">
      <c r="A342" s="4" t="s">
        <v>264</v>
      </c>
      <c r="B342" s="13" t="s">
        <v>1193</v>
      </c>
      <c r="C342" s="174" t="s">
        <v>2177</v>
      </c>
      <c r="D342" s="175"/>
      <c r="E342" s="175"/>
      <c r="F342" s="175"/>
      <c r="G342" s="13" t="s">
        <v>2860</v>
      </c>
      <c r="H342" s="82">
        <v>24</v>
      </c>
      <c r="I342" s="109">
        <v>0</v>
      </c>
      <c r="J342" s="20">
        <f t="shared" si="248"/>
        <v>0</v>
      </c>
      <c r="K342" s="20">
        <f t="shared" si="249"/>
        <v>0</v>
      </c>
      <c r="L342" s="20">
        <f t="shared" si="250"/>
        <v>0</v>
      </c>
      <c r="M342" s="31" t="s">
        <v>2884</v>
      </c>
      <c r="N342" s="5"/>
      <c r="Z342" s="36">
        <f t="shared" si="251"/>
        <v>0</v>
      </c>
      <c r="AB342" s="36">
        <f t="shared" si="252"/>
        <v>0</v>
      </c>
      <c r="AC342" s="36">
        <f t="shared" si="253"/>
        <v>0</v>
      </c>
      <c r="AD342" s="36">
        <f t="shared" si="254"/>
        <v>0</v>
      </c>
      <c r="AE342" s="36">
        <f t="shared" si="255"/>
        <v>0</v>
      </c>
      <c r="AF342" s="36">
        <f t="shared" si="256"/>
        <v>0</v>
      </c>
      <c r="AG342" s="36">
        <f t="shared" si="257"/>
        <v>0</v>
      </c>
      <c r="AH342" s="36">
        <f t="shared" si="258"/>
        <v>0</v>
      </c>
      <c r="AI342" s="35" t="s">
        <v>2894</v>
      </c>
      <c r="AJ342" s="20">
        <f t="shared" si="259"/>
        <v>0</v>
      </c>
      <c r="AK342" s="20">
        <f t="shared" si="260"/>
        <v>0</v>
      </c>
      <c r="AL342" s="20">
        <f t="shared" si="261"/>
        <v>0</v>
      </c>
      <c r="AN342" s="36">
        <v>21</v>
      </c>
      <c r="AO342" s="36">
        <f t="shared" si="262"/>
        <v>0</v>
      </c>
      <c r="AP342" s="36">
        <f t="shared" si="263"/>
        <v>0</v>
      </c>
      <c r="AQ342" s="37" t="s">
        <v>13</v>
      </c>
      <c r="AV342" s="36">
        <f t="shared" si="264"/>
        <v>0</v>
      </c>
      <c r="AW342" s="36">
        <f t="shared" si="265"/>
        <v>0</v>
      </c>
      <c r="AX342" s="36">
        <f t="shared" si="266"/>
        <v>0</v>
      </c>
      <c r="AY342" s="39" t="s">
        <v>2928</v>
      </c>
      <c r="AZ342" s="39" t="s">
        <v>2954</v>
      </c>
      <c r="BA342" s="35" t="s">
        <v>2967</v>
      </c>
      <c r="BC342" s="36">
        <f t="shared" si="267"/>
        <v>0</v>
      </c>
      <c r="BD342" s="36">
        <f t="shared" si="268"/>
        <v>0</v>
      </c>
      <c r="BE342" s="36">
        <v>0</v>
      </c>
      <c r="BF342" s="36">
        <f>342</f>
        <v>342</v>
      </c>
      <c r="BH342" s="20">
        <f t="shared" si="269"/>
        <v>0</v>
      </c>
      <c r="BI342" s="20">
        <f t="shared" si="270"/>
        <v>0</v>
      </c>
      <c r="BJ342" s="20">
        <f t="shared" si="271"/>
        <v>0</v>
      </c>
      <c r="BK342" s="20" t="s">
        <v>2978</v>
      </c>
      <c r="BL342" s="36">
        <v>722</v>
      </c>
    </row>
    <row r="343" spans="1:64" x14ac:dyDescent="0.2">
      <c r="A343" s="4" t="s">
        <v>265</v>
      </c>
      <c r="B343" s="13" t="s">
        <v>1194</v>
      </c>
      <c r="C343" s="174" t="s">
        <v>2178</v>
      </c>
      <c r="D343" s="175"/>
      <c r="E343" s="175"/>
      <c r="F343" s="175"/>
      <c r="G343" s="13" t="s">
        <v>2860</v>
      </c>
      <c r="H343" s="82">
        <v>18</v>
      </c>
      <c r="I343" s="109">
        <v>0</v>
      </c>
      <c r="J343" s="20">
        <f t="shared" si="248"/>
        <v>0</v>
      </c>
      <c r="K343" s="20">
        <f t="shared" si="249"/>
        <v>0</v>
      </c>
      <c r="L343" s="20">
        <f t="shared" si="250"/>
        <v>0</v>
      </c>
      <c r="M343" s="31" t="s">
        <v>2884</v>
      </c>
      <c r="N343" s="5"/>
      <c r="Z343" s="36">
        <f t="shared" si="251"/>
        <v>0</v>
      </c>
      <c r="AB343" s="36">
        <f t="shared" si="252"/>
        <v>0</v>
      </c>
      <c r="AC343" s="36">
        <f t="shared" si="253"/>
        <v>0</v>
      </c>
      <c r="AD343" s="36">
        <f t="shared" si="254"/>
        <v>0</v>
      </c>
      <c r="AE343" s="36">
        <f t="shared" si="255"/>
        <v>0</v>
      </c>
      <c r="AF343" s="36">
        <f t="shared" si="256"/>
        <v>0</v>
      </c>
      <c r="AG343" s="36">
        <f t="shared" si="257"/>
        <v>0</v>
      </c>
      <c r="AH343" s="36">
        <f t="shared" si="258"/>
        <v>0</v>
      </c>
      <c r="AI343" s="35" t="s">
        <v>2894</v>
      </c>
      <c r="AJ343" s="20">
        <f t="shared" si="259"/>
        <v>0</v>
      </c>
      <c r="AK343" s="20">
        <f t="shared" si="260"/>
        <v>0</v>
      </c>
      <c r="AL343" s="20">
        <f t="shared" si="261"/>
        <v>0</v>
      </c>
      <c r="AN343" s="36">
        <v>21</v>
      </c>
      <c r="AO343" s="36">
        <f t="shared" si="262"/>
        <v>0</v>
      </c>
      <c r="AP343" s="36">
        <f t="shared" si="263"/>
        <v>0</v>
      </c>
      <c r="AQ343" s="37" t="s">
        <v>13</v>
      </c>
      <c r="AV343" s="36">
        <f t="shared" si="264"/>
        <v>0</v>
      </c>
      <c r="AW343" s="36">
        <f t="shared" si="265"/>
        <v>0</v>
      </c>
      <c r="AX343" s="36">
        <f t="shared" si="266"/>
        <v>0</v>
      </c>
      <c r="AY343" s="39" t="s">
        <v>2928</v>
      </c>
      <c r="AZ343" s="39" t="s">
        <v>2954</v>
      </c>
      <c r="BA343" s="35" t="s">
        <v>2967</v>
      </c>
      <c r="BC343" s="36">
        <f t="shared" si="267"/>
        <v>0</v>
      </c>
      <c r="BD343" s="36">
        <f t="shared" si="268"/>
        <v>0</v>
      </c>
      <c r="BE343" s="36">
        <v>0</v>
      </c>
      <c r="BF343" s="36">
        <f>343</f>
        <v>343</v>
      </c>
      <c r="BH343" s="20">
        <f t="shared" si="269"/>
        <v>0</v>
      </c>
      <c r="BI343" s="20">
        <f t="shared" si="270"/>
        <v>0</v>
      </c>
      <c r="BJ343" s="20">
        <f t="shared" si="271"/>
        <v>0</v>
      </c>
      <c r="BK343" s="20" t="s">
        <v>2978</v>
      </c>
      <c r="BL343" s="36">
        <v>722</v>
      </c>
    </row>
    <row r="344" spans="1:64" x14ac:dyDescent="0.2">
      <c r="A344" s="4" t="s">
        <v>266</v>
      </c>
      <c r="B344" s="13" t="s">
        <v>1195</v>
      </c>
      <c r="C344" s="174" t="s">
        <v>2179</v>
      </c>
      <c r="D344" s="175"/>
      <c r="E344" s="175"/>
      <c r="F344" s="175"/>
      <c r="G344" s="13" t="s">
        <v>2860</v>
      </c>
      <c r="H344" s="82">
        <v>4</v>
      </c>
      <c r="I344" s="109">
        <v>0</v>
      </c>
      <c r="J344" s="20">
        <f t="shared" si="248"/>
        <v>0</v>
      </c>
      <c r="K344" s="20">
        <f t="shared" si="249"/>
        <v>0</v>
      </c>
      <c r="L344" s="20">
        <f t="shared" si="250"/>
        <v>0</v>
      </c>
      <c r="M344" s="31" t="s">
        <v>2884</v>
      </c>
      <c r="N344" s="5"/>
      <c r="Z344" s="36">
        <f t="shared" si="251"/>
        <v>0</v>
      </c>
      <c r="AB344" s="36">
        <f t="shared" si="252"/>
        <v>0</v>
      </c>
      <c r="AC344" s="36">
        <f t="shared" si="253"/>
        <v>0</v>
      </c>
      <c r="AD344" s="36">
        <f t="shared" si="254"/>
        <v>0</v>
      </c>
      <c r="AE344" s="36">
        <f t="shared" si="255"/>
        <v>0</v>
      </c>
      <c r="AF344" s="36">
        <f t="shared" si="256"/>
        <v>0</v>
      </c>
      <c r="AG344" s="36">
        <f t="shared" si="257"/>
        <v>0</v>
      </c>
      <c r="AH344" s="36">
        <f t="shared" si="258"/>
        <v>0</v>
      </c>
      <c r="AI344" s="35" t="s">
        <v>2894</v>
      </c>
      <c r="AJ344" s="20">
        <f t="shared" si="259"/>
        <v>0</v>
      </c>
      <c r="AK344" s="20">
        <f t="shared" si="260"/>
        <v>0</v>
      </c>
      <c r="AL344" s="20">
        <f t="shared" si="261"/>
        <v>0</v>
      </c>
      <c r="AN344" s="36">
        <v>21</v>
      </c>
      <c r="AO344" s="36">
        <f t="shared" si="262"/>
        <v>0</v>
      </c>
      <c r="AP344" s="36">
        <f t="shared" si="263"/>
        <v>0</v>
      </c>
      <c r="AQ344" s="37" t="s">
        <v>13</v>
      </c>
      <c r="AV344" s="36">
        <f t="shared" si="264"/>
        <v>0</v>
      </c>
      <c r="AW344" s="36">
        <f t="shared" si="265"/>
        <v>0</v>
      </c>
      <c r="AX344" s="36">
        <f t="shared" si="266"/>
        <v>0</v>
      </c>
      <c r="AY344" s="39" t="s">
        <v>2928</v>
      </c>
      <c r="AZ344" s="39" t="s">
        <v>2954</v>
      </c>
      <c r="BA344" s="35" t="s">
        <v>2967</v>
      </c>
      <c r="BC344" s="36">
        <f t="shared" si="267"/>
        <v>0</v>
      </c>
      <c r="BD344" s="36">
        <f t="shared" si="268"/>
        <v>0</v>
      </c>
      <c r="BE344" s="36">
        <v>0</v>
      </c>
      <c r="BF344" s="36">
        <f>344</f>
        <v>344</v>
      </c>
      <c r="BH344" s="20">
        <f t="shared" si="269"/>
        <v>0</v>
      </c>
      <c r="BI344" s="20">
        <f t="shared" si="270"/>
        <v>0</v>
      </c>
      <c r="BJ344" s="20">
        <f t="shared" si="271"/>
        <v>0</v>
      </c>
      <c r="BK344" s="20" t="s">
        <v>2978</v>
      </c>
      <c r="BL344" s="36">
        <v>722</v>
      </c>
    </row>
    <row r="345" spans="1:64" x14ac:dyDescent="0.2">
      <c r="A345" s="4" t="s">
        <v>267</v>
      </c>
      <c r="B345" s="13" t="s">
        <v>1196</v>
      </c>
      <c r="C345" s="174" t="s">
        <v>2180</v>
      </c>
      <c r="D345" s="175"/>
      <c r="E345" s="175"/>
      <c r="F345" s="175"/>
      <c r="G345" s="13" t="s">
        <v>2860</v>
      </c>
      <c r="H345" s="82">
        <v>4</v>
      </c>
      <c r="I345" s="109">
        <v>0</v>
      </c>
      <c r="J345" s="20">
        <f t="shared" si="248"/>
        <v>0</v>
      </c>
      <c r="K345" s="20">
        <f t="shared" si="249"/>
        <v>0</v>
      </c>
      <c r="L345" s="20">
        <f t="shared" si="250"/>
        <v>0</v>
      </c>
      <c r="M345" s="31" t="s">
        <v>2884</v>
      </c>
      <c r="N345" s="5"/>
      <c r="Z345" s="36">
        <f t="shared" si="251"/>
        <v>0</v>
      </c>
      <c r="AB345" s="36">
        <f t="shared" si="252"/>
        <v>0</v>
      </c>
      <c r="AC345" s="36">
        <f t="shared" si="253"/>
        <v>0</v>
      </c>
      <c r="AD345" s="36">
        <f t="shared" si="254"/>
        <v>0</v>
      </c>
      <c r="AE345" s="36">
        <f t="shared" si="255"/>
        <v>0</v>
      </c>
      <c r="AF345" s="36">
        <f t="shared" si="256"/>
        <v>0</v>
      </c>
      <c r="AG345" s="36">
        <f t="shared" si="257"/>
        <v>0</v>
      </c>
      <c r="AH345" s="36">
        <f t="shared" si="258"/>
        <v>0</v>
      </c>
      <c r="AI345" s="35" t="s">
        <v>2894</v>
      </c>
      <c r="AJ345" s="20">
        <f t="shared" si="259"/>
        <v>0</v>
      </c>
      <c r="AK345" s="20">
        <f t="shared" si="260"/>
        <v>0</v>
      </c>
      <c r="AL345" s="20">
        <f t="shared" si="261"/>
        <v>0</v>
      </c>
      <c r="AN345" s="36">
        <v>21</v>
      </c>
      <c r="AO345" s="36">
        <f t="shared" si="262"/>
        <v>0</v>
      </c>
      <c r="AP345" s="36">
        <f t="shared" si="263"/>
        <v>0</v>
      </c>
      <c r="AQ345" s="37" t="s">
        <v>13</v>
      </c>
      <c r="AV345" s="36">
        <f t="shared" si="264"/>
        <v>0</v>
      </c>
      <c r="AW345" s="36">
        <f t="shared" si="265"/>
        <v>0</v>
      </c>
      <c r="AX345" s="36">
        <f t="shared" si="266"/>
        <v>0</v>
      </c>
      <c r="AY345" s="39" t="s">
        <v>2928</v>
      </c>
      <c r="AZ345" s="39" t="s">
        <v>2954</v>
      </c>
      <c r="BA345" s="35" t="s">
        <v>2967</v>
      </c>
      <c r="BC345" s="36">
        <f t="shared" si="267"/>
        <v>0</v>
      </c>
      <c r="BD345" s="36">
        <f t="shared" si="268"/>
        <v>0</v>
      </c>
      <c r="BE345" s="36">
        <v>0</v>
      </c>
      <c r="BF345" s="36">
        <f>345</f>
        <v>345</v>
      </c>
      <c r="BH345" s="20">
        <f t="shared" si="269"/>
        <v>0</v>
      </c>
      <c r="BI345" s="20">
        <f t="shared" si="270"/>
        <v>0</v>
      </c>
      <c r="BJ345" s="20">
        <f t="shared" si="271"/>
        <v>0</v>
      </c>
      <c r="BK345" s="20" t="s">
        <v>2978</v>
      </c>
      <c r="BL345" s="36">
        <v>722</v>
      </c>
    </row>
    <row r="346" spans="1:64" x14ac:dyDescent="0.2">
      <c r="A346" s="4" t="s">
        <v>268</v>
      </c>
      <c r="B346" s="13" t="s">
        <v>1197</v>
      </c>
      <c r="C346" s="174" t="s">
        <v>2181</v>
      </c>
      <c r="D346" s="175"/>
      <c r="E346" s="175"/>
      <c r="F346" s="175"/>
      <c r="G346" s="13" t="s">
        <v>2860</v>
      </c>
      <c r="H346" s="82">
        <v>11</v>
      </c>
      <c r="I346" s="109">
        <v>0</v>
      </c>
      <c r="J346" s="20">
        <f t="shared" si="248"/>
        <v>0</v>
      </c>
      <c r="K346" s="20">
        <f t="shared" si="249"/>
        <v>0</v>
      </c>
      <c r="L346" s="20">
        <f t="shared" si="250"/>
        <v>0</v>
      </c>
      <c r="M346" s="31" t="s">
        <v>2884</v>
      </c>
      <c r="N346" s="5"/>
      <c r="Z346" s="36">
        <f t="shared" si="251"/>
        <v>0</v>
      </c>
      <c r="AB346" s="36">
        <f t="shared" si="252"/>
        <v>0</v>
      </c>
      <c r="AC346" s="36">
        <f t="shared" si="253"/>
        <v>0</v>
      </c>
      <c r="AD346" s="36">
        <f t="shared" si="254"/>
        <v>0</v>
      </c>
      <c r="AE346" s="36">
        <f t="shared" si="255"/>
        <v>0</v>
      </c>
      <c r="AF346" s="36">
        <f t="shared" si="256"/>
        <v>0</v>
      </c>
      <c r="AG346" s="36">
        <f t="shared" si="257"/>
        <v>0</v>
      </c>
      <c r="AH346" s="36">
        <f t="shared" si="258"/>
        <v>0</v>
      </c>
      <c r="AI346" s="35" t="s">
        <v>2894</v>
      </c>
      <c r="AJ346" s="20">
        <f t="shared" si="259"/>
        <v>0</v>
      </c>
      <c r="AK346" s="20">
        <f t="shared" si="260"/>
        <v>0</v>
      </c>
      <c r="AL346" s="20">
        <f t="shared" si="261"/>
        <v>0</v>
      </c>
      <c r="AN346" s="36">
        <v>21</v>
      </c>
      <c r="AO346" s="36">
        <f t="shared" si="262"/>
        <v>0</v>
      </c>
      <c r="AP346" s="36">
        <f t="shared" si="263"/>
        <v>0</v>
      </c>
      <c r="AQ346" s="37" t="s">
        <v>13</v>
      </c>
      <c r="AV346" s="36">
        <f t="shared" si="264"/>
        <v>0</v>
      </c>
      <c r="AW346" s="36">
        <f t="shared" si="265"/>
        <v>0</v>
      </c>
      <c r="AX346" s="36">
        <f t="shared" si="266"/>
        <v>0</v>
      </c>
      <c r="AY346" s="39" t="s">
        <v>2928</v>
      </c>
      <c r="AZ346" s="39" t="s">
        <v>2954</v>
      </c>
      <c r="BA346" s="35" t="s">
        <v>2967</v>
      </c>
      <c r="BC346" s="36">
        <f t="shared" si="267"/>
        <v>0</v>
      </c>
      <c r="BD346" s="36">
        <f t="shared" si="268"/>
        <v>0</v>
      </c>
      <c r="BE346" s="36">
        <v>0</v>
      </c>
      <c r="BF346" s="36">
        <f>346</f>
        <v>346</v>
      </c>
      <c r="BH346" s="20">
        <f t="shared" si="269"/>
        <v>0</v>
      </c>
      <c r="BI346" s="20">
        <f t="shared" si="270"/>
        <v>0</v>
      </c>
      <c r="BJ346" s="20">
        <f t="shared" si="271"/>
        <v>0</v>
      </c>
      <c r="BK346" s="20" t="s">
        <v>2978</v>
      </c>
      <c r="BL346" s="36">
        <v>722</v>
      </c>
    </row>
    <row r="347" spans="1:64" x14ac:dyDescent="0.2">
      <c r="A347" s="4" t="s">
        <v>269</v>
      </c>
      <c r="B347" s="13" t="s">
        <v>1198</v>
      </c>
      <c r="C347" s="174" t="s">
        <v>2182</v>
      </c>
      <c r="D347" s="175"/>
      <c r="E347" s="175"/>
      <c r="F347" s="175"/>
      <c r="G347" s="13" t="s">
        <v>2860</v>
      </c>
      <c r="H347" s="82">
        <v>4</v>
      </c>
      <c r="I347" s="109">
        <v>0</v>
      </c>
      <c r="J347" s="20">
        <f t="shared" si="248"/>
        <v>0</v>
      </c>
      <c r="K347" s="20">
        <f t="shared" si="249"/>
        <v>0</v>
      </c>
      <c r="L347" s="20">
        <f t="shared" si="250"/>
        <v>0</v>
      </c>
      <c r="M347" s="31" t="s">
        <v>2884</v>
      </c>
      <c r="N347" s="5"/>
      <c r="Z347" s="36">
        <f t="shared" si="251"/>
        <v>0</v>
      </c>
      <c r="AB347" s="36">
        <f t="shared" si="252"/>
        <v>0</v>
      </c>
      <c r="AC347" s="36">
        <f t="shared" si="253"/>
        <v>0</v>
      </c>
      <c r="AD347" s="36">
        <f t="shared" si="254"/>
        <v>0</v>
      </c>
      <c r="AE347" s="36">
        <f t="shared" si="255"/>
        <v>0</v>
      </c>
      <c r="AF347" s="36">
        <f t="shared" si="256"/>
        <v>0</v>
      </c>
      <c r="AG347" s="36">
        <f t="shared" si="257"/>
        <v>0</v>
      </c>
      <c r="AH347" s="36">
        <f t="shared" si="258"/>
        <v>0</v>
      </c>
      <c r="AI347" s="35" t="s">
        <v>2894</v>
      </c>
      <c r="AJ347" s="20">
        <f t="shared" si="259"/>
        <v>0</v>
      </c>
      <c r="AK347" s="20">
        <f t="shared" si="260"/>
        <v>0</v>
      </c>
      <c r="AL347" s="20">
        <f t="shared" si="261"/>
        <v>0</v>
      </c>
      <c r="AN347" s="36">
        <v>21</v>
      </c>
      <c r="AO347" s="36">
        <f t="shared" si="262"/>
        <v>0</v>
      </c>
      <c r="AP347" s="36">
        <f t="shared" si="263"/>
        <v>0</v>
      </c>
      <c r="AQ347" s="37" t="s">
        <v>13</v>
      </c>
      <c r="AV347" s="36">
        <f t="shared" si="264"/>
        <v>0</v>
      </c>
      <c r="AW347" s="36">
        <f t="shared" si="265"/>
        <v>0</v>
      </c>
      <c r="AX347" s="36">
        <f t="shared" si="266"/>
        <v>0</v>
      </c>
      <c r="AY347" s="39" t="s">
        <v>2928</v>
      </c>
      <c r="AZ347" s="39" t="s">
        <v>2954</v>
      </c>
      <c r="BA347" s="35" t="s">
        <v>2967</v>
      </c>
      <c r="BC347" s="36">
        <f t="shared" si="267"/>
        <v>0</v>
      </c>
      <c r="BD347" s="36">
        <f t="shared" si="268"/>
        <v>0</v>
      </c>
      <c r="BE347" s="36">
        <v>0</v>
      </c>
      <c r="BF347" s="36">
        <f>347</f>
        <v>347</v>
      </c>
      <c r="BH347" s="20">
        <f t="shared" si="269"/>
        <v>0</v>
      </c>
      <c r="BI347" s="20">
        <f t="shared" si="270"/>
        <v>0</v>
      </c>
      <c r="BJ347" s="20">
        <f t="shared" si="271"/>
        <v>0</v>
      </c>
      <c r="BK347" s="20" t="s">
        <v>2978</v>
      </c>
      <c r="BL347" s="36">
        <v>722</v>
      </c>
    </row>
    <row r="348" spans="1:64" x14ac:dyDescent="0.2">
      <c r="A348" s="4" t="s">
        <v>270</v>
      </c>
      <c r="B348" s="13" t="s">
        <v>1199</v>
      </c>
      <c r="C348" s="174" t="s">
        <v>2183</v>
      </c>
      <c r="D348" s="175"/>
      <c r="E348" s="175"/>
      <c r="F348" s="175"/>
      <c r="G348" s="13" t="s">
        <v>2860</v>
      </c>
      <c r="H348" s="82">
        <v>1</v>
      </c>
      <c r="I348" s="109">
        <v>0</v>
      </c>
      <c r="J348" s="20">
        <f t="shared" si="248"/>
        <v>0</v>
      </c>
      <c r="K348" s="20">
        <f t="shared" si="249"/>
        <v>0</v>
      </c>
      <c r="L348" s="20">
        <f t="shared" si="250"/>
        <v>0</v>
      </c>
      <c r="M348" s="31" t="s">
        <v>2884</v>
      </c>
      <c r="N348" s="5"/>
      <c r="Z348" s="36">
        <f t="shared" si="251"/>
        <v>0</v>
      </c>
      <c r="AB348" s="36">
        <f t="shared" si="252"/>
        <v>0</v>
      </c>
      <c r="AC348" s="36">
        <f t="shared" si="253"/>
        <v>0</v>
      </c>
      <c r="AD348" s="36">
        <f t="shared" si="254"/>
        <v>0</v>
      </c>
      <c r="AE348" s="36">
        <f t="shared" si="255"/>
        <v>0</v>
      </c>
      <c r="AF348" s="36">
        <f t="shared" si="256"/>
        <v>0</v>
      </c>
      <c r="AG348" s="36">
        <f t="shared" si="257"/>
        <v>0</v>
      </c>
      <c r="AH348" s="36">
        <f t="shared" si="258"/>
        <v>0</v>
      </c>
      <c r="AI348" s="35" t="s">
        <v>2894</v>
      </c>
      <c r="AJ348" s="20">
        <f t="shared" si="259"/>
        <v>0</v>
      </c>
      <c r="AK348" s="20">
        <f t="shared" si="260"/>
        <v>0</v>
      </c>
      <c r="AL348" s="20">
        <f t="shared" si="261"/>
        <v>0</v>
      </c>
      <c r="AN348" s="36">
        <v>21</v>
      </c>
      <c r="AO348" s="36">
        <f t="shared" si="262"/>
        <v>0</v>
      </c>
      <c r="AP348" s="36">
        <f t="shared" si="263"/>
        <v>0</v>
      </c>
      <c r="AQ348" s="37" t="s">
        <v>13</v>
      </c>
      <c r="AV348" s="36">
        <f t="shared" si="264"/>
        <v>0</v>
      </c>
      <c r="AW348" s="36">
        <f t="shared" si="265"/>
        <v>0</v>
      </c>
      <c r="AX348" s="36">
        <f t="shared" si="266"/>
        <v>0</v>
      </c>
      <c r="AY348" s="39" t="s">
        <v>2928</v>
      </c>
      <c r="AZ348" s="39" t="s">
        <v>2954</v>
      </c>
      <c r="BA348" s="35" t="s">
        <v>2967</v>
      </c>
      <c r="BC348" s="36">
        <f t="shared" si="267"/>
        <v>0</v>
      </c>
      <c r="BD348" s="36">
        <f t="shared" si="268"/>
        <v>0</v>
      </c>
      <c r="BE348" s="36">
        <v>0</v>
      </c>
      <c r="BF348" s="36">
        <f>348</f>
        <v>348</v>
      </c>
      <c r="BH348" s="20">
        <f t="shared" si="269"/>
        <v>0</v>
      </c>
      <c r="BI348" s="20">
        <f t="shared" si="270"/>
        <v>0</v>
      </c>
      <c r="BJ348" s="20">
        <f t="shared" si="271"/>
        <v>0</v>
      </c>
      <c r="BK348" s="20" t="s">
        <v>2978</v>
      </c>
      <c r="BL348" s="36">
        <v>722</v>
      </c>
    </row>
    <row r="349" spans="1:64" x14ac:dyDescent="0.2">
      <c r="A349" s="4" t="s">
        <v>271</v>
      </c>
      <c r="B349" s="13" t="s">
        <v>1200</v>
      </c>
      <c r="C349" s="174" t="s">
        <v>2184</v>
      </c>
      <c r="D349" s="175"/>
      <c r="E349" s="175"/>
      <c r="F349" s="175"/>
      <c r="G349" s="13" t="s">
        <v>2860</v>
      </c>
      <c r="H349" s="82">
        <v>1</v>
      </c>
      <c r="I349" s="109">
        <v>0</v>
      </c>
      <c r="J349" s="20">
        <f t="shared" si="248"/>
        <v>0</v>
      </c>
      <c r="K349" s="20">
        <f t="shared" si="249"/>
        <v>0</v>
      </c>
      <c r="L349" s="20">
        <f t="shared" si="250"/>
        <v>0</v>
      </c>
      <c r="M349" s="31" t="s">
        <v>2884</v>
      </c>
      <c r="N349" s="5"/>
      <c r="Z349" s="36">
        <f t="shared" si="251"/>
        <v>0</v>
      </c>
      <c r="AB349" s="36">
        <f t="shared" si="252"/>
        <v>0</v>
      </c>
      <c r="AC349" s="36">
        <f t="shared" si="253"/>
        <v>0</v>
      </c>
      <c r="AD349" s="36">
        <f t="shared" si="254"/>
        <v>0</v>
      </c>
      <c r="AE349" s="36">
        <f t="shared" si="255"/>
        <v>0</v>
      </c>
      <c r="AF349" s="36">
        <f t="shared" si="256"/>
        <v>0</v>
      </c>
      <c r="AG349" s="36">
        <f t="shared" si="257"/>
        <v>0</v>
      </c>
      <c r="AH349" s="36">
        <f t="shared" si="258"/>
        <v>0</v>
      </c>
      <c r="AI349" s="35" t="s">
        <v>2894</v>
      </c>
      <c r="AJ349" s="20">
        <f t="shared" si="259"/>
        <v>0</v>
      </c>
      <c r="AK349" s="20">
        <f t="shared" si="260"/>
        <v>0</v>
      </c>
      <c r="AL349" s="20">
        <f t="shared" si="261"/>
        <v>0</v>
      </c>
      <c r="AN349" s="36">
        <v>21</v>
      </c>
      <c r="AO349" s="36">
        <f t="shared" si="262"/>
        <v>0</v>
      </c>
      <c r="AP349" s="36">
        <f t="shared" si="263"/>
        <v>0</v>
      </c>
      <c r="AQ349" s="37" t="s">
        <v>13</v>
      </c>
      <c r="AV349" s="36">
        <f t="shared" si="264"/>
        <v>0</v>
      </c>
      <c r="AW349" s="36">
        <f t="shared" si="265"/>
        <v>0</v>
      </c>
      <c r="AX349" s="36">
        <f t="shared" si="266"/>
        <v>0</v>
      </c>
      <c r="AY349" s="39" t="s">
        <v>2928</v>
      </c>
      <c r="AZ349" s="39" t="s">
        <v>2954</v>
      </c>
      <c r="BA349" s="35" t="s">
        <v>2967</v>
      </c>
      <c r="BC349" s="36">
        <f t="shared" si="267"/>
        <v>0</v>
      </c>
      <c r="BD349" s="36">
        <f t="shared" si="268"/>
        <v>0</v>
      </c>
      <c r="BE349" s="36">
        <v>0</v>
      </c>
      <c r="BF349" s="36">
        <f>349</f>
        <v>349</v>
      </c>
      <c r="BH349" s="20">
        <f t="shared" si="269"/>
        <v>0</v>
      </c>
      <c r="BI349" s="20">
        <f t="shared" si="270"/>
        <v>0</v>
      </c>
      <c r="BJ349" s="20">
        <f t="shared" si="271"/>
        <v>0</v>
      </c>
      <c r="BK349" s="20" t="s">
        <v>2978</v>
      </c>
      <c r="BL349" s="36">
        <v>722</v>
      </c>
    </row>
    <row r="350" spans="1:64" x14ac:dyDescent="0.2">
      <c r="A350" s="4" t="s">
        <v>272</v>
      </c>
      <c r="B350" s="13" t="s">
        <v>1201</v>
      </c>
      <c r="C350" s="174" t="s">
        <v>2185</v>
      </c>
      <c r="D350" s="175"/>
      <c r="E350" s="175"/>
      <c r="F350" s="175"/>
      <c r="G350" s="13" t="s">
        <v>2860</v>
      </c>
      <c r="H350" s="82">
        <v>3</v>
      </c>
      <c r="I350" s="109">
        <v>0</v>
      </c>
      <c r="J350" s="20">
        <f t="shared" si="248"/>
        <v>0</v>
      </c>
      <c r="K350" s="20">
        <f t="shared" si="249"/>
        <v>0</v>
      </c>
      <c r="L350" s="20">
        <f t="shared" si="250"/>
        <v>0</v>
      </c>
      <c r="M350" s="31" t="s">
        <v>2884</v>
      </c>
      <c r="N350" s="5"/>
      <c r="Z350" s="36">
        <f t="shared" si="251"/>
        <v>0</v>
      </c>
      <c r="AB350" s="36">
        <f t="shared" si="252"/>
        <v>0</v>
      </c>
      <c r="AC350" s="36">
        <f t="shared" si="253"/>
        <v>0</v>
      </c>
      <c r="AD350" s="36">
        <f t="shared" si="254"/>
        <v>0</v>
      </c>
      <c r="AE350" s="36">
        <f t="shared" si="255"/>
        <v>0</v>
      </c>
      <c r="AF350" s="36">
        <f t="shared" si="256"/>
        <v>0</v>
      </c>
      <c r="AG350" s="36">
        <f t="shared" si="257"/>
        <v>0</v>
      </c>
      <c r="AH350" s="36">
        <f t="shared" si="258"/>
        <v>0</v>
      </c>
      <c r="AI350" s="35" t="s">
        <v>2894</v>
      </c>
      <c r="AJ350" s="20">
        <f t="shared" si="259"/>
        <v>0</v>
      </c>
      <c r="AK350" s="20">
        <f t="shared" si="260"/>
        <v>0</v>
      </c>
      <c r="AL350" s="20">
        <f t="shared" si="261"/>
        <v>0</v>
      </c>
      <c r="AN350" s="36">
        <v>21</v>
      </c>
      <c r="AO350" s="36">
        <f t="shared" si="262"/>
        <v>0</v>
      </c>
      <c r="AP350" s="36">
        <f t="shared" si="263"/>
        <v>0</v>
      </c>
      <c r="AQ350" s="37" t="s">
        <v>13</v>
      </c>
      <c r="AV350" s="36">
        <f t="shared" si="264"/>
        <v>0</v>
      </c>
      <c r="AW350" s="36">
        <f t="shared" si="265"/>
        <v>0</v>
      </c>
      <c r="AX350" s="36">
        <f t="shared" si="266"/>
        <v>0</v>
      </c>
      <c r="AY350" s="39" t="s">
        <v>2928</v>
      </c>
      <c r="AZ350" s="39" t="s">
        <v>2954</v>
      </c>
      <c r="BA350" s="35" t="s">
        <v>2967</v>
      </c>
      <c r="BC350" s="36">
        <f t="shared" si="267"/>
        <v>0</v>
      </c>
      <c r="BD350" s="36">
        <f t="shared" si="268"/>
        <v>0</v>
      </c>
      <c r="BE350" s="36">
        <v>0</v>
      </c>
      <c r="BF350" s="36">
        <f>350</f>
        <v>350</v>
      </c>
      <c r="BH350" s="20">
        <f t="shared" si="269"/>
        <v>0</v>
      </c>
      <c r="BI350" s="20">
        <f t="shared" si="270"/>
        <v>0</v>
      </c>
      <c r="BJ350" s="20">
        <f t="shared" si="271"/>
        <v>0</v>
      </c>
      <c r="BK350" s="20" t="s">
        <v>2978</v>
      </c>
      <c r="BL350" s="36">
        <v>722</v>
      </c>
    </row>
    <row r="351" spans="1:64" x14ac:dyDescent="0.2">
      <c r="A351" s="4" t="s">
        <v>273</v>
      </c>
      <c r="B351" s="13" t="s">
        <v>1202</v>
      </c>
      <c r="C351" s="174" t="s">
        <v>2186</v>
      </c>
      <c r="D351" s="175"/>
      <c r="E351" s="175"/>
      <c r="F351" s="175"/>
      <c r="G351" s="13" t="s">
        <v>2860</v>
      </c>
      <c r="H351" s="82">
        <v>1</v>
      </c>
      <c r="I351" s="109">
        <v>0</v>
      </c>
      <c r="J351" s="20">
        <f t="shared" si="248"/>
        <v>0</v>
      </c>
      <c r="K351" s="20">
        <f t="shared" si="249"/>
        <v>0</v>
      </c>
      <c r="L351" s="20">
        <f t="shared" si="250"/>
        <v>0</v>
      </c>
      <c r="M351" s="31" t="s">
        <v>2884</v>
      </c>
      <c r="N351" s="5"/>
      <c r="Z351" s="36">
        <f t="shared" si="251"/>
        <v>0</v>
      </c>
      <c r="AB351" s="36">
        <f t="shared" si="252"/>
        <v>0</v>
      </c>
      <c r="AC351" s="36">
        <f t="shared" si="253"/>
        <v>0</v>
      </c>
      <c r="AD351" s="36">
        <f t="shared" si="254"/>
        <v>0</v>
      </c>
      <c r="AE351" s="36">
        <f t="shared" si="255"/>
        <v>0</v>
      </c>
      <c r="AF351" s="36">
        <f t="shared" si="256"/>
        <v>0</v>
      </c>
      <c r="AG351" s="36">
        <f t="shared" si="257"/>
        <v>0</v>
      </c>
      <c r="AH351" s="36">
        <f t="shared" si="258"/>
        <v>0</v>
      </c>
      <c r="AI351" s="35" t="s">
        <v>2894</v>
      </c>
      <c r="AJ351" s="20">
        <f t="shared" si="259"/>
        <v>0</v>
      </c>
      <c r="AK351" s="20">
        <f t="shared" si="260"/>
        <v>0</v>
      </c>
      <c r="AL351" s="20">
        <f t="shared" si="261"/>
        <v>0</v>
      </c>
      <c r="AN351" s="36">
        <v>21</v>
      </c>
      <c r="AO351" s="36">
        <f t="shared" si="262"/>
        <v>0</v>
      </c>
      <c r="AP351" s="36">
        <f t="shared" si="263"/>
        <v>0</v>
      </c>
      <c r="AQ351" s="37" t="s">
        <v>13</v>
      </c>
      <c r="AV351" s="36">
        <f t="shared" si="264"/>
        <v>0</v>
      </c>
      <c r="AW351" s="36">
        <f t="shared" si="265"/>
        <v>0</v>
      </c>
      <c r="AX351" s="36">
        <f t="shared" si="266"/>
        <v>0</v>
      </c>
      <c r="AY351" s="39" t="s">
        <v>2928</v>
      </c>
      <c r="AZ351" s="39" t="s">
        <v>2954</v>
      </c>
      <c r="BA351" s="35" t="s">
        <v>2967</v>
      </c>
      <c r="BC351" s="36">
        <f t="shared" si="267"/>
        <v>0</v>
      </c>
      <c r="BD351" s="36">
        <f t="shared" si="268"/>
        <v>0</v>
      </c>
      <c r="BE351" s="36">
        <v>0</v>
      </c>
      <c r="BF351" s="36">
        <f>351</f>
        <v>351</v>
      </c>
      <c r="BH351" s="20">
        <f t="shared" si="269"/>
        <v>0</v>
      </c>
      <c r="BI351" s="20">
        <f t="shared" si="270"/>
        <v>0</v>
      </c>
      <c r="BJ351" s="20">
        <f t="shared" si="271"/>
        <v>0</v>
      </c>
      <c r="BK351" s="20" t="s">
        <v>2978</v>
      </c>
      <c r="BL351" s="36">
        <v>722</v>
      </c>
    </row>
    <row r="352" spans="1:64" x14ac:dyDescent="0.2">
      <c r="A352" s="4" t="s">
        <v>274</v>
      </c>
      <c r="B352" s="13" t="s">
        <v>1203</v>
      </c>
      <c r="C352" s="174" t="s">
        <v>2187</v>
      </c>
      <c r="D352" s="175"/>
      <c r="E352" s="175"/>
      <c r="F352" s="175"/>
      <c r="G352" s="13" t="s">
        <v>2860</v>
      </c>
      <c r="H352" s="82">
        <v>1</v>
      </c>
      <c r="I352" s="109">
        <v>0</v>
      </c>
      <c r="J352" s="20">
        <f t="shared" si="248"/>
        <v>0</v>
      </c>
      <c r="K352" s="20">
        <f t="shared" si="249"/>
        <v>0</v>
      </c>
      <c r="L352" s="20">
        <f t="shared" si="250"/>
        <v>0</v>
      </c>
      <c r="M352" s="31" t="s">
        <v>2884</v>
      </c>
      <c r="N352" s="5"/>
      <c r="Z352" s="36">
        <f t="shared" si="251"/>
        <v>0</v>
      </c>
      <c r="AB352" s="36">
        <f t="shared" si="252"/>
        <v>0</v>
      </c>
      <c r="AC352" s="36">
        <f t="shared" si="253"/>
        <v>0</v>
      </c>
      <c r="AD352" s="36">
        <f t="shared" si="254"/>
        <v>0</v>
      </c>
      <c r="AE352" s="36">
        <f t="shared" si="255"/>
        <v>0</v>
      </c>
      <c r="AF352" s="36">
        <f t="shared" si="256"/>
        <v>0</v>
      </c>
      <c r="AG352" s="36">
        <f t="shared" si="257"/>
        <v>0</v>
      </c>
      <c r="AH352" s="36">
        <f t="shared" si="258"/>
        <v>0</v>
      </c>
      <c r="AI352" s="35" t="s">
        <v>2894</v>
      </c>
      <c r="AJ352" s="20">
        <f t="shared" si="259"/>
        <v>0</v>
      </c>
      <c r="AK352" s="20">
        <f t="shared" si="260"/>
        <v>0</v>
      </c>
      <c r="AL352" s="20">
        <f t="shared" si="261"/>
        <v>0</v>
      </c>
      <c r="AN352" s="36">
        <v>21</v>
      </c>
      <c r="AO352" s="36">
        <f t="shared" si="262"/>
        <v>0</v>
      </c>
      <c r="AP352" s="36">
        <f t="shared" si="263"/>
        <v>0</v>
      </c>
      <c r="AQ352" s="37" t="s">
        <v>13</v>
      </c>
      <c r="AV352" s="36">
        <f t="shared" si="264"/>
        <v>0</v>
      </c>
      <c r="AW352" s="36">
        <f t="shared" si="265"/>
        <v>0</v>
      </c>
      <c r="AX352" s="36">
        <f t="shared" si="266"/>
        <v>0</v>
      </c>
      <c r="AY352" s="39" t="s">
        <v>2928</v>
      </c>
      <c r="AZ352" s="39" t="s">
        <v>2954</v>
      </c>
      <c r="BA352" s="35" t="s">
        <v>2967</v>
      </c>
      <c r="BC352" s="36">
        <f t="shared" si="267"/>
        <v>0</v>
      </c>
      <c r="BD352" s="36">
        <f t="shared" si="268"/>
        <v>0</v>
      </c>
      <c r="BE352" s="36">
        <v>0</v>
      </c>
      <c r="BF352" s="36">
        <f>352</f>
        <v>352</v>
      </c>
      <c r="BH352" s="20">
        <f t="shared" si="269"/>
        <v>0</v>
      </c>
      <c r="BI352" s="20">
        <f t="shared" si="270"/>
        <v>0</v>
      </c>
      <c r="BJ352" s="20">
        <f t="shared" si="271"/>
        <v>0</v>
      </c>
      <c r="BK352" s="20" t="s">
        <v>2978</v>
      </c>
      <c r="BL352" s="36">
        <v>722</v>
      </c>
    </row>
    <row r="353" spans="1:64" x14ac:dyDescent="0.2">
      <c r="A353" s="4" t="s">
        <v>275</v>
      </c>
      <c r="B353" s="13" t="s">
        <v>1204</v>
      </c>
      <c r="C353" s="174" t="s">
        <v>2188</v>
      </c>
      <c r="D353" s="175"/>
      <c r="E353" s="175"/>
      <c r="F353" s="175"/>
      <c r="G353" s="13" t="s">
        <v>2860</v>
      </c>
      <c r="H353" s="82">
        <v>1</v>
      </c>
      <c r="I353" s="109">
        <v>0</v>
      </c>
      <c r="J353" s="20">
        <f t="shared" si="248"/>
        <v>0</v>
      </c>
      <c r="K353" s="20">
        <f t="shared" si="249"/>
        <v>0</v>
      </c>
      <c r="L353" s="20">
        <f t="shared" si="250"/>
        <v>0</v>
      </c>
      <c r="M353" s="31" t="s">
        <v>2884</v>
      </c>
      <c r="N353" s="5"/>
      <c r="Z353" s="36">
        <f t="shared" si="251"/>
        <v>0</v>
      </c>
      <c r="AB353" s="36">
        <f t="shared" si="252"/>
        <v>0</v>
      </c>
      <c r="AC353" s="36">
        <f t="shared" si="253"/>
        <v>0</v>
      </c>
      <c r="AD353" s="36">
        <f t="shared" si="254"/>
        <v>0</v>
      </c>
      <c r="AE353" s="36">
        <f t="shared" si="255"/>
        <v>0</v>
      </c>
      <c r="AF353" s="36">
        <f t="shared" si="256"/>
        <v>0</v>
      </c>
      <c r="AG353" s="36">
        <f t="shared" si="257"/>
        <v>0</v>
      </c>
      <c r="AH353" s="36">
        <f t="shared" si="258"/>
        <v>0</v>
      </c>
      <c r="AI353" s="35" t="s">
        <v>2894</v>
      </c>
      <c r="AJ353" s="20">
        <f t="shared" si="259"/>
        <v>0</v>
      </c>
      <c r="AK353" s="20">
        <f t="shared" si="260"/>
        <v>0</v>
      </c>
      <c r="AL353" s="20">
        <f t="shared" si="261"/>
        <v>0</v>
      </c>
      <c r="AN353" s="36">
        <v>21</v>
      </c>
      <c r="AO353" s="36">
        <f t="shared" si="262"/>
        <v>0</v>
      </c>
      <c r="AP353" s="36">
        <f t="shared" si="263"/>
        <v>0</v>
      </c>
      <c r="AQ353" s="37" t="s">
        <v>13</v>
      </c>
      <c r="AV353" s="36">
        <f t="shared" si="264"/>
        <v>0</v>
      </c>
      <c r="AW353" s="36">
        <f t="shared" si="265"/>
        <v>0</v>
      </c>
      <c r="AX353" s="36">
        <f t="shared" si="266"/>
        <v>0</v>
      </c>
      <c r="AY353" s="39" t="s">
        <v>2928</v>
      </c>
      <c r="AZ353" s="39" t="s">
        <v>2954</v>
      </c>
      <c r="BA353" s="35" t="s">
        <v>2967</v>
      </c>
      <c r="BC353" s="36">
        <f t="shared" si="267"/>
        <v>0</v>
      </c>
      <c r="BD353" s="36">
        <f t="shared" si="268"/>
        <v>0</v>
      </c>
      <c r="BE353" s="36">
        <v>0</v>
      </c>
      <c r="BF353" s="36">
        <f>353</f>
        <v>353</v>
      </c>
      <c r="BH353" s="20">
        <f t="shared" si="269"/>
        <v>0</v>
      </c>
      <c r="BI353" s="20">
        <f t="shared" si="270"/>
        <v>0</v>
      </c>
      <c r="BJ353" s="20">
        <f t="shared" si="271"/>
        <v>0</v>
      </c>
      <c r="BK353" s="20" t="s">
        <v>2978</v>
      </c>
      <c r="BL353" s="36">
        <v>722</v>
      </c>
    </row>
    <row r="354" spans="1:64" ht="38.450000000000003" customHeight="1" x14ac:dyDescent="0.2">
      <c r="A354" s="5"/>
      <c r="B354" s="14"/>
      <c r="C354" s="179" t="s">
        <v>2189</v>
      </c>
      <c r="D354" s="180"/>
      <c r="E354" s="180"/>
      <c r="F354" s="180"/>
      <c r="G354" s="180"/>
      <c r="H354" s="180"/>
      <c r="I354" s="180"/>
      <c r="J354" s="180"/>
      <c r="K354" s="180"/>
      <c r="L354" s="180"/>
      <c r="M354" s="181"/>
      <c r="N354" s="5"/>
    </row>
    <row r="355" spans="1:64" x14ac:dyDescent="0.2">
      <c r="A355" s="4" t="s">
        <v>276</v>
      </c>
      <c r="B355" s="13" t="s">
        <v>1205</v>
      </c>
      <c r="C355" s="174" t="s">
        <v>2190</v>
      </c>
      <c r="D355" s="175"/>
      <c r="E355" s="175"/>
      <c r="F355" s="175"/>
      <c r="G355" s="13" t="s">
        <v>2860</v>
      </c>
      <c r="H355" s="82">
        <v>1</v>
      </c>
      <c r="I355" s="109">
        <v>0</v>
      </c>
      <c r="J355" s="20">
        <f>H355*AO355</f>
        <v>0</v>
      </c>
      <c r="K355" s="20">
        <f>H355*AP355</f>
        <v>0</v>
      </c>
      <c r="L355" s="20">
        <f>H355*I355</f>
        <v>0</v>
      </c>
      <c r="M355" s="31" t="s">
        <v>2884</v>
      </c>
      <c r="N355" s="5"/>
      <c r="Z355" s="36">
        <f>IF(AQ355="5",BJ355,0)</f>
        <v>0</v>
      </c>
      <c r="AB355" s="36">
        <f>IF(AQ355="1",BH355,0)</f>
        <v>0</v>
      </c>
      <c r="AC355" s="36">
        <f>IF(AQ355="1",BI355,0)</f>
        <v>0</v>
      </c>
      <c r="AD355" s="36">
        <f>IF(AQ355="7",BH355,0)</f>
        <v>0</v>
      </c>
      <c r="AE355" s="36">
        <f>IF(AQ355="7",BI355,0)</f>
        <v>0</v>
      </c>
      <c r="AF355" s="36">
        <f>IF(AQ355="2",BH355,0)</f>
        <v>0</v>
      </c>
      <c r="AG355" s="36">
        <f>IF(AQ355="2",BI355,0)</f>
        <v>0</v>
      </c>
      <c r="AH355" s="36">
        <f>IF(AQ355="0",BJ355,0)</f>
        <v>0</v>
      </c>
      <c r="AI355" s="35" t="s">
        <v>2894</v>
      </c>
      <c r="AJ355" s="20">
        <f>IF(AN355=0,L355,0)</f>
        <v>0</v>
      </c>
      <c r="AK355" s="20">
        <f>IF(AN355=15,L355,0)</f>
        <v>0</v>
      </c>
      <c r="AL355" s="20">
        <f>IF(AN355=21,L355,0)</f>
        <v>0</v>
      </c>
      <c r="AN355" s="36">
        <v>21</v>
      </c>
      <c r="AO355" s="36">
        <f>I355*0.53</f>
        <v>0</v>
      </c>
      <c r="AP355" s="36">
        <f>I355*(1-0.53)</f>
        <v>0</v>
      </c>
      <c r="AQ355" s="37" t="s">
        <v>13</v>
      </c>
      <c r="AV355" s="36">
        <f>AW355+AX355</f>
        <v>0</v>
      </c>
      <c r="AW355" s="36">
        <f>H355*AO355</f>
        <v>0</v>
      </c>
      <c r="AX355" s="36">
        <f>H355*AP355</f>
        <v>0</v>
      </c>
      <c r="AY355" s="39" t="s">
        <v>2928</v>
      </c>
      <c r="AZ355" s="39" t="s">
        <v>2954</v>
      </c>
      <c r="BA355" s="35" t="s">
        <v>2967</v>
      </c>
      <c r="BC355" s="36">
        <f>AW355+AX355</f>
        <v>0</v>
      </c>
      <c r="BD355" s="36">
        <f>I355/(100-BE355)*100</f>
        <v>0</v>
      </c>
      <c r="BE355" s="36">
        <v>0</v>
      </c>
      <c r="BF355" s="36">
        <f>355</f>
        <v>355</v>
      </c>
      <c r="BH355" s="20">
        <f>H355*AO355</f>
        <v>0</v>
      </c>
      <c r="BI355" s="20">
        <f>H355*AP355</f>
        <v>0</v>
      </c>
      <c r="BJ355" s="20">
        <f>H355*I355</f>
        <v>0</v>
      </c>
      <c r="BK355" s="20" t="s">
        <v>2978</v>
      </c>
      <c r="BL355" s="36">
        <v>722</v>
      </c>
    </row>
    <row r="356" spans="1:64" ht="38.450000000000003" customHeight="1" x14ac:dyDescent="0.2">
      <c r="A356" s="5"/>
      <c r="B356" s="14"/>
      <c r="C356" s="179" t="s">
        <v>2191</v>
      </c>
      <c r="D356" s="180"/>
      <c r="E356" s="180"/>
      <c r="F356" s="180"/>
      <c r="G356" s="180"/>
      <c r="H356" s="180"/>
      <c r="I356" s="180"/>
      <c r="J356" s="180"/>
      <c r="K356" s="180"/>
      <c r="L356" s="180"/>
      <c r="M356" s="181"/>
      <c r="N356" s="5"/>
    </row>
    <row r="357" spans="1:64" x14ac:dyDescent="0.2">
      <c r="A357" s="4" t="s">
        <v>277</v>
      </c>
      <c r="B357" s="13" t="s">
        <v>1206</v>
      </c>
      <c r="C357" s="174" t="s">
        <v>2192</v>
      </c>
      <c r="D357" s="175"/>
      <c r="E357" s="175"/>
      <c r="F357" s="175"/>
      <c r="G357" s="13" t="s">
        <v>2860</v>
      </c>
      <c r="H357" s="82">
        <v>1</v>
      </c>
      <c r="I357" s="109">
        <v>0</v>
      </c>
      <c r="J357" s="20">
        <f t="shared" ref="J357:J368" si="272">H357*AO357</f>
        <v>0</v>
      </c>
      <c r="K357" s="20">
        <f t="shared" ref="K357:K368" si="273">H357*AP357</f>
        <v>0</v>
      </c>
      <c r="L357" s="20">
        <f t="shared" ref="L357:L368" si="274">H357*I357</f>
        <v>0</v>
      </c>
      <c r="M357" s="31" t="s">
        <v>2884</v>
      </c>
      <c r="N357" s="5"/>
      <c r="Z357" s="36">
        <f t="shared" ref="Z357:Z368" si="275">IF(AQ357="5",BJ357,0)</f>
        <v>0</v>
      </c>
      <c r="AB357" s="36">
        <f t="shared" ref="AB357:AB368" si="276">IF(AQ357="1",BH357,0)</f>
        <v>0</v>
      </c>
      <c r="AC357" s="36">
        <f t="shared" ref="AC357:AC368" si="277">IF(AQ357="1",BI357,0)</f>
        <v>0</v>
      </c>
      <c r="AD357" s="36">
        <f t="shared" ref="AD357:AD368" si="278">IF(AQ357="7",BH357,0)</f>
        <v>0</v>
      </c>
      <c r="AE357" s="36">
        <f t="shared" ref="AE357:AE368" si="279">IF(AQ357="7",BI357,0)</f>
        <v>0</v>
      </c>
      <c r="AF357" s="36">
        <f t="shared" ref="AF357:AF368" si="280">IF(AQ357="2",BH357,0)</f>
        <v>0</v>
      </c>
      <c r="AG357" s="36">
        <f t="shared" ref="AG357:AG368" si="281">IF(AQ357="2",BI357,0)</f>
        <v>0</v>
      </c>
      <c r="AH357" s="36">
        <f t="shared" ref="AH357:AH368" si="282">IF(AQ357="0",BJ357,0)</f>
        <v>0</v>
      </c>
      <c r="AI357" s="35" t="s">
        <v>2894</v>
      </c>
      <c r="AJ357" s="20">
        <f t="shared" ref="AJ357:AJ368" si="283">IF(AN357=0,L357,0)</f>
        <v>0</v>
      </c>
      <c r="AK357" s="20">
        <f t="shared" ref="AK357:AK368" si="284">IF(AN357=15,L357,0)</f>
        <v>0</v>
      </c>
      <c r="AL357" s="20">
        <f t="shared" ref="AL357:AL368" si="285">IF(AN357=21,L357,0)</f>
        <v>0</v>
      </c>
      <c r="AN357" s="36">
        <v>21</v>
      </c>
      <c r="AO357" s="36">
        <f t="shared" ref="AO357:AO368" si="286">I357*0.53</f>
        <v>0</v>
      </c>
      <c r="AP357" s="36">
        <f t="shared" ref="AP357:AP368" si="287">I357*(1-0.53)</f>
        <v>0</v>
      </c>
      <c r="AQ357" s="37" t="s">
        <v>13</v>
      </c>
      <c r="AV357" s="36">
        <f t="shared" ref="AV357:AV368" si="288">AW357+AX357</f>
        <v>0</v>
      </c>
      <c r="AW357" s="36">
        <f t="shared" ref="AW357:AW368" si="289">H357*AO357</f>
        <v>0</v>
      </c>
      <c r="AX357" s="36">
        <f t="shared" ref="AX357:AX368" si="290">H357*AP357</f>
        <v>0</v>
      </c>
      <c r="AY357" s="39" t="s">
        <v>2928</v>
      </c>
      <c r="AZ357" s="39" t="s">
        <v>2954</v>
      </c>
      <c r="BA357" s="35" t="s">
        <v>2967</v>
      </c>
      <c r="BC357" s="36">
        <f t="shared" ref="BC357:BC368" si="291">AW357+AX357</f>
        <v>0</v>
      </c>
      <c r="BD357" s="36">
        <f t="shared" ref="BD357:BD368" si="292">I357/(100-BE357)*100</f>
        <v>0</v>
      </c>
      <c r="BE357" s="36">
        <v>0</v>
      </c>
      <c r="BF357" s="36">
        <f>357</f>
        <v>357</v>
      </c>
      <c r="BH357" s="20">
        <f t="shared" ref="BH357:BH368" si="293">H357*AO357</f>
        <v>0</v>
      </c>
      <c r="BI357" s="20">
        <f t="shared" ref="BI357:BI368" si="294">H357*AP357</f>
        <v>0</v>
      </c>
      <c r="BJ357" s="20">
        <f t="shared" ref="BJ357:BJ368" si="295">H357*I357</f>
        <v>0</v>
      </c>
      <c r="BK357" s="20" t="s">
        <v>2978</v>
      </c>
      <c r="BL357" s="36">
        <v>722</v>
      </c>
    </row>
    <row r="358" spans="1:64" x14ac:dyDescent="0.2">
      <c r="A358" s="4" t="s">
        <v>278</v>
      </c>
      <c r="B358" s="13" t="s">
        <v>1207</v>
      </c>
      <c r="C358" s="174" t="s">
        <v>2193</v>
      </c>
      <c r="D358" s="175"/>
      <c r="E358" s="175"/>
      <c r="F358" s="175"/>
      <c r="G358" s="13" t="s">
        <v>2860</v>
      </c>
      <c r="H358" s="82">
        <v>1</v>
      </c>
      <c r="I358" s="109">
        <v>0</v>
      </c>
      <c r="J358" s="20">
        <f t="shared" si="272"/>
        <v>0</v>
      </c>
      <c r="K358" s="20">
        <f t="shared" si="273"/>
        <v>0</v>
      </c>
      <c r="L358" s="20">
        <f t="shared" si="274"/>
        <v>0</v>
      </c>
      <c r="M358" s="31" t="s">
        <v>2884</v>
      </c>
      <c r="N358" s="5"/>
      <c r="Z358" s="36">
        <f t="shared" si="275"/>
        <v>0</v>
      </c>
      <c r="AB358" s="36">
        <f t="shared" si="276"/>
        <v>0</v>
      </c>
      <c r="AC358" s="36">
        <f t="shared" si="277"/>
        <v>0</v>
      </c>
      <c r="AD358" s="36">
        <f t="shared" si="278"/>
        <v>0</v>
      </c>
      <c r="AE358" s="36">
        <f t="shared" si="279"/>
        <v>0</v>
      </c>
      <c r="AF358" s="36">
        <f t="shared" si="280"/>
        <v>0</v>
      </c>
      <c r="AG358" s="36">
        <f t="shared" si="281"/>
        <v>0</v>
      </c>
      <c r="AH358" s="36">
        <f t="shared" si="282"/>
        <v>0</v>
      </c>
      <c r="AI358" s="35" t="s">
        <v>2894</v>
      </c>
      <c r="AJ358" s="20">
        <f t="shared" si="283"/>
        <v>0</v>
      </c>
      <c r="AK358" s="20">
        <f t="shared" si="284"/>
        <v>0</v>
      </c>
      <c r="AL358" s="20">
        <f t="shared" si="285"/>
        <v>0</v>
      </c>
      <c r="AN358" s="36">
        <v>21</v>
      </c>
      <c r="AO358" s="36">
        <f t="shared" si="286"/>
        <v>0</v>
      </c>
      <c r="AP358" s="36">
        <f t="shared" si="287"/>
        <v>0</v>
      </c>
      <c r="AQ358" s="37" t="s">
        <v>13</v>
      </c>
      <c r="AV358" s="36">
        <f t="shared" si="288"/>
        <v>0</v>
      </c>
      <c r="AW358" s="36">
        <f t="shared" si="289"/>
        <v>0</v>
      </c>
      <c r="AX358" s="36">
        <f t="shared" si="290"/>
        <v>0</v>
      </c>
      <c r="AY358" s="39" t="s">
        <v>2928</v>
      </c>
      <c r="AZ358" s="39" t="s">
        <v>2954</v>
      </c>
      <c r="BA358" s="35" t="s">
        <v>2967</v>
      </c>
      <c r="BC358" s="36">
        <f t="shared" si="291"/>
        <v>0</v>
      </c>
      <c r="BD358" s="36">
        <f t="shared" si="292"/>
        <v>0</v>
      </c>
      <c r="BE358" s="36">
        <v>0</v>
      </c>
      <c r="BF358" s="36">
        <f>358</f>
        <v>358</v>
      </c>
      <c r="BH358" s="20">
        <f t="shared" si="293"/>
        <v>0</v>
      </c>
      <c r="BI358" s="20">
        <f t="shared" si="294"/>
        <v>0</v>
      </c>
      <c r="BJ358" s="20">
        <f t="shared" si="295"/>
        <v>0</v>
      </c>
      <c r="BK358" s="20" t="s">
        <v>2978</v>
      </c>
      <c r="BL358" s="36">
        <v>722</v>
      </c>
    </row>
    <row r="359" spans="1:64" x14ac:dyDescent="0.2">
      <c r="A359" s="4" t="s">
        <v>279</v>
      </c>
      <c r="B359" s="13" t="s">
        <v>1208</v>
      </c>
      <c r="C359" s="174" t="s">
        <v>2194</v>
      </c>
      <c r="D359" s="175"/>
      <c r="E359" s="175"/>
      <c r="F359" s="175"/>
      <c r="G359" s="13" t="s">
        <v>2860</v>
      </c>
      <c r="H359" s="82">
        <v>1</v>
      </c>
      <c r="I359" s="109">
        <v>0</v>
      </c>
      <c r="J359" s="20">
        <f t="shared" si="272"/>
        <v>0</v>
      </c>
      <c r="K359" s="20">
        <f t="shared" si="273"/>
        <v>0</v>
      </c>
      <c r="L359" s="20">
        <f t="shared" si="274"/>
        <v>0</v>
      </c>
      <c r="M359" s="31" t="s">
        <v>2884</v>
      </c>
      <c r="N359" s="5"/>
      <c r="Z359" s="36">
        <f t="shared" si="275"/>
        <v>0</v>
      </c>
      <c r="AB359" s="36">
        <f t="shared" si="276"/>
        <v>0</v>
      </c>
      <c r="AC359" s="36">
        <f t="shared" si="277"/>
        <v>0</v>
      </c>
      <c r="AD359" s="36">
        <f t="shared" si="278"/>
        <v>0</v>
      </c>
      <c r="AE359" s="36">
        <f t="shared" si="279"/>
        <v>0</v>
      </c>
      <c r="AF359" s="36">
        <f t="shared" si="280"/>
        <v>0</v>
      </c>
      <c r="AG359" s="36">
        <f t="shared" si="281"/>
        <v>0</v>
      </c>
      <c r="AH359" s="36">
        <f t="shared" si="282"/>
        <v>0</v>
      </c>
      <c r="AI359" s="35" t="s">
        <v>2894</v>
      </c>
      <c r="AJ359" s="20">
        <f t="shared" si="283"/>
        <v>0</v>
      </c>
      <c r="AK359" s="20">
        <f t="shared" si="284"/>
        <v>0</v>
      </c>
      <c r="AL359" s="20">
        <f t="shared" si="285"/>
        <v>0</v>
      </c>
      <c r="AN359" s="36">
        <v>21</v>
      </c>
      <c r="AO359" s="36">
        <f t="shared" si="286"/>
        <v>0</v>
      </c>
      <c r="AP359" s="36">
        <f t="shared" si="287"/>
        <v>0</v>
      </c>
      <c r="AQ359" s="37" t="s">
        <v>13</v>
      </c>
      <c r="AV359" s="36">
        <f t="shared" si="288"/>
        <v>0</v>
      </c>
      <c r="AW359" s="36">
        <f t="shared" si="289"/>
        <v>0</v>
      </c>
      <c r="AX359" s="36">
        <f t="shared" si="290"/>
        <v>0</v>
      </c>
      <c r="AY359" s="39" t="s">
        <v>2928</v>
      </c>
      <c r="AZ359" s="39" t="s">
        <v>2954</v>
      </c>
      <c r="BA359" s="35" t="s">
        <v>2967</v>
      </c>
      <c r="BC359" s="36">
        <f t="shared" si="291"/>
        <v>0</v>
      </c>
      <c r="BD359" s="36">
        <f t="shared" si="292"/>
        <v>0</v>
      </c>
      <c r="BE359" s="36">
        <v>0</v>
      </c>
      <c r="BF359" s="36">
        <f>359</f>
        <v>359</v>
      </c>
      <c r="BH359" s="20">
        <f t="shared" si="293"/>
        <v>0</v>
      </c>
      <c r="BI359" s="20">
        <f t="shared" si="294"/>
        <v>0</v>
      </c>
      <c r="BJ359" s="20">
        <f t="shared" si="295"/>
        <v>0</v>
      </c>
      <c r="BK359" s="20" t="s">
        <v>2978</v>
      </c>
      <c r="BL359" s="36">
        <v>722</v>
      </c>
    </row>
    <row r="360" spans="1:64" x14ac:dyDescent="0.2">
      <c r="A360" s="4" t="s">
        <v>280</v>
      </c>
      <c r="B360" s="13" t="s">
        <v>1209</v>
      </c>
      <c r="C360" s="174" t="s">
        <v>2195</v>
      </c>
      <c r="D360" s="175"/>
      <c r="E360" s="175"/>
      <c r="F360" s="175"/>
      <c r="G360" s="13" t="s">
        <v>2860</v>
      </c>
      <c r="H360" s="82">
        <v>1</v>
      </c>
      <c r="I360" s="109">
        <v>0</v>
      </c>
      <c r="J360" s="20">
        <f t="shared" si="272"/>
        <v>0</v>
      </c>
      <c r="K360" s="20">
        <f t="shared" si="273"/>
        <v>0</v>
      </c>
      <c r="L360" s="20">
        <f t="shared" si="274"/>
        <v>0</v>
      </c>
      <c r="M360" s="31" t="s">
        <v>2884</v>
      </c>
      <c r="N360" s="5"/>
      <c r="Z360" s="36">
        <f t="shared" si="275"/>
        <v>0</v>
      </c>
      <c r="AB360" s="36">
        <f t="shared" si="276"/>
        <v>0</v>
      </c>
      <c r="AC360" s="36">
        <f t="shared" si="277"/>
        <v>0</v>
      </c>
      <c r="AD360" s="36">
        <f t="shared" si="278"/>
        <v>0</v>
      </c>
      <c r="AE360" s="36">
        <f t="shared" si="279"/>
        <v>0</v>
      </c>
      <c r="AF360" s="36">
        <f t="shared" si="280"/>
        <v>0</v>
      </c>
      <c r="AG360" s="36">
        <f t="shared" si="281"/>
        <v>0</v>
      </c>
      <c r="AH360" s="36">
        <f t="shared" si="282"/>
        <v>0</v>
      </c>
      <c r="AI360" s="35" t="s">
        <v>2894</v>
      </c>
      <c r="AJ360" s="20">
        <f t="shared" si="283"/>
        <v>0</v>
      </c>
      <c r="AK360" s="20">
        <f t="shared" si="284"/>
        <v>0</v>
      </c>
      <c r="AL360" s="20">
        <f t="shared" si="285"/>
        <v>0</v>
      </c>
      <c r="AN360" s="36">
        <v>21</v>
      </c>
      <c r="AO360" s="36">
        <f t="shared" si="286"/>
        <v>0</v>
      </c>
      <c r="AP360" s="36">
        <f t="shared" si="287"/>
        <v>0</v>
      </c>
      <c r="AQ360" s="37" t="s">
        <v>13</v>
      </c>
      <c r="AV360" s="36">
        <f t="shared" si="288"/>
        <v>0</v>
      </c>
      <c r="AW360" s="36">
        <f t="shared" si="289"/>
        <v>0</v>
      </c>
      <c r="AX360" s="36">
        <f t="shared" si="290"/>
        <v>0</v>
      </c>
      <c r="AY360" s="39" t="s">
        <v>2928</v>
      </c>
      <c r="AZ360" s="39" t="s">
        <v>2954</v>
      </c>
      <c r="BA360" s="35" t="s">
        <v>2967</v>
      </c>
      <c r="BC360" s="36">
        <f t="shared" si="291"/>
        <v>0</v>
      </c>
      <c r="BD360" s="36">
        <f t="shared" si="292"/>
        <v>0</v>
      </c>
      <c r="BE360" s="36">
        <v>0</v>
      </c>
      <c r="BF360" s="36">
        <f>360</f>
        <v>360</v>
      </c>
      <c r="BH360" s="20">
        <f t="shared" si="293"/>
        <v>0</v>
      </c>
      <c r="BI360" s="20">
        <f t="shared" si="294"/>
        <v>0</v>
      </c>
      <c r="BJ360" s="20">
        <f t="shared" si="295"/>
        <v>0</v>
      </c>
      <c r="BK360" s="20" t="s">
        <v>2978</v>
      </c>
      <c r="BL360" s="36">
        <v>722</v>
      </c>
    </row>
    <row r="361" spans="1:64" x14ac:dyDescent="0.2">
      <c r="A361" s="4" t="s">
        <v>281</v>
      </c>
      <c r="B361" s="13" t="s">
        <v>1210</v>
      </c>
      <c r="C361" s="174" t="s">
        <v>2196</v>
      </c>
      <c r="D361" s="175"/>
      <c r="E361" s="175"/>
      <c r="F361" s="175"/>
      <c r="G361" s="13" t="s">
        <v>2860</v>
      </c>
      <c r="H361" s="82">
        <v>2</v>
      </c>
      <c r="I361" s="109">
        <v>0</v>
      </c>
      <c r="J361" s="20">
        <f t="shared" si="272"/>
        <v>0</v>
      </c>
      <c r="K361" s="20">
        <f t="shared" si="273"/>
        <v>0</v>
      </c>
      <c r="L361" s="20">
        <f t="shared" si="274"/>
        <v>0</v>
      </c>
      <c r="M361" s="31" t="s">
        <v>2884</v>
      </c>
      <c r="N361" s="5"/>
      <c r="Z361" s="36">
        <f t="shared" si="275"/>
        <v>0</v>
      </c>
      <c r="AB361" s="36">
        <f t="shared" si="276"/>
        <v>0</v>
      </c>
      <c r="AC361" s="36">
        <f t="shared" si="277"/>
        <v>0</v>
      </c>
      <c r="AD361" s="36">
        <f t="shared" si="278"/>
        <v>0</v>
      </c>
      <c r="AE361" s="36">
        <f t="shared" si="279"/>
        <v>0</v>
      </c>
      <c r="AF361" s="36">
        <f t="shared" si="280"/>
        <v>0</v>
      </c>
      <c r="AG361" s="36">
        <f t="shared" si="281"/>
        <v>0</v>
      </c>
      <c r="AH361" s="36">
        <f t="shared" si="282"/>
        <v>0</v>
      </c>
      <c r="AI361" s="35" t="s">
        <v>2894</v>
      </c>
      <c r="AJ361" s="20">
        <f t="shared" si="283"/>
        <v>0</v>
      </c>
      <c r="AK361" s="20">
        <f t="shared" si="284"/>
        <v>0</v>
      </c>
      <c r="AL361" s="20">
        <f t="shared" si="285"/>
        <v>0</v>
      </c>
      <c r="AN361" s="36">
        <v>21</v>
      </c>
      <c r="AO361" s="36">
        <f t="shared" si="286"/>
        <v>0</v>
      </c>
      <c r="AP361" s="36">
        <f t="shared" si="287"/>
        <v>0</v>
      </c>
      <c r="AQ361" s="37" t="s">
        <v>13</v>
      </c>
      <c r="AV361" s="36">
        <f t="shared" si="288"/>
        <v>0</v>
      </c>
      <c r="AW361" s="36">
        <f t="shared" si="289"/>
        <v>0</v>
      </c>
      <c r="AX361" s="36">
        <f t="shared" si="290"/>
        <v>0</v>
      </c>
      <c r="AY361" s="39" t="s">
        <v>2928</v>
      </c>
      <c r="AZ361" s="39" t="s">
        <v>2954</v>
      </c>
      <c r="BA361" s="35" t="s">
        <v>2967</v>
      </c>
      <c r="BC361" s="36">
        <f t="shared" si="291"/>
        <v>0</v>
      </c>
      <c r="BD361" s="36">
        <f t="shared" si="292"/>
        <v>0</v>
      </c>
      <c r="BE361" s="36">
        <v>0</v>
      </c>
      <c r="BF361" s="36">
        <f>361</f>
        <v>361</v>
      </c>
      <c r="BH361" s="20">
        <f t="shared" si="293"/>
        <v>0</v>
      </c>
      <c r="BI361" s="20">
        <f t="shared" si="294"/>
        <v>0</v>
      </c>
      <c r="BJ361" s="20">
        <f t="shared" si="295"/>
        <v>0</v>
      </c>
      <c r="BK361" s="20" t="s">
        <v>2978</v>
      </c>
      <c r="BL361" s="36">
        <v>722</v>
      </c>
    </row>
    <row r="362" spans="1:64" x14ac:dyDescent="0.2">
      <c r="A362" s="4" t="s">
        <v>282</v>
      </c>
      <c r="B362" s="13" t="s">
        <v>1211</v>
      </c>
      <c r="C362" s="174" t="s">
        <v>2197</v>
      </c>
      <c r="D362" s="175"/>
      <c r="E362" s="175"/>
      <c r="F362" s="175"/>
      <c r="G362" s="13" t="s">
        <v>2860</v>
      </c>
      <c r="H362" s="82">
        <v>1</v>
      </c>
      <c r="I362" s="109">
        <v>0</v>
      </c>
      <c r="J362" s="20">
        <f t="shared" si="272"/>
        <v>0</v>
      </c>
      <c r="K362" s="20">
        <f t="shared" si="273"/>
        <v>0</v>
      </c>
      <c r="L362" s="20">
        <f t="shared" si="274"/>
        <v>0</v>
      </c>
      <c r="M362" s="31" t="s">
        <v>2884</v>
      </c>
      <c r="N362" s="5"/>
      <c r="Z362" s="36">
        <f t="shared" si="275"/>
        <v>0</v>
      </c>
      <c r="AB362" s="36">
        <f t="shared" si="276"/>
        <v>0</v>
      </c>
      <c r="AC362" s="36">
        <f t="shared" si="277"/>
        <v>0</v>
      </c>
      <c r="AD362" s="36">
        <f t="shared" si="278"/>
        <v>0</v>
      </c>
      <c r="AE362" s="36">
        <f t="shared" si="279"/>
        <v>0</v>
      </c>
      <c r="AF362" s="36">
        <f t="shared" si="280"/>
        <v>0</v>
      </c>
      <c r="AG362" s="36">
        <f t="shared" si="281"/>
        <v>0</v>
      </c>
      <c r="AH362" s="36">
        <f t="shared" si="282"/>
        <v>0</v>
      </c>
      <c r="AI362" s="35" t="s">
        <v>2894</v>
      </c>
      <c r="AJ362" s="20">
        <f t="shared" si="283"/>
        <v>0</v>
      </c>
      <c r="AK362" s="20">
        <f t="shared" si="284"/>
        <v>0</v>
      </c>
      <c r="AL362" s="20">
        <f t="shared" si="285"/>
        <v>0</v>
      </c>
      <c r="AN362" s="36">
        <v>21</v>
      </c>
      <c r="AO362" s="36">
        <f t="shared" si="286"/>
        <v>0</v>
      </c>
      <c r="AP362" s="36">
        <f t="shared" si="287"/>
        <v>0</v>
      </c>
      <c r="AQ362" s="37" t="s">
        <v>13</v>
      </c>
      <c r="AV362" s="36">
        <f t="shared" si="288"/>
        <v>0</v>
      </c>
      <c r="AW362" s="36">
        <f t="shared" si="289"/>
        <v>0</v>
      </c>
      <c r="AX362" s="36">
        <f t="shared" si="290"/>
        <v>0</v>
      </c>
      <c r="AY362" s="39" t="s">
        <v>2928</v>
      </c>
      <c r="AZ362" s="39" t="s">
        <v>2954</v>
      </c>
      <c r="BA362" s="35" t="s">
        <v>2967</v>
      </c>
      <c r="BC362" s="36">
        <f t="shared" si="291"/>
        <v>0</v>
      </c>
      <c r="BD362" s="36">
        <f t="shared" si="292"/>
        <v>0</v>
      </c>
      <c r="BE362" s="36">
        <v>0</v>
      </c>
      <c r="BF362" s="36">
        <f>362</f>
        <v>362</v>
      </c>
      <c r="BH362" s="20">
        <f t="shared" si="293"/>
        <v>0</v>
      </c>
      <c r="BI362" s="20">
        <f t="shared" si="294"/>
        <v>0</v>
      </c>
      <c r="BJ362" s="20">
        <f t="shared" si="295"/>
        <v>0</v>
      </c>
      <c r="BK362" s="20" t="s">
        <v>2978</v>
      </c>
      <c r="BL362" s="36">
        <v>722</v>
      </c>
    </row>
    <row r="363" spans="1:64" x14ac:dyDescent="0.2">
      <c r="A363" s="4" t="s">
        <v>283</v>
      </c>
      <c r="B363" s="13" t="s">
        <v>1212</v>
      </c>
      <c r="C363" s="174" t="s">
        <v>2198</v>
      </c>
      <c r="D363" s="175"/>
      <c r="E363" s="175"/>
      <c r="F363" s="175"/>
      <c r="G363" s="13" t="s">
        <v>2860</v>
      </c>
      <c r="H363" s="82">
        <v>1</v>
      </c>
      <c r="I363" s="109">
        <v>0</v>
      </c>
      <c r="J363" s="20">
        <f t="shared" si="272"/>
        <v>0</v>
      </c>
      <c r="K363" s="20">
        <f t="shared" si="273"/>
        <v>0</v>
      </c>
      <c r="L363" s="20">
        <f t="shared" si="274"/>
        <v>0</v>
      </c>
      <c r="M363" s="31" t="s">
        <v>2884</v>
      </c>
      <c r="N363" s="5"/>
      <c r="Z363" s="36">
        <f t="shared" si="275"/>
        <v>0</v>
      </c>
      <c r="AB363" s="36">
        <f t="shared" si="276"/>
        <v>0</v>
      </c>
      <c r="AC363" s="36">
        <f t="shared" si="277"/>
        <v>0</v>
      </c>
      <c r="AD363" s="36">
        <f t="shared" si="278"/>
        <v>0</v>
      </c>
      <c r="AE363" s="36">
        <f t="shared" si="279"/>
        <v>0</v>
      </c>
      <c r="AF363" s="36">
        <f t="shared" si="280"/>
        <v>0</v>
      </c>
      <c r="AG363" s="36">
        <f t="shared" si="281"/>
        <v>0</v>
      </c>
      <c r="AH363" s="36">
        <f t="shared" si="282"/>
        <v>0</v>
      </c>
      <c r="AI363" s="35" t="s">
        <v>2894</v>
      </c>
      <c r="AJ363" s="20">
        <f t="shared" si="283"/>
        <v>0</v>
      </c>
      <c r="AK363" s="20">
        <f t="shared" si="284"/>
        <v>0</v>
      </c>
      <c r="AL363" s="20">
        <f t="shared" si="285"/>
        <v>0</v>
      </c>
      <c r="AN363" s="36">
        <v>21</v>
      </c>
      <c r="AO363" s="36">
        <f t="shared" si="286"/>
        <v>0</v>
      </c>
      <c r="AP363" s="36">
        <f t="shared" si="287"/>
        <v>0</v>
      </c>
      <c r="AQ363" s="37" t="s">
        <v>13</v>
      </c>
      <c r="AV363" s="36">
        <f t="shared" si="288"/>
        <v>0</v>
      </c>
      <c r="AW363" s="36">
        <f t="shared" si="289"/>
        <v>0</v>
      </c>
      <c r="AX363" s="36">
        <f t="shared" si="290"/>
        <v>0</v>
      </c>
      <c r="AY363" s="39" t="s">
        <v>2928</v>
      </c>
      <c r="AZ363" s="39" t="s">
        <v>2954</v>
      </c>
      <c r="BA363" s="35" t="s">
        <v>2967</v>
      </c>
      <c r="BC363" s="36">
        <f t="shared" si="291"/>
        <v>0</v>
      </c>
      <c r="BD363" s="36">
        <f t="shared" si="292"/>
        <v>0</v>
      </c>
      <c r="BE363" s="36">
        <v>0</v>
      </c>
      <c r="BF363" s="36">
        <f>363</f>
        <v>363</v>
      </c>
      <c r="BH363" s="20">
        <f t="shared" si="293"/>
        <v>0</v>
      </c>
      <c r="BI363" s="20">
        <f t="shared" si="294"/>
        <v>0</v>
      </c>
      <c r="BJ363" s="20">
        <f t="shared" si="295"/>
        <v>0</v>
      </c>
      <c r="BK363" s="20" t="s">
        <v>2978</v>
      </c>
      <c r="BL363" s="36">
        <v>722</v>
      </c>
    </row>
    <row r="364" spans="1:64" x14ac:dyDescent="0.2">
      <c r="A364" s="4" t="s">
        <v>284</v>
      </c>
      <c r="B364" s="13" t="s">
        <v>1213</v>
      </c>
      <c r="C364" s="174" t="s">
        <v>2199</v>
      </c>
      <c r="D364" s="175"/>
      <c r="E364" s="175"/>
      <c r="F364" s="175"/>
      <c r="G364" s="13" t="s">
        <v>2860</v>
      </c>
      <c r="H364" s="82">
        <v>1</v>
      </c>
      <c r="I364" s="109">
        <v>0</v>
      </c>
      <c r="J364" s="20">
        <f t="shared" si="272"/>
        <v>0</v>
      </c>
      <c r="K364" s="20">
        <f t="shared" si="273"/>
        <v>0</v>
      </c>
      <c r="L364" s="20">
        <f t="shared" si="274"/>
        <v>0</v>
      </c>
      <c r="M364" s="31" t="s">
        <v>2884</v>
      </c>
      <c r="N364" s="5"/>
      <c r="Z364" s="36">
        <f t="shared" si="275"/>
        <v>0</v>
      </c>
      <c r="AB364" s="36">
        <f t="shared" si="276"/>
        <v>0</v>
      </c>
      <c r="AC364" s="36">
        <f t="shared" si="277"/>
        <v>0</v>
      </c>
      <c r="AD364" s="36">
        <f t="shared" si="278"/>
        <v>0</v>
      </c>
      <c r="AE364" s="36">
        <f t="shared" si="279"/>
        <v>0</v>
      </c>
      <c r="AF364" s="36">
        <f t="shared" si="280"/>
        <v>0</v>
      </c>
      <c r="AG364" s="36">
        <f t="shared" si="281"/>
        <v>0</v>
      </c>
      <c r="AH364" s="36">
        <f t="shared" si="282"/>
        <v>0</v>
      </c>
      <c r="AI364" s="35" t="s">
        <v>2894</v>
      </c>
      <c r="AJ364" s="20">
        <f t="shared" si="283"/>
        <v>0</v>
      </c>
      <c r="AK364" s="20">
        <f t="shared" si="284"/>
        <v>0</v>
      </c>
      <c r="AL364" s="20">
        <f t="shared" si="285"/>
        <v>0</v>
      </c>
      <c r="AN364" s="36">
        <v>21</v>
      </c>
      <c r="AO364" s="36">
        <f t="shared" si="286"/>
        <v>0</v>
      </c>
      <c r="AP364" s="36">
        <f t="shared" si="287"/>
        <v>0</v>
      </c>
      <c r="AQ364" s="37" t="s">
        <v>13</v>
      </c>
      <c r="AV364" s="36">
        <f t="shared" si="288"/>
        <v>0</v>
      </c>
      <c r="AW364" s="36">
        <f t="shared" si="289"/>
        <v>0</v>
      </c>
      <c r="AX364" s="36">
        <f t="shared" si="290"/>
        <v>0</v>
      </c>
      <c r="AY364" s="39" t="s">
        <v>2928</v>
      </c>
      <c r="AZ364" s="39" t="s">
        <v>2954</v>
      </c>
      <c r="BA364" s="35" t="s">
        <v>2967</v>
      </c>
      <c r="BC364" s="36">
        <f t="shared" si="291"/>
        <v>0</v>
      </c>
      <c r="BD364" s="36">
        <f t="shared" si="292"/>
        <v>0</v>
      </c>
      <c r="BE364" s="36">
        <v>0</v>
      </c>
      <c r="BF364" s="36">
        <f>364</f>
        <v>364</v>
      </c>
      <c r="BH364" s="20">
        <f t="shared" si="293"/>
        <v>0</v>
      </c>
      <c r="BI364" s="20">
        <f t="shared" si="294"/>
        <v>0</v>
      </c>
      <c r="BJ364" s="20">
        <f t="shared" si="295"/>
        <v>0</v>
      </c>
      <c r="BK364" s="20" t="s">
        <v>2978</v>
      </c>
      <c r="BL364" s="36">
        <v>722</v>
      </c>
    </row>
    <row r="365" spans="1:64" x14ac:dyDescent="0.2">
      <c r="A365" s="4" t="s">
        <v>285</v>
      </c>
      <c r="B365" s="13" t="s">
        <v>1214</v>
      </c>
      <c r="C365" s="174" t="s">
        <v>2200</v>
      </c>
      <c r="D365" s="175"/>
      <c r="E365" s="175"/>
      <c r="F365" s="175"/>
      <c r="G365" s="13" t="s">
        <v>2860</v>
      </c>
      <c r="H365" s="82">
        <v>5</v>
      </c>
      <c r="I365" s="109">
        <v>0</v>
      </c>
      <c r="J365" s="20">
        <f t="shared" si="272"/>
        <v>0</v>
      </c>
      <c r="K365" s="20">
        <f t="shared" si="273"/>
        <v>0</v>
      </c>
      <c r="L365" s="20">
        <f t="shared" si="274"/>
        <v>0</v>
      </c>
      <c r="M365" s="31" t="s">
        <v>2884</v>
      </c>
      <c r="N365" s="5"/>
      <c r="Z365" s="36">
        <f t="shared" si="275"/>
        <v>0</v>
      </c>
      <c r="AB365" s="36">
        <f t="shared" si="276"/>
        <v>0</v>
      </c>
      <c r="AC365" s="36">
        <f t="shared" si="277"/>
        <v>0</v>
      </c>
      <c r="AD365" s="36">
        <f t="shared" si="278"/>
        <v>0</v>
      </c>
      <c r="AE365" s="36">
        <f t="shared" si="279"/>
        <v>0</v>
      </c>
      <c r="AF365" s="36">
        <f t="shared" si="280"/>
        <v>0</v>
      </c>
      <c r="AG365" s="36">
        <f t="shared" si="281"/>
        <v>0</v>
      </c>
      <c r="AH365" s="36">
        <f t="shared" si="282"/>
        <v>0</v>
      </c>
      <c r="AI365" s="35" t="s">
        <v>2894</v>
      </c>
      <c r="AJ365" s="20">
        <f t="shared" si="283"/>
        <v>0</v>
      </c>
      <c r="AK365" s="20">
        <f t="shared" si="284"/>
        <v>0</v>
      </c>
      <c r="AL365" s="20">
        <f t="shared" si="285"/>
        <v>0</v>
      </c>
      <c r="AN365" s="36">
        <v>21</v>
      </c>
      <c r="AO365" s="36">
        <f t="shared" si="286"/>
        <v>0</v>
      </c>
      <c r="AP365" s="36">
        <f t="shared" si="287"/>
        <v>0</v>
      </c>
      <c r="AQ365" s="37" t="s">
        <v>13</v>
      </c>
      <c r="AV365" s="36">
        <f t="shared" si="288"/>
        <v>0</v>
      </c>
      <c r="AW365" s="36">
        <f t="shared" si="289"/>
        <v>0</v>
      </c>
      <c r="AX365" s="36">
        <f t="shared" si="290"/>
        <v>0</v>
      </c>
      <c r="AY365" s="39" t="s">
        <v>2928</v>
      </c>
      <c r="AZ365" s="39" t="s">
        <v>2954</v>
      </c>
      <c r="BA365" s="35" t="s">
        <v>2967</v>
      </c>
      <c r="BC365" s="36">
        <f t="shared" si="291"/>
        <v>0</v>
      </c>
      <c r="BD365" s="36">
        <f t="shared" si="292"/>
        <v>0</v>
      </c>
      <c r="BE365" s="36">
        <v>0</v>
      </c>
      <c r="BF365" s="36">
        <f>365</f>
        <v>365</v>
      </c>
      <c r="BH365" s="20">
        <f t="shared" si="293"/>
        <v>0</v>
      </c>
      <c r="BI365" s="20">
        <f t="shared" si="294"/>
        <v>0</v>
      </c>
      <c r="BJ365" s="20">
        <f t="shared" si="295"/>
        <v>0</v>
      </c>
      <c r="BK365" s="20" t="s">
        <v>2978</v>
      </c>
      <c r="BL365" s="36">
        <v>722</v>
      </c>
    </row>
    <row r="366" spans="1:64" x14ac:dyDescent="0.2">
      <c r="A366" s="4" t="s">
        <v>286</v>
      </c>
      <c r="B366" s="13" t="s">
        <v>1215</v>
      </c>
      <c r="C366" s="174" t="s">
        <v>2201</v>
      </c>
      <c r="D366" s="175"/>
      <c r="E366" s="175"/>
      <c r="F366" s="175"/>
      <c r="G366" s="13" t="s">
        <v>2860</v>
      </c>
      <c r="H366" s="82">
        <v>1</v>
      </c>
      <c r="I366" s="109">
        <v>0</v>
      </c>
      <c r="J366" s="20">
        <f t="shared" si="272"/>
        <v>0</v>
      </c>
      <c r="K366" s="20">
        <f t="shared" si="273"/>
        <v>0</v>
      </c>
      <c r="L366" s="20">
        <f t="shared" si="274"/>
        <v>0</v>
      </c>
      <c r="M366" s="31" t="s">
        <v>2884</v>
      </c>
      <c r="N366" s="5"/>
      <c r="Z366" s="36">
        <f t="shared" si="275"/>
        <v>0</v>
      </c>
      <c r="AB366" s="36">
        <f t="shared" si="276"/>
        <v>0</v>
      </c>
      <c r="AC366" s="36">
        <f t="shared" si="277"/>
        <v>0</v>
      </c>
      <c r="AD366" s="36">
        <f t="shared" si="278"/>
        <v>0</v>
      </c>
      <c r="AE366" s="36">
        <f t="shared" si="279"/>
        <v>0</v>
      </c>
      <c r="AF366" s="36">
        <f t="shared" si="280"/>
        <v>0</v>
      </c>
      <c r="AG366" s="36">
        <f t="shared" si="281"/>
        <v>0</v>
      </c>
      <c r="AH366" s="36">
        <f t="shared" si="282"/>
        <v>0</v>
      </c>
      <c r="AI366" s="35" t="s">
        <v>2894</v>
      </c>
      <c r="AJ366" s="20">
        <f t="shared" si="283"/>
        <v>0</v>
      </c>
      <c r="AK366" s="20">
        <f t="shared" si="284"/>
        <v>0</v>
      </c>
      <c r="AL366" s="20">
        <f t="shared" si="285"/>
        <v>0</v>
      </c>
      <c r="AN366" s="36">
        <v>21</v>
      </c>
      <c r="AO366" s="36">
        <f t="shared" si="286"/>
        <v>0</v>
      </c>
      <c r="AP366" s="36">
        <f t="shared" si="287"/>
        <v>0</v>
      </c>
      <c r="AQ366" s="37" t="s">
        <v>13</v>
      </c>
      <c r="AV366" s="36">
        <f t="shared" si="288"/>
        <v>0</v>
      </c>
      <c r="AW366" s="36">
        <f t="shared" si="289"/>
        <v>0</v>
      </c>
      <c r="AX366" s="36">
        <f t="shared" si="290"/>
        <v>0</v>
      </c>
      <c r="AY366" s="39" t="s">
        <v>2928</v>
      </c>
      <c r="AZ366" s="39" t="s">
        <v>2954</v>
      </c>
      <c r="BA366" s="35" t="s">
        <v>2967</v>
      </c>
      <c r="BC366" s="36">
        <f t="shared" si="291"/>
        <v>0</v>
      </c>
      <c r="BD366" s="36">
        <f t="shared" si="292"/>
        <v>0</v>
      </c>
      <c r="BE366" s="36">
        <v>0</v>
      </c>
      <c r="BF366" s="36">
        <f>366</f>
        <v>366</v>
      </c>
      <c r="BH366" s="20">
        <f t="shared" si="293"/>
        <v>0</v>
      </c>
      <c r="BI366" s="20">
        <f t="shared" si="294"/>
        <v>0</v>
      </c>
      <c r="BJ366" s="20">
        <f t="shared" si="295"/>
        <v>0</v>
      </c>
      <c r="BK366" s="20" t="s">
        <v>2978</v>
      </c>
      <c r="BL366" s="36">
        <v>722</v>
      </c>
    </row>
    <row r="367" spans="1:64" x14ac:dyDescent="0.2">
      <c r="A367" s="4" t="s">
        <v>287</v>
      </c>
      <c r="B367" s="13" t="s">
        <v>1216</v>
      </c>
      <c r="C367" s="174" t="s">
        <v>2202</v>
      </c>
      <c r="D367" s="175"/>
      <c r="E367" s="175"/>
      <c r="F367" s="175"/>
      <c r="G367" s="13" t="s">
        <v>2860</v>
      </c>
      <c r="H367" s="82">
        <v>1</v>
      </c>
      <c r="I367" s="109">
        <v>0</v>
      </c>
      <c r="J367" s="20">
        <f t="shared" si="272"/>
        <v>0</v>
      </c>
      <c r="K367" s="20">
        <f t="shared" si="273"/>
        <v>0</v>
      </c>
      <c r="L367" s="20">
        <f t="shared" si="274"/>
        <v>0</v>
      </c>
      <c r="M367" s="31" t="s">
        <v>2884</v>
      </c>
      <c r="N367" s="5"/>
      <c r="Z367" s="36">
        <f t="shared" si="275"/>
        <v>0</v>
      </c>
      <c r="AB367" s="36">
        <f t="shared" si="276"/>
        <v>0</v>
      </c>
      <c r="AC367" s="36">
        <f t="shared" si="277"/>
        <v>0</v>
      </c>
      <c r="AD367" s="36">
        <f t="shared" si="278"/>
        <v>0</v>
      </c>
      <c r="AE367" s="36">
        <f t="shared" si="279"/>
        <v>0</v>
      </c>
      <c r="AF367" s="36">
        <f t="shared" si="280"/>
        <v>0</v>
      </c>
      <c r="AG367" s="36">
        <f t="shared" si="281"/>
        <v>0</v>
      </c>
      <c r="AH367" s="36">
        <f t="shared" si="282"/>
        <v>0</v>
      </c>
      <c r="AI367" s="35" t="s">
        <v>2894</v>
      </c>
      <c r="AJ367" s="20">
        <f t="shared" si="283"/>
        <v>0</v>
      </c>
      <c r="AK367" s="20">
        <f t="shared" si="284"/>
        <v>0</v>
      </c>
      <c r="AL367" s="20">
        <f t="shared" si="285"/>
        <v>0</v>
      </c>
      <c r="AN367" s="36">
        <v>21</v>
      </c>
      <c r="AO367" s="36">
        <f t="shared" si="286"/>
        <v>0</v>
      </c>
      <c r="AP367" s="36">
        <f t="shared" si="287"/>
        <v>0</v>
      </c>
      <c r="AQ367" s="37" t="s">
        <v>13</v>
      </c>
      <c r="AV367" s="36">
        <f t="shared" si="288"/>
        <v>0</v>
      </c>
      <c r="AW367" s="36">
        <f t="shared" si="289"/>
        <v>0</v>
      </c>
      <c r="AX367" s="36">
        <f t="shared" si="290"/>
        <v>0</v>
      </c>
      <c r="AY367" s="39" t="s">
        <v>2928</v>
      </c>
      <c r="AZ367" s="39" t="s">
        <v>2954</v>
      </c>
      <c r="BA367" s="35" t="s">
        <v>2967</v>
      </c>
      <c r="BC367" s="36">
        <f t="shared" si="291"/>
        <v>0</v>
      </c>
      <c r="BD367" s="36">
        <f t="shared" si="292"/>
        <v>0</v>
      </c>
      <c r="BE367" s="36">
        <v>0</v>
      </c>
      <c r="BF367" s="36">
        <f>367</f>
        <v>367</v>
      </c>
      <c r="BH367" s="20">
        <f t="shared" si="293"/>
        <v>0</v>
      </c>
      <c r="BI367" s="20">
        <f t="shared" si="294"/>
        <v>0</v>
      </c>
      <c r="BJ367" s="20">
        <f t="shared" si="295"/>
        <v>0</v>
      </c>
      <c r="BK367" s="20" t="s">
        <v>2978</v>
      </c>
      <c r="BL367" s="36">
        <v>722</v>
      </c>
    </row>
    <row r="368" spans="1:64" x14ac:dyDescent="0.2">
      <c r="A368" s="4" t="s">
        <v>288</v>
      </c>
      <c r="B368" s="13" t="s">
        <v>1217</v>
      </c>
      <c r="C368" s="174" t="s">
        <v>2203</v>
      </c>
      <c r="D368" s="175"/>
      <c r="E368" s="175"/>
      <c r="F368" s="175"/>
      <c r="G368" s="13" t="s">
        <v>2860</v>
      </c>
      <c r="H368" s="82">
        <v>1</v>
      </c>
      <c r="I368" s="109">
        <v>0</v>
      </c>
      <c r="J368" s="20">
        <f t="shared" si="272"/>
        <v>0</v>
      </c>
      <c r="K368" s="20">
        <f t="shared" si="273"/>
        <v>0</v>
      </c>
      <c r="L368" s="20">
        <f t="shared" si="274"/>
        <v>0</v>
      </c>
      <c r="M368" s="31" t="s">
        <v>2884</v>
      </c>
      <c r="N368" s="5"/>
      <c r="Z368" s="36">
        <f t="shared" si="275"/>
        <v>0</v>
      </c>
      <c r="AB368" s="36">
        <f t="shared" si="276"/>
        <v>0</v>
      </c>
      <c r="AC368" s="36">
        <f t="shared" si="277"/>
        <v>0</v>
      </c>
      <c r="AD368" s="36">
        <f t="shared" si="278"/>
        <v>0</v>
      </c>
      <c r="AE368" s="36">
        <f t="shared" si="279"/>
        <v>0</v>
      </c>
      <c r="AF368" s="36">
        <f t="shared" si="280"/>
        <v>0</v>
      </c>
      <c r="AG368" s="36">
        <f t="shared" si="281"/>
        <v>0</v>
      </c>
      <c r="AH368" s="36">
        <f t="shared" si="282"/>
        <v>0</v>
      </c>
      <c r="AI368" s="35" t="s">
        <v>2894</v>
      </c>
      <c r="AJ368" s="20">
        <f t="shared" si="283"/>
        <v>0</v>
      </c>
      <c r="AK368" s="20">
        <f t="shared" si="284"/>
        <v>0</v>
      </c>
      <c r="AL368" s="20">
        <f t="shared" si="285"/>
        <v>0</v>
      </c>
      <c r="AN368" s="36">
        <v>21</v>
      </c>
      <c r="AO368" s="36">
        <f t="shared" si="286"/>
        <v>0</v>
      </c>
      <c r="AP368" s="36">
        <f t="shared" si="287"/>
        <v>0</v>
      </c>
      <c r="AQ368" s="37" t="s">
        <v>13</v>
      </c>
      <c r="AV368" s="36">
        <f t="shared" si="288"/>
        <v>0</v>
      </c>
      <c r="AW368" s="36">
        <f t="shared" si="289"/>
        <v>0</v>
      </c>
      <c r="AX368" s="36">
        <f t="shared" si="290"/>
        <v>0</v>
      </c>
      <c r="AY368" s="39" t="s">
        <v>2928</v>
      </c>
      <c r="AZ368" s="39" t="s">
        <v>2954</v>
      </c>
      <c r="BA368" s="35" t="s">
        <v>2967</v>
      </c>
      <c r="BC368" s="36">
        <f t="shared" si="291"/>
        <v>0</v>
      </c>
      <c r="BD368" s="36">
        <f t="shared" si="292"/>
        <v>0</v>
      </c>
      <c r="BE368" s="36">
        <v>0</v>
      </c>
      <c r="BF368" s="36">
        <f>368</f>
        <v>368</v>
      </c>
      <c r="BH368" s="20">
        <f t="shared" si="293"/>
        <v>0</v>
      </c>
      <c r="BI368" s="20">
        <f t="shared" si="294"/>
        <v>0</v>
      </c>
      <c r="BJ368" s="20">
        <f t="shared" si="295"/>
        <v>0</v>
      </c>
      <c r="BK368" s="20" t="s">
        <v>2978</v>
      </c>
      <c r="BL368" s="36">
        <v>722</v>
      </c>
    </row>
    <row r="369" spans="1:64" ht="25.7" customHeight="1" x14ac:dyDescent="0.2">
      <c r="A369" s="5"/>
      <c r="B369" s="14"/>
      <c r="C369" s="179" t="s">
        <v>2204</v>
      </c>
      <c r="D369" s="180"/>
      <c r="E369" s="180"/>
      <c r="F369" s="180"/>
      <c r="G369" s="180"/>
      <c r="H369" s="180"/>
      <c r="I369" s="180"/>
      <c r="J369" s="180"/>
      <c r="K369" s="180"/>
      <c r="L369" s="180"/>
      <c r="M369" s="181"/>
      <c r="N369" s="5"/>
    </row>
    <row r="370" spans="1:64" x14ac:dyDescent="0.2">
      <c r="A370" s="4" t="s">
        <v>289</v>
      </c>
      <c r="B370" s="13" t="s">
        <v>1218</v>
      </c>
      <c r="C370" s="174" t="s">
        <v>2205</v>
      </c>
      <c r="D370" s="175"/>
      <c r="E370" s="175"/>
      <c r="F370" s="175"/>
      <c r="G370" s="13" t="s">
        <v>2860</v>
      </c>
      <c r="H370" s="82">
        <v>1</v>
      </c>
      <c r="I370" s="109">
        <v>0</v>
      </c>
      <c r="J370" s="20">
        <f>H370*AO370</f>
        <v>0</v>
      </c>
      <c r="K370" s="20">
        <f>H370*AP370</f>
        <v>0</v>
      </c>
      <c r="L370" s="20">
        <f>H370*I370</f>
        <v>0</v>
      </c>
      <c r="M370" s="31" t="s">
        <v>2884</v>
      </c>
      <c r="N370" s="5"/>
      <c r="Z370" s="36">
        <f>IF(AQ370="5",BJ370,0)</f>
        <v>0</v>
      </c>
      <c r="AB370" s="36">
        <f>IF(AQ370="1",BH370,0)</f>
        <v>0</v>
      </c>
      <c r="AC370" s="36">
        <f>IF(AQ370="1",BI370,0)</f>
        <v>0</v>
      </c>
      <c r="AD370" s="36">
        <f>IF(AQ370="7",BH370,0)</f>
        <v>0</v>
      </c>
      <c r="AE370" s="36">
        <f>IF(AQ370="7",BI370,0)</f>
        <v>0</v>
      </c>
      <c r="AF370" s="36">
        <f>IF(AQ370="2",BH370,0)</f>
        <v>0</v>
      </c>
      <c r="AG370" s="36">
        <f>IF(AQ370="2",BI370,0)</f>
        <v>0</v>
      </c>
      <c r="AH370" s="36">
        <f>IF(AQ370="0",BJ370,0)</f>
        <v>0</v>
      </c>
      <c r="AI370" s="35" t="s">
        <v>2894</v>
      </c>
      <c r="AJ370" s="20">
        <f>IF(AN370=0,L370,0)</f>
        <v>0</v>
      </c>
      <c r="AK370" s="20">
        <f>IF(AN370=15,L370,0)</f>
        <v>0</v>
      </c>
      <c r="AL370" s="20">
        <f>IF(AN370=21,L370,0)</f>
        <v>0</v>
      </c>
      <c r="AN370" s="36">
        <v>21</v>
      </c>
      <c r="AO370" s="36">
        <f>I370*0.53</f>
        <v>0</v>
      </c>
      <c r="AP370" s="36">
        <f>I370*(1-0.53)</f>
        <v>0</v>
      </c>
      <c r="AQ370" s="37" t="s">
        <v>13</v>
      </c>
      <c r="AV370" s="36">
        <f>AW370+AX370</f>
        <v>0</v>
      </c>
      <c r="AW370" s="36">
        <f>H370*AO370</f>
        <v>0</v>
      </c>
      <c r="AX370" s="36">
        <f>H370*AP370</f>
        <v>0</v>
      </c>
      <c r="AY370" s="39" t="s">
        <v>2928</v>
      </c>
      <c r="AZ370" s="39" t="s">
        <v>2954</v>
      </c>
      <c r="BA370" s="35" t="s">
        <v>2967</v>
      </c>
      <c r="BC370" s="36">
        <f>AW370+AX370</f>
        <v>0</v>
      </c>
      <c r="BD370" s="36">
        <f>I370/(100-BE370)*100</f>
        <v>0</v>
      </c>
      <c r="BE370" s="36">
        <v>0</v>
      </c>
      <c r="BF370" s="36">
        <f>370</f>
        <v>370</v>
      </c>
      <c r="BH370" s="20">
        <f>H370*AO370</f>
        <v>0</v>
      </c>
      <c r="BI370" s="20">
        <f>H370*AP370</f>
        <v>0</v>
      </c>
      <c r="BJ370" s="20">
        <f>H370*I370</f>
        <v>0</v>
      </c>
      <c r="BK370" s="20" t="s">
        <v>2978</v>
      </c>
      <c r="BL370" s="36">
        <v>722</v>
      </c>
    </row>
    <row r="371" spans="1:64" ht="25.7" customHeight="1" x14ac:dyDescent="0.2">
      <c r="A371" s="5"/>
      <c r="B371" s="14"/>
      <c r="C371" s="179" t="s">
        <v>2206</v>
      </c>
      <c r="D371" s="180"/>
      <c r="E371" s="180"/>
      <c r="F371" s="180"/>
      <c r="G371" s="180"/>
      <c r="H371" s="180"/>
      <c r="I371" s="180"/>
      <c r="J371" s="180"/>
      <c r="K371" s="180"/>
      <c r="L371" s="180"/>
      <c r="M371" s="181"/>
      <c r="N371" s="5"/>
    </row>
    <row r="372" spans="1:64" x14ac:dyDescent="0.2">
      <c r="A372" s="4" t="s">
        <v>290</v>
      </c>
      <c r="B372" s="13" t="s">
        <v>1219</v>
      </c>
      <c r="C372" s="174" t="s">
        <v>2207</v>
      </c>
      <c r="D372" s="175"/>
      <c r="E372" s="175"/>
      <c r="F372" s="175"/>
      <c r="G372" s="13" t="s">
        <v>2860</v>
      </c>
      <c r="H372" s="82">
        <v>1</v>
      </c>
      <c r="I372" s="109">
        <v>0</v>
      </c>
      <c r="J372" s="20">
        <f>H372*AO372</f>
        <v>0</v>
      </c>
      <c r="K372" s="20">
        <f>H372*AP372</f>
        <v>0</v>
      </c>
      <c r="L372" s="20">
        <f>H372*I372</f>
        <v>0</v>
      </c>
      <c r="M372" s="31" t="s">
        <v>2884</v>
      </c>
      <c r="N372" s="5"/>
      <c r="Z372" s="36">
        <f>IF(AQ372="5",BJ372,0)</f>
        <v>0</v>
      </c>
      <c r="AB372" s="36">
        <f>IF(AQ372="1",BH372,0)</f>
        <v>0</v>
      </c>
      <c r="AC372" s="36">
        <f>IF(AQ372="1",BI372,0)</f>
        <v>0</v>
      </c>
      <c r="AD372" s="36">
        <f>IF(AQ372="7",BH372,0)</f>
        <v>0</v>
      </c>
      <c r="AE372" s="36">
        <f>IF(AQ372="7",BI372,0)</f>
        <v>0</v>
      </c>
      <c r="AF372" s="36">
        <f>IF(AQ372="2",BH372,0)</f>
        <v>0</v>
      </c>
      <c r="AG372" s="36">
        <f>IF(AQ372="2",BI372,0)</f>
        <v>0</v>
      </c>
      <c r="AH372" s="36">
        <f>IF(AQ372="0",BJ372,0)</f>
        <v>0</v>
      </c>
      <c r="AI372" s="35" t="s">
        <v>2894</v>
      </c>
      <c r="AJ372" s="20">
        <f>IF(AN372=0,L372,0)</f>
        <v>0</v>
      </c>
      <c r="AK372" s="20">
        <f>IF(AN372=15,L372,0)</f>
        <v>0</v>
      </c>
      <c r="AL372" s="20">
        <f>IF(AN372=21,L372,0)</f>
        <v>0</v>
      </c>
      <c r="AN372" s="36">
        <v>21</v>
      </c>
      <c r="AO372" s="36">
        <f>I372*0.53</f>
        <v>0</v>
      </c>
      <c r="AP372" s="36">
        <f>I372*(1-0.53)</f>
        <v>0</v>
      </c>
      <c r="AQ372" s="37" t="s">
        <v>13</v>
      </c>
      <c r="AV372" s="36">
        <f>AW372+AX372</f>
        <v>0</v>
      </c>
      <c r="AW372" s="36">
        <f>H372*AO372</f>
        <v>0</v>
      </c>
      <c r="AX372" s="36">
        <f>H372*AP372</f>
        <v>0</v>
      </c>
      <c r="AY372" s="39" t="s">
        <v>2928</v>
      </c>
      <c r="AZ372" s="39" t="s">
        <v>2954</v>
      </c>
      <c r="BA372" s="35" t="s">
        <v>2967</v>
      </c>
      <c r="BC372" s="36">
        <f>AW372+AX372</f>
        <v>0</v>
      </c>
      <c r="BD372" s="36">
        <f>I372/(100-BE372)*100</f>
        <v>0</v>
      </c>
      <c r="BE372" s="36">
        <v>0</v>
      </c>
      <c r="BF372" s="36">
        <f>372</f>
        <v>372</v>
      </c>
      <c r="BH372" s="20">
        <f>H372*AO372</f>
        <v>0</v>
      </c>
      <c r="BI372" s="20">
        <f>H372*AP372</f>
        <v>0</v>
      </c>
      <c r="BJ372" s="20">
        <f>H372*I372</f>
        <v>0</v>
      </c>
      <c r="BK372" s="20" t="s">
        <v>2978</v>
      </c>
      <c r="BL372" s="36">
        <v>722</v>
      </c>
    </row>
    <row r="373" spans="1:64" x14ac:dyDescent="0.2">
      <c r="A373" s="4" t="s">
        <v>291</v>
      </c>
      <c r="B373" s="13" t="s">
        <v>1220</v>
      </c>
      <c r="C373" s="174" t="s">
        <v>2208</v>
      </c>
      <c r="D373" s="175"/>
      <c r="E373" s="175"/>
      <c r="F373" s="175"/>
      <c r="G373" s="13" t="s">
        <v>2860</v>
      </c>
      <c r="H373" s="82">
        <v>1</v>
      </c>
      <c r="I373" s="109">
        <v>0</v>
      </c>
      <c r="J373" s="20">
        <f>H373*AO373</f>
        <v>0</v>
      </c>
      <c r="K373" s="20">
        <f>H373*AP373</f>
        <v>0</v>
      </c>
      <c r="L373" s="20">
        <f>H373*I373</f>
        <v>0</v>
      </c>
      <c r="M373" s="31" t="s">
        <v>2884</v>
      </c>
      <c r="N373" s="5"/>
      <c r="Z373" s="36">
        <f>IF(AQ373="5",BJ373,0)</f>
        <v>0</v>
      </c>
      <c r="AB373" s="36">
        <f>IF(AQ373="1",BH373,0)</f>
        <v>0</v>
      </c>
      <c r="AC373" s="36">
        <f>IF(AQ373="1",BI373,0)</f>
        <v>0</v>
      </c>
      <c r="AD373" s="36">
        <f>IF(AQ373="7",BH373,0)</f>
        <v>0</v>
      </c>
      <c r="AE373" s="36">
        <f>IF(AQ373="7",BI373,0)</f>
        <v>0</v>
      </c>
      <c r="AF373" s="36">
        <f>IF(AQ373="2",BH373,0)</f>
        <v>0</v>
      </c>
      <c r="AG373" s="36">
        <f>IF(AQ373="2",BI373,0)</f>
        <v>0</v>
      </c>
      <c r="AH373" s="36">
        <f>IF(AQ373="0",BJ373,0)</f>
        <v>0</v>
      </c>
      <c r="AI373" s="35" t="s">
        <v>2894</v>
      </c>
      <c r="AJ373" s="20">
        <f>IF(AN373=0,L373,0)</f>
        <v>0</v>
      </c>
      <c r="AK373" s="20">
        <f>IF(AN373=15,L373,0)</f>
        <v>0</v>
      </c>
      <c r="AL373" s="20">
        <f>IF(AN373=21,L373,0)</f>
        <v>0</v>
      </c>
      <c r="AN373" s="36">
        <v>21</v>
      </c>
      <c r="AO373" s="36">
        <f>I373*0.53</f>
        <v>0</v>
      </c>
      <c r="AP373" s="36">
        <f>I373*(1-0.53)</f>
        <v>0</v>
      </c>
      <c r="AQ373" s="37" t="s">
        <v>13</v>
      </c>
      <c r="AV373" s="36">
        <f>AW373+AX373</f>
        <v>0</v>
      </c>
      <c r="AW373" s="36">
        <f>H373*AO373</f>
        <v>0</v>
      </c>
      <c r="AX373" s="36">
        <f>H373*AP373</f>
        <v>0</v>
      </c>
      <c r="AY373" s="39" t="s">
        <v>2928</v>
      </c>
      <c r="AZ373" s="39" t="s">
        <v>2954</v>
      </c>
      <c r="BA373" s="35" t="s">
        <v>2967</v>
      </c>
      <c r="BC373" s="36">
        <f>AW373+AX373</f>
        <v>0</v>
      </c>
      <c r="BD373" s="36">
        <f>I373/(100-BE373)*100</f>
        <v>0</v>
      </c>
      <c r="BE373" s="36">
        <v>0</v>
      </c>
      <c r="BF373" s="36">
        <f>373</f>
        <v>373</v>
      </c>
      <c r="BH373" s="20">
        <f>H373*AO373</f>
        <v>0</v>
      </c>
      <c r="BI373" s="20">
        <f>H373*AP373</f>
        <v>0</v>
      </c>
      <c r="BJ373" s="20">
        <f>H373*I373</f>
        <v>0</v>
      </c>
      <c r="BK373" s="20" t="s">
        <v>2978</v>
      </c>
      <c r="BL373" s="36">
        <v>722</v>
      </c>
    </row>
    <row r="374" spans="1:64" x14ac:dyDescent="0.2">
      <c r="A374" s="4" t="s">
        <v>292</v>
      </c>
      <c r="B374" s="13" t="s">
        <v>1221</v>
      </c>
      <c r="C374" s="174" t="s">
        <v>2209</v>
      </c>
      <c r="D374" s="175"/>
      <c r="E374" s="175"/>
      <c r="F374" s="175"/>
      <c r="G374" s="13" t="s">
        <v>2860</v>
      </c>
      <c r="H374" s="82">
        <v>1</v>
      </c>
      <c r="I374" s="109">
        <v>0</v>
      </c>
      <c r="J374" s="20">
        <f>H374*AO374</f>
        <v>0</v>
      </c>
      <c r="K374" s="20">
        <f>H374*AP374</f>
        <v>0</v>
      </c>
      <c r="L374" s="20">
        <f>H374*I374</f>
        <v>0</v>
      </c>
      <c r="M374" s="31" t="s">
        <v>2884</v>
      </c>
      <c r="N374" s="5"/>
      <c r="Z374" s="36">
        <f>IF(AQ374="5",BJ374,0)</f>
        <v>0</v>
      </c>
      <c r="AB374" s="36">
        <f>IF(AQ374="1",BH374,0)</f>
        <v>0</v>
      </c>
      <c r="AC374" s="36">
        <f>IF(AQ374="1",BI374,0)</f>
        <v>0</v>
      </c>
      <c r="AD374" s="36">
        <f>IF(AQ374="7",BH374,0)</f>
        <v>0</v>
      </c>
      <c r="AE374" s="36">
        <f>IF(AQ374="7",BI374,0)</f>
        <v>0</v>
      </c>
      <c r="AF374" s="36">
        <f>IF(AQ374="2",BH374,0)</f>
        <v>0</v>
      </c>
      <c r="AG374" s="36">
        <f>IF(AQ374="2",BI374,0)</f>
        <v>0</v>
      </c>
      <c r="AH374" s="36">
        <f>IF(AQ374="0",BJ374,0)</f>
        <v>0</v>
      </c>
      <c r="AI374" s="35" t="s">
        <v>2894</v>
      </c>
      <c r="AJ374" s="20">
        <f>IF(AN374=0,L374,0)</f>
        <v>0</v>
      </c>
      <c r="AK374" s="20">
        <f>IF(AN374=15,L374,0)</f>
        <v>0</v>
      </c>
      <c r="AL374" s="20">
        <f>IF(AN374=21,L374,0)</f>
        <v>0</v>
      </c>
      <c r="AN374" s="36">
        <v>21</v>
      </c>
      <c r="AO374" s="36">
        <f>I374*0.53</f>
        <v>0</v>
      </c>
      <c r="AP374" s="36">
        <f>I374*(1-0.53)</f>
        <v>0</v>
      </c>
      <c r="AQ374" s="37" t="s">
        <v>13</v>
      </c>
      <c r="AV374" s="36">
        <f>AW374+AX374</f>
        <v>0</v>
      </c>
      <c r="AW374" s="36">
        <f>H374*AO374</f>
        <v>0</v>
      </c>
      <c r="AX374" s="36">
        <f>H374*AP374</f>
        <v>0</v>
      </c>
      <c r="AY374" s="39" t="s">
        <v>2928</v>
      </c>
      <c r="AZ374" s="39" t="s">
        <v>2954</v>
      </c>
      <c r="BA374" s="35" t="s">
        <v>2967</v>
      </c>
      <c r="BC374" s="36">
        <f>AW374+AX374</f>
        <v>0</v>
      </c>
      <c r="BD374" s="36">
        <f>I374/(100-BE374)*100</f>
        <v>0</v>
      </c>
      <c r="BE374" s="36">
        <v>0</v>
      </c>
      <c r="BF374" s="36">
        <f>374</f>
        <v>374</v>
      </c>
      <c r="BH374" s="20">
        <f>H374*AO374</f>
        <v>0</v>
      </c>
      <c r="BI374" s="20">
        <f>H374*AP374</f>
        <v>0</v>
      </c>
      <c r="BJ374" s="20">
        <f>H374*I374</f>
        <v>0</v>
      </c>
      <c r="BK374" s="20" t="s">
        <v>2978</v>
      </c>
      <c r="BL374" s="36">
        <v>722</v>
      </c>
    </row>
    <row r="375" spans="1:64" ht="38.450000000000003" customHeight="1" x14ac:dyDescent="0.2">
      <c r="A375" s="5"/>
      <c r="B375" s="14"/>
      <c r="C375" s="179" t="s">
        <v>2210</v>
      </c>
      <c r="D375" s="180"/>
      <c r="E375" s="180"/>
      <c r="F375" s="180"/>
      <c r="G375" s="180"/>
      <c r="H375" s="180"/>
      <c r="I375" s="180"/>
      <c r="J375" s="180"/>
      <c r="K375" s="180"/>
      <c r="L375" s="180"/>
      <c r="M375" s="181"/>
      <c r="N375" s="5"/>
    </row>
    <row r="376" spans="1:64" x14ac:dyDescent="0.2">
      <c r="A376" s="4" t="s">
        <v>293</v>
      </c>
      <c r="B376" s="13" t="s">
        <v>1222</v>
      </c>
      <c r="C376" s="174" t="s">
        <v>2211</v>
      </c>
      <c r="D376" s="175"/>
      <c r="E376" s="175"/>
      <c r="F376" s="175"/>
      <c r="G376" s="13" t="s">
        <v>2860</v>
      </c>
      <c r="H376" s="82">
        <v>1</v>
      </c>
      <c r="I376" s="109">
        <v>0</v>
      </c>
      <c r="J376" s="20">
        <f t="shared" ref="J376:J381" si="296">H376*AO376</f>
        <v>0</v>
      </c>
      <c r="K376" s="20">
        <f t="shared" ref="K376:K381" si="297">H376*AP376</f>
        <v>0</v>
      </c>
      <c r="L376" s="20">
        <f t="shared" ref="L376:L381" si="298">H376*I376</f>
        <v>0</v>
      </c>
      <c r="M376" s="31" t="s">
        <v>2884</v>
      </c>
      <c r="N376" s="5"/>
      <c r="Z376" s="36">
        <f t="shared" ref="Z376:Z381" si="299">IF(AQ376="5",BJ376,0)</f>
        <v>0</v>
      </c>
      <c r="AB376" s="36">
        <f t="shared" ref="AB376:AB381" si="300">IF(AQ376="1",BH376,0)</f>
        <v>0</v>
      </c>
      <c r="AC376" s="36">
        <f t="shared" ref="AC376:AC381" si="301">IF(AQ376="1",BI376,0)</f>
        <v>0</v>
      </c>
      <c r="AD376" s="36">
        <f t="shared" ref="AD376:AD381" si="302">IF(AQ376="7",BH376,0)</f>
        <v>0</v>
      </c>
      <c r="AE376" s="36">
        <f t="shared" ref="AE376:AE381" si="303">IF(AQ376="7",BI376,0)</f>
        <v>0</v>
      </c>
      <c r="AF376" s="36">
        <f t="shared" ref="AF376:AF381" si="304">IF(AQ376="2",BH376,0)</f>
        <v>0</v>
      </c>
      <c r="AG376" s="36">
        <f t="shared" ref="AG376:AG381" si="305">IF(AQ376="2",BI376,0)</f>
        <v>0</v>
      </c>
      <c r="AH376" s="36">
        <f t="shared" ref="AH376:AH381" si="306">IF(AQ376="0",BJ376,0)</f>
        <v>0</v>
      </c>
      <c r="AI376" s="35" t="s">
        <v>2894</v>
      </c>
      <c r="AJ376" s="20">
        <f t="shared" ref="AJ376:AJ381" si="307">IF(AN376=0,L376,0)</f>
        <v>0</v>
      </c>
      <c r="AK376" s="20">
        <f t="shared" ref="AK376:AK381" si="308">IF(AN376=15,L376,0)</f>
        <v>0</v>
      </c>
      <c r="AL376" s="20">
        <f t="shared" ref="AL376:AL381" si="309">IF(AN376=21,L376,0)</f>
        <v>0</v>
      </c>
      <c r="AN376" s="36">
        <v>21</v>
      </c>
      <c r="AO376" s="36">
        <f t="shared" ref="AO376:AO381" si="310">I376*0.53</f>
        <v>0</v>
      </c>
      <c r="AP376" s="36">
        <f t="shared" ref="AP376:AP381" si="311">I376*(1-0.53)</f>
        <v>0</v>
      </c>
      <c r="AQ376" s="37" t="s">
        <v>13</v>
      </c>
      <c r="AV376" s="36">
        <f t="shared" ref="AV376:AV381" si="312">AW376+AX376</f>
        <v>0</v>
      </c>
      <c r="AW376" s="36">
        <f t="shared" ref="AW376:AW381" si="313">H376*AO376</f>
        <v>0</v>
      </c>
      <c r="AX376" s="36">
        <f t="shared" ref="AX376:AX381" si="314">H376*AP376</f>
        <v>0</v>
      </c>
      <c r="AY376" s="39" t="s">
        <v>2928</v>
      </c>
      <c r="AZ376" s="39" t="s">
        <v>2954</v>
      </c>
      <c r="BA376" s="35" t="s">
        <v>2967</v>
      </c>
      <c r="BC376" s="36">
        <f t="shared" ref="BC376:BC381" si="315">AW376+AX376</f>
        <v>0</v>
      </c>
      <c r="BD376" s="36">
        <f t="shared" ref="BD376:BD381" si="316">I376/(100-BE376)*100</f>
        <v>0</v>
      </c>
      <c r="BE376" s="36">
        <v>0</v>
      </c>
      <c r="BF376" s="36">
        <f>376</f>
        <v>376</v>
      </c>
      <c r="BH376" s="20">
        <f t="shared" ref="BH376:BH381" si="317">H376*AO376</f>
        <v>0</v>
      </c>
      <c r="BI376" s="20">
        <f t="shared" ref="BI376:BI381" si="318">H376*AP376</f>
        <v>0</v>
      </c>
      <c r="BJ376" s="20">
        <f t="shared" ref="BJ376:BJ381" si="319">H376*I376</f>
        <v>0</v>
      </c>
      <c r="BK376" s="20" t="s">
        <v>2978</v>
      </c>
      <c r="BL376" s="36">
        <v>722</v>
      </c>
    </row>
    <row r="377" spans="1:64" x14ac:dyDescent="0.2">
      <c r="A377" s="4" t="s">
        <v>294</v>
      </c>
      <c r="B377" s="13" t="s">
        <v>1223</v>
      </c>
      <c r="C377" s="174" t="s">
        <v>2212</v>
      </c>
      <c r="D377" s="175"/>
      <c r="E377" s="175"/>
      <c r="F377" s="175"/>
      <c r="G377" s="13" t="s">
        <v>2860</v>
      </c>
      <c r="H377" s="82">
        <v>1</v>
      </c>
      <c r="I377" s="109">
        <v>0</v>
      </c>
      <c r="J377" s="20">
        <f t="shared" si="296"/>
        <v>0</v>
      </c>
      <c r="K377" s="20">
        <f t="shared" si="297"/>
        <v>0</v>
      </c>
      <c r="L377" s="20">
        <f t="shared" si="298"/>
        <v>0</v>
      </c>
      <c r="M377" s="31" t="s">
        <v>2884</v>
      </c>
      <c r="N377" s="5"/>
      <c r="Z377" s="36">
        <f t="shared" si="299"/>
        <v>0</v>
      </c>
      <c r="AB377" s="36">
        <f t="shared" si="300"/>
        <v>0</v>
      </c>
      <c r="AC377" s="36">
        <f t="shared" si="301"/>
        <v>0</v>
      </c>
      <c r="AD377" s="36">
        <f t="shared" si="302"/>
        <v>0</v>
      </c>
      <c r="AE377" s="36">
        <f t="shared" si="303"/>
        <v>0</v>
      </c>
      <c r="AF377" s="36">
        <f t="shared" si="304"/>
        <v>0</v>
      </c>
      <c r="AG377" s="36">
        <f t="shared" si="305"/>
        <v>0</v>
      </c>
      <c r="AH377" s="36">
        <f t="shared" si="306"/>
        <v>0</v>
      </c>
      <c r="AI377" s="35" t="s">
        <v>2894</v>
      </c>
      <c r="AJ377" s="20">
        <f t="shared" si="307"/>
        <v>0</v>
      </c>
      <c r="AK377" s="20">
        <f t="shared" si="308"/>
        <v>0</v>
      </c>
      <c r="AL377" s="20">
        <f t="shared" si="309"/>
        <v>0</v>
      </c>
      <c r="AN377" s="36">
        <v>21</v>
      </c>
      <c r="AO377" s="36">
        <f t="shared" si="310"/>
        <v>0</v>
      </c>
      <c r="AP377" s="36">
        <f t="shared" si="311"/>
        <v>0</v>
      </c>
      <c r="AQ377" s="37" t="s">
        <v>13</v>
      </c>
      <c r="AV377" s="36">
        <f t="shared" si="312"/>
        <v>0</v>
      </c>
      <c r="AW377" s="36">
        <f t="shared" si="313"/>
        <v>0</v>
      </c>
      <c r="AX377" s="36">
        <f t="shared" si="314"/>
        <v>0</v>
      </c>
      <c r="AY377" s="39" t="s">
        <v>2928</v>
      </c>
      <c r="AZ377" s="39" t="s">
        <v>2954</v>
      </c>
      <c r="BA377" s="35" t="s">
        <v>2967</v>
      </c>
      <c r="BC377" s="36">
        <f t="shared" si="315"/>
        <v>0</v>
      </c>
      <c r="BD377" s="36">
        <f t="shared" si="316"/>
        <v>0</v>
      </c>
      <c r="BE377" s="36">
        <v>0</v>
      </c>
      <c r="BF377" s="36">
        <f>377</f>
        <v>377</v>
      </c>
      <c r="BH377" s="20">
        <f t="shared" si="317"/>
        <v>0</v>
      </c>
      <c r="BI377" s="20">
        <f t="shared" si="318"/>
        <v>0</v>
      </c>
      <c r="BJ377" s="20">
        <f t="shared" si="319"/>
        <v>0</v>
      </c>
      <c r="BK377" s="20" t="s">
        <v>2978</v>
      </c>
      <c r="BL377" s="36">
        <v>722</v>
      </c>
    </row>
    <row r="378" spans="1:64" x14ac:dyDescent="0.2">
      <c r="A378" s="4" t="s">
        <v>295</v>
      </c>
      <c r="B378" s="13" t="s">
        <v>1224</v>
      </c>
      <c r="C378" s="174" t="s">
        <v>2213</v>
      </c>
      <c r="D378" s="175"/>
      <c r="E378" s="175"/>
      <c r="F378" s="175"/>
      <c r="G378" s="13" t="s">
        <v>2860</v>
      </c>
      <c r="H378" s="82">
        <v>1</v>
      </c>
      <c r="I378" s="109">
        <v>0</v>
      </c>
      <c r="J378" s="20">
        <f t="shared" si="296"/>
        <v>0</v>
      </c>
      <c r="K378" s="20">
        <f t="shared" si="297"/>
        <v>0</v>
      </c>
      <c r="L378" s="20">
        <f t="shared" si="298"/>
        <v>0</v>
      </c>
      <c r="M378" s="31" t="s">
        <v>2884</v>
      </c>
      <c r="N378" s="5"/>
      <c r="Z378" s="36">
        <f t="shared" si="299"/>
        <v>0</v>
      </c>
      <c r="AB378" s="36">
        <f t="shared" si="300"/>
        <v>0</v>
      </c>
      <c r="AC378" s="36">
        <f t="shared" si="301"/>
        <v>0</v>
      </c>
      <c r="AD378" s="36">
        <f t="shared" si="302"/>
        <v>0</v>
      </c>
      <c r="AE378" s="36">
        <f t="shared" si="303"/>
        <v>0</v>
      </c>
      <c r="AF378" s="36">
        <f t="shared" si="304"/>
        <v>0</v>
      </c>
      <c r="AG378" s="36">
        <f t="shared" si="305"/>
        <v>0</v>
      </c>
      <c r="AH378" s="36">
        <f t="shared" si="306"/>
        <v>0</v>
      </c>
      <c r="AI378" s="35" t="s">
        <v>2894</v>
      </c>
      <c r="AJ378" s="20">
        <f t="shared" si="307"/>
        <v>0</v>
      </c>
      <c r="AK378" s="20">
        <f t="shared" si="308"/>
        <v>0</v>
      </c>
      <c r="AL378" s="20">
        <f t="shared" si="309"/>
        <v>0</v>
      </c>
      <c r="AN378" s="36">
        <v>21</v>
      </c>
      <c r="AO378" s="36">
        <f t="shared" si="310"/>
        <v>0</v>
      </c>
      <c r="AP378" s="36">
        <f t="shared" si="311"/>
        <v>0</v>
      </c>
      <c r="AQ378" s="37" t="s">
        <v>13</v>
      </c>
      <c r="AV378" s="36">
        <f t="shared" si="312"/>
        <v>0</v>
      </c>
      <c r="AW378" s="36">
        <f t="shared" si="313"/>
        <v>0</v>
      </c>
      <c r="AX378" s="36">
        <f t="shared" si="314"/>
        <v>0</v>
      </c>
      <c r="AY378" s="39" t="s">
        <v>2928</v>
      </c>
      <c r="AZ378" s="39" t="s">
        <v>2954</v>
      </c>
      <c r="BA378" s="35" t="s">
        <v>2967</v>
      </c>
      <c r="BC378" s="36">
        <f t="shared" si="315"/>
        <v>0</v>
      </c>
      <c r="BD378" s="36">
        <f t="shared" si="316"/>
        <v>0</v>
      </c>
      <c r="BE378" s="36">
        <v>0</v>
      </c>
      <c r="BF378" s="36">
        <f>378</f>
        <v>378</v>
      </c>
      <c r="BH378" s="20">
        <f t="shared" si="317"/>
        <v>0</v>
      </c>
      <c r="BI378" s="20">
        <f t="shared" si="318"/>
        <v>0</v>
      </c>
      <c r="BJ378" s="20">
        <f t="shared" si="319"/>
        <v>0</v>
      </c>
      <c r="BK378" s="20" t="s">
        <v>2978</v>
      </c>
      <c r="BL378" s="36">
        <v>722</v>
      </c>
    </row>
    <row r="379" spans="1:64" x14ac:dyDescent="0.2">
      <c r="A379" s="4" t="s">
        <v>296</v>
      </c>
      <c r="B379" s="13" t="s">
        <v>1225</v>
      </c>
      <c r="C379" s="174" t="s">
        <v>2214</v>
      </c>
      <c r="D379" s="175"/>
      <c r="E379" s="175"/>
      <c r="F379" s="175"/>
      <c r="G379" s="13" t="s">
        <v>2860</v>
      </c>
      <c r="H379" s="82">
        <v>1</v>
      </c>
      <c r="I379" s="109">
        <v>0</v>
      </c>
      <c r="J379" s="20">
        <f t="shared" si="296"/>
        <v>0</v>
      </c>
      <c r="K379" s="20">
        <f t="shared" si="297"/>
        <v>0</v>
      </c>
      <c r="L379" s="20">
        <f t="shared" si="298"/>
        <v>0</v>
      </c>
      <c r="M379" s="31" t="s">
        <v>2884</v>
      </c>
      <c r="N379" s="5"/>
      <c r="Z379" s="36">
        <f t="shared" si="299"/>
        <v>0</v>
      </c>
      <c r="AB379" s="36">
        <f t="shared" si="300"/>
        <v>0</v>
      </c>
      <c r="AC379" s="36">
        <f t="shared" si="301"/>
        <v>0</v>
      </c>
      <c r="AD379" s="36">
        <f t="shared" si="302"/>
        <v>0</v>
      </c>
      <c r="AE379" s="36">
        <f t="shared" si="303"/>
        <v>0</v>
      </c>
      <c r="AF379" s="36">
        <f t="shared" si="304"/>
        <v>0</v>
      </c>
      <c r="AG379" s="36">
        <f t="shared" si="305"/>
        <v>0</v>
      </c>
      <c r="AH379" s="36">
        <f t="shared" si="306"/>
        <v>0</v>
      </c>
      <c r="AI379" s="35" t="s">
        <v>2894</v>
      </c>
      <c r="AJ379" s="20">
        <f t="shared" si="307"/>
        <v>0</v>
      </c>
      <c r="AK379" s="20">
        <f t="shared" si="308"/>
        <v>0</v>
      </c>
      <c r="AL379" s="20">
        <f t="shared" si="309"/>
        <v>0</v>
      </c>
      <c r="AN379" s="36">
        <v>21</v>
      </c>
      <c r="AO379" s="36">
        <f t="shared" si="310"/>
        <v>0</v>
      </c>
      <c r="AP379" s="36">
        <f t="shared" si="311"/>
        <v>0</v>
      </c>
      <c r="AQ379" s="37" t="s">
        <v>13</v>
      </c>
      <c r="AV379" s="36">
        <f t="shared" si="312"/>
        <v>0</v>
      </c>
      <c r="AW379" s="36">
        <f t="shared" si="313"/>
        <v>0</v>
      </c>
      <c r="AX379" s="36">
        <f t="shared" si="314"/>
        <v>0</v>
      </c>
      <c r="AY379" s="39" t="s">
        <v>2928</v>
      </c>
      <c r="AZ379" s="39" t="s">
        <v>2954</v>
      </c>
      <c r="BA379" s="35" t="s">
        <v>2967</v>
      </c>
      <c r="BC379" s="36">
        <f t="shared" si="315"/>
        <v>0</v>
      </c>
      <c r="BD379" s="36">
        <f t="shared" si="316"/>
        <v>0</v>
      </c>
      <c r="BE379" s="36">
        <v>0</v>
      </c>
      <c r="BF379" s="36">
        <f>379</f>
        <v>379</v>
      </c>
      <c r="BH379" s="20">
        <f t="shared" si="317"/>
        <v>0</v>
      </c>
      <c r="BI379" s="20">
        <f t="shared" si="318"/>
        <v>0</v>
      </c>
      <c r="BJ379" s="20">
        <f t="shared" si="319"/>
        <v>0</v>
      </c>
      <c r="BK379" s="20" t="s">
        <v>2978</v>
      </c>
      <c r="BL379" s="36">
        <v>722</v>
      </c>
    </row>
    <row r="380" spans="1:64" x14ac:dyDescent="0.2">
      <c r="A380" s="4" t="s">
        <v>297</v>
      </c>
      <c r="B380" s="13" t="s">
        <v>1226</v>
      </c>
      <c r="C380" s="174" t="s">
        <v>2215</v>
      </c>
      <c r="D380" s="175"/>
      <c r="E380" s="175"/>
      <c r="F380" s="175"/>
      <c r="G380" s="13" t="s">
        <v>2860</v>
      </c>
      <c r="H380" s="82">
        <v>1</v>
      </c>
      <c r="I380" s="109">
        <v>0</v>
      </c>
      <c r="J380" s="20">
        <f t="shared" si="296"/>
        <v>0</v>
      </c>
      <c r="K380" s="20">
        <f t="shared" si="297"/>
        <v>0</v>
      </c>
      <c r="L380" s="20">
        <f t="shared" si="298"/>
        <v>0</v>
      </c>
      <c r="M380" s="31" t="s">
        <v>2884</v>
      </c>
      <c r="N380" s="5"/>
      <c r="Z380" s="36">
        <f t="shared" si="299"/>
        <v>0</v>
      </c>
      <c r="AB380" s="36">
        <f t="shared" si="300"/>
        <v>0</v>
      </c>
      <c r="AC380" s="36">
        <f t="shared" si="301"/>
        <v>0</v>
      </c>
      <c r="AD380" s="36">
        <f t="shared" si="302"/>
        <v>0</v>
      </c>
      <c r="AE380" s="36">
        <f t="shared" si="303"/>
        <v>0</v>
      </c>
      <c r="AF380" s="36">
        <f t="shared" si="304"/>
        <v>0</v>
      </c>
      <c r="AG380" s="36">
        <f t="shared" si="305"/>
        <v>0</v>
      </c>
      <c r="AH380" s="36">
        <f t="shared" si="306"/>
        <v>0</v>
      </c>
      <c r="AI380" s="35" t="s">
        <v>2894</v>
      </c>
      <c r="AJ380" s="20">
        <f t="shared" si="307"/>
        <v>0</v>
      </c>
      <c r="AK380" s="20">
        <f t="shared" si="308"/>
        <v>0</v>
      </c>
      <c r="AL380" s="20">
        <f t="shared" si="309"/>
        <v>0</v>
      </c>
      <c r="AN380" s="36">
        <v>21</v>
      </c>
      <c r="AO380" s="36">
        <f t="shared" si="310"/>
        <v>0</v>
      </c>
      <c r="AP380" s="36">
        <f t="shared" si="311"/>
        <v>0</v>
      </c>
      <c r="AQ380" s="37" t="s">
        <v>13</v>
      </c>
      <c r="AV380" s="36">
        <f t="shared" si="312"/>
        <v>0</v>
      </c>
      <c r="AW380" s="36">
        <f t="shared" si="313"/>
        <v>0</v>
      </c>
      <c r="AX380" s="36">
        <f t="shared" si="314"/>
        <v>0</v>
      </c>
      <c r="AY380" s="39" t="s">
        <v>2928</v>
      </c>
      <c r="AZ380" s="39" t="s">
        <v>2954</v>
      </c>
      <c r="BA380" s="35" t="s">
        <v>2967</v>
      </c>
      <c r="BC380" s="36">
        <f t="shared" si="315"/>
        <v>0</v>
      </c>
      <c r="BD380" s="36">
        <f t="shared" si="316"/>
        <v>0</v>
      </c>
      <c r="BE380" s="36">
        <v>0</v>
      </c>
      <c r="BF380" s="36">
        <f>380</f>
        <v>380</v>
      </c>
      <c r="BH380" s="20">
        <f t="shared" si="317"/>
        <v>0</v>
      </c>
      <c r="BI380" s="20">
        <f t="shared" si="318"/>
        <v>0</v>
      </c>
      <c r="BJ380" s="20">
        <f t="shared" si="319"/>
        <v>0</v>
      </c>
      <c r="BK380" s="20" t="s">
        <v>2978</v>
      </c>
      <c r="BL380" s="36">
        <v>722</v>
      </c>
    </row>
    <row r="381" spans="1:64" x14ac:dyDescent="0.2">
      <c r="A381" s="4" t="s">
        <v>298</v>
      </c>
      <c r="B381" s="13" t="s">
        <v>1227</v>
      </c>
      <c r="C381" s="174" t="s">
        <v>2216</v>
      </c>
      <c r="D381" s="175"/>
      <c r="E381" s="175"/>
      <c r="F381" s="175"/>
      <c r="G381" s="13" t="s">
        <v>2860</v>
      </c>
      <c r="H381" s="82">
        <v>1</v>
      </c>
      <c r="I381" s="109">
        <v>0</v>
      </c>
      <c r="J381" s="20">
        <f t="shared" si="296"/>
        <v>0</v>
      </c>
      <c r="K381" s="20">
        <f t="shared" si="297"/>
        <v>0</v>
      </c>
      <c r="L381" s="20">
        <f t="shared" si="298"/>
        <v>0</v>
      </c>
      <c r="M381" s="31" t="s">
        <v>2884</v>
      </c>
      <c r="N381" s="5"/>
      <c r="Z381" s="36">
        <f t="shared" si="299"/>
        <v>0</v>
      </c>
      <c r="AB381" s="36">
        <f t="shared" si="300"/>
        <v>0</v>
      </c>
      <c r="AC381" s="36">
        <f t="shared" si="301"/>
        <v>0</v>
      </c>
      <c r="AD381" s="36">
        <f t="shared" si="302"/>
        <v>0</v>
      </c>
      <c r="AE381" s="36">
        <f t="shared" si="303"/>
        <v>0</v>
      </c>
      <c r="AF381" s="36">
        <f t="shared" si="304"/>
        <v>0</v>
      </c>
      <c r="AG381" s="36">
        <f t="shared" si="305"/>
        <v>0</v>
      </c>
      <c r="AH381" s="36">
        <f t="shared" si="306"/>
        <v>0</v>
      </c>
      <c r="AI381" s="35" t="s">
        <v>2894</v>
      </c>
      <c r="AJ381" s="20">
        <f t="shared" si="307"/>
        <v>0</v>
      </c>
      <c r="AK381" s="20">
        <f t="shared" si="308"/>
        <v>0</v>
      </c>
      <c r="AL381" s="20">
        <f t="shared" si="309"/>
        <v>0</v>
      </c>
      <c r="AN381" s="36">
        <v>21</v>
      </c>
      <c r="AO381" s="36">
        <f t="shared" si="310"/>
        <v>0</v>
      </c>
      <c r="AP381" s="36">
        <f t="shared" si="311"/>
        <v>0</v>
      </c>
      <c r="AQ381" s="37" t="s">
        <v>13</v>
      </c>
      <c r="AV381" s="36">
        <f t="shared" si="312"/>
        <v>0</v>
      </c>
      <c r="AW381" s="36">
        <f t="shared" si="313"/>
        <v>0</v>
      </c>
      <c r="AX381" s="36">
        <f t="shared" si="314"/>
        <v>0</v>
      </c>
      <c r="AY381" s="39" t="s">
        <v>2928</v>
      </c>
      <c r="AZ381" s="39" t="s">
        <v>2954</v>
      </c>
      <c r="BA381" s="35" t="s">
        <v>2967</v>
      </c>
      <c r="BC381" s="36">
        <f t="shared" si="315"/>
        <v>0</v>
      </c>
      <c r="BD381" s="36">
        <f t="shared" si="316"/>
        <v>0</v>
      </c>
      <c r="BE381" s="36">
        <v>0</v>
      </c>
      <c r="BF381" s="36">
        <f>381</f>
        <v>381</v>
      </c>
      <c r="BH381" s="20">
        <f t="shared" si="317"/>
        <v>0</v>
      </c>
      <c r="BI381" s="20">
        <f t="shared" si="318"/>
        <v>0</v>
      </c>
      <c r="BJ381" s="20">
        <f t="shared" si="319"/>
        <v>0</v>
      </c>
      <c r="BK381" s="20" t="s">
        <v>2978</v>
      </c>
      <c r="BL381" s="36">
        <v>722</v>
      </c>
    </row>
    <row r="382" spans="1:64" ht="38.450000000000003" customHeight="1" x14ac:dyDescent="0.2">
      <c r="A382" s="5"/>
      <c r="B382" s="14"/>
      <c r="C382" s="179" t="s">
        <v>2217</v>
      </c>
      <c r="D382" s="180"/>
      <c r="E382" s="180"/>
      <c r="F382" s="180"/>
      <c r="G382" s="180"/>
      <c r="H382" s="180"/>
      <c r="I382" s="180"/>
      <c r="J382" s="180"/>
      <c r="K382" s="180"/>
      <c r="L382" s="180"/>
      <c r="M382" s="181"/>
      <c r="N382" s="5"/>
    </row>
    <row r="383" spans="1:64" x14ac:dyDescent="0.2">
      <c r="A383" s="4" t="s">
        <v>299</v>
      </c>
      <c r="B383" s="13" t="s">
        <v>1228</v>
      </c>
      <c r="C383" s="174" t="s">
        <v>2218</v>
      </c>
      <c r="D383" s="175"/>
      <c r="E383" s="175"/>
      <c r="F383" s="175"/>
      <c r="G383" s="13" t="s">
        <v>2860</v>
      </c>
      <c r="H383" s="82">
        <v>2</v>
      </c>
      <c r="I383" s="109">
        <v>0</v>
      </c>
      <c r="J383" s="20">
        <f>H383*AO383</f>
        <v>0</v>
      </c>
      <c r="K383" s="20">
        <f>H383*AP383</f>
        <v>0</v>
      </c>
      <c r="L383" s="20">
        <f>H383*I383</f>
        <v>0</v>
      </c>
      <c r="M383" s="31" t="s">
        <v>2884</v>
      </c>
      <c r="N383" s="5"/>
      <c r="Z383" s="36">
        <f>IF(AQ383="5",BJ383,0)</f>
        <v>0</v>
      </c>
      <c r="AB383" s="36">
        <f>IF(AQ383="1",BH383,0)</f>
        <v>0</v>
      </c>
      <c r="AC383" s="36">
        <f>IF(AQ383="1",BI383,0)</f>
        <v>0</v>
      </c>
      <c r="AD383" s="36">
        <f>IF(AQ383="7",BH383,0)</f>
        <v>0</v>
      </c>
      <c r="AE383" s="36">
        <f>IF(AQ383="7",BI383,0)</f>
        <v>0</v>
      </c>
      <c r="AF383" s="36">
        <f>IF(AQ383="2",BH383,0)</f>
        <v>0</v>
      </c>
      <c r="AG383" s="36">
        <f>IF(AQ383="2",BI383,0)</f>
        <v>0</v>
      </c>
      <c r="AH383" s="36">
        <f>IF(AQ383="0",BJ383,0)</f>
        <v>0</v>
      </c>
      <c r="AI383" s="35" t="s">
        <v>2894</v>
      </c>
      <c r="AJ383" s="20">
        <f>IF(AN383=0,L383,0)</f>
        <v>0</v>
      </c>
      <c r="AK383" s="20">
        <f>IF(AN383=15,L383,0)</f>
        <v>0</v>
      </c>
      <c r="AL383" s="20">
        <f>IF(AN383=21,L383,0)</f>
        <v>0</v>
      </c>
      <c r="AN383" s="36">
        <v>21</v>
      </c>
      <c r="AO383" s="36">
        <f>I383*0.53</f>
        <v>0</v>
      </c>
      <c r="AP383" s="36">
        <f>I383*(1-0.53)</f>
        <v>0</v>
      </c>
      <c r="AQ383" s="37" t="s">
        <v>13</v>
      </c>
      <c r="AV383" s="36">
        <f>AW383+AX383</f>
        <v>0</v>
      </c>
      <c r="AW383" s="36">
        <f>H383*AO383</f>
        <v>0</v>
      </c>
      <c r="AX383" s="36">
        <f>H383*AP383</f>
        <v>0</v>
      </c>
      <c r="AY383" s="39" t="s">
        <v>2928</v>
      </c>
      <c r="AZ383" s="39" t="s">
        <v>2954</v>
      </c>
      <c r="BA383" s="35" t="s">
        <v>2967</v>
      </c>
      <c r="BC383" s="36">
        <f>AW383+AX383</f>
        <v>0</v>
      </c>
      <c r="BD383" s="36">
        <f>I383/(100-BE383)*100</f>
        <v>0</v>
      </c>
      <c r="BE383" s="36">
        <v>0</v>
      </c>
      <c r="BF383" s="36">
        <f>383</f>
        <v>383</v>
      </c>
      <c r="BH383" s="20">
        <f>H383*AO383</f>
        <v>0</v>
      </c>
      <c r="BI383" s="20">
        <f>H383*AP383</f>
        <v>0</v>
      </c>
      <c r="BJ383" s="20">
        <f>H383*I383</f>
        <v>0</v>
      </c>
      <c r="BK383" s="20" t="s">
        <v>2978</v>
      </c>
      <c r="BL383" s="36">
        <v>722</v>
      </c>
    </row>
    <row r="384" spans="1:64" ht="25.7" customHeight="1" x14ac:dyDescent="0.2">
      <c r="A384" s="5"/>
      <c r="B384" s="14"/>
      <c r="C384" s="179" t="s">
        <v>2219</v>
      </c>
      <c r="D384" s="180"/>
      <c r="E384" s="180"/>
      <c r="F384" s="180"/>
      <c r="G384" s="180"/>
      <c r="H384" s="180"/>
      <c r="I384" s="180"/>
      <c r="J384" s="180"/>
      <c r="K384" s="180"/>
      <c r="L384" s="180"/>
      <c r="M384" s="181"/>
      <c r="N384" s="5"/>
    </row>
    <row r="385" spans="1:64" x14ac:dyDescent="0.2">
      <c r="A385" s="4" t="s">
        <v>300</v>
      </c>
      <c r="B385" s="13" t="s">
        <v>1144</v>
      </c>
      <c r="C385" s="174" t="s">
        <v>2220</v>
      </c>
      <c r="D385" s="175"/>
      <c r="E385" s="175"/>
      <c r="F385" s="175"/>
      <c r="G385" s="13" t="s">
        <v>2860</v>
      </c>
      <c r="H385" s="82">
        <v>5</v>
      </c>
      <c r="I385" s="109">
        <v>0</v>
      </c>
      <c r="J385" s="20">
        <f>H385*AO385</f>
        <v>0</v>
      </c>
      <c r="K385" s="20">
        <f>H385*AP385</f>
        <v>0</v>
      </c>
      <c r="L385" s="20">
        <f>H385*I385</f>
        <v>0</v>
      </c>
      <c r="M385" s="31" t="s">
        <v>2884</v>
      </c>
      <c r="N385" s="5"/>
      <c r="Z385" s="36">
        <f>IF(AQ385="5",BJ385,0)</f>
        <v>0</v>
      </c>
      <c r="AB385" s="36">
        <f>IF(AQ385="1",BH385,0)</f>
        <v>0</v>
      </c>
      <c r="AC385" s="36">
        <f>IF(AQ385="1",BI385,0)</f>
        <v>0</v>
      </c>
      <c r="AD385" s="36">
        <f>IF(AQ385="7",BH385,0)</f>
        <v>0</v>
      </c>
      <c r="AE385" s="36">
        <f>IF(AQ385="7",BI385,0)</f>
        <v>0</v>
      </c>
      <c r="AF385" s="36">
        <f>IF(AQ385="2",BH385,0)</f>
        <v>0</v>
      </c>
      <c r="AG385" s="36">
        <f>IF(AQ385="2",BI385,0)</f>
        <v>0</v>
      </c>
      <c r="AH385" s="36">
        <f>IF(AQ385="0",BJ385,0)</f>
        <v>0</v>
      </c>
      <c r="AI385" s="35" t="s">
        <v>2894</v>
      </c>
      <c r="AJ385" s="20">
        <f>IF(AN385=0,L385,0)</f>
        <v>0</v>
      </c>
      <c r="AK385" s="20">
        <f>IF(AN385=15,L385,0)</f>
        <v>0</v>
      </c>
      <c r="AL385" s="20">
        <f>IF(AN385=21,L385,0)</f>
        <v>0</v>
      </c>
      <c r="AN385" s="36">
        <v>21</v>
      </c>
      <c r="AO385" s="36">
        <f>I385*0.53</f>
        <v>0</v>
      </c>
      <c r="AP385" s="36">
        <f>I385*(1-0.53)</f>
        <v>0</v>
      </c>
      <c r="AQ385" s="37" t="s">
        <v>13</v>
      </c>
      <c r="AV385" s="36">
        <f>AW385+AX385</f>
        <v>0</v>
      </c>
      <c r="AW385" s="36">
        <f>H385*AO385</f>
        <v>0</v>
      </c>
      <c r="AX385" s="36">
        <f>H385*AP385</f>
        <v>0</v>
      </c>
      <c r="AY385" s="39" t="s">
        <v>2928</v>
      </c>
      <c r="AZ385" s="39" t="s">
        <v>2954</v>
      </c>
      <c r="BA385" s="35" t="s">
        <v>2967</v>
      </c>
      <c r="BC385" s="36">
        <f>AW385+AX385</f>
        <v>0</v>
      </c>
      <c r="BD385" s="36">
        <f>I385/(100-BE385)*100</f>
        <v>0</v>
      </c>
      <c r="BE385" s="36">
        <v>0</v>
      </c>
      <c r="BF385" s="36">
        <f>385</f>
        <v>385</v>
      </c>
      <c r="BH385" s="20">
        <f>H385*AO385</f>
        <v>0</v>
      </c>
      <c r="BI385" s="20">
        <f>H385*AP385</f>
        <v>0</v>
      </c>
      <c r="BJ385" s="20">
        <f>H385*I385</f>
        <v>0</v>
      </c>
      <c r="BK385" s="20" t="s">
        <v>2978</v>
      </c>
      <c r="BL385" s="36">
        <v>722</v>
      </c>
    </row>
    <row r="386" spans="1:64" x14ac:dyDescent="0.2">
      <c r="A386" s="5"/>
      <c r="B386" s="14"/>
      <c r="C386" s="179" t="s">
        <v>2107</v>
      </c>
      <c r="D386" s="180"/>
      <c r="E386" s="180"/>
      <c r="F386" s="180"/>
      <c r="G386" s="180"/>
      <c r="H386" s="180"/>
      <c r="I386" s="180"/>
      <c r="J386" s="180"/>
      <c r="K386" s="180"/>
      <c r="L386" s="180"/>
      <c r="M386" s="181"/>
      <c r="N386" s="5"/>
    </row>
    <row r="387" spans="1:64" x14ac:dyDescent="0.2">
      <c r="A387" s="4" t="s">
        <v>301</v>
      </c>
      <c r="B387" s="13" t="s">
        <v>1229</v>
      </c>
      <c r="C387" s="174" t="s">
        <v>2221</v>
      </c>
      <c r="D387" s="175"/>
      <c r="E387" s="175"/>
      <c r="F387" s="175"/>
      <c r="G387" s="13" t="s">
        <v>2860</v>
      </c>
      <c r="H387" s="82">
        <v>4</v>
      </c>
      <c r="I387" s="109">
        <v>0</v>
      </c>
      <c r="J387" s="20">
        <f t="shared" ref="J387:J399" si="320">H387*AO387</f>
        <v>0</v>
      </c>
      <c r="K387" s="20">
        <f t="shared" ref="K387:K399" si="321">H387*AP387</f>
        <v>0</v>
      </c>
      <c r="L387" s="20">
        <f t="shared" ref="L387:L399" si="322">H387*I387</f>
        <v>0</v>
      </c>
      <c r="M387" s="31" t="s">
        <v>2884</v>
      </c>
      <c r="N387" s="5"/>
      <c r="Z387" s="36">
        <f t="shared" ref="Z387:Z399" si="323">IF(AQ387="5",BJ387,0)</f>
        <v>0</v>
      </c>
      <c r="AB387" s="36">
        <f t="shared" ref="AB387:AB399" si="324">IF(AQ387="1",BH387,0)</f>
        <v>0</v>
      </c>
      <c r="AC387" s="36">
        <f t="shared" ref="AC387:AC399" si="325">IF(AQ387="1",BI387,0)</f>
        <v>0</v>
      </c>
      <c r="AD387" s="36">
        <f t="shared" ref="AD387:AD399" si="326">IF(AQ387="7",BH387,0)</f>
        <v>0</v>
      </c>
      <c r="AE387" s="36">
        <f t="shared" ref="AE387:AE399" si="327">IF(AQ387="7",BI387,0)</f>
        <v>0</v>
      </c>
      <c r="AF387" s="36">
        <f t="shared" ref="AF387:AF399" si="328">IF(AQ387="2",BH387,0)</f>
        <v>0</v>
      </c>
      <c r="AG387" s="36">
        <f t="shared" ref="AG387:AG399" si="329">IF(AQ387="2",BI387,0)</f>
        <v>0</v>
      </c>
      <c r="AH387" s="36">
        <f t="shared" ref="AH387:AH399" si="330">IF(AQ387="0",BJ387,0)</f>
        <v>0</v>
      </c>
      <c r="AI387" s="35" t="s">
        <v>2894</v>
      </c>
      <c r="AJ387" s="20">
        <f t="shared" ref="AJ387:AJ399" si="331">IF(AN387=0,L387,0)</f>
        <v>0</v>
      </c>
      <c r="AK387" s="20">
        <f t="shared" ref="AK387:AK399" si="332">IF(AN387=15,L387,0)</f>
        <v>0</v>
      </c>
      <c r="AL387" s="20">
        <f t="shared" ref="AL387:AL399" si="333">IF(AN387=21,L387,0)</f>
        <v>0</v>
      </c>
      <c r="AN387" s="36">
        <v>21</v>
      </c>
      <c r="AO387" s="36">
        <f t="shared" ref="AO387:AO399" si="334">I387*0</f>
        <v>0</v>
      </c>
      <c r="AP387" s="36">
        <f t="shared" ref="AP387:AP399" si="335">I387*(1-0)</f>
        <v>0</v>
      </c>
      <c r="AQ387" s="37" t="s">
        <v>13</v>
      </c>
      <c r="AV387" s="36">
        <f t="shared" ref="AV387:AV399" si="336">AW387+AX387</f>
        <v>0</v>
      </c>
      <c r="AW387" s="36">
        <f t="shared" ref="AW387:AW399" si="337">H387*AO387</f>
        <v>0</v>
      </c>
      <c r="AX387" s="36">
        <f t="shared" ref="AX387:AX399" si="338">H387*AP387</f>
        <v>0</v>
      </c>
      <c r="AY387" s="39" t="s">
        <v>2928</v>
      </c>
      <c r="AZ387" s="39" t="s">
        <v>2954</v>
      </c>
      <c r="BA387" s="35" t="s">
        <v>2967</v>
      </c>
      <c r="BC387" s="36">
        <f t="shared" ref="BC387:BC399" si="339">AW387+AX387</f>
        <v>0</v>
      </c>
      <c r="BD387" s="36">
        <f t="shared" ref="BD387:BD399" si="340">I387/(100-BE387)*100</f>
        <v>0</v>
      </c>
      <c r="BE387" s="36">
        <v>0</v>
      </c>
      <c r="BF387" s="36">
        <f>387</f>
        <v>387</v>
      </c>
      <c r="BH387" s="20">
        <f t="shared" ref="BH387:BH399" si="341">H387*AO387</f>
        <v>0</v>
      </c>
      <c r="BI387" s="20">
        <f t="shared" ref="BI387:BI399" si="342">H387*AP387</f>
        <v>0</v>
      </c>
      <c r="BJ387" s="20">
        <f t="shared" ref="BJ387:BJ399" si="343">H387*I387</f>
        <v>0</v>
      </c>
      <c r="BK387" s="20" t="s">
        <v>2978</v>
      </c>
      <c r="BL387" s="36">
        <v>722</v>
      </c>
    </row>
    <row r="388" spans="1:64" x14ac:dyDescent="0.2">
      <c r="A388" s="4" t="s">
        <v>302</v>
      </c>
      <c r="B388" s="13" t="s">
        <v>1229</v>
      </c>
      <c r="C388" s="174" t="s">
        <v>2222</v>
      </c>
      <c r="D388" s="175"/>
      <c r="E388" s="175"/>
      <c r="F388" s="175"/>
      <c r="G388" s="13" t="s">
        <v>2860</v>
      </c>
      <c r="H388" s="82">
        <v>10</v>
      </c>
      <c r="I388" s="109">
        <v>0</v>
      </c>
      <c r="J388" s="20">
        <f t="shared" si="320"/>
        <v>0</v>
      </c>
      <c r="K388" s="20">
        <f t="shared" si="321"/>
        <v>0</v>
      </c>
      <c r="L388" s="20">
        <f t="shared" si="322"/>
        <v>0</v>
      </c>
      <c r="M388" s="31" t="s">
        <v>2884</v>
      </c>
      <c r="N388" s="5"/>
      <c r="Z388" s="36">
        <f t="shared" si="323"/>
        <v>0</v>
      </c>
      <c r="AB388" s="36">
        <f t="shared" si="324"/>
        <v>0</v>
      </c>
      <c r="AC388" s="36">
        <f t="shared" si="325"/>
        <v>0</v>
      </c>
      <c r="AD388" s="36">
        <f t="shared" si="326"/>
        <v>0</v>
      </c>
      <c r="AE388" s="36">
        <f t="shared" si="327"/>
        <v>0</v>
      </c>
      <c r="AF388" s="36">
        <f t="shared" si="328"/>
        <v>0</v>
      </c>
      <c r="AG388" s="36">
        <f t="shared" si="329"/>
        <v>0</v>
      </c>
      <c r="AH388" s="36">
        <f t="shared" si="330"/>
        <v>0</v>
      </c>
      <c r="AI388" s="35" t="s">
        <v>2894</v>
      </c>
      <c r="AJ388" s="20">
        <f t="shared" si="331"/>
        <v>0</v>
      </c>
      <c r="AK388" s="20">
        <f t="shared" si="332"/>
        <v>0</v>
      </c>
      <c r="AL388" s="20">
        <f t="shared" si="333"/>
        <v>0</v>
      </c>
      <c r="AN388" s="36">
        <v>21</v>
      </c>
      <c r="AO388" s="36">
        <f t="shared" si="334"/>
        <v>0</v>
      </c>
      <c r="AP388" s="36">
        <f t="shared" si="335"/>
        <v>0</v>
      </c>
      <c r="AQ388" s="37" t="s">
        <v>13</v>
      </c>
      <c r="AV388" s="36">
        <f t="shared" si="336"/>
        <v>0</v>
      </c>
      <c r="AW388" s="36">
        <f t="shared" si="337"/>
        <v>0</v>
      </c>
      <c r="AX388" s="36">
        <f t="shared" si="338"/>
        <v>0</v>
      </c>
      <c r="AY388" s="39" t="s">
        <v>2928</v>
      </c>
      <c r="AZ388" s="39" t="s">
        <v>2954</v>
      </c>
      <c r="BA388" s="35" t="s">
        <v>2967</v>
      </c>
      <c r="BC388" s="36">
        <f t="shared" si="339"/>
        <v>0</v>
      </c>
      <c r="BD388" s="36">
        <f t="shared" si="340"/>
        <v>0</v>
      </c>
      <c r="BE388" s="36">
        <v>0</v>
      </c>
      <c r="BF388" s="36">
        <f>388</f>
        <v>388</v>
      </c>
      <c r="BH388" s="20">
        <f t="shared" si="341"/>
        <v>0</v>
      </c>
      <c r="BI388" s="20">
        <f t="shared" si="342"/>
        <v>0</v>
      </c>
      <c r="BJ388" s="20">
        <f t="shared" si="343"/>
        <v>0</v>
      </c>
      <c r="BK388" s="20" t="s">
        <v>2978</v>
      </c>
      <c r="BL388" s="36">
        <v>722</v>
      </c>
    </row>
    <row r="389" spans="1:64" x14ac:dyDescent="0.2">
      <c r="A389" s="4" t="s">
        <v>303</v>
      </c>
      <c r="B389" s="13" t="s">
        <v>1230</v>
      </c>
      <c r="C389" s="174" t="s">
        <v>2114</v>
      </c>
      <c r="D389" s="175"/>
      <c r="E389" s="175"/>
      <c r="F389" s="175"/>
      <c r="G389" s="13" t="s">
        <v>2862</v>
      </c>
      <c r="H389" s="82">
        <v>60</v>
      </c>
      <c r="I389" s="109">
        <v>0</v>
      </c>
      <c r="J389" s="20">
        <f t="shared" si="320"/>
        <v>0</v>
      </c>
      <c r="K389" s="20">
        <f t="shared" si="321"/>
        <v>0</v>
      </c>
      <c r="L389" s="20">
        <f t="shared" si="322"/>
        <v>0</v>
      </c>
      <c r="M389" s="31" t="s">
        <v>2884</v>
      </c>
      <c r="N389" s="5"/>
      <c r="Z389" s="36">
        <f t="shared" si="323"/>
        <v>0</v>
      </c>
      <c r="AB389" s="36">
        <f t="shared" si="324"/>
        <v>0</v>
      </c>
      <c r="AC389" s="36">
        <f t="shared" si="325"/>
        <v>0</v>
      </c>
      <c r="AD389" s="36">
        <f t="shared" si="326"/>
        <v>0</v>
      </c>
      <c r="AE389" s="36">
        <f t="shared" si="327"/>
        <v>0</v>
      </c>
      <c r="AF389" s="36">
        <f t="shared" si="328"/>
        <v>0</v>
      </c>
      <c r="AG389" s="36">
        <f t="shared" si="329"/>
        <v>0</v>
      </c>
      <c r="AH389" s="36">
        <f t="shared" si="330"/>
        <v>0</v>
      </c>
      <c r="AI389" s="35" t="s">
        <v>2894</v>
      </c>
      <c r="AJ389" s="20">
        <f t="shared" si="331"/>
        <v>0</v>
      </c>
      <c r="AK389" s="20">
        <f t="shared" si="332"/>
        <v>0</v>
      </c>
      <c r="AL389" s="20">
        <f t="shared" si="333"/>
        <v>0</v>
      </c>
      <c r="AN389" s="36">
        <v>21</v>
      </c>
      <c r="AO389" s="36">
        <f t="shared" si="334"/>
        <v>0</v>
      </c>
      <c r="AP389" s="36">
        <f t="shared" si="335"/>
        <v>0</v>
      </c>
      <c r="AQ389" s="37" t="s">
        <v>13</v>
      </c>
      <c r="AV389" s="36">
        <f t="shared" si="336"/>
        <v>0</v>
      </c>
      <c r="AW389" s="36">
        <f t="shared" si="337"/>
        <v>0</v>
      </c>
      <c r="AX389" s="36">
        <f t="shared" si="338"/>
        <v>0</v>
      </c>
      <c r="AY389" s="39" t="s">
        <v>2928</v>
      </c>
      <c r="AZ389" s="39" t="s">
        <v>2954</v>
      </c>
      <c r="BA389" s="35" t="s">
        <v>2967</v>
      </c>
      <c r="BC389" s="36">
        <f t="shared" si="339"/>
        <v>0</v>
      </c>
      <c r="BD389" s="36">
        <f t="shared" si="340"/>
        <v>0</v>
      </c>
      <c r="BE389" s="36">
        <v>0</v>
      </c>
      <c r="BF389" s="36">
        <f>389</f>
        <v>389</v>
      </c>
      <c r="BH389" s="20">
        <f t="shared" si="341"/>
        <v>0</v>
      </c>
      <c r="BI389" s="20">
        <f t="shared" si="342"/>
        <v>0</v>
      </c>
      <c r="BJ389" s="20">
        <f t="shared" si="343"/>
        <v>0</v>
      </c>
      <c r="BK389" s="20" t="s">
        <v>2978</v>
      </c>
      <c r="BL389" s="36">
        <v>722</v>
      </c>
    </row>
    <row r="390" spans="1:64" x14ac:dyDescent="0.2">
      <c r="A390" s="4" t="s">
        <v>304</v>
      </c>
      <c r="B390" s="13" t="s">
        <v>1231</v>
      </c>
      <c r="C390" s="174" t="s">
        <v>2223</v>
      </c>
      <c r="D390" s="175"/>
      <c r="E390" s="175"/>
      <c r="F390" s="175"/>
      <c r="G390" s="13" t="s">
        <v>2861</v>
      </c>
      <c r="H390" s="82">
        <v>1</v>
      </c>
      <c r="I390" s="109">
        <v>0</v>
      </c>
      <c r="J390" s="20">
        <f t="shared" si="320"/>
        <v>0</v>
      </c>
      <c r="K390" s="20">
        <f t="shared" si="321"/>
        <v>0</v>
      </c>
      <c r="L390" s="20">
        <f t="shared" si="322"/>
        <v>0</v>
      </c>
      <c r="M390" s="31" t="s">
        <v>2884</v>
      </c>
      <c r="N390" s="5"/>
      <c r="Z390" s="36">
        <f t="shared" si="323"/>
        <v>0</v>
      </c>
      <c r="AB390" s="36">
        <f t="shared" si="324"/>
        <v>0</v>
      </c>
      <c r="AC390" s="36">
        <f t="shared" si="325"/>
        <v>0</v>
      </c>
      <c r="AD390" s="36">
        <f t="shared" si="326"/>
        <v>0</v>
      </c>
      <c r="AE390" s="36">
        <f t="shared" si="327"/>
        <v>0</v>
      </c>
      <c r="AF390" s="36">
        <f t="shared" si="328"/>
        <v>0</v>
      </c>
      <c r="AG390" s="36">
        <f t="shared" si="329"/>
        <v>0</v>
      </c>
      <c r="AH390" s="36">
        <f t="shared" si="330"/>
        <v>0</v>
      </c>
      <c r="AI390" s="35" t="s">
        <v>2894</v>
      </c>
      <c r="AJ390" s="20">
        <f t="shared" si="331"/>
        <v>0</v>
      </c>
      <c r="AK390" s="20">
        <f t="shared" si="332"/>
        <v>0</v>
      </c>
      <c r="AL390" s="20">
        <f t="shared" si="333"/>
        <v>0</v>
      </c>
      <c r="AN390" s="36">
        <v>21</v>
      </c>
      <c r="AO390" s="36">
        <f t="shared" si="334"/>
        <v>0</v>
      </c>
      <c r="AP390" s="36">
        <f t="shared" si="335"/>
        <v>0</v>
      </c>
      <c r="AQ390" s="37" t="s">
        <v>13</v>
      </c>
      <c r="AV390" s="36">
        <f t="shared" si="336"/>
        <v>0</v>
      </c>
      <c r="AW390" s="36">
        <f t="shared" si="337"/>
        <v>0</v>
      </c>
      <c r="AX390" s="36">
        <f t="shared" si="338"/>
        <v>0</v>
      </c>
      <c r="AY390" s="39" t="s">
        <v>2928</v>
      </c>
      <c r="AZ390" s="39" t="s">
        <v>2954</v>
      </c>
      <c r="BA390" s="35" t="s">
        <v>2967</v>
      </c>
      <c r="BC390" s="36">
        <f t="shared" si="339"/>
        <v>0</v>
      </c>
      <c r="BD390" s="36">
        <f t="shared" si="340"/>
        <v>0</v>
      </c>
      <c r="BE390" s="36">
        <v>0</v>
      </c>
      <c r="BF390" s="36">
        <f>390</f>
        <v>390</v>
      </c>
      <c r="BH390" s="20">
        <f t="shared" si="341"/>
        <v>0</v>
      </c>
      <c r="BI390" s="20">
        <f t="shared" si="342"/>
        <v>0</v>
      </c>
      <c r="BJ390" s="20">
        <f t="shared" si="343"/>
        <v>0</v>
      </c>
      <c r="BK390" s="20" t="s">
        <v>2978</v>
      </c>
      <c r="BL390" s="36">
        <v>722</v>
      </c>
    </row>
    <row r="391" spans="1:64" x14ac:dyDescent="0.2">
      <c r="A391" s="4" t="s">
        <v>305</v>
      </c>
      <c r="B391" s="13" t="s">
        <v>1232</v>
      </c>
      <c r="C391" s="174" t="s">
        <v>2224</v>
      </c>
      <c r="D391" s="175"/>
      <c r="E391" s="175"/>
      <c r="F391" s="175"/>
      <c r="G391" s="13" t="s">
        <v>2861</v>
      </c>
      <c r="H391" s="82">
        <v>1</v>
      </c>
      <c r="I391" s="109">
        <v>0</v>
      </c>
      <c r="J391" s="20">
        <f t="shared" si="320"/>
        <v>0</v>
      </c>
      <c r="K391" s="20">
        <f t="shared" si="321"/>
        <v>0</v>
      </c>
      <c r="L391" s="20">
        <f t="shared" si="322"/>
        <v>0</v>
      </c>
      <c r="M391" s="31" t="s">
        <v>2884</v>
      </c>
      <c r="N391" s="5"/>
      <c r="Z391" s="36">
        <f t="shared" si="323"/>
        <v>0</v>
      </c>
      <c r="AB391" s="36">
        <f t="shared" si="324"/>
        <v>0</v>
      </c>
      <c r="AC391" s="36">
        <f t="shared" si="325"/>
        <v>0</v>
      </c>
      <c r="AD391" s="36">
        <f t="shared" si="326"/>
        <v>0</v>
      </c>
      <c r="AE391" s="36">
        <f t="shared" si="327"/>
        <v>0</v>
      </c>
      <c r="AF391" s="36">
        <f t="shared" si="328"/>
        <v>0</v>
      </c>
      <c r="AG391" s="36">
        <f t="shared" si="329"/>
        <v>0</v>
      </c>
      <c r="AH391" s="36">
        <f t="shared" si="330"/>
        <v>0</v>
      </c>
      <c r="AI391" s="35" t="s">
        <v>2894</v>
      </c>
      <c r="AJ391" s="20">
        <f t="shared" si="331"/>
        <v>0</v>
      </c>
      <c r="AK391" s="20">
        <f t="shared" si="332"/>
        <v>0</v>
      </c>
      <c r="AL391" s="20">
        <f t="shared" si="333"/>
        <v>0</v>
      </c>
      <c r="AN391" s="36">
        <v>21</v>
      </c>
      <c r="AO391" s="36">
        <f t="shared" si="334"/>
        <v>0</v>
      </c>
      <c r="AP391" s="36">
        <f t="shared" si="335"/>
        <v>0</v>
      </c>
      <c r="AQ391" s="37" t="s">
        <v>13</v>
      </c>
      <c r="AV391" s="36">
        <f t="shared" si="336"/>
        <v>0</v>
      </c>
      <c r="AW391" s="36">
        <f t="shared" si="337"/>
        <v>0</v>
      </c>
      <c r="AX391" s="36">
        <f t="shared" si="338"/>
        <v>0</v>
      </c>
      <c r="AY391" s="39" t="s">
        <v>2928</v>
      </c>
      <c r="AZ391" s="39" t="s">
        <v>2954</v>
      </c>
      <c r="BA391" s="35" t="s">
        <v>2967</v>
      </c>
      <c r="BC391" s="36">
        <f t="shared" si="339"/>
        <v>0</v>
      </c>
      <c r="BD391" s="36">
        <f t="shared" si="340"/>
        <v>0</v>
      </c>
      <c r="BE391" s="36">
        <v>0</v>
      </c>
      <c r="BF391" s="36">
        <f>391</f>
        <v>391</v>
      </c>
      <c r="BH391" s="20">
        <f t="shared" si="341"/>
        <v>0</v>
      </c>
      <c r="BI391" s="20">
        <f t="shared" si="342"/>
        <v>0</v>
      </c>
      <c r="BJ391" s="20">
        <f t="shared" si="343"/>
        <v>0</v>
      </c>
      <c r="BK391" s="20" t="s">
        <v>2978</v>
      </c>
      <c r="BL391" s="36">
        <v>722</v>
      </c>
    </row>
    <row r="392" spans="1:64" x14ac:dyDescent="0.2">
      <c r="A392" s="4" t="s">
        <v>306</v>
      </c>
      <c r="B392" s="13" t="s">
        <v>1233</v>
      </c>
      <c r="C392" s="174" t="s">
        <v>2225</v>
      </c>
      <c r="D392" s="175"/>
      <c r="E392" s="175"/>
      <c r="F392" s="175"/>
      <c r="G392" s="13" t="s">
        <v>2860</v>
      </c>
      <c r="H392" s="82">
        <v>6</v>
      </c>
      <c r="I392" s="109">
        <v>0</v>
      </c>
      <c r="J392" s="20">
        <f t="shared" si="320"/>
        <v>0</v>
      </c>
      <c r="K392" s="20">
        <f t="shared" si="321"/>
        <v>0</v>
      </c>
      <c r="L392" s="20">
        <f t="shared" si="322"/>
        <v>0</v>
      </c>
      <c r="M392" s="31" t="s">
        <v>2884</v>
      </c>
      <c r="N392" s="5"/>
      <c r="Z392" s="36">
        <f t="shared" si="323"/>
        <v>0</v>
      </c>
      <c r="AB392" s="36">
        <f t="shared" si="324"/>
        <v>0</v>
      </c>
      <c r="AC392" s="36">
        <f t="shared" si="325"/>
        <v>0</v>
      </c>
      <c r="AD392" s="36">
        <f t="shared" si="326"/>
        <v>0</v>
      </c>
      <c r="AE392" s="36">
        <f t="shared" si="327"/>
        <v>0</v>
      </c>
      <c r="AF392" s="36">
        <f t="shared" si="328"/>
        <v>0</v>
      </c>
      <c r="AG392" s="36">
        <f t="shared" si="329"/>
        <v>0</v>
      </c>
      <c r="AH392" s="36">
        <f t="shared" si="330"/>
        <v>0</v>
      </c>
      <c r="AI392" s="35" t="s">
        <v>2894</v>
      </c>
      <c r="AJ392" s="20">
        <f t="shared" si="331"/>
        <v>0</v>
      </c>
      <c r="AK392" s="20">
        <f t="shared" si="332"/>
        <v>0</v>
      </c>
      <c r="AL392" s="20">
        <f t="shared" si="333"/>
        <v>0</v>
      </c>
      <c r="AN392" s="36">
        <v>21</v>
      </c>
      <c r="AO392" s="36">
        <f t="shared" si="334"/>
        <v>0</v>
      </c>
      <c r="AP392" s="36">
        <f t="shared" si="335"/>
        <v>0</v>
      </c>
      <c r="AQ392" s="37" t="s">
        <v>13</v>
      </c>
      <c r="AV392" s="36">
        <f t="shared" si="336"/>
        <v>0</v>
      </c>
      <c r="AW392" s="36">
        <f t="shared" si="337"/>
        <v>0</v>
      </c>
      <c r="AX392" s="36">
        <f t="shared" si="338"/>
        <v>0</v>
      </c>
      <c r="AY392" s="39" t="s">
        <v>2928</v>
      </c>
      <c r="AZ392" s="39" t="s">
        <v>2954</v>
      </c>
      <c r="BA392" s="35" t="s">
        <v>2967</v>
      </c>
      <c r="BC392" s="36">
        <f t="shared" si="339"/>
        <v>0</v>
      </c>
      <c r="BD392" s="36">
        <f t="shared" si="340"/>
        <v>0</v>
      </c>
      <c r="BE392" s="36">
        <v>0</v>
      </c>
      <c r="BF392" s="36">
        <f>392</f>
        <v>392</v>
      </c>
      <c r="BH392" s="20">
        <f t="shared" si="341"/>
        <v>0</v>
      </c>
      <c r="BI392" s="20">
        <f t="shared" si="342"/>
        <v>0</v>
      </c>
      <c r="BJ392" s="20">
        <f t="shared" si="343"/>
        <v>0</v>
      </c>
      <c r="BK392" s="20" t="s">
        <v>2978</v>
      </c>
      <c r="BL392" s="36">
        <v>722</v>
      </c>
    </row>
    <row r="393" spans="1:64" x14ac:dyDescent="0.2">
      <c r="A393" s="4" t="s">
        <v>307</v>
      </c>
      <c r="B393" s="13" t="s">
        <v>1234</v>
      </c>
      <c r="C393" s="174" t="s">
        <v>2226</v>
      </c>
      <c r="D393" s="175"/>
      <c r="E393" s="175"/>
      <c r="F393" s="175"/>
      <c r="G393" s="13" t="s">
        <v>2855</v>
      </c>
      <c r="H393" s="82">
        <v>493</v>
      </c>
      <c r="I393" s="109">
        <v>0</v>
      </c>
      <c r="J393" s="20">
        <f t="shared" si="320"/>
        <v>0</v>
      </c>
      <c r="K393" s="20">
        <f t="shared" si="321"/>
        <v>0</v>
      </c>
      <c r="L393" s="20">
        <f t="shared" si="322"/>
        <v>0</v>
      </c>
      <c r="M393" s="31" t="s">
        <v>2884</v>
      </c>
      <c r="N393" s="5"/>
      <c r="Z393" s="36">
        <f t="shared" si="323"/>
        <v>0</v>
      </c>
      <c r="AB393" s="36">
        <f t="shared" si="324"/>
        <v>0</v>
      </c>
      <c r="AC393" s="36">
        <f t="shared" si="325"/>
        <v>0</v>
      </c>
      <c r="AD393" s="36">
        <f t="shared" si="326"/>
        <v>0</v>
      </c>
      <c r="AE393" s="36">
        <f t="shared" si="327"/>
        <v>0</v>
      </c>
      <c r="AF393" s="36">
        <f t="shared" si="328"/>
        <v>0</v>
      </c>
      <c r="AG393" s="36">
        <f t="shared" si="329"/>
        <v>0</v>
      </c>
      <c r="AH393" s="36">
        <f t="shared" si="330"/>
        <v>0</v>
      </c>
      <c r="AI393" s="35" t="s">
        <v>2894</v>
      </c>
      <c r="AJ393" s="20">
        <f t="shared" si="331"/>
        <v>0</v>
      </c>
      <c r="AK393" s="20">
        <f t="shared" si="332"/>
        <v>0</v>
      </c>
      <c r="AL393" s="20">
        <f t="shared" si="333"/>
        <v>0</v>
      </c>
      <c r="AN393" s="36">
        <v>21</v>
      </c>
      <c r="AO393" s="36">
        <f t="shared" si="334"/>
        <v>0</v>
      </c>
      <c r="AP393" s="36">
        <f t="shared" si="335"/>
        <v>0</v>
      </c>
      <c r="AQ393" s="37" t="s">
        <v>13</v>
      </c>
      <c r="AV393" s="36">
        <f t="shared" si="336"/>
        <v>0</v>
      </c>
      <c r="AW393" s="36">
        <f t="shared" si="337"/>
        <v>0</v>
      </c>
      <c r="AX393" s="36">
        <f t="shared" si="338"/>
        <v>0</v>
      </c>
      <c r="AY393" s="39" t="s">
        <v>2928</v>
      </c>
      <c r="AZ393" s="39" t="s">
        <v>2954</v>
      </c>
      <c r="BA393" s="35" t="s">
        <v>2967</v>
      </c>
      <c r="BC393" s="36">
        <f t="shared" si="339"/>
        <v>0</v>
      </c>
      <c r="BD393" s="36">
        <f t="shared" si="340"/>
        <v>0</v>
      </c>
      <c r="BE393" s="36">
        <v>0</v>
      </c>
      <c r="BF393" s="36">
        <f>393</f>
        <v>393</v>
      </c>
      <c r="BH393" s="20">
        <f t="shared" si="341"/>
        <v>0</v>
      </c>
      <c r="BI393" s="20">
        <f t="shared" si="342"/>
        <v>0</v>
      </c>
      <c r="BJ393" s="20">
        <f t="shared" si="343"/>
        <v>0</v>
      </c>
      <c r="BK393" s="20" t="s">
        <v>2978</v>
      </c>
      <c r="BL393" s="36">
        <v>722</v>
      </c>
    </row>
    <row r="394" spans="1:64" x14ac:dyDescent="0.2">
      <c r="A394" s="4" t="s">
        <v>308</v>
      </c>
      <c r="B394" s="13" t="s">
        <v>1235</v>
      </c>
      <c r="C394" s="174" t="s">
        <v>2227</v>
      </c>
      <c r="D394" s="175"/>
      <c r="E394" s="175"/>
      <c r="F394" s="175"/>
      <c r="G394" s="13" t="s">
        <v>2855</v>
      </c>
      <c r="H394" s="82">
        <v>493</v>
      </c>
      <c r="I394" s="109">
        <v>0</v>
      </c>
      <c r="J394" s="20">
        <f t="shared" si="320"/>
        <v>0</v>
      </c>
      <c r="K394" s="20">
        <f t="shared" si="321"/>
        <v>0</v>
      </c>
      <c r="L394" s="20">
        <f t="shared" si="322"/>
        <v>0</v>
      </c>
      <c r="M394" s="31" t="s">
        <v>2884</v>
      </c>
      <c r="N394" s="5"/>
      <c r="Z394" s="36">
        <f t="shared" si="323"/>
        <v>0</v>
      </c>
      <c r="AB394" s="36">
        <f t="shared" si="324"/>
        <v>0</v>
      </c>
      <c r="AC394" s="36">
        <f t="shared" si="325"/>
        <v>0</v>
      </c>
      <c r="AD394" s="36">
        <f t="shared" si="326"/>
        <v>0</v>
      </c>
      <c r="AE394" s="36">
        <f t="shared" si="327"/>
        <v>0</v>
      </c>
      <c r="AF394" s="36">
        <f t="shared" si="328"/>
        <v>0</v>
      </c>
      <c r="AG394" s="36">
        <f t="shared" si="329"/>
        <v>0</v>
      </c>
      <c r="AH394" s="36">
        <f t="shared" si="330"/>
        <v>0</v>
      </c>
      <c r="AI394" s="35" t="s">
        <v>2894</v>
      </c>
      <c r="AJ394" s="20">
        <f t="shared" si="331"/>
        <v>0</v>
      </c>
      <c r="AK394" s="20">
        <f t="shared" si="332"/>
        <v>0</v>
      </c>
      <c r="AL394" s="20">
        <f t="shared" si="333"/>
        <v>0</v>
      </c>
      <c r="AN394" s="36">
        <v>21</v>
      </c>
      <c r="AO394" s="36">
        <f t="shared" si="334"/>
        <v>0</v>
      </c>
      <c r="AP394" s="36">
        <f t="shared" si="335"/>
        <v>0</v>
      </c>
      <c r="AQ394" s="37" t="s">
        <v>13</v>
      </c>
      <c r="AV394" s="36">
        <f t="shared" si="336"/>
        <v>0</v>
      </c>
      <c r="AW394" s="36">
        <f t="shared" si="337"/>
        <v>0</v>
      </c>
      <c r="AX394" s="36">
        <f t="shared" si="338"/>
        <v>0</v>
      </c>
      <c r="AY394" s="39" t="s">
        <v>2928</v>
      </c>
      <c r="AZ394" s="39" t="s">
        <v>2954</v>
      </c>
      <c r="BA394" s="35" t="s">
        <v>2967</v>
      </c>
      <c r="BC394" s="36">
        <f t="shared" si="339"/>
        <v>0</v>
      </c>
      <c r="BD394" s="36">
        <f t="shared" si="340"/>
        <v>0</v>
      </c>
      <c r="BE394" s="36">
        <v>0</v>
      </c>
      <c r="BF394" s="36">
        <f>394</f>
        <v>394</v>
      </c>
      <c r="BH394" s="20">
        <f t="shared" si="341"/>
        <v>0</v>
      </c>
      <c r="BI394" s="20">
        <f t="shared" si="342"/>
        <v>0</v>
      </c>
      <c r="BJ394" s="20">
        <f t="shared" si="343"/>
        <v>0</v>
      </c>
      <c r="BK394" s="20" t="s">
        <v>2978</v>
      </c>
      <c r="BL394" s="36">
        <v>722</v>
      </c>
    </row>
    <row r="395" spans="1:64" x14ac:dyDescent="0.2">
      <c r="A395" s="4" t="s">
        <v>309</v>
      </c>
      <c r="B395" s="13" t="s">
        <v>1236</v>
      </c>
      <c r="C395" s="174" t="s">
        <v>2228</v>
      </c>
      <c r="D395" s="175"/>
      <c r="E395" s="175"/>
      <c r="F395" s="175"/>
      <c r="G395" s="13" t="s">
        <v>2855</v>
      </c>
      <c r="H395" s="82">
        <v>493</v>
      </c>
      <c r="I395" s="109">
        <v>0</v>
      </c>
      <c r="J395" s="20">
        <f t="shared" si="320"/>
        <v>0</v>
      </c>
      <c r="K395" s="20">
        <f t="shared" si="321"/>
        <v>0</v>
      </c>
      <c r="L395" s="20">
        <f t="shared" si="322"/>
        <v>0</v>
      </c>
      <c r="M395" s="31" t="s">
        <v>2884</v>
      </c>
      <c r="N395" s="5"/>
      <c r="Z395" s="36">
        <f t="shared" si="323"/>
        <v>0</v>
      </c>
      <c r="AB395" s="36">
        <f t="shared" si="324"/>
        <v>0</v>
      </c>
      <c r="AC395" s="36">
        <f t="shared" si="325"/>
        <v>0</v>
      </c>
      <c r="AD395" s="36">
        <f t="shared" si="326"/>
        <v>0</v>
      </c>
      <c r="AE395" s="36">
        <f t="shared" si="327"/>
        <v>0</v>
      </c>
      <c r="AF395" s="36">
        <f t="shared" si="328"/>
        <v>0</v>
      </c>
      <c r="AG395" s="36">
        <f t="shared" si="329"/>
        <v>0</v>
      </c>
      <c r="AH395" s="36">
        <f t="shared" si="330"/>
        <v>0</v>
      </c>
      <c r="AI395" s="35" t="s">
        <v>2894</v>
      </c>
      <c r="AJ395" s="20">
        <f t="shared" si="331"/>
        <v>0</v>
      </c>
      <c r="AK395" s="20">
        <f t="shared" si="332"/>
        <v>0</v>
      </c>
      <c r="AL395" s="20">
        <f t="shared" si="333"/>
        <v>0</v>
      </c>
      <c r="AN395" s="36">
        <v>21</v>
      </c>
      <c r="AO395" s="36">
        <f t="shared" si="334"/>
        <v>0</v>
      </c>
      <c r="AP395" s="36">
        <f t="shared" si="335"/>
        <v>0</v>
      </c>
      <c r="AQ395" s="37" t="s">
        <v>13</v>
      </c>
      <c r="AV395" s="36">
        <f t="shared" si="336"/>
        <v>0</v>
      </c>
      <c r="AW395" s="36">
        <f t="shared" si="337"/>
        <v>0</v>
      </c>
      <c r="AX395" s="36">
        <f t="shared" si="338"/>
        <v>0</v>
      </c>
      <c r="AY395" s="39" t="s">
        <v>2928</v>
      </c>
      <c r="AZ395" s="39" t="s">
        <v>2954</v>
      </c>
      <c r="BA395" s="35" t="s">
        <v>2967</v>
      </c>
      <c r="BC395" s="36">
        <f t="shared" si="339"/>
        <v>0</v>
      </c>
      <c r="BD395" s="36">
        <f t="shared" si="340"/>
        <v>0</v>
      </c>
      <c r="BE395" s="36">
        <v>0</v>
      </c>
      <c r="BF395" s="36">
        <f>395</f>
        <v>395</v>
      </c>
      <c r="BH395" s="20">
        <f t="shared" si="341"/>
        <v>0</v>
      </c>
      <c r="BI395" s="20">
        <f t="shared" si="342"/>
        <v>0</v>
      </c>
      <c r="BJ395" s="20">
        <f t="shared" si="343"/>
        <v>0</v>
      </c>
      <c r="BK395" s="20" t="s">
        <v>2978</v>
      </c>
      <c r="BL395" s="36">
        <v>722</v>
      </c>
    </row>
    <row r="396" spans="1:64" x14ac:dyDescent="0.2">
      <c r="A396" s="4" t="s">
        <v>310</v>
      </c>
      <c r="B396" s="13" t="s">
        <v>1237</v>
      </c>
      <c r="C396" s="174" t="s">
        <v>2120</v>
      </c>
      <c r="D396" s="175"/>
      <c r="E396" s="175"/>
      <c r="F396" s="175"/>
      <c r="G396" s="13" t="s">
        <v>2862</v>
      </c>
      <c r="H396" s="82">
        <v>120</v>
      </c>
      <c r="I396" s="109">
        <v>0</v>
      </c>
      <c r="J396" s="20">
        <f t="shared" si="320"/>
        <v>0</v>
      </c>
      <c r="K396" s="20">
        <f t="shared" si="321"/>
        <v>0</v>
      </c>
      <c r="L396" s="20">
        <f t="shared" si="322"/>
        <v>0</v>
      </c>
      <c r="M396" s="31" t="s">
        <v>2884</v>
      </c>
      <c r="N396" s="5"/>
      <c r="Z396" s="36">
        <f t="shared" si="323"/>
        <v>0</v>
      </c>
      <c r="AB396" s="36">
        <f t="shared" si="324"/>
        <v>0</v>
      </c>
      <c r="AC396" s="36">
        <f t="shared" si="325"/>
        <v>0</v>
      </c>
      <c r="AD396" s="36">
        <f t="shared" si="326"/>
        <v>0</v>
      </c>
      <c r="AE396" s="36">
        <f t="shared" si="327"/>
        <v>0</v>
      </c>
      <c r="AF396" s="36">
        <f t="shared" si="328"/>
        <v>0</v>
      </c>
      <c r="AG396" s="36">
        <f t="shared" si="329"/>
        <v>0</v>
      </c>
      <c r="AH396" s="36">
        <f t="shared" si="330"/>
        <v>0</v>
      </c>
      <c r="AI396" s="35" t="s">
        <v>2894</v>
      </c>
      <c r="AJ396" s="20">
        <f t="shared" si="331"/>
        <v>0</v>
      </c>
      <c r="AK396" s="20">
        <f t="shared" si="332"/>
        <v>0</v>
      </c>
      <c r="AL396" s="20">
        <f t="shared" si="333"/>
        <v>0</v>
      </c>
      <c r="AN396" s="36">
        <v>21</v>
      </c>
      <c r="AO396" s="36">
        <f t="shared" si="334"/>
        <v>0</v>
      </c>
      <c r="AP396" s="36">
        <f t="shared" si="335"/>
        <v>0</v>
      </c>
      <c r="AQ396" s="37" t="s">
        <v>13</v>
      </c>
      <c r="AV396" s="36">
        <f t="shared" si="336"/>
        <v>0</v>
      </c>
      <c r="AW396" s="36">
        <f t="shared" si="337"/>
        <v>0</v>
      </c>
      <c r="AX396" s="36">
        <f t="shared" si="338"/>
        <v>0</v>
      </c>
      <c r="AY396" s="39" t="s">
        <v>2928</v>
      </c>
      <c r="AZ396" s="39" t="s">
        <v>2954</v>
      </c>
      <c r="BA396" s="35" t="s">
        <v>2967</v>
      </c>
      <c r="BC396" s="36">
        <f t="shared" si="339"/>
        <v>0</v>
      </c>
      <c r="BD396" s="36">
        <f t="shared" si="340"/>
        <v>0</v>
      </c>
      <c r="BE396" s="36">
        <v>0</v>
      </c>
      <c r="BF396" s="36">
        <f>396</f>
        <v>396</v>
      </c>
      <c r="BH396" s="20">
        <f t="shared" si="341"/>
        <v>0</v>
      </c>
      <c r="BI396" s="20">
        <f t="shared" si="342"/>
        <v>0</v>
      </c>
      <c r="BJ396" s="20">
        <f t="shared" si="343"/>
        <v>0</v>
      </c>
      <c r="BK396" s="20" t="s">
        <v>2978</v>
      </c>
      <c r="BL396" s="36">
        <v>722</v>
      </c>
    </row>
    <row r="397" spans="1:64" x14ac:dyDescent="0.2">
      <c r="A397" s="4" t="s">
        <v>311</v>
      </c>
      <c r="B397" s="13" t="s">
        <v>1238</v>
      </c>
      <c r="C397" s="174" t="s">
        <v>2121</v>
      </c>
      <c r="D397" s="175"/>
      <c r="E397" s="175"/>
      <c r="F397" s="175"/>
      <c r="G397" s="13" t="s">
        <v>2861</v>
      </c>
      <c r="H397" s="82">
        <v>1</v>
      </c>
      <c r="I397" s="109">
        <v>0</v>
      </c>
      <c r="J397" s="20">
        <f t="shared" si="320"/>
        <v>0</v>
      </c>
      <c r="K397" s="20">
        <f t="shared" si="321"/>
        <v>0</v>
      </c>
      <c r="L397" s="20">
        <f t="shared" si="322"/>
        <v>0</v>
      </c>
      <c r="M397" s="31" t="s">
        <v>2884</v>
      </c>
      <c r="N397" s="5"/>
      <c r="Z397" s="36">
        <f t="shared" si="323"/>
        <v>0</v>
      </c>
      <c r="AB397" s="36">
        <f t="shared" si="324"/>
        <v>0</v>
      </c>
      <c r="AC397" s="36">
        <f t="shared" si="325"/>
        <v>0</v>
      </c>
      <c r="AD397" s="36">
        <f t="shared" si="326"/>
        <v>0</v>
      </c>
      <c r="AE397" s="36">
        <f t="shared" si="327"/>
        <v>0</v>
      </c>
      <c r="AF397" s="36">
        <f t="shared" si="328"/>
        <v>0</v>
      </c>
      <c r="AG397" s="36">
        <f t="shared" si="329"/>
        <v>0</v>
      </c>
      <c r="AH397" s="36">
        <f t="shared" si="330"/>
        <v>0</v>
      </c>
      <c r="AI397" s="35" t="s">
        <v>2894</v>
      </c>
      <c r="AJ397" s="20">
        <f t="shared" si="331"/>
        <v>0</v>
      </c>
      <c r="AK397" s="20">
        <f t="shared" si="332"/>
        <v>0</v>
      </c>
      <c r="AL397" s="20">
        <f t="shared" si="333"/>
        <v>0</v>
      </c>
      <c r="AN397" s="36">
        <v>21</v>
      </c>
      <c r="AO397" s="36">
        <f t="shared" si="334"/>
        <v>0</v>
      </c>
      <c r="AP397" s="36">
        <f t="shared" si="335"/>
        <v>0</v>
      </c>
      <c r="AQ397" s="37" t="s">
        <v>13</v>
      </c>
      <c r="AV397" s="36">
        <f t="shared" si="336"/>
        <v>0</v>
      </c>
      <c r="AW397" s="36">
        <f t="shared" si="337"/>
        <v>0</v>
      </c>
      <c r="AX397" s="36">
        <f t="shared" si="338"/>
        <v>0</v>
      </c>
      <c r="AY397" s="39" t="s">
        <v>2928</v>
      </c>
      <c r="AZ397" s="39" t="s">
        <v>2954</v>
      </c>
      <c r="BA397" s="35" t="s">
        <v>2967</v>
      </c>
      <c r="BC397" s="36">
        <f t="shared" si="339"/>
        <v>0</v>
      </c>
      <c r="BD397" s="36">
        <f t="shared" si="340"/>
        <v>0</v>
      </c>
      <c r="BE397" s="36">
        <v>0</v>
      </c>
      <c r="BF397" s="36">
        <f>397</f>
        <v>397</v>
      </c>
      <c r="BH397" s="20">
        <f t="shared" si="341"/>
        <v>0</v>
      </c>
      <c r="BI397" s="20">
        <f t="shared" si="342"/>
        <v>0</v>
      </c>
      <c r="BJ397" s="20">
        <f t="shared" si="343"/>
        <v>0</v>
      </c>
      <c r="BK397" s="20" t="s">
        <v>2978</v>
      </c>
      <c r="BL397" s="36">
        <v>722</v>
      </c>
    </row>
    <row r="398" spans="1:64" x14ac:dyDescent="0.2">
      <c r="A398" s="4" t="s">
        <v>312</v>
      </c>
      <c r="B398" s="13" t="s">
        <v>1239</v>
      </c>
      <c r="C398" s="174" t="s">
        <v>2122</v>
      </c>
      <c r="D398" s="175"/>
      <c r="E398" s="175"/>
      <c r="F398" s="175"/>
      <c r="G398" s="13" t="s">
        <v>2860</v>
      </c>
      <c r="H398" s="82">
        <v>1</v>
      </c>
      <c r="I398" s="109">
        <v>0</v>
      </c>
      <c r="J398" s="20">
        <f t="shared" si="320"/>
        <v>0</v>
      </c>
      <c r="K398" s="20">
        <f t="shared" si="321"/>
        <v>0</v>
      </c>
      <c r="L398" s="20">
        <f t="shared" si="322"/>
        <v>0</v>
      </c>
      <c r="M398" s="31" t="s">
        <v>2884</v>
      </c>
      <c r="N398" s="5"/>
      <c r="Z398" s="36">
        <f t="shared" si="323"/>
        <v>0</v>
      </c>
      <c r="AB398" s="36">
        <f t="shared" si="324"/>
        <v>0</v>
      </c>
      <c r="AC398" s="36">
        <f t="shared" si="325"/>
        <v>0</v>
      </c>
      <c r="AD398" s="36">
        <f t="shared" si="326"/>
        <v>0</v>
      </c>
      <c r="AE398" s="36">
        <f t="shared" si="327"/>
        <v>0</v>
      </c>
      <c r="AF398" s="36">
        <f t="shared" si="328"/>
        <v>0</v>
      </c>
      <c r="AG398" s="36">
        <f t="shared" si="329"/>
        <v>0</v>
      </c>
      <c r="AH398" s="36">
        <f t="shared" si="330"/>
        <v>0</v>
      </c>
      <c r="AI398" s="35" t="s">
        <v>2894</v>
      </c>
      <c r="AJ398" s="20">
        <f t="shared" si="331"/>
        <v>0</v>
      </c>
      <c r="AK398" s="20">
        <f t="shared" si="332"/>
        <v>0</v>
      </c>
      <c r="AL398" s="20">
        <f t="shared" si="333"/>
        <v>0</v>
      </c>
      <c r="AN398" s="36">
        <v>21</v>
      </c>
      <c r="AO398" s="36">
        <f t="shared" si="334"/>
        <v>0</v>
      </c>
      <c r="AP398" s="36">
        <f t="shared" si="335"/>
        <v>0</v>
      </c>
      <c r="AQ398" s="37" t="s">
        <v>13</v>
      </c>
      <c r="AV398" s="36">
        <f t="shared" si="336"/>
        <v>0</v>
      </c>
      <c r="AW398" s="36">
        <f t="shared" si="337"/>
        <v>0</v>
      </c>
      <c r="AX398" s="36">
        <f t="shared" si="338"/>
        <v>0</v>
      </c>
      <c r="AY398" s="39" t="s">
        <v>2928</v>
      </c>
      <c r="AZ398" s="39" t="s">
        <v>2954</v>
      </c>
      <c r="BA398" s="35" t="s">
        <v>2967</v>
      </c>
      <c r="BC398" s="36">
        <f t="shared" si="339"/>
        <v>0</v>
      </c>
      <c r="BD398" s="36">
        <f t="shared" si="340"/>
        <v>0</v>
      </c>
      <c r="BE398" s="36">
        <v>0</v>
      </c>
      <c r="BF398" s="36">
        <f>398</f>
        <v>398</v>
      </c>
      <c r="BH398" s="20">
        <f t="shared" si="341"/>
        <v>0</v>
      </c>
      <c r="BI398" s="20">
        <f t="shared" si="342"/>
        <v>0</v>
      </c>
      <c r="BJ398" s="20">
        <f t="shared" si="343"/>
        <v>0</v>
      </c>
      <c r="BK398" s="20" t="s">
        <v>2978</v>
      </c>
      <c r="BL398" s="36">
        <v>722</v>
      </c>
    </row>
    <row r="399" spans="1:64" x14ac:dyDescent="0.2">
      <c r="A399" s="4" t="s">
        <v>313</v>
      </c>
      <c r="B399" s="13" t="s">
        <v>1240</v>
      </c>
      <c r="C399" s="174" t="s">
        <v>2123</v>
      </c>
      <c r="D399" s="175"/>
      <c r="E399" s="175"/>
      <c r="F399" s="175"/>
      <c r="G399" s="13" t="s">
        <v>2861</v>
      </c>
      <c r="H399" s="82">
        <v>1</v>
      </c>
      <c r="I399" s="109">
        <v>0</v>
      </c>
      <c r="J399" s="20">
        <f t="shared" si="320"/>
        <v>0</v>
      </c>
      <c r="K399" s="20">
        <f t="shared" si="321"/>
        <v>0</v>
      </c>
      <c r="L399" s="20">
        <f t="shared" si="322"/>
        <v>0</v>
      </c>
      <c r="M399" s="31" t="s">
        <v>2884</v>
      </c>
      <c r="N399" s="5"/>
      <c r="Z399" s="36">
        <f t="shared" si="323"/>
        <v>0</v>
      </c>
      <c r="AB399" s="36">
        <f t="shared" si="324"/>
        <v>0</v>
      </c>
      <c r="AC399" s="36">
        <f t="shared" si="325"/>
        <v>0</v>
      </c>
      <c r="AD399" s="36">
        <f t="shared" si="326"/>
        <v>0</v>
      </c>
      <c r="AE399" s="36">
        <f t="shared" si="327"/>
        <v>0</v>
      </c>
      <c r="AF399" s="36">
        <f t="shared" si="328"/>
        <v>0</v>
      </c>
      <c r="AG399" s="36">
        <f t="shared" si="329"/>
        <v>0</v>
      </c>
      <c r="AH399" s="36">
        <f t="shared" si="330"/>
        <v>0</v>
      </c>
      <c r="AI399" s="35" t="s">
        <v>2894</v>
      </c>
      <c r="AJ399" s="20">
        <f t="shared" si="331"/>
        <v>0</v>
      </c>
      <c r="AK399" s="20">
        <f t="shared" si="332"/>
        <v>0</v>
      </c>
      <c r="AL399" s="20">
        <f t="shared" si="333"/>
        <v>0</v>
      </c>
      <c r="AN399" s="36">
        <v>21</v>
      </c>
      <c r="AO399" s="36">
        <f t="shared" si="334"/>
        <v>0</v>
      </c>
      <c r="AP399" s="36">
        <f t="shared" si="335"/>
        <v>0</v>
      </c>
      <c r="AQ399" s="37" t="s">
        <v>13</v>
      </c>
      <c r="AV399" s="36">
        <f t="shared" si="336"/>
        <v>0</v>
      </c>
      <c r="AW399" s="36">
        <f t="shared" si="337"/>
        <v>0</v>
      </c>
      <c r="AX399" s="36">
        <f t="shared" si="338"/>
        <v>0</v>
      </c>
      <c r="AY399" s="39" t="s">
        <v>2928</v>
      </c>
      <c r="AZ399" s="39" t="s">
        <v>2954</v>
      </c>
      <c r="BA399" s="35" t="s">
        <v>2967</v>
      </c>
      <c r="BC399" s="36">
        <f t="shared" si="339"/>
        <v>0</v>
      </c>
      <c r="BD399" s="36">
        <f t="shared" si="340"/>
        <v>0</v>
      </c>
      <c r="BE399" s="36">
        <v>0</v>
      </c>
      <c r="BF399" s="36">
        <f>399</f>
        <v>399</v>
      </c>
      <c r="BH399" s="20">
        <f t="shared" si="341"/>
        <v>0</v>
      </c>
      <c r="BI399" s="20">
        <f t="shared" si="342"/>
        <v>0</v>
      </c>
      <c r="BJ399" s="20">
        <f t="shared" si="343"/>
        <v>0</v>
      </c>
      <c r="BK399" s="20" t="s">
        <v>2978</v>
      </c>
      <c r="BL399" s="36">
        <v>722</v>
      </c>
    </row>
    <row r="400" spans="1:64" x14ac:dyDescent="0.2">
      <c r="A400" s="3"/>
      <c r="B400" s="12" t="s">
        <v>734</v>
      </c>
      <c r="C400" s="172" t="s">
        <v>2229</v>
      </c>
      <c r="D400" s="173"/>
      <c r="E400" s="173"/>
      <c r="F400" s="173"/>
      <c r="G400" s="18" t="s">
        <v>6</v>
      </c>
      <c r="H400" s="18" t="s">
        <v>6</v>
      </c>
      <c r="I400" s="18" t="s">
        <v>6</v>
      </c>
      <c r="J400" s="41">
        <f>SUM(J401:J459)</f>
        <v>0</v>
      </c>
      <c r="K400" s="41">
        <f>SUM(K401:K459)</f>
        <v>0</v>
      </c>
      <c r="L400" s="41">
        <f>SUM(L401:L459)</f>
        <v>0</v>
      </c>
      <c r="M400" s="30"/>
      <c r="N400" s="5"/>
      <c r="AI400" s="35" t="s">
        <v>2894</v>
      </c>
      <c r="AS400" s="41">
        <f>SUM(AJ401:AJ459)</f>
        <v>0</v>
      </c>
      <c r="AT400" s="41">
        <f>SUM(AK401:AK459)</f>
        <v>0</v>
      </c>
      <c r="AU400" s="41">
        <f>SUM(AL401:AL459)</f>
        <v>0</v>
      </c>
    </row>
    <row r="401" spans="1:64" x14ac:dyDescent="0.2">
      <c r="A401" s="4" t="s">
        <v>314</v>
      </c>
      <c r="B401" s="13" t="s">
        <v>1241</v>
      </c>
      <c r="C401" s="174" t="s">
        <v>2230</v>
      </c>
      <c r="D401" s="175"/>
      <c r="E401" s="175"/>
      <c r="F401" s="175"/>
      <c r="G401" s="13" t="s">
        <v>2860</v>
      </c>
      <c r="H401" s="82">
        <v>2</v>
      </c>
      <c r="I401" s="109">
        <v>0</v>
      </c>
      <c r="J401" s="20">
        <f>H401*AO401</f>
        <v>0</v>
      </c>
      <c r="K401" s="20">
        <f>H401*AP401</f>
        <v>0</v>
      </c>
      <c r="L401" s="20">
        <f>H401*I401</f>
        <v>0</v>
      </c>
      <c r="M401" s="31" t="s">
        <v>2884</v>
      </c>
      <c r="N401" s="5"/>
      <c r="Z401" s="36">
        <f>IF(AQ401="5",BJ401,0)</f>
        <v>0</v>
      </c>
      <c r="AB401" s="36">
        <f>IF(AQ401="1",BH401,0)</f>
        <v>0</v>
      </c>
      <c r="AC401" s="36">
        <f>IF(AQ401="1",BI401,0)</f>
        <v>0</v>
      </c>
      <c r="AD401" s="36">
        <f>IF(AQ401="7",BH401,0)</f>
        <v>0</v>
      </c>
      <c r="AE401" s="36">
        <f>IF(AQ401="7",BI401,0)</f>
        <v>0</v>
      </c>
      <c r="AF401" s="36">
        <f>IF(AQ401="2",BH401,0)</f>
        <v>0</v>
      </c>
      <c r="AG401" s="36">
        <f>IF(AQ401="2",BI401,0)</f>
        <v>0</v>
      </c>
      <c r="AH401" s="36">
        <f>IF(AQ401="0",BJ401,0)</f>
        <v>0</v>
      </c>
      <c r="AI401" s="35" t="s">
        <v>2894</v>
      </c>
      <c r="AJ401" s="20">
        <f>IF(AN401=0,L401,0)</f>
        <v>0</v>
      </c>
      <c r="AK401" s="20">
        <f>IF(AN401=15,L401,0)</f>
        <v>0</v>
      </c>
      <c r="AL401" s="20">
        <f>IF(AN401=21,L401,0)</f>
        <v>0</v>
      </c>
      <c r="AN401" s="36">
        <v>21</v>
      </c>
      <c r="AO401" s="36">
        <f>I401*0.53</f>
        <v>0</v>
      </c>
      <c r="AP401" s="36">
        <f>I401*(1-0.53)</f>
        <v>0</v>
      </c>
      <c r="AQ401" s="37" t="s">
        <v>13</v>
      </c>
      <c r="AV401" s="36">
        <f>AW401+AX401</f>
        <v>0</v>
      </c>
      <c r="AW401" s="36">
        <f>H401*AO401</f>
        <v>0</v>
      </c>
      <c r="AX401" s="36">
        <f>H401*AP401</f>
        <v>0</v>
      </c>
      <c r="AY401" s="39" t="s">
        <v>2929</v>
      </c>
      <c r="AZ401" s="39" t="s">
        <v>2954</v>
      </c>
      <c r="BA401" s="35" t="s">
        <v>2967</v>
      </c>
      <c r="BC401" s="36">
        <f>AW401+AX401</f>
        <v>0</v>
      </c>
      <c r="BD401" s="36">
        <f>I401/(100-BE401)*100</f>
        <v>0</v>
      </c>
      <c r="BE401" s="36">
        <v>0</v>
      </c>
      <c r="BF401" s="36">
        <f>401</f>
        <v>401</v>
      </c>
      <c r="BH401" s="20">
        <f>H401*AO401</f>
        <v>0</v>
      </c>
      <c r="BI401" s="20">
        <f>H401*AP401</f>
        <v>0</v>
      </c>
      <c r="BJ401" s="20">
        <f>H401*I401</f>
        <v>0</v>
      </c>
      <c r="BK401" s="20" t="s">
        <v>2978</v>
      </c>
      <c r="BL401" s="36">
        <v>728</v>
      </c>
    </row>
    <row r="402" spans="1:64" x14ac:dyDescent="0.2">
      <c r="A402" s="5"/>
      <c r="B402" s="14"/>
      <c r="C402" s="179" t="s">
        <v>2231</v>
      </c>
      <c r="D402" s="180"/>
      <c r="E402" s="180"/>
      <c r="F402" s="180"/>
      <c r="G402" s="180"/>
      <c r="H402" s="180"/>
      <c r="I402" s="180"/>
      <c r="J402" s="180"/>
      <c r="K402" s="180"/>
      <c r="L402" s="180"/>
      <c r="M402" s="181"/>
      <c r="N402" s="5"/>
    </row>
    <row r="403" spans="1:64" x14ac:dyDescent="0.2">
      <c r="A403" s="4" t="s">
        <v>315</v>
      </c>
      <c r="B403" s="13" t="s">
        <v>1242</v>
      </c>
      <c r="C403" s="174" t="s">
        <v>2232</v>
      </c>
      <c r="D403" s="175"/>
      <c r="E403" s="175"/>
      <c r="F403" s="175"/>
      <c r="G403" s="13" t="s">
        <v>2860</v>
      </c>
      <c r="H403" s="82">
        <v>2</v>
      </c>
      <c r="I403" s="109">
        <v>0</v>
      </c>
      <c r="J403" s="20">
        <f>H403*AO403</f>
        <v>0</v>
      </c>
      <c r="K403" s="20">
        <f>H403*AP403</f>
        <v>0</v>
      </c>
      <c r="L403" s="20">
        <f>H403*I403</f>
        <v>0</v>
      </c>
      <c r="M403" s="31" t="s">
        <v>2884</v>
      </c>
      <c r="N403" s="5"/>
      <c r="Z403" s="36">
        <f>IF(AQ403="5",BJ403,0)</f>
        <v>0</v>
      </c>
      <c r="AB403" s="36">
        <f>IF(AQ403="1",BH403,0)</f>
        <v>0</v>
      </c>
      <c r="AC403" s="36">
        <f>IF(AQ403="1",BI403,0)</f>
        <v>0</v>
      </c>
      <c r="AD403" s="36">
        <f>IF(AQ403="7",BH403,0)</f>
        <v>0</v>
      </c>
      <c r="AE403" s="36">
        <f>IF(AQ403="7",BI403,0)</f>
        <v>0</v>
      </c>
      <c r="AF403" s="36">
        <f>IF(AQ403="2",BH403,0)</f>
        <v>0</v>
      </c>
      <c r="AG403" s="36">
        <f>IF(AQ403="2",BI403,0)</f>
        <v>0</v>
      </c>
      <c r="AH403" s="36">
        <f>IF(AQ403="0",BJ403,0)</f>
        <v>0</v>
      </c>
      <c r="AI403" s="35" t="s">
        <v>2894</v>
      </c>
      <c r="AJ403" s="20">
        <f>IF(AN403=0,L403,0)</f>
        <v>0</v>
      </c>
      <c r="AK403" s="20">
        <f>IF(AN403=15,L403,0)</f>
        <v>0</v>
      </c>
      <c r="AL403" s="20">
        <f>IF(AN403=21,L403,0)</f>
        <v>0</v>
      </c>
      <c r="AN403" s="36">
        <v>21</v>
      </c>
      <c r="AO403" s="36">
        <f>I403*0.53</f>
        <v>0</v>
      </c>
      <c r="AP403" s="36">
        <f>I403*(1-0.53)</f>
        <v>0</v>
      </c>
      <c r="AQ403" s="37" t="s">
        <v>13</v>
      </c>
      <c r="AV403" s="36">
        <f>AW403+AX403</f>
        <v>0</v>
      </c>
      <c r="AW403" s="36">
        <f>H403*AO403</f>
        <v>0</v>
      </c>
      <c r="AX403" s="36">
        <f>H403*AP403</f>
        <v>0</v>
      </c>
      <c r="AY403" s="39" t="s">
        <v>2929</v>
      </c>
      <c r="AZ403" s="39" t="s">
        <v>2954</v>
      </c>
      <c r="BA403" s="35" t="s">
        <v>2967</v>
      </c>
      <c r="BC403" s="36">
        <f>AW403+AX403</f>
        <v>0</v>
      </c>
      <c r="BD403" s="36">
        <f>I403/(100-BE403)*100</f>
        <v>0</v>
      </c>
      <c r="BE403" s="36">
        <v>0</v>
      </c>
      <c r="BF403" s="36">
        <f>403</f>
        <v>403</v>
      </c>
      <c r="BH403" s="20">
        <f>H403*AO403</f>
        <v>0</v>
      </c>
      <c r="BI403" s="20">
        <f>H403*AP403</f>
        <v>0</v>
      </c>
      <c r="BJ403" s="20">
        <f>H403*I403</f>
        <v>0</v>
      </c>
      <c r="BK403" s="20" t="s">
        <v>2978</v>
      </c>
      <c r="BL403" s="36">
        <v>728</v>
      </c>
    </row>
    <row r="404" spans="1:64" x14ac:dyDescent="0.2">
      <c r="A404" s="4" t="s">
        <v>316</v>
      </c>
      <c r="B404" s="13" t="s">
        <v>1243</v>
      </c>
      <c r="C404" s="174" t="s">
        <v>2233</v>
      </c>
      <c r="D404" s="175"/>
      <c r="E404" s="175"/>
      <c r="F404" s="175"/>
      <c r="G404" s="13" t="s">
        <v>2860</v>
      </c>
      <c r="H404" s="82">
        <v>2</v>
      </c>
      <c r="I404" s="109">
        <v>0</v>
      </c>
      <c r="J404" s="20">
        <f>H404*AO404</f>
        <v>0</v>
      </c>
      <c r="K404" s="20">
        <f>H404*AP404</f>
        <v>0</v>
      </c>
      <c r="L404" s="20">
        <f>H404*I404</f>
        <v>0</v>
      </c>
      <c r="M404" s="31" t="s">
        <v>2884</v>
      </c>
      <c r="N404" s="5"/>
      <c r="Z404" s="36">
        <f>IF(AQ404="5",BJ404,0)</f>
        <v>0</v>
      </c>
      <c r="AB404" s="36">
        <f>IF(AQ404="1",BH404,0)</f>
        <v>0</v>
      </c>
      <c r="AC404" s="36">
        <f>IF(AQ404="1",BI404,0)</f>
        <v>0</v>
      </c>
      <c r="AD404" s="36">
        <f>IF(AQ404="7",BH404,0)</f>
        <v>0</v>
      </c>
      <c r="AE404" s="36">
        <f>IF(AQ404="7",BI404,0)</f>
        <v>0</v>
      </c>
      <c r="AF404" s="36">
        <f>IF(AQ404="2",BH404,0)</f>
        <v>0</v>
      </c>
      <c r="AG404" s="36">
        <f>IF(AQ404="2",BI404,0)</f>
        <v>0</v>
      </c>
      <c r="AH404" s="36">
        <f>IF(AQ404="0",BJ404,0)</f>
        <v>0</v>
      </c>
      <c r="AI404" s="35" t="s">
        <v>2894</v>
      </c>
      <c r="AJ404" s="20">
        <f>IF(AN404=0,L404,0)</f>
        <v>0</v>
      </c>
      <c r="AK404" s="20">
        <f>IF(AN404=15,L404,0)</f>
        <v>0</v>
      </c>
      <c r="AL404" s="20">
        <f>IF(AN404=21,L404,0)</f>
        <v>0</v>
      </c>
      <c r="AN404" s="36">
        <v>21</v>
      </c>
      <c r="AO404" s="36">
        <f>I404*0.53</f>
        <v>0</v>
      </c>
      <c r="AP404" s="36">
        <f>I404*(1-0.53)</f>
        <v>0</v>
      </c>
      <c r="AQ404" s="37" t="s">
        <v>13</v>
      </c>
      <c r="AV404" s="36">
        <f>AW404+AX404</f>
        <v>0</v>
      </c>
      <c r="AW404" s="36">
        <f>H404*AO404</f>
        <v>0</v>
      </c>
      <c r="AX404" s="36">
        <f>H404*AP404</f>
        <v>0</v>
      </c>
      <c r="AY404" s="39" t="s">
        <v>2929</v>
      </c>
      <c r="AZ404" s="39" t="s">
        <v>2954</v>
      </c>
      <c r="BA404" s="35" t="s">
        <v>2967</v>
      </c>
      <c r="BC404" s="36">
        <f>AW404+AX404</f>
        <v>0</v>
      </c>
      <c r="BD404" s="36">
        <f>I404/(100-BE404)*100</f>
        <v>0</v>
      </c>
      <c r="BE404" s="36">
        <v>0</v>
      </c>
      <c r="BF404" s="36">
        <f>404</f>
        <v>404</v>
      </c>
      <c r="BH404" s="20">
        <f>H404*AO404</f>
        <v>0</v>
      </c>
      <c r="BI404" s="20">
        <f>H404*AP404</f>
        <v>0</v>
      </c>
      <c r="BJ404" s="20">
        <f>H404*I404</f>
        <v>0</v>
      </c>
      <c r="BK404" s="20" t="s">
        <v>2978</v>
      </c>
      <c r="BL404" s="36">
        <v>728</v>
      </c>
    </row>
    <row r="405" spans="1:64" x14ac:dyDescent="0.2">
      <c r="A405" s="4" t="s">
        <v>317</v>
      </c>
      <c r="B405" s="13" t="s">
        <v>1244</v>
      </c>
      <c r="C405" s="174" t="s">
        <v>2234</v>
      </c>
      <c r="D405" s="175"/>
      <c r="E405" s="175"/>
      <c r="F405" s="175"/>
      <c r="G405" s="13" t="s">
        <v>2861</v>
      </c>
      <c r="H405" s="82">
        <v>2</v>
      </c>
      <c r="I405" s="109">
        <v>0</v>
      </c>
      <c r="J405" s="20">
        <f>H405*AO405</f>
        <v>0</v>
      </c>
      <c r="K405" s="20">
        <f>H405*AP405</f>
        <v>0</v>
      </c>
      <c r="L405" s="20">
        <f>H405*I405</f>
        <v>0</v>
      </c>
      <c r="M405" s="31" t="s">
        <v>2884</v>
      </c>
      <c r="N405" s="5"/>
      <c r="Z405" s="36">
        <f>IF(AQ405="5",BJ405,0)</f>
        <v>0</v>
      </c>
      <c r="AB405" s="36">
        <f>IF(AQ405="1",BH405,0)</f>
        <v>0</v>
      </c>
      <c r="AC405" s="36">
        <f>IF(AQ405="1",BI405,0)</f>
        <v>0</v>
      </c>
      <c r="AD405" s="36">
        <f>IF(AQ405="7",BH405,0)</f>
        <v>0</v>
      </c>
      <c r="AE405" s="36">
        <f>IF(AQ405="7",BI405,0)</f>
        <v>0</v>
      </c>
      <c r="AF405" s="36">
        <f>IF(AQ405="2",BH405,0)</f>
        <v>0</v>
      </c>
      <c r="AG405" s="36">
        <f>IF(AQ405="2",BI405,0)</f>
        <v>0</v>
      </c>
      <c r="AH405" s="36">
        <f>IF(AQ405="0",BJ405,0)</f>
        <v>0</v>
      </c>
      <c r="AI405" s="35" t="s">
        <v>2894</v>
      </c>
      <c r="AJ405" s="20">
        <f>IF(AN405=0,L405,0)</f>
        <v>0</v>
      </c>
      <c r="AK405" s="20">
        <f>IF(AN405=15,L405,0)</f>
        <v>0</v>
      </c>
      <c r="AL405" s="20">
        <f>IF(AN405=21,L405,0)</f>
        <v>0</v>
      </c>
      <c r="AN405" s="36">
        <v>21</v>
      </c>
      <c r="AO405" s="36">
        <f>I405*0.53</f>
        <v>0</v>
      </c>
      <c r="AP405" s="36">
        <f>I405*(1-0.53)</f>
        <v>0</v>
      </c>
      <c r="AQ405" s="37" t="s">
        <v>13</v>
      </c>
      <c r="AV405" s="36">
        <f>AW405+AX405</f>
        <v>0</v>
      </c>
      <c r="AW405" s="36">
        <f>H405*AO405</f>
        <v>0</v>
      </c>
      <c r="AX405" s="36">
        <f>H405*AP405</f>
        <v>0</v>
      </c>
      <c r="AY405" s="39" t="s">
        <v>2929</v>
      </c>
      <c r="AZ405" s="39" t="s">
        <v>2954</v>
      </c>
      <c r="BA405" s="35" t="s">
        <v>2967</v>
      </c>
      <c r="BC405" s="36">
        <f>AW405+AX405</f>
        <v>0</v>
      </c>
      <c r="BD405" s="36">
        <f>I405/(100-BE405)*100</f>
        <v>0</v>
      </c>
      <c r="BE405" s="36">
        <v>0</v>
      </c>
      <c r="BF405" s="36">
        <f>405</f>
        <v>405</v>
      </c>
      <c r="BH405" s="20">
        <f>H405*AO405</f>
        <v>0</v>
      </c>
      <c r="BI405" s="20">
        <f>H405*AP405</f>
        <v>0</v>
      </c>
      <c r="BJ405" s="20">
        <f>H405*I405</f>
        <v>0</v>
      </c>
      <c r="BK405" s="20" t="s">
        <v>2978</v>
      </c>
      <c r="BL405" s="36">
        <v>728</v>
      </c>
    </row>
    <row r="406" spans="1:64" x14ac:dyDescent="0.2">
      <c r="A406" s="4" t="s">
        <v>318</v>
      </c>
      <c r="B406" s="13" t="s">
        <v>1245</v>
      </c>
      <c r="C406" s="174" t="s">
        <v>2235</v>
      </c>
      <c r="D406" s="175"/>
      <c r="E406" s="175"/>
      <c r="F406" s="175"/>
      <c r="G406" s="13" t="s">
        <v>2855</v>
      </c>
      <c r="H406" s="82">
        <v>24.5</v>
      </c>
      <c r="I406" s="109">
        <v>0</v>
      </c>
      <c r="J406" s="20">
        <f>H406*AO406</f>
        <v>0</v>
      </c>
      <c r="K406" s="20">
        <f>H406*AP406</f>
        <v>0</v>
      </c>
      <c r="L406" s="20">
        <f>H406*I406</f>
        <v>0</v>
      </c>
      <c r="M406" s="31" t="s">
        <v>2884</v>
      </c>
      <c r="N406" s="5"/>
      <c r="Z406" s="36">
        <f>IF(AQ406="5",BJ406,0)</f>
        <v>0</v>
      </c>
      <c r="AB406" s="36">
        <f>IF(AQ406="1",BH406,0)</f>
        <v>0</v>
      </c>
      <c r="AC406" s="36">
        <f>IF(AQ406="1",BI406,0)</f>
        <v>0</v>
      </c>
      <c r="AD406" s="36">
        <f>IF(AQ406="7",BH406,0)</f>
        <v>0</v>
      </c>
      <c r="AE406" s="36">
        <f>IF(AQ406="7",BI406,0)</f>
        <v>0</v>
      </c>
      <c r="AF406" s="36">
        <f>IF(AQ406="2",BH406,0)</f>
        <v>0</v>
      </c>
      <c r="AG406" s="36">
        <f>IF(AQ406="2",BI406,0)</f>
        <v>0</v>
      </c>
      <c r="AH406" s="36">
        <f>IF(AQ406="0",BJ406,0)</f>
        <v>0</v>
      </c>
      <c r="AI406" s="35" t="s">
        <v>2894</v>
      </c>
      <c r="AJ406" s="20">
        <f>IF(AN406=0,L406,0)</f>
        <v>0</v>
      </c>
      <c r="AK406" s="20">
        <f>IF(AN406=15,L406,0)</f>
        <v>0</v>
      </c>
      <c r="AL406" s="20">
        <f>IF(AN406=21,L406,0)</f>
        <v>0</v>
      </c>
      <c r="AN406" s="36">
        <v>21</v>
      </c>
      <c r="AO406" s="36">
        <f>I406*0.529999483140633</f>
        <v>0</v>
      </c>
      <c r="AP406" s="36">
        <f>I406*(1-0.529999483140633)</f>
        <v>0</v>
      </c>
      <c r="AQ406" s="37" t="s">
        <v>13</v>
      </c>
      <c r="AV406" s="36">
        <f>AW406+AX406</f>
        <v>0</v>
      </c>
      <c r="AW406" s="36">
        <f>H406*AO406</f>
        <v>0</v>
      </c>
      <c r="AX406" s="36">
        <f>H406*AP406</f>
        <v>0</v>
      </c>
      <c r="AY406" s="39" t="s">
        <v>2929</v>
      </c>
      <c r="AZ406" s="39" t="s">
        <v>2954</v>
      </c>
      <c r="BA406" s="35" t="s">
        <v>2967</v>
      </c>
      <c r="BC406" s="36">
        <f>AW406+AX406</f>
        <v>0</v>
      </c>
      <c r="BD406" s="36">
        <f>I406/(100-BE406)*100</f>
        <v>0</v>
      </c>
      <c r="BE406" s="36">
        <v>0</v>
      </c>
      <c r="BF406" s="36">
        <f>406</f>
        <v>406</v>
      </c>
      <c r="BH406" s="20">
        <f>H406*AO406</f>
        <v>0</v>
      </c>
      <c r="BI406" s="20">
        <f>H406*AP406</f>
        <v>0</v>
      </c>
      <c r="BJ406" s="20">
        <f>H406*I406</f>
        <v>0</v>
      </c>
      <c r="BK406" s="20" t="s">
        <v>2978</v>
      </c>
      <c r="BL406" s="36">
        <v>728</v>
      </c>
    </row>
    <row r="407" spans="1:64" x14ac:dyDescent="0.2">
      <c r="A407" s="5"/>
      <c r="B407" s="14"/>
      <c r="C407" s="179" t="s">
        <v>2236</v>
      </c>
      <c r="D407" s="180"/>
      <c r="E407" s="180"/>
      <c r="F407" s="180"/>
      <c r="G407" s="180"/>
      <c r="H407" s="180"/>
      <c r="I407" s="180"/>
      <c r="J407" s="180"/>
      <c r="K407" s="180"/>
      <c r="L407" s="180"/>
      <c r="M407" s="181"/>
      <c r="N407" s="5"/>
    </row>
    <row r="408" spans="1:64" x14ac:dyDescent="0.2">
      <c r="A408" s="4" t="s">
        <v>319</v>
      </c>
      <c r="B408" s="13" t="s">
        <v>1246</v>
      </c>
      <c r="C408" s="174" t="s">
        <v>2237</v>
      </c>
      <c r="D408" s="175"/>
      <c r="E408" s="175"/>
      <c r="F408" s="175"/>
      <c r="G408" s="13" t="s">
        <v>2855</v>
      </c>
      <c r="H408" s="82">
        <v>15.5</v>
      </c>
      <c r="I408" s="109">
        <v>0</v>
      </c>
      <c r="J408" s="20">
        <f>H408*AO408</f>
        <v>0</v>
      </c>
      <c r="K408" s="20">
        <f>H408*AP408</f>
        <v>0</v>
      </c>
      <c r="L408" s="20">
        <f>H408*I408</f>
        <v>0</v>
      </c>
      <c r="M408" s="31" t="s">
        <v>2884</v>
      </c>
      <c r="N408" s="5"/>
      <c r="Z408" s="36">
        <f>IF(AQ408="5",BJ408,0)</f>
        <v>0</v>
      </c>
      <c r="AB408" s="36">
        <f>IF(AQ408="1",BH408,0)</f>
        <v>0</v>
      </c>
      <c r="AC408" s="36">
        <f>IF(AQ408="1",BI408,0)</f>
        <v>0</v>
      </c>
      <c r="AD408" s="36">
        <f>IF(AQ408="7",BH408,0)</f>
        <v>0</v>
      </c>
      <c r="AE408" s="36">
        <f>IF(AQ408="7",BI408,0)</f>
        <v>0</v>
      </c>
      <c r="AF408" s="36">
        <f>IF(AQ408="2",BH408,0)</f>
        <v>0</v>
      </c>
      <c r="AG408" s="36">
        <f>IF(AQ408="2",BI408,0)</f>
        <v>0</v>
      </c>
      <c r="AH408" s="36">
        <f>IF(AQ408="0",BJ408,0)</f>
        <v>0</v>
      </c>
      <c r="AI408" s="35" t="s">
        <v>2894</v>
      </c>
      <c r="AJ408" s="20">
        <f>IF(AN408=0,L408,0)</f>
        <v>0</v>
      </c>
      <c r="AK408" s="20">
        <f>IF(AN408=15,L408,0)</f>
        <v>0</v>
      </c>
      <c r="AL408" s="20">
        <f>IF(AN408=21,L408,0)</f>
        <v>0</v>
      </c>
      <c r="AN408" s="36">
        <v>21</v>
      </c>
      <c r="AO408" s="36">
        <f>I408*0.529999269026012</f>
        <v>0</v>
      </c>
      <c r="AP408" s="36">
        <f>I408*(1-0.529999269026012)</f>
        <v>0</v>
      </c>
      <c r="AQ408" s="37" t="s">
        <v>13</v>
      </c>
      <c r="AV408" s="36">
        <f>AW408+AX408</f>
        <v>0</v>
      </c>
      <c r="AW408" s="36">
        <f>H408*AO408</f>
        <v>0</v>
      </c>
      <c r="AX408" s="36">
        <f>H408*AP408</f>
        <v>0</v>
      </c>
      <c r="AY408" s="39" t="s">
        <v>2929</v>
      </c>
      <c r="AZ408" s="39" t="s">
        <v>2954</v>
      </c>
      <c r="BA408" s="35" t="s">
        <v>2967</v>
      </c>
      <c r="BC408" s="36">
        <f>AW408+AX408</f>
        <v>0</v>
      </c>
      <c r="BD408" s="36">
        <f>I408/(100-BE408)*100</f>
        <v>0</v>
      </c>
      <c r="BE408" s="36">
        <v>0</v>
      </c>
      <c r="BF408" s="36">
        <f>408</f>
        <v>408</v>
      </c>
      <c r="BH408" s="20">
        <f>H408*AO408</f>
        <v>0</v>
      </c>
      <c r="BI408" s="20">
        <f>H408*AP408</f>
        <v>0</v>
      </c>
      <c r="BJ408" s="20">
        <f>H408*I408</f>
        <v>0</v>
      </c>
      <c r="BK408" s="20" t="s">
        <v>2978</v>
      </c>
      <c r="BL408" s="36">
        <v>728</v>
      </c>
    </row>
    <row r="409" spans="1:64" x14ac:dyDescent="0.2">
      <c r="A409" s="4" t="s">
        <v>320</v>
      </c>
      <c r="B409" s="13" t="s">
        <v>1247</v>
      </c>
      <c r="C409" s="174" t="s">
        <v>2238</v>
      </c>
      <c r="D409" s="175"/>
      <c r="E409" s="175"/>
      <c r="F409" s="175"/>
      <c r="G409" s="13" t="s">
        <v>2855</v>
      </c>
      <c r="H409" s="82">
        <v>5.5</v>
      </c>
      <c r="I409" s="109">
        <v>0</v>
      </c>
      <c r="J409" s="20">
        <f>H409*AO409</f>
        <v>0</v>
      </c>
      <c r="K409" s="20">
        <f>H409*AP409</f>
        <v>0</v>
      </c>
      <c r="L409" s="20">
        <f>H409*I409</f>
        <v>0</v>
      </c>
      <c r="M409" s="31" t="s">
        <v>2884</v>
      </c>
      <c r="N409" s="5"/>
      <c r="Z409" s="36">
        <f>IF(AQ409="5",BJ409,0)</f>
        <v>0</v>
      </c>
      <c r="AB409" s="36">
        <f>IF(AQ409="1",BH409,0)</f>
        <v>0</v>
      </c>
      <c r="AC409" s="36">
        <f>IF(AQ409="1",BI409,0)</f>
        <v>0</v>
      </c>
      <c r="AD409" s="36">
        <f>IF(AQ409="7",BH409,0)</f>
        <v>0</v>
      </c>
      <c r="AE409" s="36">
        <f>IF(AQ409="7",BI409,0)</f>
        <v>0</v>
      </c>
      <c r="AF409" s="36">
        <f>IF(AQ409="2",BH409,0)</f>
        <v>0</v>
      </c>
      <c r="AG409" s="36">
        <f>IF(AQ409="2",BI409,0)</f>
        <v>0</v>
      </c>
      <c r="AH409" s="36">
        <f>IF(AQ409="0",BJ409,0)</f>
        <v>0</v>
      </c>
      <c r="AI409" s="35" t="s">
        <v>2894</v>
      </c>
      <c r="AJ409" s="20">
        <f>IF(AN409=0,L409,0)</f>
        <v>0</v>
      </c>
      <c r="AK409" s="20">
        <f>IF(AN409=15,L409,0)</f>
        <v>0</v>
      </c>
      <c r="AL409" s="20">
        <f>IF(AN409=21,L409,0)</f>
        <v>0</v>
      </c>
      <c r="AN409" s="36">
        <v>21</v>
      </c>
      <c r="AO409" s="36">
        <f>I409*0.529998298249444</f>
        <v>0</v>
      </c>
      <c r="AP409" s="36">
        <f>I409*(1-0.529998298249444)</f>
        <v>0</v>
      </c>
      <c r="AQ409" s="37" t="s">
        <v>13</v>
      </c>
      <c r="AV409" s="36">
        <f>AW409+AX409</f>
        <v>0</v>
      </c>
      <c r="AW409" s="36">
        <f>H409*AO409</f>
        <v>0</v>
      </c>
      <c r="AX409" s="36">
        <f>H409*AP409</f>
        <v>0</v>
      </c>
      <c r="AY409" s="39" t="s">
        <v>2929</v>
      </c>
      <c r="AZ409" s="39" t="s">
        <v>2954</v>
      </c>
      <c r="BA409" s="35" t="s">
        <v>2967</v>
      </c>
      <c r="BC409" s="36">
        <f>AW409+AX409</f>
        <v>0</v>
      </c>
      <c r="BD409" s="36">
        <f>I409/(100-BE409)*100</f>
        <v>0</v>
      </c>
      <c r="BE409" s="36">
        <v>0</v>
      </c>
      <c r="BF409" s="36">
        <f>409</f>
        <v>409</v>
      </c>
      <c r="BH409" s="20">
        <f>H409*AO409</f>
        <v>0</v>
      </c>
      <c r="BI409" s="20">
        <f>H409*AP409</f>
        <v>0</v>
      </c>
      <c r="BJ409" s="20">
        <f>H409*I409</f>
        <v>0</v>
      </c>
      <c r="BK409" s="20" t="s">
        <v>2978</v>
      </c>
      <c r="BL409" s="36">
        <v>728</v>
      </c>
    </row>
    <row r="410" spans="1:64" x14ac:dyDescent="0.2">
      <c r="A410" s="4" t="s">
        <v>321</v>
      </c>
      <c r="B410" s="13" t="s">
        <v>1248</v>
      </c>
      <c r="C410" s="174" t="s">
        <v>2239</v>
      </c>
      <c r="D410" s="175"/>
      <c r="E410" s="175"/>
      <c r="F410" s="175"/>
      <c r="G410" s="13" t="s">
        <v>2855</v>
      </c>
      <c r="H410" s="82">
        <v>9.5</v>
      </c>
      <c r="I410" s="109">
        <v>0</v>
      </c>
      <c r="J410" s="20">
        <f>H410*AO410</f>
        <v>0</v>
      </c>
      <c r="K410" s="20">
        <f>H410*AP410</f>
        <v>0</v>
      </c>
      <c r="L410" s="20">
        <f>H410*I410</f>
        <v>0</v>
      </c>
      <c r="M410" s="31" t="s">
        <v>2884</v>
      </c>
      <c r="N410" s="5"/>
      <c r="Z410" s="36">
        <f>IF(AQ410="5",BJ410,0)</f>
        <v>0</v>
      </c>
      <c r="AB410" s="36">
        <f>IF(AQ410="1",BH410,0)</f>
        <v>0</v>
      </c>
      <c r="AC410" s="36">
        <f>IF(AQ410="1",BI410,0)</f>
        <v>0</v>
      </c>
      <c r="AD410" s="36">
        <f>IF(AQ410="7",BH410,0)</f>
        <v>0</v>
      </c>
      <c r="AE410" s="36">
        <f>IF(AQ410="7",BI410,0)</f>
        <v>0</v>
      </c>
      <c r="AF410" s="36">
        <f>IF(AQ410="2",BH410,0)</f>
        <v>0</v>
      </c>
      <c r="AG410" s="36">
        <f>IF(AQ410="2",BI410,0)</f>
        <v>0</v>
      </c>
      <c r="AH410" s="36">
        <f>IF(AQ410="0",BJ410,0)</f>
        <v>0</v>
      </c>
      <c r="AI410" s="35" t="s">
        <v>2894</v>
      </c>
      <c r="AJ410" s="20">
        <f>IF(AN410=0,L410,0)</f>
        <v>0</v>
      </c>
      <c r="AK410" s="20">
        <f>IF(AN410=15,L410,0)</f>
        <v>0</v>
      </c>
      <c r="AL410" s="20">
        <f>IF(AN410=21,L410,0)</f>
        <v>0</v>
      </c>
      <c r="AN410" s="36">
        <v>21</v>
      </c>
      <c r="AO410" s="36">
        <f>I410*0.529999218614087</f>
        <v>0</v>
      </c>
      <c r="AP410" s="36">
        <f>I410*(1-0.529999218614087)</f>
        <v>0</v>
      </c>
      <c r="AQ410" s="37" t="s">
        <v>13</v>
      </c>
      <c r="AV410" s="36">
        <f>AW410+AX410</f>
        <v>0</v>
      </c>
      <c r="AW410" s="36">
        <f>H410*AO410</f>
        <v>0</v>
      </c>
      <c r="AX410" s="36">
        <f>H410*AP410</f>
        <v>0</v>
      </c>
      <c r="AY410" s="39" t="s">
        <v>2929</v>
      </c>
      <c r="AZ410" s="39" t="s">
        <v>2954</v>
      </c>
      <c r="BA410" s="35" t="s">
        <v>2967</v>
      </c>
      <c r="BC410" s="36">
        <f>AW410+AX410</f>
        <v>0</v>
      </c>
      <c r="BD410" s="36">
        <f>I410/(100-BE410)*100</f>
        <v>0</v>
      </c>
      <c r="BE410" s="36">
        <v>0</v>
      </c>
      <c r="BF410" s="36">
        <f>410</f>
        <v>410</v>
      </c>
      <c r="BH410" s="20">
        <f>H410*AO410</f>
        <v>0</v>
      </c>
      <c r="BI410" s="20">
        <f>H410*AP410</f>
        <v>0</v>
      </c>
      <c r="BJ410" s="20">
        <f>H410*I410</f>
        <v>0</v>
      </c>
      <c r="BK410" s="20" t="s">
        <v>2978</v>
      </c>
      <c r="BL410" s="36">
        <v>728</v>
      </c>
    </row>
    <row r="411" spans="1:64" x14ac:dyDescent="0.2">
      <c r="A411" s="4" t="s">
        <v>322</v>
      </c>
      <c r="B411" s="13" t="s">
        <v>1249</v>
      </c>
      <c r="C411" s="174" t="s">
        <v>2240</v>
      </c>
      <c r="D411" s="175"/>
      <c r="E411" s="175"/>
      <c r="F411" s="175"/>
      <c r="G411" s="13" t="s">
        <v>2855</v>
      </c>
      <c r="H411" s="82">
        <v>22.5</v>
      </c>
      <c r="I411" s="109">
        <v>0</v>
      </c>
      <c r="J411" s="20">
        <f>H411*AO411</f>
        <v>0</v>
      </c>
      <c r="K411" s="20">
        <f>H411*AP411</f>
        <v>0</v>
      </c>
      <c r="L411" s="20">
        <f>H411*I411</f>
        <v>0</v>
      </c>
      <c r="M411" s="31" t="s">
        <v>2884</v>
      </c>
      <c r="N411" s="5"/>
      <c r="Z411" s="36">
        <f>IF(AQ411="5",BJ411,0)</f>
        <v>0</v>
      </c>
      <c r="AB411" s="36">
        <f>IF(AQ411="1",BH411,0)</f>
        <v>0</v>
      </c>
      <c r="AC411" s="36">
        <f>IF(AQ411="1",BI411,0)</f>
        <v>0</v>
      </c>
      <c r="AD411" s="36">
        <f>IF(AQ411="7",BH411,0)</f>
        <v>0</v>
      </c>
      <c r="AE411" s="36">
        <f>IF(AQ411="7",BI411,0)</f>
        <v>0</v>
      </c>
      <c r="AF411" s="36">
        <f>IF(AQ411="2",BH411,0)</f>
        <v>0</v>
      </c>
      <c r="AG411" s="36">
        <f>IF(AQ411="2",BI411,0)</f>
        <v>0</v>
      </c>
      <c r="AH411" s="36">
        <f>IF(AQ411="0",BJ411,0)</f>
        <v>0</v>
      </c>
      <c r="AI411" s="35" t="s">
        <v>2894</v>
      </c>
      <c r="AJ411" s="20">
        <f>IF(AN411=0,L411,0)</f>
        <v>0</v>
      </c>
      <c r="AK411" s="20">
        <f>IF(AN411=15,L411,0)</f>
        <v>0</v>
      </c>
      <c r="AL411" s="20">
        <f>IF(AN411=21,L411,0)</f>
        <v>0</v>
      </c>
      <c r="AN411" s="36">
        <v>21</v>
      </c>
      <c r="AO411" s="36">
        <f>I411*0.529999544397986</f>
        <v>0</v>
      </c>
      <c r="AP411" s="36">
        <f>I411*(1-0.529999544397986)</f>
        <v>0</v>
      </c>
      <c r="AQ411" s="37" t="s">
        <v>13</v>
      </c>
      <c r="AV411" s="36">
        <f>AW411+AX411</f>
        <v>0</v>
      </c>
      <c r="AW411" s="36">
        <f>H411*AO411</f>
        <v>0</v>
      </c>
      <c r="AX411" s="36">
        <f>H411*AP411</f>
        <v>0</v>
      </c>
      <c r="AY411" s="39" t="s">
        <v>2929</v>
      </c>
      <c r="AZ411" s="39" t="s">
        <v>2954</v>
      </c>
      <c r="BA411" s="35" t="s">
        <v>2967</v>
      </c>
      <c r="BC411" s="36">
        <f>AW411+AX411</f>
        <v>0</v>
      </c>
      <c r="BD411" s="36">
        <f>I411/(100-BE411)*100</f>
        <v>0</v>
      </c>
      <c r="BE411" s="36">
        <v>0</v>
      </c>
      <c r="BF411" s="36">
        <f>411</f>
        <v>411</v>
      </c>
      <c r="BH411" s="20">
        <f>H411*AO411</f>
        <v>0</v>
      </c>
      <c r="BI411" s="20">
        <f>H411*AP411</f>
        <v>0</v>
      </c>
      <c r="BJ411" s="20">
        <f>H411*I411</f>
        <v>0</v>
      </c>
      <c r="BK411" s="20" t="s">
        <v>2978</v>
      </c>
      <c r="BL411" s="36">
        <v>728</v>
      </c>
    </row>
    <row r="412" spans="1:64" ht="25.7" customHeight="1" x14ac:dyDescent="0.2">
      <c r="A412" s="5"/>
      <c r="B412" s="14"/>
      <c r="C412" s="179" t="s">
        <v>2241</v>
      </c>
      <c r="D412" s="180"/>
      <c r="E412" s="180"/>
      <c r="F412" s="180"/>
      <c r="G412" s="180"/>
      <c r="H412" s="180"/>
      <c r="I412" s="180"/>
      <c r="J412" s="180"/>
      <c r="K412" s="180"/>
      <c r="L412" s="180"/>
      <c r="M412" s="181"/>
      <c r="N412" s="5"/>
    </row>
    <row r="413" spans="1:64" x14ac:dyDescent="0.2">
      <c r="A413" s="4" t="s">
        <v>323</v>
      </c>
      <c r="B413" s="13" t="s">
        <v>1250</v>
      </c>
      <c r="C413" s="174" t="s">
        <v>2242</v>
      </c>
      <c r="D413" s="175"/>
      <c r="E413" s="175"/>
      <c r="F413" s="175"/>
      <c r="G413" s="13" t="s">
        <v>2855</v>
      </c>
      <c r="H413" s="82">
        <v>22.5</v>
      </c>
      <c r="I413" s="109">
        <v>0</v>
      </c>
      <c r="J413" s="20">
        <f>H413*AO413</f>
        <v>0</v>
      </c>
      <c r="K413" s="20">
        <f>H413*AP413</f>
        <v>0</v>
      </c>
      <c r="L413" s="20">
        <f>H413*I413</f>
        <v>0</v>
      </c>
      <c r="M413" s="31" t="s">
        <v>2884</v>
      </c>
      <c r="N413" s="5"/>
      <c r="Z413" s="36">
        <f>IF(AQ413="5",BJ413,0)</f>
        <v>0</v>
      </c>
      <c r="AB413" s="36">
        <f>IF(AQ413="1",BH413,0)</f>
        <v>0</v>
      </c>
      <c r="AC413" s="36">
        <f>IF(AQ413="1",BI413,0)</f>
        <v>0</v>
      </c>
      <c r="AD413" s="36">
        <f>IF(AQ413="7",BH413,0)</f>
        <v>0</v>
      </c>
      <c r="AE413" s="36">
        <f>IF(AQ413="7",BI413,0)</f>
        <v>0</v>
      </c>
      <c r="AF413" s="36">
        <f>IF(AQ413="2",BH413,0)</f>
        <v>0</v>
      </c>
      <c r="AG413" s="36">
        <f>IF(AQ413="2",BI413,0)</f>
        <v>0</v>
      </c>
      <c r="AH413" s="36">
        <f>IF(AQ413="0",BJ413,0)</f>
        <v>0</v>
      </c>
      <c r="AI413" s="35" t="s">
        <v>2894</v>
      </c>
      <c r="AJ413" s="20">
        <f>IF(AN413=0,L413,0)</f>
        <v>0</v>
      </c>
      <c r="AK413" s="20">
        <f>IF(AN413=15,L413,0)</f>
        <v>0</v>
      </c>
      <c r="AL413" s="20">
        <f>IF(AN413=21,L413,0)</f>
        <v>0</v>
      </c>
      <c r="AN413" s="36">
        <v>21</v>
      </c>
      <c r="AO413" s="36">
        <f>I413*0.53</f>
        <v>0</v>
      </c>
      <c r="AP413" s="36">
        <f>I413*(1-0.53)</f>
        <v>0</v>
      </c>
      <c r="AQ413" s="37" t="s">
        <v>13</v>
      </c>
      <c r="AV413" s="36">
        <f>AW413+AX413</f>
        <v>0</v>
      </c>
      <c r="AW413" s="36">
        <f>H413*AO413</f>
        <v>0</v>
      </c>
      <c r="AX413" s="36">
        <f>H413*AP413</f>
        <v>0</v>
      </c>
      <c r="AY413" s="39" t="s">
        <v>2929</v>
      </c>
      <c r="AZ413" s="39" t="s">
        <v>2954</v>
      </c>
      <c r="BA413" s="35" t="s">
        <v>2967</v>
      </c>
      <c r="BC413" s="36">
        <f>AW413+AX413</f>
        <v>0</v>
      </c>
      <c r="BD413" s="36">
        <f>I413/(100-BE413)*100</f>
        <v>0</v>
      </c>
      <c r="BE413" s="36">
        <v>0</v>
      </c>
      <c r="BF413" s="36">
        <f>413</f>
        <v>413</v>
      </c>
      <c r="BH413" s="20">
        <f>H413*AO413</f>
        <v>0</v>
      </c>
      <c r="BI413" s="20">
        <f>H413*AP413</f>
        <v>0</v>
      </c>
      <c r="BJ413" s="20">
        <f>H413*I413</f>
        <v>0</v>
      </c>
      <c r="BK413" s="20" t="s">
        <v>2978</v>
      </c>
      <c r="BL413" s="36">
        <v>728</v>
      </c>
    </row>
    <row r="414" spans="1:64" x14ac:dyDescent="0.2">
      <c r="A414" s="4" t="s">
        <v>324</v>
      </c>
      <c r="B414" s="13" t="s">
        <v>1251</v>
      </c>
      <c r="C414" s="174" t="s">
        <v>2243</v>
      </c>
      <c r="D414" s="175"/>
      <c r="E414" s="175"/>
      <c r="F414" s="175"/>
      <c r="G414" s="13" t="s">
        <v>2855</v>
      </c>
      <c r="H414" s="82">
        <v>22.5</v>
      </c>
      <c r="I414" s="109">
        <v>0</v>
      </c>
      <c r="J414" s="20">
        <f>H414*AO414</f>
        <v>0</v>
      </c>
      <c r="K414" s="20">
        <f>H414*AP414</f>
        <v>0</v>
      </c>
      <c r="L414" s="20">
        <f>H414*I414</f>
        <v>0</v>
      </c>
      <c r="M414" s="31" t="s">
        <v>2884</v>
      </c>
      <c r="N414" s="5"/>
      <c r="Z414" s="36">
        <f>IF(AQ414="5",BJ414,0)</f>
        <v>0</v>
      </c>
      <c r="AB414" s="36">
        <f>IF(AQ414="1",BH414,0)</f>
        <v>0</v>
      </c>
      <c r="AC414" s="36">
        <f>IF(AQ414="1",BI414,0)</f>
        <v>0</v>
      </c>
      <c r="AD414" s="36">
        <f>IF(AQ414="7",BH414,0)</f>
        <v>0</v>
      </c>
      <c r="AE414" s="36">
        <f>IF(AQ414="7",BI414,0)</f>
        <v>0</v>
      </c>
      <c r="AF414" s="36">
        <f>IF(AQ414="2",BH414,0)</f>
        <v>0</v>
      </c>
      <c r="AG414" s="36">
        <f>IF(AQ414="2",BI414,0)</f>
        <v>0</v>
      </c>
      <c r="AH414" s="36">
        <f>IF(AQ414="0",BJ414,0)</f>
        <v>0</v>
      </c>
      <c r="AI414" s="35" t="s">
        <v>2894</v>
      </c>
      <c r="AJ414" s="20">
        <f>IF(AN414=0,L414,0)</f>
        <v>0</v>
      </c>
      <c r="AK414" s="20">
        <f>IF(AN414=15,L414,0)</f>
        <v>0</v>
      </c>
      <c r="AL414" s="20">
        <f>IF(AN414=21,L414,0)</f>
        <v>0</v>
      </c>
      <c r="AN414" s="36">
        <v>21</v>
      </c>
      <c r="AO414" s="36">
        <f>I414*0.53</f>
        <v>0</v>
      </c>
      <c r="AP414" s="36">
        <f>I414*(1-0.53)</f>
        <v>0</v>
      </c>
      <c r="AQ414" s="37" t="s">
        <v>13</v>
      </c>
      <c r="AV414" s="36">
        <f>AW414+AX414</f>
        <v>0</v>
      </c>
      <c r="AW414" s="36">
        <f>H414*AO414</f>
        <v>0</v>
      </c>
      <c r="AX414" s="36">
        <f>H414*AP414</f>
        <v>0</v>
      </c>
      <c r="AY414" s="39" t="s">
        <v>2929</v>
      </c>
      <c r="AZ414" s="39" t="s">
        <v>2954</v>
      </c>
      <c r="BA414" s="35" t="s">
        <v>2967</v>
      </c>
      <c r="BC414" s="36">
        <f>AW414+AX414</f>
        <v>0</v>
      </c>
      <c r="BD414" s="36">
        <f>I414/(100-BE414)*100</f>
        <v>0</v>
      </c>
      <c r="BE414" s="36">
        <v>0</v>
      </c>
      <c r="BF414" s="36">
        <f>414</f>
        <v>414</v>
      </c>
      <c r="BH414" s="20">
        <f>H414*AO414</f>
        <v>0</v>
      </c>
      <c r="BI414" s="20">
        <f>H414*AP414</f>
        <v>0</v>
      </c>
      <c r="BJ414" s="20">
        <f>H414*I414</f>
        <v>0</v>
      </c>
      <c r="BK414" s="20" t="s">
        <v>2978</v>
      </c>
      <c r="BL414" s="36">
        <v>728</v>
      </c>
    </row>
    <row r="415" spans="1:64" x14ac:dyDescent="0.2">
      <c r="A415" s="4" t="s">
        <v>325</v>
      </c>
      <c r="B415" s="13" t="s">
        <v>1252</v>
      </c>
      <c r="C415" s="174" t="s">
        <v>2244</v>
      </c>
      <c r="D415" s="175"/>
      <c r="E415" s="175"/>
      <c r="F415" s="175"/>
      <c r="G415" s="13" t="s">
        <v>2860</v>
      </c>
      <c r="H415" s="82">
        <v>16</v>
      </c>
      <c r="I415" s="109">
        <v>0</v>
      </c>
      <c r="J415" s="20">
        <f>H415*AO415</f>
        <v>0</v>
      </c>
      <c r="K415" s="20">
        <f>H415*AP415</f>
        <v>0</v>
      </c>
      <c r="L415" s="20">
        <f>H415*I415</f>
        <v>0</v>
      </c>
      <c r="M415" s="31" t="s">
        <v>2884</v>
      </c>
      <c r="N415" s="5"/>
      <c r="Z415" s="36">
        <f>IF(AQ415="5",BJ415,0)</f>
        <v>0</v>
      </c>
      <c r="AB415" s="36">
        <f>IF(AQ415="1",BH415,0)</f>
        <v>0</v>
      </c>
      <c r="AC415" s="36">
        <f>IF(AQ415="1",BI415,0)</f>
        <v>0</v>
      </c>
      <c r="AD415" s="36">
        <f>IF(AQ415="7",BH415,0)</f>
        <v>0</v>
      </c>
      <c r="AE415" s="36">
        <f>IF(AQ415="7",BI415,0)</f>
        <v>0</v>
      </c>
      <c r="AF415" s="36">
        <f>IF(AQ415="2",BH415,0)</f>
        <v>0</v>
      </c>
      <c r="AG415" s="36">
        <f>IF(AQ415="2",BI415,0)</f>
        <v>0</v>
      </c>
      <c r="AH415" s="36">
        <f>IF(AQ415="0",BJ415,0)</f>
        <v>0</v>
      </c>
      <c r="AI415" s="35" t="s">
        <v>2894</v>
      </c>
      <c r="AJ415" s="20">
        <f>IF(AN415=0,L415,0)</f>
        <v>0</v>
      </c>
      <c r="AK415" s="20">
        <f>IF(AN415=15,L415,0)</f>
        <v>0</v>
      </c>
      <c r="AL415" s="20">
        <f>IF(AN415=21,L415,0)</f>
        <v>0</v>
      </c>
      <c r="AN415" s="36">
        <v>21</v>
      </c>
      <c r="AO415" s="36">
        <f>I415*0.53</f>
        <v>0</v>
      </c>
      <c r="AP415" s="36">
        <f>I415*(1-0.53)</f>
        <v>0</v>
      </c>
      <c r="AQ415" s="37" t="s">
        <v>13</v>
      </c>
      <c r="AV415" s="36">
        <f>AW415+AX415</f>
        <v>0</v>
      </c>
      <c r="AW415" s="36">
        <f>H415*AO415</f>
        <v>0</v>
      </c>
      <c r="AX415" s="36">
        <f>H415*AP415</f>
        <v>0</v>
      </c>
      <c r="AY415" s="39" t="s">
        <v>2929</v>
      </c>
      <c r="AZ415" s="39" t="s">
        <v>2954</v>
      </c>
      <c r="BA415" s="35" t="s">
        <v>2967</v>
      </c>
      <c r="BC415" s="36">
        <f>AW415+AX415</f>
        <v>0</v>
      </c>
      <c r="BD415" s="36">
        <f>I415/(100-BE415)*100</f>
        <v>0</v>
      </c>
      <c r="BE415" s="36">
        <v>0</v>
      </c>
      <c r="BF415" s="36">
        <f>415</f>
        <v>415</v>
      </c>
      <c r="BH415" s="20">
        <f>H415*AO415</f>
        <v>0</v>
      </c>
      <c r="BI415" s="20">
        <f>H415*AP415</f>
        <v>0</v>
      </c>
      <c r="BJ415" s="20">
        <f>H415*I415</f>
        <v>0</v>
      </c>
      <c r="BK415" s="20" t="s">
        <v>2978</v>
      </c>
      <c r="BL415" s="36">
        <v>728</v>
      </c>
    </row>
    <row r="416" spans="1:64" ht="25.7" customHeight="1" x14ac:dyDescent="0.2">
      <c r="A416" s="5"/>
      <c r="B416" s="14"/>
      <c r="C416" s="179" t="s">
        <v>2245</v>
      </c>
      <c r="D416" s="180"/>
      <c r="E416" s="180"/>
      <c r="F416" s="180"/>
      <c r="G416" s="180"/>
      <c r="H416" s="180"/>
      <c r="I416" s="180"/>
      <c r="J416" s="180"/>
      <c r="K416" s="180"/>
      <c r="L416" s="180"/>
      <c r="M416" s="181"/>
      <c r="N416" s="5"/>
    </row>
    <row r="417" spans="1:64" x14ac:dyDescent="0.2">
      <c r="A417" s="4" t="s">
        <v>326</v>
      </c>
      <c r="B417" s="13" t="s">
        <v>1253</v>
      </c>
      <c r="C417" s="174" t="s">
        <v>2246</v>
      </c>
      <c r="D417" s="175"/>
      <c r="E417" s="175"/>
      <c r="F417" s="175"/>
      <c r="G417" s="13" t="s">
        <v>2860</v>
      </c>
      <c r="H417" s="82">
        <v>16</v>
      </c>
      <c r="I417" s="109">
        <v>0</v>
      </c>
      <c r="J417" s="20">
        <f t="shared" ref="J417:J428" si="344">H417*AO417</f>
        <v>0</v>
      </c>
      <c r="K417" s="20">
        <f t="shared" ref="K417:K428" si="345">H417*AP417</f>
        <v>0</v>
      </c>
      <c r="L417" s="20">
        <f t="shared" ref="L417:L428" si="346">H417*I417</f>
        <v>0</v>
      </c>
      <c r="M417" s="31" t="s">
        <v>2884</v>
      </c>
      <c r="N417" s="5"/>
      <c r="Z417" s="36">
        <f t="shared" ref="Z417:Z428" si="347">IF(AQ417="5",BJ417,0)</f>
        <v>0</v>
      </c>
      <c r="AB417" s="36">
        <f t="shared" ref="AB417:AB428" si="348">IF(AQ417="1",BH417,0)</f>
        <v>0</v>
      </c>
      <c r="AC417" s="36">
        <f t="shared" ref="AC417:AC428" si="349">IF(AQ417="1",BI417,0)</f>
        <v>0</v>
      </c>
      <c r="AD417" s="36">
        <f t="shared" ref="AD417:AD428" si="350">IF(AQ417="7",BH417,0)</f>
        <v>0</v>
      </c>
      <c r="AE417" s="36">
        <f t="shared" ref="AE417:AE428" si="351">IF(AQ417="7",BI417,0)</f>
        <v>0</v>
      </c>
      <c r="AF417" s="36">
        <f t="shared" ref="AF417:AF428" si="352">IF(AQ417="2",BH417,0)</f>
        <v>0</v>
      </c>
      <c r="AG417" s="36">
        <f t="shared" ref="AG417:AG428" si="353">IF(AQ417="2",BI417,0)</f>
        <v>0</v>
      </c>
      <c r="AH417" s="36">
        <f t="shared" ref="AH417:AH428" si="354">IF(AQ417="0",BJ417,0)</f>
        <v>0</v>
      </c>
      <c r="AI417" s="35" t="s">
        <v>2894</v>
      </c>
      <c r="AJ417" s="20">
        <f t="shared" ref="AJ417:AJ428" si="355">IF(AN417=0,L417,0)</f>
        <v>0</v>
      </c>
      <c r="AK417" s="20">
        <f t="shared" ref="AK417:AK428" si="356">IF(AN417=15,L417,0)</f>
        <v>0</v>
      </c>
      <c r="AL417" s="20">
        <f t="shared" ref="AL417:AL428" si="357">IF(AN417=21,L417,0)</f>
        <v>0</v>
      </c>
      <c r="AN417" s="36">
        <v>21</v>
      </c>
      <c r="AO417" s="36">
        <f t="shared" ref="AO417:AO427" si="358">I417*0.53</f>
        <v>0</v>
      </c>
      <c r="AP417" s="36">
        <f t="shared" ref="AP417:AP427" si="359">I417*(1-0.53)</f>
        <v>0</v>
      </c>
      <c r="AQ417" s="37" t="s">
        <v>13</v>
      </c>
      <c r="AV417" s="36">
        <f t="shared" ref="AV417:AV428" si="360">AW417+AX417</f>
        <v>0</v>
      </c>
      <c r="AW417" s="36">
        <f t="shared" ref="AW417:AW428" si="361">H417*AO417</f>
        <v>0</v>
      </c>
      <c r="AX417" s="36">
        <f t="shared" ref="AX417:AX428" si="362">H417*AP417</f>
        <v>0</v>
      </c>
      <c r="AY417" s="39" t="s">
        <v>2929</v>
      </c>
      <c r="AZ417" s="39" t="s">
        <v>2954</v>
      </c>
      <c r="BA417" s="35" t="s">
        <v>2967</v>
      </c>
      <c r="BC417" s="36">
        <f t="shared" ref="BC417:BC428" si="363">AW417+AX417</f>
        <v>0</v>
      </c>
      <c r="BD417" s="36">
        <f t="shared" ref="BD417:BD428" si="364">I417/(100-BE417)*100</f>
        <v>0</v>
      </c>
      <c r="BE417" s="36">
        <v>0</v>
      </c>
      <c r="BF417" s="36">
        <f>417</f>
        <v>417</v>
      </c>
      <c r="BH417" s="20">
        <f t="shared" ref="BH417:BH428" si="365">H417*AO417</f>
        <v>0</v>
      </c>
      <c r="BI417" s="20">
        <f t="shared" ref="BI417:BI428" si="366">H417*AP417</f>
        <v>0</v>
      </c>
      <c r="BJ417" s="20">
        <f t="shared" ref="BJ417:BJ428" si="367">H417*I417</f>
        <v>0</v>
      </c>
      <c r="BK417" s="20" t="s">
        <v>2978</v>
      </c>
      <c r="BL417" s="36">
        <v>728</v>
      </c>
    </row>
    <row r="418" spans="1:64" x14ac:dyDescent="0.2">
      <c r="A418" s="4" t="s">
        <v>327</v>
      </c>
      <c r="B418" s="13" t="s">
        <v>1254</v>
      </c>
      <c r="C418" s="174" t="s">
        <v>2247</v>
      </c>
      <c r="D418" s="175"/>
      <c r="E418" s="175"/>
      <c r="F418" s="175"/>
      <c r="G418" s="13" t="s">
        <v>2860</v>
      </c>
      <c r="H418" s="82">
        <v>16</v>
      </c>
      <c r="I418" s="109">
        <v>0</v>
      </c>
      <c r="J418" s="20">
        <f t="shared" si="344"/>
        <v>0</v>
      </c>
      <c r="K418" s="20">
        <f t="shared" si="345"/>
        <v>0</v>
      </c>
      <c r="L418" s="20">
        <f t="shared" si="346"/>
        <v>0</v>
      </c>
      <c r="M418" s="31" t="s">
        <v>2884</v>
      </c>
      <c r="N418" s="5"/>
      <c r="Z418" s="36">
        <f t="shared" si="347"/>
        <v>0</v>
      </c>
      <c r="AB418" s="36">
        <f t="shared" si="348"/>
        <v>0</v>
      </c>
      <c r="AC418" s="36">
        <f t="shared" si="349"/>
        <v>0</v>
      </c>
      <c r="AD418" s="36">
        <f t="shared" si="350"/>
        <v>0</v>
      </c>
      <c r="AE418" s="36">
        <f t="shared" si="351"/>
        <v>0</v>
      </c>
      <c r="AF418" s="36">
        <f t="shared" si="352"/>
        <v>0</v>
      </c>
      <c r="AG418" s="36">
        <f t="shared" si="353"/>
        <v>0</v>
      </c>
      <c r="AH418" s="36">
        <f t="shared" si="354"/>
        <v>0</v>
      </c>
      <c r="AI418" s="35" t="s">
        <v>2894</v>
      </c>
      <c r="AJ418" s="20">
        <f t="shared" si="355"/>
        <v>0</v>
      </c>
      <c r="AK418" s="20">
        <f t="shared" si="356"/>
        <v>0</v>
      </c>
      <c r="AL418" s="20">
        <f t="shared" si="357"/>
        <v>0</v>
      </c>
      <c r="AN418" s="36">
        <v>21</v>
      </c>
      <c r="AO418" s="36">
        <f t="shared" si="358"/>
        <v>0</v>
      </c>
      <c r="AP418" s="36">
        <f t="shared" si="359"/>
        <v>0</v>
      </c>
      <c r="AQ418" s="37" t="s">
        <v>13</v>
      </c>
      <c r="AV418" s="36">
        <f t="shared" si="360"/>
        <v>0</v>
      </c>
      <c r="AW418" s="36">
        <f t="shared" si="361"/>
        <v>0</v>
      </c>
      <c r="AX418" s="36">
        <f t="shared" si="362"/>
        <v>0</v>
      </c>
      <c r="AY418" s="39" t="s">
        <v>2929</v>
      </c>
      <c r="AZ418" s="39" t="s">
        <v>2954</v>
      </c>
      <c r="BA418" s="35" t="s">
        <v>2967</v>
      </c>
      <c r="BC418" s="36">
        <f t="shared" si="363"/>
        <v>0</v>
      </c>
      <c r="BD418" s="36">
        <f t="shared" si="364"/>
        <v>0</v>
      </c>
      <c r="BE418" s="36">
        <v>0</v>
      </c>
      <c r="BF418" s="36">
        <f>418</f>
        <v>418</v>
      </c>
      <c r="BH418" s="20">
        <f t="shared" si="365"/>
        <v>0</v>
      </c>
      <c r="BI418" s="20">
        <f t="shared" si="366"/>
        <v>0</v>
      </c>
      <c r="BJ418" s="20">
        <f t="shared" si="367"/>
        <v>0</v>
      </c>
      <c r="BK418" s="20" t="s">
        <v>2978</v>
      </c>
      <c r="BL418" s="36">
        <v>728</v>
      </c>
    </row>
    <row r="419" spans="1:64" x14ac:dyDescent="0.2">
      <c r="A419" s="4" t="s">
        <v>328</v>
      </c>
      <c r="B419" s="13" t="s">
        <v>1255</v>
      </c>
      <c r="C419" s="174" t="s">
        <v>2248</v>
      </c>
      <c r="D419" s="175"/>
      <c r="E419" s="175"/>
      <c r="F419" s="175"/>
      <c r="G419" s="13" t="s">
        <v>2860</v>
      </c>
      <c r="H419" s="82">
        <v>2</v>
      </c>
      <c r="I419" s="109">
        <v>0</v>
      </c>
      <c r="J419" s="20">
        <f t="shared" si="344"/>
        <v>0</v>
      </c>
      <c r="K419" s="20">
        <f t="shared" si="345"/>
        <v>0</v>
      </c>
      <c r="L419" s="20">
        <f t="shared" si="346"/>
        <v>0</v>
      </c>
      <c r="M419" s="31" t="s">
        <v>2884</v>
      </c>
      <c r="N419" s="5"/>
      <c r="Z419" s="36">
        <f t="shared" si="347"/>
        <v>0</v>
      </c>
      <c r="AB419" s="36">
        <f t="shared" si="348"/>
        <v>0</v>
      </c>
      <c r="AC419" s="36">
        <f t="shared" si="349"/>
        <v>0</v>
      </c>
      <c r="AD419" s="36">
        <f t="shared" si="350"/>
        <v>0</v>
      </c>
      <c r="AE419" s="36">
        <f t="shared" si="351"/>
        <v>0</v>
      </c>
      <c r="AF419" s="36">
        <f t="shared" si="352"/>
        <v>0</v>
      </c>
      <c r="AG419" s="36">
        <f t="shared" si="353"/>
        <v>0</v>
      </c>
      <c r="AH419" s="36">
        <f t="shared" si="354"/>
        <v>0</v>
      </c>
      <c r="AI419" s="35" t="s">
        <v>2894</v>
      </c>
      <c r="AJ419" s="20">
        <f t="shared" si="355"/>
        <v>0</v>
      </c>
      <c r="AK419" s="20">
        <f t="shared" si="356"/>
        <v>0</v>
      </c>
      <c r="AL419" s="20">
        <f t="shared" si="357"/>
        <v>0</v>
      </c>
      <c r="AN419" s="36">
        <v>21</v>
      </c>
      <c r="AO419" s="36">
        <f t="shared" si="358"/>
        <v>0</v>
      </c>
      <c r="AP419" s="36">
        <f t="shared" si="359"/>
        <v>0</v>
      </c>
      <c r="AQ419" s="37" t="s">
        <v>13</v>
      </c>
      <c r="AV419" s="36">
        <f t="shared" si="360"/>
        <v>0</v>
      </c>
      <c r="AW419" s="36">
        <f t="shared" si="361"/>
        <v>0</v>
      </c>
      <c r="AX419" s="36">
        <f t="shared" si="362"/>
        <v>0</v>
      </c>
      <c r="AY419" s="39" t="s">
        <v>2929</v>
      </c>
      <c r="AZ419" s="39" t="s">
        <v>2954</v>
      </c>
      <c r="BA419" s="35" t="s">
        <v>2967</v>
      </c>
      <c r="BC419" s="36">
        <f t="shared" si="363"/>
        <v>0</v>
      </c>
      <c r="BD419" s="36">
        <f t="shared" si="364"/>
        <v>0</v>
      </c>
      <c r="BE419" s="36">
        <v>0</v>
      </c>
      <c r="BF419" s="36">
        <f>419</f>
        <v>419</v>
      </c>
      <c r="BH419" s="20">
        <f t="shared" si="365"/>
        <v>0</v>
      </c>
      <c r="BI419" s="20">
        <f t="shared" si="366"/>
        <v>0</v>
      </c>
      <c r="BJ419" s="20">
        <f t="shared" si="367"/>
        <v>0</v>
      </c>
      <c r="BK419" s="20" t="s">
        <v>2978</v>
      </c>
      <c r="BL419" s="36">
        <v>728</v>
      </c>
    </row>
    <row r="420" spans="1:64" x14ac:dyDescent="0.2">
      <c r="A420" s="4" t="s">
        <v>329</v>
      </c>
      <c r="B420" s="13" t="s">
        <v>1256</v>
      </c>
      <c r="C420" s="174" t="s">
        <v>2249</v>
      </c>
      <c r="D420" s="175"/>
      <c r="E420" s="175"/>
      <c r="F420" s="175"/>
      <c r="G420" s="13" t="s">
        <v>2860</v>
      </c>
      <c r="H420" s="82">
        <v>2</v>
      </c>
      <c r="I420" s="109">
        <v>0</v>
      </c>
      <c r="J420" s="20">
        <f t="shared" si="344"/>
        <v>0</v>
      </c>
      <c r="K420" s="20">
        <f t="shared" si="345"/>
        <v>0</v>
      </c>
      <c r="L420" s="20">
        <f t="shared" si="346"/>
        <v>0</v>
      </c>
      <c r="M420" s="31" t="s">
        <v>2884</v>
      </c>
      <c r="N420" s="5"/>
      <c r="Z420" s="36">
        <f t="shared" si="347"/>
        <v>0</v>
      </c>
      <c r="AB420" s="36">
        <f t="shared" si="348"/>
        <v>0</v>
      </c>
      <c r="AC420" s="36">
        <f t="shared" si="349"/>
        <v>0</v>
      </c>
      <c r="AD420" s="36">
        <f t="shared" si="350"/>
        <v>0</v>
      </c>
      <c r="AE420" s="36">
        <f t="shared" si="351"/>
        <v>0</v>
      </c>
      <c r="AF420" s="36">
        <f t="shared" si="352"/>
        <v>0</v>
      </c>
      <c r="AG420" s="36">
        <f t="shared" si="353"/>
        <v>0</v>
      </c>
      <c r="AH420" s="36">
        <f t="shared" si="354"/>
        <v>0</v>
      </c>
      <c r="AI420" s="35" t="s">
        <v>2894</v>
      </c>
      <c r="AJ420" s="20">
        <f t="shared" si="355"/>
        <v>0</v>
      </c>
      <c r="AK420" s="20">
        <f t="shared" si="356"/>
        <v>0</v>
      </c>
      <c r="AL420" s="20">
        <f t="shared" si="357"/>
        <v>0</v>
      </c>
      <c r="AN420" s="36">
        <v>21</v>
      </c>
      <c r="AO420" s="36">
        <f t="shared" si="358"/>
        <v>0</v>
      </c>
      <c r="AP420" s="36">
        <f t="shared" si="359"/>
        <v>0</v>
      </c>
      <c r="AQ420" s="37" t="s">
        <v>13</v>
      </c>
      <c r="AV420" s="36">
        <f t="shared" si="360"/>
        <v>0</v>
      </c>
      <c r="AW420" s="36">
        <f t="shared" si="361"/>
        <v>0</v>
      </c>
      <c r="AX420" s="36">
        <f t="shared" si="362"/>
        <v>0</v>
      </c>
      <c r="AY420" s="39" t="s">
        <v>2929</v>
      </c>
      <c r="AZ420" s="39" t="s">
        <v>2954</v>
      </c>
      <c r="BA420" s="35" t="s">
        <v>2967</v>
      </c>
      <c r="BC420" s="36">
        <f t="shared" si="363"/>
        <v>0</v>
      </c>
      <c r="BD420" s="36">
        <f t="shared" si="364"/>
        <v>0</v>
      </c>
      <c r="BE420" s="36">
        <v>0</v>
      </c>
      <c r="BF420" s="36">
        <f>420</f>
        <v>420</v>
      </c>
      <c r="BH420" s="20">
        <f t="shared" si="365"/>
        <v>0</v>
      </c>
      <c r="BI420" s="20">
        <f t="shared" si="366"/>
        <v>0</v>
      </c>
      <c r="BJ420" s="20">
        <f t="shared" si="367"/>
        <v>0</v>
      </c>
      <c r="BK420" s="20" t="s">
        <v>2978</v>
      </c>
      <c r="BL420" s="36">
        <v>728</v>
      </c>
    </row>
    <row r="421" spans="1:64" x14ac:dyDescent="0.2">
      <c r="A421" s="4" t="s">
        <v>330</v>
      </c>
      <c r="B421" s="13" t="s">
        <v>1257</v>
      </c>
      <c r="C421" s="174" t="s">
        <v>2250</v>
      </c>
      <c r="D421" s="175"/>
      <c r="E421" s="175"/>
      <c r="F421" s="175"/>
      <c r="G421" s="13" t="s">
        <v>2860</v>
      </c>
      <c r="H421" s="82">
        <v>2</v>
      </c>
      <c r="I421" s="109">
        <v>0</v>
      </c>
      <c r="J421" s="20">
        <f t="shared" si="344"/>
        <v>0</v>
      </c>
      <c r="K421" s="20">
        <f t="shared" si="345"/>
        <v>0</v>
      </c>
      <c r="L421" s="20">
        <f t="shared" si="346"/>
        <v>0</v>
      </c>
      <c r="M421" s="31" t="s">
        <v>2884</v>
      </c>
      <c r="N421" s="5"/>
      <c r="Z421" s="36">
        <f t="shared" si="347"/>
        <v>0</v>
      </c>
      <c r="AB421" s="36">
        <f t="shared" si="348"/>
        <v>0</v>
      </c>
      <c r="AC421" s="36">
        <f t="shared" si="349"/>
        <v>0</v>
      </c>
      <c r="AD421" s="36">
        <f t="shared" si="350"/>
        <v>0</v>
      </c>
      <c r="AE421" s="36">
        <f t="shared" si="351"/>
        <v>0</v>
      </c>
      <c r="AF421" s="36">
        <f t="shared" si="352"/>
        <v>0</v>
      </c>
      <c r="AG421" s="36">
        <f t="shared" si="353"/>
        <v>0</v>
      </c>
      <c r="AH421" s="36">
        <f t="shared" si="354"/>
        <v>0</v>
      </c>
      <c r="AI421" s="35" t="s">
        <v>2894</v>
      </c>
      <c r="AJ421" s="20">
        <f t="shared" si="355"/>
        <v>0</v>
      </c>
      <c r="AK421" s="20">
        <f t="shared" si="356"/>
        <v>0</v>
      </c>
      <c r="AL421" s="20">
        <f t="shared" si="357"/>
        <v>0</v>
      </c>
      <c r="AN421" s="36">
        <v>21</v>
      </c>
      <c r="AO421" s="36">
        <f t="shared" si="358"/>
        <v>0</v>
      </c>
      <c r="AP421" s="36">
        <f t="shared" si="359"/>
        <v>0</v>
      </c>
      <c r="AQ421" s="37" t="s">
        <v>13</v>
      </c>
      <c r="AV421" s="36">
        <f t="shared" si="360"/>
        <v>0</v>
      </c>
      <c r="AW421" s="36">
        <f t="shared" si="361"/>
        <v>0</v>
      </c>
      <c r="AX421" s="36">
        <f t="shared" si="362"/>
        <v>0</v>
      </c>
      <c r="AY421" s="39" t="s">
        <v>2929</v>
      </c>
      <c r="AZ421" s="39" t="s">
        <v>2954</v>
      </c>
      <c r="BA421" s="35" t="s">
        <v>2967</v>
      </c>
      <c r="BC421" s="36">
        <f t="shared" si="363"/>
        <v>0</v>
      </c>
      <c r="BD421" s="36">
        <f t="shared" si="364"/>
        <v>0</v>
      </c>
      <c r="BE421" s="36">
        <v>0</v>
      </c>
      <c r="BF421" s="36">
        <f>421</f>
        <v>421</v>
      </c>
      <c r="BH421" s="20">
        <f t="shared" si="365"/>
        <v>0</v>
      </c>
      <c r="BI421" s="20">
        <f t="shared" si="366"/>
        <v>0</v>
      </c>
      <c r="BJ421" s="20">
        <f t="shared" si="367"/>
        <v>0</v>
      </c>
      <c r="BK421" s="20" t="s">
        <v>2978</v>
      </c>
      <c r="BL421" s="36">
        <v>728</v>
      </c>
    </row>
    <row r="422" spans="1:64" x14ac:dyDescent="0.2">
      <c r="A422" s="4" t="s">
        <v>331</v>
      </c>
      <c r="B422" s="13" t="s">
        <v>1258</v>
      </c>
      <c r="C422" s="174" t="s">
        <v>2251</v>
      </c>
      <c r="D422" s="175"/>
      <c r="E422" s="175"/>
      <c r="F422" s="175"/>
      <c r="G422" s="13" t="s">
        <v>2860</v>
      </c>
      <c r="H422" s="82">
        <v>2</v>
      </c>
      <c r="I422" s="109">
        <v>0</v>
      </c>
      <c r="J422" s="20">
        <f t="shared" si="344"/>
        <v>0</v>
      </c>
      <c r="K422" s="20">
        <f t="shared" si="345"/>
        <v>0</v>
      </c>
      <c r="L422" s="20">
        <f t="shared" si="346"/>
        <v>0</v>
      </c>
      <c r="M422" s="31" t="s">
        <v>2884</v>
      </c>
      <c r="N422" s="5"/>
      <c r="Z422" s="36">
        <f t="shared" si="347"/>
        <v>0</v>
      </c>
      <c r="AB422" s="36">
        <f t="shared" si="348"/>
        <v>0</v>
      </c>
      <c r="AC422" s="36">
        <f t="shared" si="349"/>
        <v>0</v>
      </c>
      <c r="AD422" s="36">
        <f t="shared" si="350"/>
        <v>0</v>
      </c>
      <c r="AE422" s="36">
        <f t="shared" si="351"/>
        <v>0</v>
      </c>
      <c r="AF422" s="36">
        <f t="shared" si="352"/>
        <v>0</v>
      </c>
      <c r="AG422" s="36">
        <f t="shared" si="353"/>
        <v>0</v>
      </c>
      <c r="AH422" s="36">
        <f t="shared" si="354"/>
        <v>0</v>
      </c>
      <c r="AI422" s="35" t="s">
        <v>2894</v>
      </c>
      <c r="AJ422" s="20">
        <f t="shared" si="355"/>
        <v>0</v>
      </c>
      <c r="AK422" s="20">
        <f t="shared" si="356"/>
        <v>0</v>
      </c>
      <c r="AL422" s="20">
        <f t="shared" si="357"/>
        <v>0</v>
      </c>
      <c r="AN422" s="36">
        <v>21</v>
      </c>
      <c r="AO422" s="36">
        <f t="shared" si="358"/>
        <v>0</v>
      </c>
      <c r="AP422" s="36">
        <f t="shared" si="359"/>
        <v>0</v>
      </c>
      <c r="AQ422" s="37" t="s">
        <v>13</v>
      </c>
      <c r="AV422" s="36">
        <f t="shared" si="360"/>
        <v>0</v>
      </c>
      <c r="AW422" s="36">
        <f t="shared" si="361"/>
        <v>0</v>
      </c>
      <c r="AX422" s="36">
        <f t="shared" si="362"/>
        <v>0</v>
      </c>
      <c r="AY422" s="39" t="s">
        <v>2929</v>
      </c>
      <c r="AZ422" s="39" t="s">
        <v>2954</v>
      </c>
      <c r="BA422" s="35" t="s">
        <v>2967</v>
      </c>
      <c r="BC422" s="36">
        <f t="shared" si="363"/>
        <v>0</v>
      </c>
      <c r="BD422" s="36">
        <f t="shared" si="364"/>
        <v>0</v>
      </c>
      <c r="BE422" s="36">
        <v>0</v>
      </c>
      <c r="BF422" s="36">
        <f>422</f>
        <v>422</v>
      </c>
      <c r="BH422" s="20">
        <f t="shared" si="365"/>
        <v>0</v>
      </c>
      <c r="BI422" s="20">
        <f t="shared" si="366"/>
        <v>0</v>
      </c>
      <c r="BJ422" s="20">
        <f t="shared" si="367"/>
        <v>0</v>
      </c>
      <c r="BK422" s="20" t="s">
        <v>2978</v>
      </c>
      <c r="BL422" s="36">
        <v>728</v>
      </c>
    </row>
    <row r="423" spans="1:64" x14ac:dyDescent="0.2">
      <c r="A423" s="4" t="s">
        <v>332</v>
      </c>
      <c r="B423" s="13" t="s">
        <v>1259</v>
      </c>
      <c r="C423" s="174" t="s">
        <v>2252</v>
      </c>
      <c r="D423" s="175"/>
      <c r="E423" s="175"/>
      <c r="F423" s="175"/>
      <c r="G423" s="13" t="s">
        <v>2860</v>
      </c>
      <c r="H423" s="82">
        <v>2</v>
      </c>
      <c r="I423" s="109">
        <v>0</v>
      </c>
      <c r="J423" s="20">
        <f t="shared" si="344"/>
        <v>0</v>
      </c>
      <c r="K423" s="20">
        <f t="shared" si="345"/>
        <v>0</v>
      </c>
      <c r="L423" s="20">
        <f t="shared" si="346"/>
        <v>0</v>
      </c>
      <c r="M423" s="31" t="s">
        <v>2884</v>
      </c>
      <c r="N423" s="5"/>
      <c r="Z423" s="36">
        <f t="shared" si="347"/>
        <v>0</v>
      </c>
      <c r="AB423" s="36">
        <f t="shared" si="348"/>
        <v>0</v>
      </c>
      <c r="AC423" s="36">
        <f t="shared" si="349"/>
        <v>0</v>
      </c>
      <c r="AD423" s="36">
        <f t="shared" si="350"/>
        <v>0</v>
      </c>
      <c r="AE423" s="36">
        <f t="shared" si="351"/>
        <v>0</v>
      </c>
      <c r="AF423" s="36">
        <f t="shared" si="352"/>
        <v>0</v>
      </c>
      <c r="AG423" s="36">
        <f t="shared" si="353"/>
        <v>0</v>
      </c>
      <c r="AH423" s="36">
        <f t="shared" si="354"/>
        <v>0</v>
      </c>
      <c r="AI423" s="35" t="s">
        <v>2894</v>
      </c>
      <c r="AJ423" s="20">
        <f t="shared" si="355"/>
        <v>0</v>
      </c>
      <c r="AK423" s="20">
        <f t="shared" si="356"/>
        <v>0</v>
      </c>
      <c r="AL423" s="20">
        <f t="shared" si="357"/>
        <v>0</v>
      </c>
      <c r="AN423" s="36">
        <v>21</v>
      </c>
      <c r="AO423" s="36">
        <f t="shared" si="358"/>
        <v>0</v>
      </c>
      <c r="AP423" s="36">
        <f t="shared" si="359"/>
        <v>0</v>
      </c>
      <c r="AQ423" s="37" t="s">
        <v>13</v>
      </c>
      <c r="AV423" s="36">
        <f t="shared" si="360"/>
        <v>0</v>
      </c>
      <c r="AW423" s="36">
        <f t="shared" si="361"/>
        <v>0</v>
      </c>
      <c r="AX423" s="36">
        <f t="shared" si="362"/>
        <v>0</v>
      </c>
      <c r="AY423" s="39" t="s">
        <v>2929</v>
      </c>
      <c r="AZ423" s="39" t="s">
        <v>2954</v>
      </c>
      <c r="BA423" s="35" t="s">
        <v>2967</v>
      </c>
      <c r="BC423" s="36">
        <f t="shared" si="363"/>
        <v>0</v>
      </c>
      <c r="BD423" s="36">
        <f t="shared" si="364"/>
        <v>0</v>
      </c>
      <c r="BE423" s="36">
        <v>0</v>
      </c>
      <c r="BF423" s="36">
        <f>423</f>
        <v>423</v>
      </c>
      <c r="BH423" s="20">
        <f t="shared" si="365"/>
        <v>0</v>
      </c>
      <c r="BI423" s="20">
        <f t="shared" si="366"/>
        <v>0</v>
      </c>
      <c r="BJ423" s="20">
        <f t="shared" si="367"/>
        <v>0</v>
      </c>
      <c r="BK423" s="20" t="s">
        <v>2978</v>
      </c>
      <c r="BL423" s="36">
        <v>728</v>
      </c>
    </row>
    <row r="424" spans="1:64" x14ac:dyDescent="0.2">
      <c r="A424" s="4" t="s">
        <v>333</v>
      </c>
      <c r="B424" s="13" t="s">
        <v>1260</v>
      </c>
      <c r="C424" s="174" t="s">
        <v>2253</v>
      </c>
      <c r="D424" s="175"/>
      <c r="E424" s="175"/>
      <c r="F424" s="175"/>
      <c r="G424" s="13" t="s">
        <v>2860</v>
      </c>
      <c r="H424" s="82">
        <v>2</v>
      </c>
      <c r="I424" s="109">
        <v>0</v>
      </c>
      <c r="J424" s="20">
        <f t="shared" si="344"/>
        <v>0</v>
      </c>
      <c r="K424" s="20">
        <f t="shared" si="345"/>
        <v>0</v>
      </c>
      <c r="L424" s="20">
        <f t="shared" si="346"/>
        <v>0</v>
      </c>
      <c r="M424" s="31" t="s">
        <v>2884</v>
      </c>
      <c r="N424" s="5"/>
      <c r="Z424" s="36">
        <f t="shared" si="347"/>
        <v>0</v>
      </c>
      <c r="AB424" s="36">
        <f t="shared" si="348"/>
        <v>0</v>
      </c>
      <c r="AC424" s="36">
        <f t="shared" si="349"/>
        <v>0</v>
      </c>
      <c r="AD424" s="36">
        <f t="shared" si="350"/>
        <v>0</v>
      </c>
      <c r="AE424" s="36">
        <f t="shared" si="351"/>
        <v>0</v>
      </c>
      <c r="AF424" s="36">
        <f t="shared" si="352"/>
        <v>0</v>
      </c>
      <c r="AG424" s="36">
        <f t="shared" si="353"/>
        <v>0</v>
      </c>
      <c r="AH424" s="36">
        <f t="shared" si="354"/>
        <v>0</v>
      </c>
      <c r="AI424" s="35" t="s">
        <v>2894</v>
      </c>
      <c r="AJ424" s="20">
        <f t="shared" si="355"/>
        <v>0</v>
      </c>
      <c r="AK424" s="20">
        <f t="shared" si="356"/>
        <v>0</v>
      </c>
      <c r="AL424" s="20">
        <f t="shared" si="357"/>
        <v>0</v>
      </c>
      <c r="AN424" s="36">
        <v>21</v>
      </c>
      <c r="AO424" s="36">
        <f t="shared" si="358"/>
        <v>0</v>
      </c>
      <c r="AP424" s="36">
        <f t="shared" si="359"/>
        <v>0</v>
      </c>
      <c r="AQ424" s="37" t="s">
        <v>13</v>
      </c>
      <c r="AV424" s="36">
        <f t="shared" si="360"/>
        <v>0</v>
      </c>
      <c r="AW424" s="36">
        <f t="shared" si="361"/>
        <v>0</v>
      </c>
      <c r="AX424" s="36">
        <f t="shared" si="362"/>
        <v>0</v>
      </c>
      <c r="AY424" s="39" t="s">
        <v>2929</v>
      </c>
      <c r="AZ424" s="39" t="s">
        <v>2954</v>
      </c>
      <c r="BA424" s="35" t="s">
        <v>2967</v>
      </c>
      <c r="BC424" s="36">
        <f t="shared" si="363"/>
        <v>0</v>
      </c>
      <c r="BD424" s="36">
        <f t="shared" si="364"/>
        <v>0</v>
      </c>
      <c r="BE424" s="36">
        <v>0</v>
      </c>
      <c r="BF424" s="36">
        <f>424</f>
        <v>424</v>
      </c>
      <c r="BH424" s="20">
        <f t="shared" si="365"/>
        <v>0</v>
      </c>
      <c r="BI424" s="20">
        <f t="shared" si="366"/>
        <v>0</v>
      </c>
      <c r="BJ424" s="20">
        <f t="shared" si="367"/>
        <v>0</v>
      </c>
      <c r="BK424" s="20" t="s">
        <v>2978</v>
      </c>
      <c r="BL424" s="36">
        <v>728</v>
      </c>
    </row>
    <row r="425" spans="1:64" x14ac:dyDescent="0.2">
      <c r="A425" s="4" t="s">
        <v>334</v>
      </c>
      <c r="B425" s="13" t="s">
        <v>1261</v>
      </c>
      <c r="C425" s="174" t="s">
        <v>2254</v>
      </c>
      <c r="D425" s="175"/>
      <c r="E425" s="175"/>
      <c r="F425" s="175"/>
      <c r="G425" s="13" t="s">
        <v>2860</v>
      </c>
      <c r="H425" s="82">
        <v>2</v>
      </c>
      <c r="I425" s="109">
        <v>0</v>
      </c>
      <c r="J425" s="20">
        <f t="shared" si="344"/>
        <v>0</v>
      </c>
      <c r="K425" s="20">
        <f t="shared" si="345"/>
        <v>0</v>
      </c>
      <c r="L425" s="20">
        <f t="shared" si="346"/>
        <v>0</v>
      </c>
      <c r="M425" s="31" t="s">
        <v>2884</v>
      </c>
      <c r="N425" s="5"/>
      <c r="Z425" s="36">
        <f t="shared" si="347"/>
        <v>0</v>
      </c>
      <c r="AB425" s="36">
        <f t="shared" si="348"/>
        <v>0</v>
      </c>
      <c r="AC425" s="36">
        <f t="shared" si="349"/>
        <v>0</v>
      </c>
      <c r="AD425" s="36">
        <f t="shared" si="350"/>
        <v>0</v>
      </c>
      <c r="AE425" s="36">
        <f t="shared" si="351"/>
        <v>0</v>
      </c>
      <c r="AF425" s="36">
        <f t="shared" si="352"/>
        <v>0</v>
      </c>
      <c r="AG425" s="36">
        <f t="shared" si="353"/>
        <v>0</v>
      </c>
      <c r="AH425" s="36">
        <f t="shared" si="354"/>
        <v>0</v>
      </c>
      <c r="AI425" s="35" t="s">
        <v>2894</v>
      </c>
      <c r="AJ425" s="20">
        <f t="shared" si="355"/>
        <v>0</v>
      </c>
      <c r="AK425" s="20">
        <f t="shared" si="356"/>
        <v>0</v>
      </c>
      <c r="AL425" s="20">
        <f t="shared" si="357"/>
        <v>0</v>
      </c>
      <c r="AN425" s="36">
        <v>21</v>
      </c>
      <c r="AO425" s="36">
        <f t="shared" si="358"/>
        <v>0</v>
      </c>
      <c r="AP425" s="36">
        <f t="shared" si="359"/>
        <v>0</v>
      </c>
      <c r="AQ425" s="37" t="s">
        <v>13</v>
      </c>
      <c r="AV425" s="36">
        <f t="shared" si="360"/>
        <v>0</v>
      </c>
      <c r="AW425" s="36">
        <f t="shared" si="361"/>
        <v>0</v>
      </c>
      <c r="AX425" s="36">
        <f t="shared" si="362"/>
        <v>0</v>
      </c>
      <c r="AY425" s="39" t="s">
        <v>2929</v>
      </c>
      <c r="AZ425" s="39" t="s">
        <v>2954</v>
      </c>
      <c r="BA425" s="35" t="s">
        <v>2967</v>
      </c>
      <c r="BC425" s="36">
        <f t="shared" si="363"/>
        <v>0</v>
      </c>
      <c r="BD425" s="36">
        <f t="shared" si="364"/>
        <v>0</v>
      </c>
      <c r="BE425" s="36">
        <v>0</v>
      </c>
      <c r="BF425" s="36">
        <f>425</f>
        <v>425</v>
      </c>
      <c r="BH425" s="20">
        <f t="shared" si="365"/>
        <v>0</v>
      </c>
      <c r="BI425" s="20">
        <f t="shared" si="366"/>
        <v>0</v>
      </c>
      <c r="BJ425" s="20">
        <f t="shared" si="367"/>
        <v>0</v>
      </c>
      <c r="BK425" s="20" t="s">
        <v>2978</v>
      </c>
      <c r="BL425" s="36">
        <v>728</v>
      </c>
    </row>
    <row r="426" spans="1:64" x14ac:dyDescent="0.2">
      <c r="A426" s="4" t="s">
        <v>335</v>
      </c>
      <c r="B426" s="13" t="s">
        <v>1262</v>
      </c>
      <c r="C426" s="174" t="s">
        <v>2255</v>
      </c>
      <c r="D426" s="175"/>
      <c r="E426" s="175"/>
      <c r="F426" s="175"/>
      <c r="G426" s="13" t="s">
        <v>2860</v>
      </c>
      <c r="H426" s="82">
        <v>2</v>
      </c>
      <c r="I426" s="109">
        <v>0</v>
      </c>
      <c r="J426" s="20">
        <f t="shared" si="344"/>
        <v>0</v>
      </c>
      <c r="K426" s="20">
        <f t="shared" si="345"/>
        <v>0</v>
      </c>
      <c r="L426" s="20">
        <f t="shared" si="346"/>
        <v>0</v>
      </c>
      <c r="M426" s="31" t="s">
        <v>2884</v>
      </c>
      <c r="N426" s="5"/>
      <c r="Z426" s="36">
        <f t="shared" si="347"/>
        <v>0</v>
      </c>
      <c r="AB426" s="36">
        <f t="shared" si="348"/>
        <v>0</v>
      </c>
      <c r="AC426" s="36">
        <f t="shared" si="349"/>
        <v>0</v>
      </c>
      <c r="AD426" s="36">
        <f t="shared" si="350"/>
        <v>0</v>
      </c>
      <c r="AE426" s="36">
        <f t="shared" si="351"/>
        <v>0</v>
      </c>
      <c r="AF426" s="36">
        <f t="shared" si="352"/>
        <v>0</v>
      </c>
      <c r="AG426" s="36">
        <f t="shared" si="353"/>
        <v>0</v>
      </c>
      <c r="AH426" s="36">
        <f t="shared" si="354"/>
        <v>0</v>
      </c>
      <c r="AI426" s="35" t="s">
        <v>2894</v>
      </c>
      <c r="AJ426" s="20">
        <f t="shared" si="355"/>
        <v>0</v>
      </c>
      <c r="AK426" s="20">
        <f t="shared" si="356"/>
        <v>0</v>
      </c>
      <c r="AL426" s="20">
        <f t="shared" si="357"/>
        <v>0</v>
      </c>
      <c r="AN426" s="36">
        <v>21</v>
      </c>
      <c r="AO426" s="36">
        <f t="shared" si="358"/>
        <v>0</v>
      </c>
      <c r="AP426" s="36">
        <f t="shared" si="359"/>
        <v>0</v>
      </c>
      <c r="AQ426" s="37" t="s">
        <v>13</v>
      </c>
      <c r="AV426" s="36">
        <f t="shared" si="360"/>
        <v>0</v>
      </c>
      <c r="AW426" s="36">
        <f t="shared" si="361"/>
        <v>0</v>
      </c>
      <c r="AX426" s="36">
        <f t="shared" si="362"/>
        <v>0</v>
      </c>
      <c r="AY426" s="39" t="s">
        <v>2929</v>
      </c>
      <c r="AZ426" s="39" t="s">
        <v>2954</v>
      </c>
      <c r="BA426" s="35" t="s">
        <v>2967</v>
      </c>
      <c r="BC426" s="36">
        <f t="shared" si="363"/>
        <v>0</v>
      </c>
      <c r="BD426" s="36">
        <f t="shared" si="364"/>
        <v>0</v>
      </c>
      <c r="BE426" s="36">
        <v>0</v>
      </c>
      <c r="BF426" s="36">
        <f>426</f>
        <v>426</v>
      </c>
      <c r="BH426" s="20">
        <f t="shared" si="365"/>
        <v>0</v>
      </c>
      <c r="BI426" s="20">
        <f t="shared" si="366"/>
        <v>0</v>
      </c>
      <c r="BJ426" s="20">
        <f t="shared" si="367"/>
        <v>0</v>
      </c>
      <c r="BK426" s="20" t="s">
        <v>2978</v>
      </c>
      <c r="BL426" s="36">
        <v>728</v>
      </c>
    </row>
    <row r="427" spans="1:64" x14ac:dyDescent="0.2">
      <c r="A427" s="4" t="s">
        <v>336</v>
      </c>
      <c r="B427" s="13" t="s">
        <v>1263</v>
      </c>
      <c r="C427" s="174" t="s">
        <v>2256</v>
      </c>
      <c r="D427" s="175"/>
      <c r="E427" s="175"/>
      <c r="F427" s="175"/>
      <c r="G427" s="13" t="s">
        <v>2860</v>
      </c>
      <c r="H427" s="82">
        <v>2</v>
      </c>
      <c r="I427" s="109">
        <v>0</v>
      </c>
      <c r="J427" s="20">
        <f t="shared" si="344"/>
        <v>0</v>
      </c>
      <c r="K427" s="20">
        <f t="shared" si="345"/>
        <v>0</v>
      </c>
      <c r="L427" s="20">
        <f t="shared" si="346"/>
        <v>0</v>
      </c>
      <c r="M427" s="31" t="s">
        <v>2884</v>
      </c>
      <c r="N427" s="5"/>
      <c r="Z427" s="36">
        <f t="shared" si="347"/>
        <v>0</v>
      </c>
      <c r="AB427" s="36">
        <f t="shared" si="348"/>
        <v>0</v>
      </c>
      <c r="AC427" s="36">
        <f t="shared" si="349"/>
        <v>0</v>
      </c>
      <c r="AD427" s="36">
        <f t="shared" si="350"/>
        <v>0</v>
      </c>
      <c r="AE427" s="36">
        <f t="shared" si="351"/>
        <v>0</v>
      </c>
      <c r="AF427" s="36">
        <f t="shared" si="352"/>
        <v>0</v>
      </c>
      <c r="AG427" s="36">
        <f t="shared" si="353"/>
        <v>0</v>
      </c>
      <c r="AH427" s="36">
        <f t="shared" si="354"/>
        <v>0</v>
      </c>
      <c r="AI427" s="35" t="s">
        <v>2894</v>
      </c>
      <c r="AJ427" s="20">
        <f t="shared" si="355"/>
        <v>0</v>
      </c>
      <c r="AK427" s="20">
        <f t="shared" si="356"/>
        <v>0</v>
      </c>
      <c r="AL427" s="20">
        <f t="shared" si="357"/>
        <v>0</v>
      </c>
      <c r="AN427" s="36">
        <v>21</v>
      </c>
      <c r="AO427" s="36">
        <f t="shared" si="358"/>
        <v>0</v>
      </c>
      <c r="AP427" s="36">
        <f t="shared" si="359"/>
        <v>0</v>
      </c>
      <c r="AQ427" s="37" t="s">
        <v>13</v>
      </c>
      <c r="AV427" s="36">
        <f t="shared" si="360"/>
        <v>0</v>
      </c>
      <c r="AW427" s="36">
        <f t="shared" si="361"/>
        <v>0</v>
      </c>
      <c r="AX427" s="36">
        <f t="shared" si="362"/>
        <v>0</v>
      </c>
      <c r="AY427" s="39" t="s">
        <v>2929</v>
      </c>
      <c r="AZ427" s="39" t="s">
        <v>2954</v>
      </c>
      <c r="BA427" s="35" t="s">
        <v>2967</v>
      </c>
      <c r="BC427" s="36">
        <f t="shared" si="363"/>
        <v>0</v>
      </c>
      <c r="BD427" s="36">
        <f t="shared" si="364"/>
        <v>0</v>
      </c>
      <c r="BE427" s="36">
        <v>0</v>
      </c>
      <c r="BF427" s="36">
        <f>427</f>
        <v>427</v>
      </c>
      <c r="BH427" s="20">
        <f t="shared" si="365"/>
        <v>0</v>
      </c>
      <c r="BI427" s="20">
        <f t="shared" si="366"/>
        <v>0</v>
      </c>
      <c r="BJ427" s="20">
        <f t="shared" si="367"/>
        <v>0</v>
      </c>
      <c r="BK427" s="20" t="s">
        <v>2978</v>
      </c>
      <c r="BL427" s="36">
        <v>728</v>
      </c>
    </row>
    <row r="428" spans="1:64" x14ac:dyDescent="0.2">
      <c r="A428" s="4" t="s">
        <v>337</v>
      </c>
      <c r="B428" s="13" t="s">
        <v>1264</v>
      </c>
      <c r="C428" s="174" t="s">
        <v>2257</v>
      </c>
      <c r="D428" s="175"/>
      <c r="E428" s="175"/>
      <c r="F428" s="175"/>
      <c r="G428" s="13" t="s">
        <v>2854</v>
      </c>
      <c r="H428" s="82">
        <v>25.882000000000001</v>
      </c>
      <c r="I428" s="109">
        <v>0</v>
      </c>
      <c r="J428" s="20">
        <f t="shared" si="344"/>
        <v>0</v>
      </c>
      <c r="K428" s="20">
        <f t="shared" si="345"/>
        <v>0</v>
      </c>
      <c r="L428" s="20">
        <f t="shared" si="346"/>
        <v>0</v>
      </c>
      <c r="M428" s="31" t="s">
        <v>2884</v>
      </c>
      <c r="N428" s="5"/>
      <c r="Z428" s="36">
        <f t="shared" si="347"/>
        <v>0</v>
      </c>
      <c r="AB428" s="36">
        <f t="shared" si="348"/>
        <v>0</v>
      </c>
      <c r="AC428" s="36">
        <f t="shared" si="349"/>
        <v>0</v>
      </c>
      <c r="AD428" s="36">
        <f t="shared" si="350"/>
        <v>0</v>
      </c>
      <c r="AE428" s="36">
        <f t="shared" si="351"/>
        <v>0</v>
      </c>
      <c r="AF428" s="36">
        <f t="shared" si="352"/>
        <v>0</v>
      </c>
      <c r="AG428" s="36">
        <f t="shared" si="353"/>
        <v>0</v>
      </c>
      <c r="AH428" s="36">
        <f t="shared" si="354"/>
        <v>0</v>
      </c>
      <c r="AI428" s="35" t="s">
        <v>2894</v>
      </c>
      <c r="AJ428" s="20">
        <f t="shared" si="355"/>
        <v>0</v>
      </c>
      <c r="AK428" s="20">
        <f t="shared" si="356"/>
        <v>0</v>
      </c>
      <c r="AL428" s="20">
        <f t="shared" si="357"/>
        <v>0</v>
      </c>
      <c r="AN428" s="36">
        <v>21</v>
      </c>
      <c r="AO428" s="36">
        <f>I428*0.529999773139789</f>
        <v>0</v>
      </c>
      <c r="AP428" s="36">
        <f>I428*(1-0.529999773139789)</f>
        <v>0</v>
      </c>
      <c r="AQ428" s="37" t="s">
        <v>13</v>
      </c>
      <c r="AV428" s="36">
        <f t="shared" si="360"/>
        <v>0</v>
      </c>
      <c r="AW428" s="36">
        <f t="shared" si="361"/>
        <v>0</v>
      </c>
      <c r="AX428" s="36">
        <f t="shared" si="362"/>
        <v>0</v>
      </c>
      <c r="AY428" s="39" t="s">
        <v>2929</v>
      </c>
      <c r="AZ428" s="39" t="s">
        <v>2954</v>
      </c>
      <c r="BA428" s="35" t="s">
        <v>2967</v>
      </c>
      <c r="BC428" s="36">
        <f t="shared" si="363"/>
        <v>0</v>
      </c>
      <c r="BD428" s="36">
        <f t="shared" si="364"/>
        <v>0</v>
      </c>
      <c r="BE428" s="36">
        <v>0</v>
      </c>
      <c r="BF428" s="36">
        <f>428</f>
        <v>428</v>
      </c>
      <c r="BH428" s="20">
        <f t="shared" si="365"/>
        <v>0</v>
      </c>
      <c r="BI428" s="20">
        <f t="shared" si="366"/>
        <v>0</v>
      </c>
      <c r="BJ428" s="20">
        <f t="shared" si="367"/>
        <v>0</v>
      </c>
      <c r="BK428" s="20" t="s">
        <v>2978</v>
      </c>
      <c r="BL428" s="36">
        <v>728</v>
      </c>
    </row>
    <row r="429" spans="1:64" ht="38.450000000000003" customHeight="1" x14ac:dyDescent="0.2">
      <c r="A429" s="5"/>
      <c r="B429" s="14"/>
      <c r="C429" s="179" t="s">
        <v>2258</v>
      </c>
      <c r="D429" s="180"/>
      <c r="E429" s="180"/>
      <c r="F429" s="180"/>
      <c r="G429" s="180"/>
      <c r="H429" s="180"/>
      <c r="I429" s="180"/>
      <c r="J429" s="180"/>
      <c r="K429" s="180"/>
      <c r="L429" s="180"/>
      <c r="M429" s="181"/>
      <c r="N429" s="5"/>
    </row>
    <row r="430" spans="1:64" x14ac:dyDescent="0.2">
      <c r="A430" s="4" t="s">
        <v>338</v>
      </c>
      <c r="B430" s="13" t="s">
        <v>1265</v>
      </c>
      <c r="C430" s="174" t="s">
        <v>2259</v>
      </c>
      <c r="D430" s="175"/>
      <c r="E430" s="175"/>
      <c r="F430" s="175"/>
      <c r="G430" s="13" t="s">
        <v>2858</v>
      </c>
      <c r="H430" s="82">
        <v>45</v>
      </c>
      <c r="I430" s="109">
        <v>0</v>
      </c>
      <c r="J430" s="20">
        <f t="shared" ref="J430:J436" si="368">H430*AO430</f>
        <v>0</v>
      </c>
      <c r="K430" s="20">
        <f t="shared" ref="K430:K436" si="369">H430*AP430</f>
        <v>0</v>
      </c>
      <c r="L430" s="20">
        <f t="shared" ref="L430:L436" si="370">H430*I430</f>
        <v>0</v>
      </c>
      <c r="M430" s="31" t="s">
        <v>2884</v>
      </c>
      <c r="N430" s="5"/>
      <c r="Z430" s="36">
        <f t="shared" ref="Z430:Z436" si="371">IF(AQ430="5",BJ430,0)</f>
        <v>0</v>
      </c>
      <c r="AB430" s="36">
        <f t="shared" ref="AB430:AB436" si="372">IF(AQ430="1",BH430,0)</f>
        <v>0</v>
      </c>
      <c r="AC430" s="36">
        <f t="shared" ref="AC430:AC436" si="373">IF(AQ430="1",BI430,0)</f>
        <v>0</v>
      </c>
      <c r="AD430" s="36">
        <f t="shared" ref="AD430:AD436" si="374">IF(AQ430="7",BH430,0)</f>
        <v>0</v>
      </c>
      <c r="AE430" s="36">
        <f t="shared" ref="AE430:AE436" si="375">IF(AQ430="7",BI430,0)</f>
        <v>0</v>
      </c>
      <c r="AF430" s="36">
        <f t="shared" ref="AF430:AF436" si="376">IF(AQ430="2",BH430,0)</f>
        <v>0</v>
      </c>
      <c r="AG430" s="36">
        <f t="shared" ref="AG430:AG436" si="377">IF(AQ430="2",BI430,0)</f>
        <v>0</v>
      </c>
      <c r="AH430" s="36">
        <f t="shared" ref="AH430:AH436" si="378">IF(AQ430="0",BJ430,0)</f>
        <v>0</v>
      </c>
      <c r="AI430" s="35" t="s">
        <v>2894</v>
      </c>
      <c r="AJ430" s="20">
        <f t="shared" ref="AJ430:AJ436" si="379">IF(AN430=0,L430,0)</f>
        <v>0</v>
      </c>
      <c r="AK430" s="20">
        <f t="shared" ref="AK430:AK436" si="380">IF(AN430=15,L430,0)</f>
        <v>0</v>
      </c>
      <c r="AL430" s="20">
        <f t="shared" ref="AL430:AL436" si="381">IF(AN430=21,L430,0)</f>
        <v>0</v>
      </c>
      <c r="AN430" s="36">
        <v>21</v>
      </c>
      <c r="AO430" s="36">
        <f t="shared" ref="AO430:AO436" si="382">I430*0.53</f>
        <v>0</v>
      </c>
      <c r="AP430" s="36">
        <f t="shared" ref="AP430:AP436" si="383">I430*(1-0.53)</f>
        <v>0</v>
      </c>
      <c r="AQ430" s="37" t="s">
        <v>13</v>
      </c>
      <c r="AV430" s="36">
        <f t="shared" ref="AV430:AV436" si="384">AW430+AX430</f>
        <v>0</v>
      </c>
      <c r="AW430" s="36">
        <f t="shared" ref="AW430:AW436" si="385">H430*AO430</f>
        <v>0</v>
      </c>
      <c r="AX430" s="36">
        <f t="shared" ref="AX430:AX436" si="386">H430*AP430</f>
        <v>0</v>
      </c>
      <c r="AY430" s="39" t="s">
        <v>2929</v>
      </c>
      <c r="AZ430" s="39" t="s">
        <v>2954</v>
      </c>
      <c r="BA430" s="35" t="s">
        <v>2967</v>
      </c>
      <c r="BC430" s="36">
        <f t="shared" ref="BC430:BC436" si="387">AW430+AX430</f>
        <v>0</v>
      </c>
      <c r="BD430" s="36">
        <f t="shared" ref="BD430:BD436" si="388">I430/(100-BE430)*100</f>
        <v>0</v>
      </c>
      <c r="BE430" s="36">
        <v>0</v>
      </c>
      <c r="BF430" s="36">
        <f>430</f>
        <v>430</v>
      </c>
      <c r="BH430" s="20">
        <f t="shared" ref="BH430:BH436" si="389">H430*AO430</f>
        <v>0</v>
      </c>
      <c r="BI430" s="20">
        <f t="shared" ref="BI430:BI436" si="390">H430*AP430</f>
        <v>0</v>
      </c>
      <c r="BJ430" s="20">
        <f t="shared" ref="BJ430:BJ436" si="391">H430*I430</f>
        <v>0</v>
      </c>
      <c r="BK430" s="20" t="s">
        <v>2978</v>
      </c>
      <c r="BL430" s="36">
        <v>728</v>
      </c>
    </row>
    <row r="431" spans="1:64" x14ac:dyDescent="0.2">
      <c r="A431" s="4" t="s">
        <v>339</v>
      </c>
      <c r="B431" s="13" t="s">
        <v>1266</v>
      </c>
      <c r="C431" s="174" t="s">
        <v>2260</v>
      </c>
      <c r="D431" s="175"/>
      <c r="E431" s="175"/>
      <c r="F431" s="175"/>
      <c r="G431" s="13" t="s">
        <v>2858</v>
      </c>
      <c r="H431" s="82">
        <v>50</v>
      </c>
      <c r="I431" s="109">
        <v>0</v>
      </c>
      <c r="J431" s="20">
        <f t="shared" si="368"/>
        <v>0</v>
      </c>
      <c r="K431" s="20">
        <f t="shared" si="369"/>
        <v>0</v>
      </c>
      <c r="L431" s="20">
        <f t="shared" si="370"/>
        <v>0</v>
      </c>
      <c r="M431" s="31" t="s">
        <v>2884</v>
      </c>
      <c r="N431" s="5"/>
      <c r="Z431" s="36">
        <f t="shared" si="371"/>
        <v>0</v>
      </c>
      <c r="AB431" s="36">
        <f t="shared" si="372"/>
        <v>0</v>
      </c>
      <c r="AC431" s="36">
        <f t="shared" si="373"/>
        <v>0</v>
      </c>
      <c r="AD431" s="36">
        <f t="shared" si="374"/>
        <v>0</v>
      </c>
      <c r="AE431" s="36">
        <f t="shared" si="375"/>
        <v>0</v>
      </c>
      <c r="AF431" s="36">
        <f t="shared" si="376"/>
        <v>0</v>
      </c>
      <c r="AG431" s="36">
        <f t="shared" si="377"/>
        <v>0</v>
      </c>
      <c r="AH431" s="36">
        <f t="shared" si="378"/>
        <v>0</v>
      </c>
      <c r="AI431" s="35" t="s">
        <v>2894</v>
      </c>
      <c r="AJ431" s="20">
        <f t="shared" si="379"/>
        <v>0</v>
      </c>
      <c r="AK431" s="20">
        <f t="shared" si="380"/>
        <v>0</v>
      </c>
      <c r="AL431" s="20">
        <f t="shared" si="381"/>
        <v>0</v>
      </c>
      <c r="AN431" s="36">
        <v>21</v>
      </c>
      <c r="AO431" s="36">
        <f t="shared" si="382"/>
        <v>0</v>
      </c>
      <c r="AP431" s="36">
        <f t="shared" si="383"/>
        <v>0</v>
      </c>
      <c r="AQ431" s="37" t="s">
        <v>13</v>
      </c>
      <c r="AV431" s="36">
        <f t="shared" si="384"/>
        <v>0</v>
      </c>
      <c r="AW431" s="36">
        <f t="shared" si="385"/>
        <v>0</v>
      </c>
      <c r="AX431" s="36">
        <f t="shared" si="386"/>
        <v>0</v>
      </c>
      <c r="AY431" s="39" t="s">
        <v>2929</v>
      </c>
      <c r="AZ431" s="39" t="s">
        <v>2954</v>
      </c>
      <c r="BA431" s="35" t="s">
        <v>2967</v>
      </c>
      <c r="BC431" s="36">
        <f t="shared" si="387"/>
        <v>0</v>
      </c>
      <c r="BD431" s="36">
        <f t="shared" si="388"/>
        <v>0</v>
      </c>
      <c r="BE431" s="36">
        <v>0</v>
      </c>
      <c r="BF431" s="36">
        <f>431</f>
        <v>431</v>
      </c>
      <c r="BH431" s="20">
        <f t="shared" si="389"/>
        <v>0</v>
      </c>
      <c r="BI431" s="20">
        <f t="shared" si="390"/>
        <v>0</v>
      </c>
      <c r="BJ431" s="20">
        <f t="shared" si="391"/>
        <v>0</v>
      </c>
      <c r="BK431" s="20" t="s">
        <v>2978</v>
      </c>
      <c r="BL431" s="36">
        <v>728</v>
      </c>
    </row>
    <row r="432" spans="1:64" x14ac:dyDescent="0.2">
      <c r="A432" s="4" t="s">
        <v>340</v>
      </c>
      <c r="B432" s="13" t="s">
        <v>1267</v>
      </c>
      <c r="C432" s="174" t="s">
        <v>2261</v>
      </c>
      <c r="D432" s="175"/>
      <c r="E432" s="175"/>
      <c r="F432" s="175"/>
      <c r="G432" s="13" t="s">
        <v>2860</v>
      </c>
      <c r="H432" s="82">
        <v>1</v>
      </c>
      <c r="I432" s="109">
        <v>0</v>
      </c>
      <c r="J432" s="20">
        <f t="shared" si="368"/>
        <v>0</v>
      </c>
      <c r="K432" s="20">
        <f t="shared" si="369"/>
        <v>0</v>
      </c>
      <c r="L432" s="20">
        <f t="shared" si="370"/>
        <v>0</v>
      </c>
      <c r="M432" s="31" t="s">
        <v>2884</v>
      </c>
      <c r="N432" s="5"/>
      <c r="Z432" s="36">
        <f t="shared" si="371"/>
        <v>0</v>
      </c>
      <c r="AB432" s="36">
        <f t="shared" si="372"/>
        <v>0</v>
      </c>
      <c r="AC432" s="36">
        <f t="shared" si="373"/>
        <v>0</v>
      </c>
      <c r="AD432" s="36">
        <f t="shared" si="374"/>
        <v>0</v>
      </c>
      <c r="AE432" s="36">
        <f t="shared" si="375"/>
        <v>0</v>
      </c>
      <c r="AF432" s="36">
        <f t="shared" si="376"/>
        <v>0</v>
      </c>
      <c r="AG432" s="36">
        <f t="shared" si="377"/>
        <v>0</v>
      </c>
      <c r="AH432" s="36">
        <f t="shared" si="378"/>
        <v>0</v>
      </c>
      <c r="AI432" s="35" t="s">
        <v>2894</v>
      </c>
      <c r="AJ432" s="20">
        <f t="shared" si="379"/>
        <v>0</v>
      </c>
      <c r="AK432" s="20">
        <f t="shared" si="380"/>
        <v>0</v>
      </c>
      <c r="AL432" s="20">
        <f t="shared" si="381"/>
        <v>0</v>
      </c>
      <c r="AN432" s="36">
        <v>21</v>
      </c>
      <c r="AO432" s="36">
        <f t="shared" si="382"/>
        <v>0</v>
      </c>
      <c r="AP432" s="36">
        <f t="shared" si="383"/>
        <v>0</v>
      </c>
      <c r="AQ432" s="37" t="s">
        <v>13</v>
      </c>
      <c r="AV432" s="36">
        <f t="shared" si="384"/>
        <v>0</v>
      </c>
      <c r="AW432" s="36">
        <f t="shared" si="385"/>
        <v>0</v>
      </c>
      <c r="AX432" s="36">
        <f t="shared" si="386"/>
        <v>0</v>
      </c>
      <c r="AY432" s="39" t="s">
        <v>2929</v>
      </c>
      <c r="AZ432" s="39" t="s">
        <v>2954</v>
      </c>
      <c r="BA432" s="35" t="s">
        <v>2967</v>
      </c>
      <c r="BC432" s="36">
        <f t="shared" si="387"/>
        <v>0</v>
      </c>
      <c r="BD432" s="36">
        <f t="shared" si="388"/>
        <v>0</v>
      </c>
      <c r="BE432" s="36">
        <v>0</v>
      </c>
      <c r="BF432" s="36">
        <f>432</f>
        <v>432</v>
      </c>
      <c r="BH432" s="20">
        <f t="shared" si="389"/>
        <v>0</v>
      </c>
      <c r="BI432" s="20">
        <f t="shared" si="390"/>
        <v>0</v>
      </c>
      <c r="BJ432" s="20">
        <f t="shared" si="391"/>
        <v>0</v>
      </c>
      <c r="BK432" s="20" t="s">
        <v>2978</v>
      </c>
      <c r="BL432" s="36">
        <v>728</v>
      </c>
    </row>
    <row r="433" spans="1:64" x14ac:dyDescent="0.2">
      <c r="A433" s="4" t="s">
        <v>341</v>
      </c>
      <c r="B433" s="13" t="s">
        <v>1268</v>
      </c>
      <c r="C433" s="174" t="s">
        <v>2262</v>
      </c>
      <c r="D433" s="175"/>
      <c r="E433" s="175"/>
      <c r="F433" s="175"/>
      <c r="G433" s="13" t="s">
        <v>2860</v>
      </c>
      <c r="H433" s="82">
        <v>1</v>
      </c>
      <c r="I433" s="109">
        <v>0</v>
      </c>
      <c r="J433" s="20">
        <f t="shared" si="368"/>
        <v>0</v>
      </c>
      <c r="K433" s="20">
        <f t="shared" si="369"/>
        <v>0</v>
      </c>
      <c r="L433" s="20">
        <f t="shared" si="370"/>
        <v>0</v>
      </c>
      <c r="M433" s="31" t="s">
        <v>2884</v>
      </c>
      <c r="N433" s="5"/>
      <c r="Z433" s="36">
        <f t="shared" si="371"/>
        <v>0</v>
      </c>
      <c r="AB433" s="36">
        <f t="shared" si="372"/>
        <v>0</v>
      </c>
      <c r="AC433" s="36">
        <f t="shared" si="373"/>
        <v>0</v>
      </c>
      <c r="AD433" s="36">
        <f t="shared" si="374"/>
        <v>0</v>
      </c>
      <c r="AE433" s="36">
        <f t="shared" si="375"/>
        <v>0</v>
      </c>
      <c r="AF433" s="36">
        <f t="shared" si="376"/>
        <v>0</v>
      </c>
      <c r="AG433" s="36">
        <f t="shared" si="377"/>
        <v>0</v>
      </c>
      <c r="AH433" s="36">
        <f t="shared" si="378"/>
        <v>0</v>
      </c>
      <c r="AI433" s="35" t="s">
        <v>2894</v>
      </c>
      <c r="AJ433" s="20">
        <f t="shared" si="379"/>
        <v>0</v>
      </c>
      <c r="AK433" s="20">
        <f t="shared" si="380"/>
        <v>0</v>
      </c>
      <c r="AL433" s="20">
        <f t="shared" si="381"/>
        <v>0</v>
      </c>
      <c r="AN433" s="36">
        <v>21</v>
      </c>
      <c r="AO433" s="36">
        <f t="shared" si="382"/>
        <v>0</v>
      </c>
      <c r="AP433" s="36">
        <f t="shared" si="383"/>
        <v>0</v>
      </c>
      <c r="AQ433" s="37" t="s">
        <v>13</v>
      </c>
      <c r="AV433" s="36">
        <f t="shared" si="384"/>
        <v>0</v>
      </c>
      <c r="AW433" s="36">
        <f t="shared" si="385"/>
        <v>0</v>
      </c>
      <c r="AX433" s="36">
        <f t="shared" si="386"/>
        <v>0</v>
      </c>
      <c r="AY433" s="39" t="s">
        <v>2929</v>
      </c>
      <c r="AZ433" s="39" t="s">
        <v>2954</v>
      </c>
      <c r="BA433" s="35" t="s">
        <v>2967</v>
      </c>
      <c r="BC433" s="36">
        <f t="shared" si="387"/>
        <v>0</v>
      </c>
      <c r="BD433" s="36">
        <f t="shared" si="388"/>
        <v>0</v>
      </c>
      <c r="BE433" s="36">
        <v>0</v>
      </c>
      <c r="BF433" s="36">
        <f>433</f>
        <v>433</v>
      </c>
      <c r="BH433" s="20">
        <f t="shared" si="389"/>
        <v>0</v>
      </c>
      <c r="BI433" s="20">
        <f t="shared" si="390"/>
        <v>0</v>
      </c>
      <c r="BJ433" s="20">
        <f t="shared" si="391"/>
        <v>0</v>
      </c>
      <c r="BK433" s="20" t="s">
        <v>2978</v>
      </c>
      <c r="BL433" s="36">
        <v>728</v>
      </c>
    </row>
    <row r="434" spans="1:64" x14ac:dyDescent="0.2">
      <c r="A434" s="4" t="s">
        <v>342</v>
      </c>
      <c r="B434" s="13" t="s">
        <v>1269</v>
      </c>
      <c r="C434" s="174" t="s">
        <v>2263</v>
      </c>
      <c r="D434" s="175"/>
      <c r="E434" s="175"/>
      <c r="F434" s="175"/>
      <c r="G434" s="13" t="s">
        <v>2860</v>
      </c>
      <c r="H434" s="82">
        <v>1</v>
      </c>
      <c r="I434" s="109">
        <v>0</v>
      </c>
      <c r="J434" s="20">
        <f t="shared" si="368"/>
        <v>0</v>
      </c>
      <c r="K434" s="20">
        <f t="shared" si="369"/>
        <v>0</v>
      </c>
      <c r="L434" s="20">
        <f t="shared" si="370"/>
        <v>0</v>
      </c>
      <c r="M434" s="31" t="s">
        <v>2884</v>
      </c>
      <c r="N434" s="5"/>
      <c r="Z434" s="36">
        <f t="shared" si="371"/>
        <v>0</v>
      </c>
      <c r="AB434" s="36">
        <f t="shared" si="372"/>
        <v>0</v>
      </c>
      <c r="AC434" s="36">
        <f t="shared" si="373"/>
        <v>0</v>
      </c>
      <c r="AD434" s="36">
        <f t="shared" si="374"/>
        <v>0</v>
      </c>
      <c r="AE434" s="36">
        <f t="shared" si="375"/>
        <v>0</v>
      </c>
      <c r="AF434" s="36">
        <f t="shared" si="376"/>
        <v>0</v>
      </c>
      <c r="AG434" s="36">
        <f t="shared" si="377"/>
        <v>0</v>
      </c>
      <c r="AH434" s="36">
        <f t="shared" si="378"/>
        <v>0</v>
      </c>
      <c r="AI434" s="35" t="s">
        <v>2894</v>
      </c>
      <c r="AJ434" s="20">
        <f t="shared" si="379"/>
        <v>0</v>
      </c>
      <c r="AK434" s="20">
        <f t="shared" si="380"/>
        <v>0</v>
      </c>
      <c r="AL434" s="20">
        <f t="shared" si="381"/>
        <v>0</v>
      </c>
      <c r="AN434" s="36">
        <v>21</v>
      </c>
      <c r="AO434" s="36">
        <f t="shared" si="382"/>
        <v>0</v>
      </c>
      <c r="AP434" s="36">
        <f t="shared" si="383"/>
        <v>0</v>
      </c>
      <c r="AQ434" s="37" t="s">
        <v>13</v>
      </c>
      <c r="AV434" s="36">
        <f t="shared" si="384"/>
        <v>0</v>
      </c>
      <c r="AW434" s="36">
        <f t="shared" si="385"/>
        <v>0</v>
      </c>
      <c r="AX434" s="36">
        <f t="shared" si="386"/>
        <v>0</v>
      </c>
      <c r="AY434" s="39" t="s">
        <v>2929</v>
      </c>
      <c r="AZ434" s="39" t="s">
        <v>2954</v>
      </c>
      <c r="BA434" s="35" t="s">
        <v>2967</v>
      </c>
      <c r="BC434" s="36">
        <f t="shared" si="387"/>
        <v>0</v>
      </c>
      <c r="BD434" s="36">
        <f t="shared" si="388"/>
        <v>0</v>
      </c>
      <c r="BE434" s="36">
        <v>0</v>
      </c>
      <c r="BF434" s="36">
        <f>434</f>
        <v>434</v>
      </c>
      <c r="BH434" s="20">
        <f t="shared" si="389"/>
        <v>0</v>
      </c>
      <c r="BI434" s="20">
        <f t="shared" si="390"/>
        <v>0</v>
      </c>
      <c r="BJ434" s="20">
        <f t="shared" si="391"/>
        <v>0</v>
      </c>
      <c r="BK434" s="20" t="s">
        <v>2978</v>
      </c>
      <c r="BL434" s="36">
        <v>728</v>
      </c>
    </row>
    <row r="435" spans="1:64" x14ac:dyDescent="0.2">
      <c r="A435" s="4" t="s">
        <v>343</v>
      </c>
      <c r="B435" s="13" t="s">
        <v>1270</v>
      </c>
      <c r="C435" s="174" t="s">
        <v>2264</v>
      </c>
      <c r="D435" s="175"/>
      <c r="E435" s="175"/>
      <c r="F435" s="175"/>
      <c r="G435" s="13" t="s">
        <v>2860</v>
      </c>
      <c r="H435" s="82">
        <v>1</v>
      </c>
      <c r="I435" s="109">
        <v>0</v>
      </c>
      <c r="J435" s="20">
        <f t="shared" si="368"/>
        <v>0</v>
      </c>
      <c r="K435" s="20">
        <f t="shared" si="369"/>
        <v>0</v>
      </c>
      <c r="L435" s="20">
        <f t="shared" si="370"/>
        <v>0</v>
      </c>
      <c r="M435" s="31" t="s">
        <v>2884</v>
      </c>
      <c r="N435" s="5"/>
      <c r="Z435" s="36">
        <f t="shared" si="371"/>
        <v>0</v>
      </c>
      <c r="AB435" s="36">
        <f t="shared" si="372"/>
        <v>0</v>
      </c>
      <c r="AC435" s="36">
        <f t="shared" si="373"/>
        <v>0</v>
      </c>
      <c r="AD435" s="36">
        <f t="shared" si="374"/>
        <v>0</v>
      </c>
      <c r="AE435" s="36">
        <f t="shared" si="375"/>
        <v>0</v>
      </c>
      <c r="AF435" s="36">
        <f t="shared" si="376"/>
        <v>0</v>
      </c>
      <c r="AG435" s="36">
        <f t="shared" si="377"/>
        <v>0</v>
      </c>
      <c r="AH435" s="36">
        <f t="shared" si="378"/>
        <v>0</v>
      </c>
      <c r="AI435" s="35" t="s">
        <v>2894</v>
      </c>
      <c r="AJ435" s="20">
        <f t="shared" si="379"/>
        <v>0</v>
      </c>
      <c r="AK435" s="20">
        <f t="shared" si="380"/>
        <v>0</v>
      </c>
      <c r="AL435" s="20">
        <f t="shared" si="381"/>
        <v>0</v>
      </c>
      <c r="AN435" s="36">
        <v>21</v>
      </c>
      <c r="AO435" s="36">
        <f t="shared" si="382"/>
        <v>0</v>
      </c>
      <c r="AP435" s="36">
        <f t="shared" si="383"/>
        <v>0</v>
      </c>
      <c r="AQ435" s="37" t="s">
        <v>13</v>
      </c>
      <c r="AV435" s="36">
        <f t="shared" si="384"/>
        <v>0</v>
      </c>
      <c r="AW435" s="36">
        <f t="shared" si="385"/>
        <v>0</v>
      </c>
      <c r="AX435" s="36">
        <f t="shared" si="386"/>
        <v>0</v>
      </c>
      <c r="AY435" s="39" t="s">
        <v>2929</v>
      </c>
      <c r="AZ435" s="39" t="s">
        <v>2954</v>
      </c>
      <c r="BA435" s="35" t="s">
        <v>2967</v>
      </c>
      <c r="BC435" s="36">
        <f t="shared" si="387"/>
        <v>0</v>
      </c>
      <c r="BD435" s="36">
        <f t="shared" si="388"/>
        <v>0</v>
      </c>
      <c r="BE435" s="36">
        <v>0</v>
      </c>
      <c r="BF435" s="36">
        <f>435</f>
        <v>435</v>
      </c>
      <c r="BH435" s="20">
        <f t="shared" si="389"/>
        <v>0</v>
      </c>
      <c r="BI435" s="20">
        <f t="shared" si="390"/>
        <v>0</v>
      </c>
      <c r="BJ435" s="20">
        <f t="shared" si="391"/>
        <v>0</v>
      </c>
      <c r="BK435" s="20" t="s">
        <v>2978</v>
      </c>
      <c r="BL435" s="36">
        <v>728</v>
      </c>
    </row>
    <row r="436" spans="1:64" x14ac:dyDescent="0.2">
      <c r="A436" s="4" t="s">
        <v>344</v>
      </c>
      <c r="B436" s="13" t="s">
        <v>1271</v>
      </c>
      <c r="C436" s="174" t="s">
        <v>2238</v>
      </c>
      <c r="D436" s="175"/>
      <c r="E436" s="175"/>
      <c r="F436" s="175"/>
      <c r="G436" s="13" t="s">
        <v>2855</v>
      </c>
      <c r="H436" s="82">
        <v>1</v>
      </c>
      <c r="I436" s="109">
        <v>0</v>
      </c>
      <c r="J436" s="20">
        <f t="shared" si="368"/>
        <v>0</v>
      </c>
      <c r="K436" s="20">
        <f t="shared" si="369"/>
        <v>0</v>
      </c>
      <c r="L436" s="20">
        <f t="shared" si="370"/>
        <v>0</v>
      </c>
      <c r="M436" s="31" t="s">
        <v>2884</v>
      </c>
      <c r="N436" s="5"/>
      <c r="Z436" s="36">
        <f t="shared" si="371"/>
        <v>0</v>
      </c>
      <c r="AB436" s="36">
        <f t="shared" si="372"/>
        <v>0</v>
      </c>
      <c r="AC436" s="36">
        <f t="shared" si="373"/>
        <v>0</v>
      </c>
      <c r="AD436" s="36">
        <f t="shared" si="374"/>
        <v>0</v>
      </c>
      <c r="AE436" s="36">
        <f t="shared" si="375"/>
        <v>0</v>
      </c>
      <c r="AF436" s="36">
        <f t="shared" si="376"/>
        <v>0</v>
      </c>
      <c r="AG436" s="36">
        <f t="shared" si="377"/>
        <v>0</v>
      </c>
      <c r="AH436" s="36">
        <f t="shared" si="378"/>
        <v>0</v>
      </c>
      <c r="AI436" s="35" t="s">
        <v>2894</v>
      </c>
      <c r="AJ436" s="20">
        <f t="shared" si="379"/>
        <v>0</v>
      </c>
      <c r="AK436" s="20">
        <f t="shared" si="380"/>
        <v>0</v>
      </c>
      <c r="AL436" s="20">
        <f t="shared" si="381"/>
        <v>0</v>
      </c>
      <c r="AN436" s="36">
        <v>21</v>
      </c>
      <c r="AO436" s="36">
        <f t="shared" si="382"/>
        <v>0</v>
      </c>
      <c r="AP436" s="36">
        <f t="shared" si="383"/>
        <v>0</v>
      </c>
      <c r="AQ436" s="37" t="s">
        <v>13</v>
      </c>
      <c r="AV436" s="36">
        <f t="shared" si="384"/>
        <v>0</v>
      </c>
      <c r="AW436" s="36">
        <f t="shared" si="385"/>
        <v>0</v>
      </c>
      <c r="AX436" s="36">
        <f t="shared" si="386"/>
        <v>0</v>
      </c>
      <c r="AY436" s="39" t="s">
        <v>2929</v>
      </c>
      <c r="AZ436" s="39" t="s">
        <v>2954</v>
      </c>
      <c r="BA436" s="35" t="s">
        <v>2967</v>
      </c>
      <c r="BC436" s="36">
        <f t="shared" si="387"/>
        <v>0</v>
      </c>
      <c r="BD436" s="36">
        <f t="shared" si="388"/>
        <v>0</v>
      </c>
      <c r="BE436" s="36">
        <v>0</v>
      </c>
      <c r="BF436" s="36">
        <f>436</f>
        <v>436</v>
      </c>
      <c r="BH436" s="20">
        <f t="shared" si="389"/>
        <v>0</v>
      </c>
      <c r="BI436" s="20">
        <f t="shared" si="390"/>
        <v>0</v>
      </c>
      <c r="BJ436" s="20">
        <f t="shared" si="391"/>
        <v>0</v>
      </c>
      <c r="BK436" s="20" t="s">
        <v>2978</v>
      </c>
      <c r="BL436" s="36">
        <v>728</v>
      </c>
    </row>
    <row r="437" spans="1:64" x14ac:dyDescent="0.2">
      <c r="A437" s="5"/>
      <c r="B437" s="14"/>
      <c r="C437" s="179" t="s">
        <v>2265</v>
      </c>
      <c r="D437" s="180"/>
      <c r="E437" s="180"/>
      <c r="F437" s="180"/>
      <c r="G437" s="180"/>
      <c r="H437" s="180"/>
      <c r="I437" s="180"/>
      <c r="J437" s="180"/>
      <c r="K437" s="180"/>
      <c r="L437" s="180"/>
      <c r="M437" s="181"/>
      <c r="N437" s="5"/>
    </row>
    <row r="438" spans="1:64" x14ac:dyDescent="0.2">
      <c r="A438" s="4" t="s">
        <v>345</v>
      </c>
      <c r="B438" s="13" t="s">
        <v>1272</v>
      </c>
      <c r="C438" s="174" t="s">
        <v>2266</v>
      </c>
      <c r="D438" s="175"/>
      <c r="E438" s="175"/>
      <c r="F438" s="175"/>
      <c r="G438" s="13" t="s">
        <v>2860</v>
      </c>
      <c r="H438" s="82">
        <v>1</v>
      </c>
      <c r="I438" s="109">
        <v>0</v>
      </c>
      <c r="J438" s="20">
        <f>H438*AO438</f>
        <v>0</v>
      </c>
      <c r="K438" s="20">
        <f>H438*AP438</f>
        <v>0</v>
      </c>
      <c r="L438" s="20">
        <f>H438*I438</f>
        <v>0</v>
      </c>
      <c r="M438" s="31" t="s">
        <v>2884</v>
      </c>
      <c r="N438" s="5"/>
      <c r="Z438" s="36">
        <f>IF(AQ438="5",BJ438,0)</f>
        <v>0</v>
      </c>
      <c r="AB438" s="36">
        <f>IF(AQ438="1",BH438,0)</f>
        <v>0</v>
      </c>
      <c r="AC438" s="36">
        <f>IF(AQ438="1",BI438,0)</f>
        <v>0</v>
      </c>
      <c r="AD438" s="36">
        <f>IF(AQ438="7",BH438,0)</f>
        <v>0</v>
      </c>
      <c r="AE438" s="36">
        <f>IF(AQ438="7",BI438,0)</f>
        <v>0</v>
      </c>
      <c r="AF438" s="36">
        <f>IF(AQ438="2",BH438,0)</f>
        <v>0</v>
      </c>
      <c r="AG438" s="36">
        <f>IF(AQ438="2",BI438,0)</f>
        <v>0</v>
      </c>
      <c r="AH438" s="36">
        <f>IF(AQ438="0",BJ438,0)</f>
        <v>0</v>
      </c>
      <c r="AI438" s="35" t="s">
        <v>2894</v>
      </c>
      <c r="AJ438" s="20">
        <f>IF(AN438=0,L438,0)</f>
        <v>0</v>
      </c>
      <c r="AK438" s="20">
        <f>IF(AN438=15,L438,0)</f>
        <v>0</v>
      </c>
      <c r="AL438" s="20">
        <f>IF(AN438=21,L438,0)</f>
        <v>0</v>
      </c>
      <c r="AN438" s="36">
        <v>21</v>
      </c>
      <c r="AO438" s="36">
        <f>I438*0.53</f>
        <v>0</v>
      </c>
      <c r="AP438" s="36">
        <f>I438*(1-0.53)</f>
        <v>0</v>
      </c>
      <c r="AQ438" s="37" t="s">
        <v>13</v>
      </c>
      <c r="AV438" s="36">
        <f>AW438+AX438</f>
        <v>0</v>
      </c>
      <c r="AW438" s="36">
        <f>H438*AO438</f>
        <v>0</v>
      </c>
      <c r="AX438" s="36">
        <f>H438*AP438</f>
        <v>0</v>
      </c>
      <c r="AY438" s="39" t="s">
        <v>2929</v>
      </c>
      <c r="AZ438" s="39" t="s">
        <v>2954</v>
      </c>
      <c r="BA438" s="35" t="s">
        <v>2967</v>
      </c>
      <c r="BC438" s="36">
        <f>AW438+AX438</f>
        <v>0</v>
      </c>
      <c r="BD438" s="36">
        <f>I438/(100-BE438)*100</f>
        <v>0</v>
      </c>
      <c r="BE438" s="36">
        <v>0</v>
      </c>
      <c r="BF438" s="36">
        <f>438</f>
        <v>438</v>
      </c>
      <c r="BH438" s="20">
        <f>H438*AO438</f>
        <v>0</v>
      </c>
      <c r="BI438" s="20">
        <f>H438*AP438</f>
        <v>0</v>
      </c>
      <c r="BJ438" s="20">
        <f>H438*I438</f>
        <v>0</v>
      </c>
      <c r="BK438" s="20" t="s">
        <v>2978</v>
      </c>
      <c r="BL438" s="36">
        <v>728</v>
      </c>
    </row>
    <row r="439" spans="1:64" ht="38.450000000000003" customHeight="1" x14ac:dyDescent="0.2">
      <c r="A439" s="5"/>
      <c r="B439" s="14"/>
      <c r="C439" s="179" t="s">
        <v>2258</v>
      </c>
      <c r="D439" s="180"/>
      <c r="E439" s="180"/>
      <c r="F439" s="180"/>
      <c r="G439" s="180"/>
      <c r="H439" s="180"/>
      <c r="I439" s="180"/>
      <c r="J439" s="180"/>
      <c r="K439" s="180"/>
      <c r="L439" s="180"/>
      <c r="M439" s="181"/>
      <c r="N439" s="5"/>
    </row>
    <row r="440" spans="1:64" x14ac:dyDescent="0.2">
      <c r="A440" s="4" t="s">
        <v>346</v>
      </c>
      <c r="B440" s="13" t="s">
        <v>1273</v>
      </c>
      <c r="C440" s="174" t="s">
        <v>2257</v>
      </c>
      <c r="D440" s="175"/>
      <c r="E440" s="175"/>
      <c r="F440" s="175"/>
      <c r="G440" s="13" t="s">
        <v>2854</v>
      </c>
      <c r="H440" s="82">
        <v>1</v>
      </c>
      <c r="I440" s="109">
        <v>0</v>
      </c>
      <c r="J440" s="20">
        <f t="shared" ref="J440:J451" si="392">H440*AO440</f>
        <v>0</v>
      </c>
      <c r="K440" s="20">
        <f t="shared" ref="K440:K451" si="393">H440*AP440</f>
        <v>0</v>
      </c>
      <c r="L440" s="20">
        <f t="shared" ref="L440:L451" si="394">H440*I440</f>
        <v>0</v>
      </c>
      <c r="M440" s="31" t="s">
        <v>2884</v>
      </c>
      <c r="N440" s="5"/>
      <c r="Z440" s="36">
        <f t="shared" ref="Z440:Z451" si="395">IF(AQ440="5",BJ440,0)</f>
        <v>0</v>
      </c>
      <c r="AB440" s="36">
        <f t="shared" ref="AB440:AB451" si="396">IF(AQ440="1",BH440,0)</f>
        <v>0</v>
      </c>
      <c r="AC440" s="36">
        <f t="shared" ref="AC440:AC451" si="397">IF(AQ440="1",BI440,0)</f>
        <v>0</v>
      </c>
      <c r="AD440" s="36">
        <f t="shared" ref="AD440:AD451" si="398">IF(AQ440="7",BH440,0)</f>
        <v>0</v>
      </c>
      <c r="AE440" s="36">
        <f t="shared" ref="AE440:AE451" si="399">IF(AQ440="7",BI440,0)</f>
        <v>0</v>
      </c>
      <c r="AF440" s="36">
        <f t="shared" ref="AF440:AF451" si="400">IF(AQ440="2",BH440,0)</f>
        <v>0</v>
      </c>
      <c r="AG440" s="36">
        <f t="shared" ref="AG440:AG451" si="401">IF(AQ440="2",BI440,0)</f>
        <v>0</v>
      </c>
      <c r="AH440" s="36">
        <f t="shared" ref="AH440:AH451" si="402">IF(AQ440="0",BJ440,0)</f>
        <v>0</v>
      </c>
      <c r="AI440" s="35" t="s">
        <v>2894</v>
      </c>
      <c r="AJ440" s="20">
        <f t="shared" ref="AJ440:AJ451" si="403">IF(AN440=0,L440,0)</f>
        <v>0</v>
      </c>
      <c r="AK440" s="20">
        <f t="shared" ref="AK440:AK451" si="404">IF(AN440=15,L440,0)</f>
        <v>0</v>
      </c>
      <c r="AL440" s="20">
        <f t="shared" ref="AL440:AL451" si="405">IF(AN440=21,L440,0)</f>
        <v>0</v>
      </c>
      <c r="AN440" s="36">
        <v>21</v>
      </c>
      <c r="AO440" s="36">
        <f>I440*0.53</f>
        <v>0</v>
      </c>
      <c r="AP440" s="36">
        <f>I440*(1-0.53)</f>
        <v>0</v>
      </c>
      <c r="AQ440" s="37" t="s">
        <v>13</v>
      </c>
      <c r="AV440" s="36">
        <f t="shared" ref="AV440:AV451" si="406">AW440+AX440</f>
        <v>0</v>
      </c>
      <c r="AW440" s="36">
        <f t="shared" ref="AW440:AW451" si="407">H440*AO440</f>
        <v>0</v>
      </c>
      <c r="AX440" s="36">
        <f t="shared" ref="AX440:AX451" si="408">H440*AP440</f>
        <v>0</v>
      </c>
      <c r="AY440" s="39" t="s">
        <v>2929</v>
      </c>
      <c r="AZ440" s="39" t="s">
        <v>2954</v>
      </c>
      <c r="BA440" s="35" t="s">
        <v>2967</v>
      </c>
      <c r="BC440" s="36">
        <f t="shared" ref="BC440:BC451" si="409">AW440+AX440</f>
        <v>0</v>
      </c>
      <c r="BD440" s="36">
        <f t="shared" ref="BD440:BD451" si="410">I440/(100-BE440)*100</f>
        <v>0</v>
      </c>
      <c r="BE440" s="36">
        <v>0</v>
      </c>
      <c r="BF440" s="36">
        <f>440</f>
        <v>440</v>
      </c>
      <c r="BH440" s="20">
        <f t="shared" ref="BH440:BH451" si="411">H440*AO440</f>
        <v>0</v>
      </c>
      <c r="BI440" s="20">
        <f t="shared" ref="BI440:BI451" si="412">H440*AP440</f>
        <v>0</v>
      </c>
      <c r="BJ440" s="20">
        <f t="shared" ref="BJ440:BJ451" si="413">H440*I440</f>
        <v>0</v>
      </c>
      <c r="BK440" s="20" t="s">
        <v>2978</v>
      </c>
      <c r="BL440" s="36">
        <v>728</v>
      </c>
    </row>
    <row r="441" spans="1:64" x14ac:dyDescent="0.2">
      <c r="A441" s="4" t="s">
        <v>347</v>
      </c>
      <c r="B441" s="13" t="s">
        <v>1274</v>
      </c>
      <c r="C441" s="174" t="s">
        <v>2259</v>
      </c>
      <c r="D441" s="175"/>
      <c r="E441" s="175"/>
      <c r="F441" s="175"/>
      <c r="G441" s="13" t="s">
        <v>2858</v>
      </c>
      <c r="H441" s="82">
        <v>5</v>
      </c>
      <c r="I441" s="109">
        <v>0</v>
      </c>
      <c r="J441" s="20">
        <f t="shared" si="392"/>
        <v>0</v>
      </c>
      <c r="K441" s="20">
        <f t="shared" si="393"/>
        <v>0</v>
      </c>
      <c r="L441" s="20">
        <f t="shared" si="394"/>
        <v>0</v>
      </c>
      <c r="M441" s="31" t="s">
        <v>2884</v>
      </c>
      <c r="N441" s="5"/>
      <c r="Z441" s="36">
        <f t="shared" si="395"/>
        <v>0</v>
      </c>
      <c r="AB441" s="36">
        <f t="shared" si="396"/>
        <v>0</v>
      </c>
      <c r="AC441" s="36">
        <f t="shared" si="397"/>
        <v>0</v>
      </c>
      <c r="AD441" s="36">
        <f t="shared" si="398"/>
        <v>0</v>
      </c>
      <c r="AE441" s="36">
        <f t="shared" si="399"/>
        <v>0</v>
      </c>
      <c r="AF441" s="36">
        <f t="shared" si="400"/>
        <v>0</v>
      </c>
      <c r="AG441" s="36">
        <f t="shared" si="401"/>
        <v>0</v>
      </c>
      <c r="AH441" s="36">
        <f t="shared" si="402"/>
        <v>0</v>
      </c>
      <c r="AI441" s="35" t="s">
        <v>2894</v>
      </c>
      <c r="AJ441" s="20">
        <f t="shared" si="403"/>
        <v>0</v>
      </c>
      <c r="AK441" s="20">
        <f t="shared" si="404"/>
        <v>0</v>
      </c>
      <c r="AL441" s="20">
        <f t="shared" si="405"/>
        <v>0</v>
      </c>
      <c r="AN441" s="36">
        <v>21</v>
      </c>
      <c r="AO441" s="36">
        <f>I441*0.53</f>
        <v>0</v>
      </c>
      <c r="AP441" s="36">
        <f>I441*(1-0.53)</f>
        <v>0</v>
      </c>
      <c r="AQ441" s="37" t="s">
        <v>13</v>
      </c>
      <c r="AV441" s="36">
        <f t="shared" si="406"/>
        <v>0</v>
      </c>
      <c r="AW441" s="36">
        <f t="shared" si="407"/>
        <v>0</v>
      </c>
      <c r="AX441" s="36">
        <f t="shared" si="408"/>
        <v>0</v>
      </c>
      <c r="AY441" s="39" t="s">
        <v>2929</v>
      </c>
      <c r="AZ441" s="39" t="s">
        <v>2954</v>
      </c>
      <c r="BA441" s="35" t="s">
        <v>2967</v>
      </c>
      <c r="BC441" s="36">
        <f t="shared" si="409"/>
        <v>0</v>
      </c>
      <c r="BD441" s="36">
        <f t="shared" si="410"/>
        <v>0</v>
      </c>
      <c r="BE441" s="36">
        <v>0</v>
      </c>
      <c r="BF441" s="36">
        <f>441</f>
        <v>441</v>
      </c>
      <c r="BH441" s="20">
        <f t="shared" si="411"/>
        <v>0</v>
      </c>
      <c r="BI441" s="20">
        <f t="shared" si="412"/>
        <v>0</v>
      </c>
      <c r="BJ441" s="20">
        <f t="shared" si="413"/>
        <v>0</v>
      </c>
      <c r="BK441" s="20" t="s">
        <v>2978</v>
      </c>
      <c r="BL441" s="36">
        <v>728</v>
      </c>
    </row>
    <row r="442" spans="1:64" x14ac:dyDescent="0.2">
      <c r="A442" s="4" t="s">
        <v>348</v>
      </c>
      <c r="B442" s="13" t="s">
        <v>1275</v>
      </c>
      <c r="C442" s="174" t="s">
        <v>2260</v>
      </c>
      <c r="D442" s="175"/>
      <c r="E442" s="175"/>
      <c r="F442" s="175"/>
      <c r="G442" s="13" t="s">
        <v>2858</v>
      </c>
      <c r="H442" s="82">
        <v>5</v>
      </c>
      <c r="I442" s="109">
        <v>0</v>
      </c>
      <c r="J442" s="20">
        <f t="shared" si="392"/>
        <v>0</v>
      </c>
      <c r="K442" s="20">
        <f t="shared" si="393"/>
        <v>0</v>
      </c>
      <c r="L442" s="20">
        <f t="shared" si="394"/>
        <v>0</v>
      </c>
      <c r="M442" s="31" t="s">
        <v>2884</v>
      </c>
      <c r="N442" s="5"/>
      <c r="Z442" s="36">
        <f t="shared" si="395"/>
        <v>0</v>
      </c>
      <c r="AB442" s="36">
        <f t="shared" si="396"/>
        <v>0</v>
      </c>
      <c r="AC442" s="36">
        <f t="shared" si="397"/>
        <v>0</v>
      </c>
      <c r="AD442" s="36">
        <f t="shared" si="398"/>
        <v>0</v>
      </c>
      <c r="AE442" s="36">
        <f t="shared" si="399"/>
        <v>0</v>
      </c>
      <c r="AF442" s="36">
        <f t="shared" si="400"/>
        <v>0</v>
      </c>
      <c r="AG442" s="36">
        <f t="shared" si="401"/>
        <v>0</v>
      </c>
      <c r="AH442" s="36">
        <f t="shared" si="402"/>
        <v>0</v>
      </c>
      <c r="AI442" s="35" t="s">
        <v>2894</v>
      </c>
      <c r="AJ442" s="20">
        <f t="shared" si="403"/>
        <v>0</v>
      </c>
      <c r="AK442" s="20">
        <f t="shared" si="404"/>
        <v>0</v>
      </c>
      <c r="AL442" s="20">
        <f t="shared" si="405"/>
        <v>0</v>
      </c>
      <c r="AN442" s="36">
        <v>21</v>
      </c>
      <c r="AO442" s="36">
        <f>I442*0.53</f>
        <v>0</v>
      </c>
      <c r="AP442" s="36">
        <f>I442*(1-0.53)</f>
        <v>0</v>
      </c>
      <c r="AQ442" s="37" t="s">
        <v>13</v>
      </c>
      <c r="AV442" s="36">
        <f t="shared" si="406"/>
        <v>0</v>
      </c>
      <c r="AW442" s="36">
        <f t="shared" si="407"/>
        <v>0</v>
      </c>
      <c r="AX442" s="36">
        <f t="shared" si="408"/>
        <v>0</v>
      </c>
      <c r="AY442" s="39" t="s">
        <v>2929</v>
      </c>
      <c r="AZ442" s="39" t="s">
        <v>2954</v>
      </c>
      <c r="BA442" s="35" t="s">
        <v>2967</v>
      </c>
      <c r="BC442" s="36">
        <f t="shared" si="409"/>
        <v>0</v>
      </c>
      <c r="BD442" s="36">
        <f t="shared" si="410"/>
        <v>0</v>
      </c>
      <c r="BE442" s="36">
        <v>0</v>
      </c>
      <c r="BF442" s="36">
        <f>442</f>
        <v>442</v>
      </c>
      <c r="BH442" s="20">
        <f t="shared" si="411"/>
        <v>0</v>
      </c>
      <c r="BI442" s="20">
        <f t="shared" si="412"/>
        <v>0</v>
      </c>
      <c r="BJ442" s="20">
        <f t="shared" si="413"/>
        <v>0</v>
      </c>
      <c r="BK442" s="20" t="s">
        <v>2978</v>
      </c>
      <c r="BL442" s="36">
        <v>728</v>
      </c>
    </row>
    <row r="443" spans="1:64" x14ac:dyDescent="0.2">
      <c r="A443" s="4" t="s">
        <v>349</v>
      </c>
      <c r="B443" s="13" t="s">
        <v>1276</v>
      </c>
      <c r="C443" s="174" t="s">
        <v>2267</v>
      </c>
      <c r="D443" s="175"/>
      <c r="E443" s="175"/>
      <c r="F443" s="175"/>
      <c r="G443" s="13" t="s">
        <v>2860</v>
      </c>
      <c r="H443" s="82">
        <v>4</v>
      </c>
      <c r="I443" s="109">
        <v>0</v>
      </c>
      <c r="J443" s="20">
        <f t="shared" si="392"/>
        <v>0</v>
      </c>
      <c r="K443" s="20">
        <f t="shared" si="393"/>
        <v>0</v>
      </c>
      <c r="L443" s="20">
        <f t="shared" si="394"/>
        <v>0</v>
      </c>
      <c r="M443" s="31" t="s">
        <v>2884</v>
      </c>
      <c r="N443" s="5"/>
      <c r="Z443" s="36">
        <f t="shared" si="395"/>
        <v>0</v>
      </c>
      <c r="AB443" s="36">
        <f t="shared" si="396"/>
        <v>0</v>
      </c>
      <c r="AC443" s="36">
        <f t="shared" si="397"/>
        <v>0</v>
      </c>
      <c r="AD443" s="36">
        <f t="shared" si="398"/>
        <v>0</v>
      </c>
      <c r="AE443" s="36">
        <f t="shared" si="399"/>
        <v>0</v>
      </c>
      <c r="AF443" s="36">
        <f t="shared" si="400"/>
        <v>0</v>
      </c>
      <c r="AG443" s="36">
        <f t="shared" si="401"/>
        <v>0</v>
      </c>
      <c r="AH443" s="36">
        <f t="shared" si="402"/>
        <v>0</v>
      </c>
      <c r="AI443" s="35" t="s">
        <v>2894</v>
      </c>
      <c r="AJ443" s="20">
        <f t="shared" si="403"/>
        <v>0</v>
      </c>
      <c r="AK443" s="20">
        <f t="shared" si="404"/>
        <v>0</v>
      </c>
      <c r="AL443" s="20">
        <f t="shared" si="405"/>
        <v>0</v>
      </c>
      <c r="AN443" s="36">
        <v>21</v>
      </c>
      <c r="AO443" s="36">
        <f t="shared" ref="AO443:AO451" si="414">I443*0</f>
        <v>0</v>
      </c>
      <c r="AP443" s="36">
        <f t="shared" ref="AP443:AP451" si="415">I443*(1-0)</f>
        <v>0</v>
      </c>
      <c r="AQ443" s="37" t="s">
        <v>13</v>
      </c>
      <c r="AV443" s="36">
        <f t="shared" si="406"/>
        <v>0</v>
      </c>
      <c r="AW443" s="36">
        <f t="shared" si="407"/>
        <v>0</v>
      </c>
      <c r="AX443" s="36">
        <f t="shared" si="408"/>
        <v>0</v>
      </c>
      <c r="AY443" s="39" t="s">
        <v>2929</v>
      </c>
      <c r="AZ443" s="39" t="s">
        <v>2954</v>
      </c>
      <c r="BA443" s="35" t="s">
        <v>2967</v>
      </c>
      <c r="BC443" s="36">
        <f t="shared" si="409"/>
        <v>0</v>
      </c>
      <c r="BD443" s="36">
        <f t="shared" si="410"/>
        <v>0</v>
      </c>
      <c r="BE443" s="36">
        <v>0</v>
      </c>
      <c r="BF443" s="36">
        <f>443</f>
        <v>443</v>
      </c>
      <c r="BH443" s="20">
        <f t="shared" si="411"/>
        <v>0</v>
      </c>
      <c r="BI443" s="20">
        <f t="shared" si="412"/>
        <v>0</v>
      </c>
      <c r="BJ443" s="20">
        <f t="shared" si="413"/>
        <v>0</v>
      </c>
      <c r="BK443" s="20" t="s">
        <v>2978</v>
      </c>
      <c r="BL443" s="36">
        <v>728</v>
      </c>
    </row>
    <row r="444" spans="1:64" x14ac:dyDescent="0.2">
      <c r="A444" s="4" t="s">
        <v>350</v>
      </c>
      <c r="B444" s="13" t="s">
        <v>1277</v>
      </c>
      <c r="C444" s="174" t="s">
        <v>2268</v>
      </c>
      <c r="D444" s="175"/>
      <c r="E444" s="175"/>
      <c r="F444" s="175"/>
      <c r="G444" s="13" t="s">
        <v>2860</v>
      </c>
      <c r="H444" s="82">
        <v>8</v>
      </c>
      <c r="I444" s="109">
        <v>0</v>
      </c>
      <c r="J444" s="20">
        <f t="shared" si="392"/>
        <v>0</v>
      </c>
      <c r="K444" s="20">
        <f t="shared" si="393"/>
        <v>0</v>
      </c>
      <c r="L444" s="20">
        <f t="shared" si="394"/>
        <v>0</v>
      </c>
      <c r="M444" s="31" t="s">
        <v>2884</v>
      </c>
      <c r="N444" s="5"/>
      <c r="Z444" s="36">
        <f t="shared" si="395"/>
        <v>0</v>
      </c>
      <c r="AB444" s="36">
        <f t="shared" si="396"/>
        <v>0</v>
      </c>
      <c r="AC444" s="36">
        <f t="shared" si="397"/>
        <v>0</v>
      </c>
      <c r="AD444" s="36">
        <f t="shared" si="398"/>
        <v>0</v>
      </c>
      <c r="AE444" s="36">
        <f t="shared" si="399"/>
        <v>0</v>
      </c>
      <c r="AF444" s="36">
        <f t="shared" si="400"/>
        <v>0</v>
      </c>
      <c r="AG444" s="36">
        <f t="shared" si="401"/>
        <v>0</v>
      </c>
      <c r="AH444" s="36">
        <f t="shared" si="402"/>
        <v>0</v>
      </c>
      <c r="AI444" s="35" t="s">
        <v>2894</v>
      </c>
      <c r="AJ444" s="20">
        <f t="shared" si="403"/>
        <v>0</v>
      </c>
      <c r="AK444" s="20">
        <f t="shared" si="404"/>
        <v>0</v>
      </c>
      <c r="AL444" s="20">
        <f t="shared" si="405"/>
        <v>0</v>
      </c>
      <c r="AN444" s="36">
        <v>21</v>
      </c>
      <c r="AO444" s="36">
        <f t="shared" si="414"/>
        <v>0</v>
      </c>
      <c r="AP444" s="36">
        <f t="shared" si="415"/>
        <v>0</v>
      </c>
      <c r="AQ444" s="37" t="s">
        <v>13</v>
      </c>
      <c r="AV444" s="36">
        <f t="shared" si="406"/>
        <v>0</v>
      </c>
      <c r="AW444" s="36">
        <f t="shared" si="407"/>
        <v>0</v>
      </c>
      <c r="AX444" s="36">
        <f t="shared" si="408"/>
        <v>0</v>
      </c>
      <c r="AY444" s="39" t="s">
        <v>2929</v>
      </c>
      <c r="AZ444" s="39" t="s">
        <v>2954</v>
      </c>
      <c r="BA444" s="35" t="s">
        <v>2967</v>
      </c>
      <c r="BC444" s="36">
        <f t="shared" si="409"/>
        <v>0</v>
      </c>
      <c r="BD444" s="36">
        <f t="shared" si="410"/>
        <v>0</v>
      </c>
      <c r="BE444" s="36">
        <v>0</v>
      </c>
      <c r="BF444" s="36">
        <f>444</f>
        <v>444</v>
      </c>
      <c r="BH444" s="20">
        <f t="shared" si="411"/>
        <v>0</v>
      </c>
      <c r="BI444" s="20">
        <f t="shared" si="412"/>
        <v>0</v>
      </c>
      <c r="BJ444" s="20">
        <f t="shared" si="413"/>
        <v>0</v>
      </c>
      <c r="BK444" s="20" t="s">
        <v>2978</v>
      </c>
      <c r="BL444" s="36">
        <v>728</v>
      </c>
    </row>
    <row r="445" spans="1:64" x14ac:dyDescent="0.2">
      <c r="A445" s="4" t="s">
        <v>351</v>
      </c>
      <c r="B445" s="13" t="s">
        <v>1278</v>
      </c>
      <c r="C445" s="174" t="s">
        <v>2269</v>
      </c>
      <c r="D445" s="175"/>
      <c r="E445" s="175"/>
      <c r="F445" s="175"/>
      <c r="G445" s="13" t="s">
        <v>2863</v>
      </c>
      <c r="H445" s="82">
        <v>1</v>
      </c>
      <c r="I445" s="109">
        <v>0</v>
      </c>
      <c r="J445" s="20">
        <f t="shared" si="392"/>
        <v>0</v>
      </c>
      <c r="K445" s="20">
        <f t="shared" si="393"/>
        <v>0</v>
      </c>
      <c r="L445" s="20">
        <f t="shared" si="394"/>
        <v>0</v>
      </c>
      <c r="M445" s="31" t="s">
        <v>2884</v>
      </c>
      <c r="N445" s="5"/>
      <c r="Z445" s="36">
        <f t="shared" si="395"/>
        <v>0</v>
      </c>
      <c r="AB445" s="36">
        <f t="shared" si="396"/>
        <v>0</v>
      </c>
      <c r="AC445" s="36">
        <f t="shared" si="397"/>
        <v>0</v>
      </c>
      <c r="AD445" s="36">
        <f t="shared" si="398"/>
        <v>0</v>
      </c>
      <c r="AE445" s="36">
        <f t="shared" si="399"/>
        <v>0</v>
      </c>
      <c r="AF445" s="36">
        <f t="shared" si="400"/>
        <v>0</v>
      </c>
      <c r="AG445" s="36">
        <f t="shared" si="401"/>
        <v>0</v>
      </c>
      <c r="AH445" s="36">
        <f t="shared" si="402"/>
        <v>0</v>
      </c>
      <c r="AI445" s="35" t="s">
        <v>2894</v>
      </c>
      <c r="AJ445" s="20">
        <f t="shared" si="403"/>
        <v>0</v>
      </c>
      <c r="AK445" s="20">
        <f t="shared" si="404"/>
        <v>0</v>
      </c>
      <c r="AL445" s="20">
        <f t="shared" si="405"/>
        <v>0</v>
      </c>
      <c r="AN445" s="36">
        <v>21</v>
      </c>
      <c r="AO445" s="36">
        <f t="shared" si="414"/>
        <v>0</v>
      </c>
      <c r="AP445" s="36">
        <f t="shared" si="415"/>
        <v>0</v>
      </c>
      <c r="AQ445" s="37" t="s">
        <v>13</v>
      </c>
      <c r="AV445" s="36">
        <f t="shared" si="406"/>
        <v>0</v>
      </c>
      <c r="AW445" s="36">
        <f t="shared" si="407"/>
        <v>0</v>
      </c>
      <c r="AX445" s="36">
        <f t="shared" si="408"/>
        <v>0</v>
      </c>
      <c r="AY445" s="39" t="s">
        <v>2929</v>
      </c>
      <c r="AZ445" s="39" t="s">
        <v>2954</v>
      </c>
      <c r="BA445" s="35" t="s">
        <v>2967</v>
      </c>
      <c r="BC445" s="36">
        <f t="shared" si="409"/>
        <v>0</v>
      </c>
      <c r="BD445" s="36">
        <f t="shared" si="410"/>
        <v>0</v>
      </c>
      <c r="BE445" s="36">
        <v>0</v>
      </c>
      <c r="BF445" s="36">
        <f>445</f>
        <v>445</v>
      </c>
      <c r="BH445" s="20">
        <f t="shared" si="411"/>
        <v>0</v>
      </c>
      <c r="BI445" s="20">
        <f t="shared" si="412"/>
        <v>0</v>
      </c>
      <c r="BJ445" s="20">
        <f t="shared" si="413"/>
        <v>0</v>
      </c>
      <c r="BK445" s="20" t="s">
        <v>2978</v>
      </c>
      <c r="BL445" s="36">
        <v>728</v>
      </c>
    </row>
    <row r="446" spans="1:64" x14ac:dyDescent="0.2">
      <c r="A446" s="4" t="s">
        <v>352</v>
      </c>
      <c r="B446" s="13" t="s">
        <v>1279</v>
      </c>
      <c r="C446" s="174" t="s">
        <v>2114</v>
      </c>
      <c r="D446" s="175"/>
      <c r="E446" s="175"/>
      <c r="F446" s="175"/>
      <c r="G446" s="13" t="s">
        <v>2862</v>
      </c>
      <c r="H446" s="82">
        <v>50</v>
      </c>
      <c r="I446" s="109">
        <v>0</v>
      </c>
      <c r="J446" s="20">
        <f t="shared" si="392"/>
        <v>0</v>
      </c>
      <c r="K446" s="20">
        <f t="shared" si="393"/>
        <v>0</v>
      </c>
      <c r="L446" s="20">
        <f t="shared" si="394"/>
        <v>0</v>
      </c>
      <c r="M446" s="31" t="s">
        <v>2884</v>
      </c>
      <c r="N446" s="5"/>
      <c r="Z446" s="36">
        <f t="shared" si="395"/>
        <v>0</v>
      </c>
      <c r="AB446" s="36">
        <f t="shared" si="396"/>
        <v>0</v>
      </c>
      <c r="AC446" s="36">
        <f t="shared" si="397"/>
        <v>0</v>
      </c>
      <c r="AD446" s="36">
        <f t="shared" si="398"/>
        <v>0</v>
      </c>
      <c r="AE446" s="36">
        <f t="shared" si="399"/>
        <v>0</v>
      </c>
      <c r="AF446" s="36">
        <f t="shared" si="400"/>
        <v>0</v>
      </c>
      <c r="AG446" s="36">
        <f t="shared" si="401"/>
        <v>0</v>
      </c>
      <c r="AH446" s="36">
        <f t="shared" si="402"/>
        <v>0</v>
      </c>
      <c r="AI446" s="35" t="s">
        <v>2894</v>
      </c>
      <c r="AJ446" s="20">
        <f t="shared" si="403"/>
        <v>0</v>
      </c>
      <c r="AK446" s="20">
        <f t="shared" si="404"/>
        <v>0</v>
      </c>
      <c r="AL446" s="20">
        <f t="shared" si="405"/>
        <v>0</v>
      </c>
      <c r="AN446" s="36">
        <v>21</v>
      </c>
      <c r="AO446" s="36">
        <f t="shared" si="414"/>
        <v>0</v>
      </c>
      <c r="AP446" s="36">
        <f t="shared" si="415"/>
        <v>0</v>
      </c>
      <c r="AQ446" s="37" t="s">
        <v>13</v>
      </c>
      <c r="AV446" s="36">
        <f t="shared" si="406"/>
        <v>0</v>
      </c>
      <c r="AW446" s="36">
        <f t="shared" si="407"/>
        <v>0</v>
      </c>
      <c r="AX446" s="36">
        <f t="shared" si="408"/>
        <v>0</v>
      </c>
      <c r="AY446" s="39" t="s">
        <v>2929</v>
      </c>
      <c r="AZ446" s="39" t="s">
        <v>2954</v>
      </c>
      <c r="BA446" s="35" t="s">
        <v>2967</v>
      </c>
      <c r="BC446" s="36">
        <f t="shared" si="409"/>
        <v>0</v>
      </c>
      <c r="BD446" s="36">
        <f t="shared" si="410"/>
        <v>0</v>
      </c>
      <c r="BE446" s="36">
        <v>0</v>
      </c>
      <c r="BF446" s="36">
        <f>446</f>
        <v>446</v>
      </c>
      <c r="BH446" s="20">
        <f t="shared" si="411"/>
        <v>0</v>
      </c>
      <c r="BI446" s="20">
        <f t="shared" si="412"/>
        <v>0</v>
      </c>
      <c r="BJ446" s="20">
        <f t="shared" si="413"/>
        <v>0</v>
      </c>
      <c r="BK446" s="20" t="s">
        <v>2978</v>
      </c>
      <c r="BL446" s="36">
        <v>728</v>
      </c>
    </row>
    <row r="447" spans="1:64" x14ac:dyDescent="0.2">
      <c r="A447" s="4" t="s">
        <v>353</v>
      </c>
      <c r="B447" s="13" t="s">
        <v>1280</v>
      </c>
      <c r="C447" s="174" t="s">
        <v>2270</v>
      </c>
      <c r="D447" s="175"/>
      <c r="E447" s="175"/>
      <c r="F447" s="175"/>
      <c r="G447" s="13" t="s">
        <v>2861</v>
      </c>
      <c r="H447" s="82">
        <v>1</v>
      </c>
      <c r="I447" s="109">
        <v>0</v>
      </c>
      <c r="J447" s="20">
        <f t="shared" si="392"/>
        <v>0</v>
      </c>
      <c r="K447" s="20">
        <f t="shared" si="393"/>
        <v>0</v>
      </c>
      <c r="L447" s="20">
        <f t="shared" si="394"/>
        <v>0</v>
      </c>
      <c r="M447" s="31" t="s">
        <v>2884</v>
      </c>
      <c r="N447" s="5"/>
      <c r="Z447" s="36">
        <f t="shared" si="395"/>
        <v>0</v>
      </c>
      <c r="AB447" s="36">
        <f t="shared" si="396"/>
        <v>0</v>
      </c>
      <c r="AC447" s="36">
        <f t="shared" si="397"/>
        <v>0</v>
      </c>
      <c r="AD447" s="36">
        <f t="shared" si="398"/>
        <v>0</v>
      </c>
      <c r="AE447" s="36">
        <f t="shared" si="399"/>
        <v>0</v>
      </c>
      <c r="AF447" s="36">
        <f t="shared" si="400"/>
        <v>0</v>
      </c>
      <c r="AG447" s="36">
        <f t="shared" si="401"/>
        <v>0</v>
      </c>
      <c r="AH447" s="36">
        <f t="shared" si="402"/>
        <v>0</v>
      </c>
      <c r="AI447" s="35" t="s">
        <v>2894</v>
      </c>
      <c r="AJ447" s="20">
        <f t="shared" si="403"/>
        <v>0</v>
      </c>
      <c r="AK447" s="20">
        <f t="shared" si="404"/>
        <v>0</v>
      </c>
      <c r="AL447" s="20">
        <f t="shared" si="405"/>
        <v>0</v>
      </c>
      <c r="AN447" s="36">
        <v>21</v>
      </c>
      <c r="AO447" s="36">
        <f t="shared" si="414"/>
        <v>0</v>
      </c>
      <c r="AP447" s="36">
        <f t="shared" si="415"/>
        <v>0</v>
      </c>
      <c r="AQ447" s="37" t="s">
        <v>13</v>
      </c>
      <c r="AV447" s="36">
        <f t="shared" si="406"/>
        <v>0</v>
      </c>
      <c r="AW447" s="36">
        <f t="shared" si="407"/>
        <v>0</v>
      </c>
      <c r="AX447" s="36">
        <f t="shared" si="408"/>
        <v>0</v>
      </c>
      <c r="AY447" s="39" t="s">
        <v>2929</v>
      </c>
      <c r="AZ447" s="39" t="s">
        <v>2954</v>
      </c>
      <c r="BA447" s="35" t="s">
        <v>2967</v>
      </c>
      <c r="BC447" s="36">
        <f t="shared" si="409"/>
        <v>0</v>
      </c>
      <c r="BD447" s="36">
        <f t="shared" si="410"/>
        <v>0</v>
      </c>
      <c r="BE447" s="36">
        <v>0</v>
      </c>
      <c r="BF447" s="36">
        <f>447</f>
        <v>447</v>
      </c>
      <c r="BH447" s="20">
        <f t="shared" si="411"/>
        <v>0</v>
      </c>
      <c r="BI447" s="20">
        <f t="shared" si="412"/>
        <v>0</v>
      </c>
      <c r="BJ447" s="20">
        <f t="shared" si="413"/>
        <v>0</v>
      </c>
      <c r="BK447" s="20" t="s">
        <v>2978</v>
      </c>
      <c r="BL447" s="36">
        <v>728</v>
      </c>
    </row>
    <row r="448" spans="1:64" x14ac:dyDescent="0.2">
      <c r="A448" s="4" t="s">
        <v>354</v>
      </c>
      <c r="B448" s="13" t="s">
        <v>1281</v>
      </c>
      <c r="C448" s="174" t="s">
        <v>2271</v>
      </c>
      <c r="D448" s="175"/>
      <c r="E448" s="175"/>
      <c r="F448" s="175"/>
      <c r="G448" s="13" t="s">
        <v>2861</v>
      </c>
      <c r="H448" s="82">
        <v>1</v>
      </c>
      <c r="I448" s="109">
        <v>0</v>
      </c>
      <c r="J448" s="20">
        <f t="shared" si="392"/>
        <v>0</v>
      </c>
      <c r="K448" s="20">
        <f t="shared" si="393"/>
        <v>0</v>
      </c>
      <c r="L448" s="20">
        <f t="shared" si="394"/>
        <v>0</v>
      </c>
      <c r="M448" s="31" t="s">
        <v>2884</v>
      </c>
      <c r="N448" s="5"/>
      <c r="Z448" s="36">
        <f t="shared" si="395"/>
        <v>0</v>
      </c>
      <c r="AB448" s="36">
        <f t="shared" si="396"/>
        <v>0</v>
      </c>
      <c r="AC448" s="36">
        <f t="shared" si="397"/>
        <v>0</v>
      </c>
      <c r="AD448" s="36">
        <f t="shared" si="398"/>
        <v>0</v>
      </c>
      <c r="AE448" s="36">
        <f t="shared" si="399"/>
        <v>0</v>
      </c>
      <c r="AF448" s="36">
        <f t="shared" si="400"/>
        <v>0</v>
      </c>
      <c r="AG448" s="36">
        <f t="shared" si="401"/>
        <v>0</v>
      </c>
      <c r="AH448" s="36">
        <f t="shared" si="402"/>
        <v>0</v>
      </c>
      <c r="AI448" s="35" t="s">
        <v>2894</v>
      </c>
      <c r="AJ448" s="20">
        <f t="shared" si="403"/>
        <v>0</v>
      </c>
      <c r="AK448" s="20">
        <f t="shared" si="404"/>
        <v>0</v>
      </c>
      <c r="AL448" s="20">
        <f t="shared" si="405"/>
        <v>0</v>
      </c>
      <c r="AN448" s="36">
        <v>21</v>
      </c>
      <c r="AO448" s="36">
        <f t="shared" si="414"/>
        <v>0</v>
      </c>
      <c r="AP448" s="36">
        <f t="shared" si="415"/>
        <v>0</v>
      </c>
      <c r="AQ448" s="37" t="s">
        <v>13</v>
      </c>
      <c r="AV448" s="36">
        <f t="shared" si="406"/>
        <v>0</v>
      </c>
      <c r="AW448" s="36">
        <f t="shared" si="407"/>
        <v>0</v>
      </c>
      <c r="AX448" s="36">
        <f t="shared" si="408"/>
        <v>0</v>
      </c>
      <c r="AY448" s="39" t="s">
        <v>2929</v>
      </c>
      <c r="AZ448" s="39" t="s">
        <v>2954</v>
      </c>
      <c r="BA448" s="35" t="s">
        <v>2967</v>
      </c>
      <c r="BC448" s="36">
        <f t="shared" si="409"/>
        <v>0</v>
      </c>
      <c r="BD448" s="36">
        <f t="shared" si="410"/>
        <v>0</v>
      </c>
      <c r="BE448" s="36">
        <v>0</v>
      </c>
      <c r="BF448" s="36">
        <f>448</f>
        <v>448</v>
      </c>
      <c r="BH448" s="20">
        <f t="shared" si="411"/>
        <v>0</v>
      </c>
      <c r="BI448" s="20">
        <f t="shared" si="412"/>
        <v>0</v>
      </c>
      <c r="BJ448" s="20">
        <f t="shared" si="413"/>
        <v>0</v>
      </c>
      <c r="BK448" s="20" t="s">
        <v>2978</v>
      </c>
      <c r="BL448" s="36">
        <v>728</v>
      </c>
    </row>
    <row r="449" spans="1:64" x14ac:dyDescent="0.2">
      <c r="A449" s="4" t="s">
        <v>355</v>
      </c>
      <c r="B449" s="13" t="s">
        <v>1282</v>
      </c>
      <c r="C449" s="174" t="s">
        <v>2272</v>
      </c>
      <c r="D449" s="175"/>
      <c r="E449" s="175"/>
      <c r="F449" s="175"/>
      <c r="G449" s="13" t="s">
        <v>2861</v>
      </c>
      <c r="H449" s="82">
        <v>1</v>
      </c>
      <c r="I449" s="109">
        <v>0</v>
      </c>
      <c r="J449" s="20">
        <f t="shared" si="392"/>
        <v>0</v>
      </c>
      <c r="K449" s="20">
        <f t="shared" si="393"/>
        <v>0</v>
      </c>
      <c r="L449" s="20">
        <f t="shared" si="394"/>
        <v>0</v>
      </c>
      <c r="M449" s="31" t="s">
        <v>2884</v>
      </c>
      <c r="N449" s="5"/>
      <c r="Z449" s="36">
        <f t="shared" si="395"/>
        <v>0</v>
      </c>
      <c r="AB449" s="36">
        <f t="shared" si="396"/>
        <v>0</v>
      </c>
      <c r="AC449" s="36">
        <f t="shared" si="397"/>
        <v>0</v>
      </c>
      <c r="AD449" s="36">
        <f t="shared" si="398"/>
        <v>0</v>
      </c>
      <c r="AE449" s="36">
        <f t="shared" si="399"/>
        <v>0</v>
      </c>
      <c r="AF449" s="36">
        <f t="shared" si="400"/>
        <v>0</v>
      </c>
      <c r="AG449" s="36">
        <f t="shared" si="401"/>
        <v>0</v>
      </c>
      <c r="AH449" s="36">
        <f t="shared" si="402"/>
        <v>0</v>
      </c>
      <c r="AI449" s="35" t="s">
        <v>2894</v>
      </c>
      <c r="AJ449" s="20">
        <f t="shared" si="403"/>
        <v>0</v>
      </c>
      <c r="AK449" s="20">
        <f t="shared" si="404"/>
        <v>0</v>
      </c>
      <c r="AL449" s="20">
        <f t="shared" si="405"/>
        <v>0</v>
      </c>
      <c r="AN449" s="36">
        <v>21</v>
      </c>
      <c r="AO449" s="36">
        <f t="shared" si="414"/>
        <v>0</v>
      </c>
      <c r="AP449" s="36">
        <f t="shared" si="415"/>
        <v>0</v>
      </c>
      <c r="AQ449" s="37" t="s">
        <v>13</v>
      </c>
      <c r="AV449" s="36">
        <f t="shared" si="406"/>
        <v>0</v>
      </c>
      <c r="AW449" s="36">
        <f t="shared" si="407"/>
        <v>0</v>
      </c>
      <c r="AX449" s="36">
        <f t="shared" si="408"/>
        <v>0</v>
      </c>
      <c r="AY449" s="39" t="s">
        <v>2929</v>
      </c>
      <c r="AZ449" s="39" t="s">
        <v>2954</v>
      </c>
      <c r="BA449" s="35" t="s">
        <v>2967</v>
      </c>
      <c r="BC449" s="36">
        <f t="shared" si="409"/>
        <v>0</v>
      </c>
      <c r="BD449" s="36">
        <f t="shared" si="410"/>
        <v>0</v>
      </c>
      <c r="BE449" s="36">
        <v>0</v>
      </c>
      <c r="BF449" s="36">
        <f>449</f>
        <v>449</v>
      </c>
      <c r="BH449" s="20">
        <f t="shared" si="411"/>
        <v>0</v>
      </c>
      <c r="BI449" s="20">
        <f t="shared" si="412"/>
        <v>0</v>
      </c>
      <c r="BJ449" s="20">
        <f t="shared" si="413"/>
        <v>0</v>
      </c>
      <c r="BK449" s="20" t="s">
        <v>2978</v>
      </c>
      <c r="BL449" s="36">
        <v>728</v>
      </c>
    </row>
    <row r="450" spans="1:64" x14ac:dyDescent="0.2">
      <c r="A450" s="4" t="s">
        <v>356</v>
      </c>
      <c r="B450" s="13" t="s">
        <v>1283</v>
      </c>
      <c r="C450" s="174" t="s">
        <v>2273</v>
      </c>
      <c r="D450" s="175"/>
      <c r="E450" s="175"/>
      <c r="F450" s="175"/>
      <c r="G450" s="13" t="s">
        <v>2861</v>
      </c>
      <c r="H450" s="82">
        <v>1</v>
      </c>
      <c r="I450" s="109">
        <v>0</v>
      </c>
      <c r="J450" s="20">
        <f t="shared" si="392"/>
        <v>0</v>
      </c>
      <c r="K450" s="20">
        <f t="shared" si="393"/>
        <v>0</v>
      </c>
      <c r="L450" s="20">
        <f t="shared" si="394"/>
        <v>0</v>
      </c>
      <c r="M450" s="31" t="s">
        <v>2884</v>
      </c>
      <c r="N450" s="5"/>
      <c r="Z450" s="36">
        <f t="shared" si="395"/>
        <v>0</v>
      </c>
      <c r="AB450" s="36">
        <f t="shared" si="396"/>
        <v>0</v>
      </c>
      <c r="AC450" s="36">
        <f t="shared" si="397"/>
        <v>0</v>
      </c>
      <c r="AD450" s="36">
        <f t="shared" si="398"/>
        <v>0</v>
      </c>
      <c r="AE450" s="36">
        <f t="shared" si="399"/>
        <v>0</v>
      </c>
      <c r="AF450" s="36">
        <f t="shared" si="400"/>
        <v>0</v>
      </c>
      <c r="AG450" s="36">
        <f t="shared" si="401"/>
        <v>0</v>
      </c>
      <c r="AH450" s="36">
        <f t="shared" si="402"/>
        <v>0</v>
      </c>
      <c r="AI450" s="35" t="s">
        <v>2894</v>
      </c>
      <c r="AJ450" s="20">
        <f t="shared" si="403"/>
        <v>0</v>
      </c>
      <c r="AK450" s="20">
        <f t="shared" si="404"/>
        <v>0</v>
      </c>
      <c r="AL450" s="20">
        <f t="shared" si="405"/>
        <v>0</v>
      </c>
      <c r="AN450" s="36">
        <v>21</v>
      </c>
      <c r="AO450" s="36">
        <f t="shared" si="414"/>
        <v>0</v>
      </c>
      <c r="AP450" s="36">
        <f t="shared" si="415"/>
        <v>0</v>
      </c>
      <c r="AQ450" s="37" t="s">
        <v>13</v>
      </c>
      <c r="AV450" s="36">
        <f t="shared" si="406"/>
        <v>0</v>
      </c>
      <c r="AW450" s="36">
        <f t="shared" si="407"/>
        <v>0</v>
      </c>
      <c r="AX450" s="36">
        <f t="shared" si="408"/>
        <v>0</v>
      </c>
      <c r="AY450" s="39" t="s">
        <v>2929</v>
      </c>
      <c r="AZ450" s="39" t="s">
        <v>2954</v>
      </c>
      <c r="BA450" s="35" t="s">
        <v>2967</v>
      </c>
      <c r="BC450" s="36">
        <f t="shared" si="409"/>
        <v>0</v>
      </c>
      <c r="BD450" s="36">
        <f t="shared" si="410"/>
        <v>0</v>
      </c>
      <c r="BE450" s="36">
        <v>0</v>
      </c>
      <c r="BF450" s="36">
        <f>450</f>
        <v>450</v>
      </c>
      <c r="BH450" s="20">
        <f t="shared" si="411"/>
        <v>0</v>
      </c>
      <c r="BI450" s="20">
        <f t="shared" si="412"/>
        <v>0</v>
      </c>
      <c r="BJ450" s="20">
        <f t="shared" si="413"/>
        <v>0</v>
      </c>
      <c r="BK450" s="20" t="s">
        <v>2978</v>
      </c>
      <c r="BL450" s="36">
        <v>728</v>
      </c>
    </row>
    <row r="451" spans="1:64" x14ac:dyDescent="0.2">
      <c r="A451" s="4" t="s">
        <v>357</v>
      </c>
      <c r="B451" s="13" t="s">
        <v>1284</v>
      </c>
      <c r="C451" s="174" t="s">
        <v>2274</v>
      </c>
      <c r="D451" s="175"/>
      <c r="E451" s="175"/>
      <c r="F451" s="175"/>
      <c r="G451" s="13" t="s">
        <v>2862</v>
      </c>
      <c r="H451" s="82">
        <v>70</v>
      </c>
      <c r="I451" s="109">
        <v>0</v>
      </c>
      <c r="J451" s="20">
        <f t="shared" si="392"/>
        <v>0</v>
      </c>
      <c r="K451" s="20">
        <f t="shared" si="393"/>
        <v>0</v>
      </c>
      <c r="L451" s="20">
        <f t="shared" si="394"/>
        <v>0</v>
      </c>
      <c r="M451" s="31" t="s">
        <v>2884</v>
      </c>
      <c r="N451" s="5"/>
      <c r="Z451" s="36">
        <f t="shared" si="395"/>
        <v>0</v>
      </c>
      <c r="AB451" s="36">
        <f t="shared" si="396"/>
        <v>0</v>
      </c>
      <c r="AC451" s="36">
        <f t="shared" si="397"/>
        <v>0</v>
      </c>
      <c r="AD451" s="36">
        <f t="shared" si="398"/>
        <v>0</v>
      </c>
      <c r="AE451" s="36">
        <f t="shared" si="399"/>
        <v>0</v>
      </c>
      <c r="AF451" s="36">
        <f t="shared" si="400"/>
        <v>0</v>
      </c>
      <c r="AG451" s="36">
        <f t="shared" si="401"/>
        <v>0</v>
      </c>
      <c r="AH451" s="36">
        <f t="shared" si="402"/>
        <v>0</v>
      </c>
      <c r="AI451" s="35" t="s">
        <v>2894</v>
      </c>
      <c r="AJ451" s="20">
        <f t="shared" si="403"/>
        <v>0</v>
      </c>
      <c r="AK451" s="20">
        <f t="shared" si="404"/>
        <v>0</v>
      </c>
      <c r="AL451" s="20">
        <f t="shared" si="405"/>
        <v>0</v>
      </c>
      <c r="AN451" s="36">
        <v>21</v>
      </c>
      <c r="AO451" s="36">
        <f t="shared" si="414"/>
        <v>0</v>
      </c>
      <c r="AP451" s="36">
        <f t="shared" si="415"/>
        <v>0</v>
      </c>
      <c r="AQ451" s="37" t="s">
        <v>13</v>
      </c>
      <c r="AV451" s="36">
        <f t="shared" si="406"/>
        <v>0</v>
      </c>
      <c r="AW451" s="36">
        <f t="shared" si="407"/>
        <v>0</v>
      </c>
      <c r="AX451" s="36">
        <f t="shared" si="408"/>
        <v>0</v>
      </c>
      <c r="AY451" s="39" t="s">
        <v>2929</v>
      </c>
      <c r="AZ451" s="39" t="s">
        <v>2954</v>
      </c>
      <c r="BA451" s="35" t="s">
        <v>2967</v>
      </c>
      <c r="BC451" s="36">
        <f t="shared" si="409"/>
        <v>0</v>
      </c>
      <c r="BD451" s="36">
        <f t="shared" si="410"/>
        <v>0</v>
      </c>
      <c r="BE451" s="36">
        <v>0</v>
      </c>
      <c r="BF451" s="36">
        <f>451</f>
        <v>451</v>
      </c>
      <c r="BH451" s="20">
        <f t="shared" si="411"/>
        <v>0</v>
      </c>
      <c r="BI451" s="20">
        <f t="shared" si="412"/>
        <v>0</v>
      </c>
      <c r="BJ451" s="20">
        <f t="shared" si="413"/>
        <v>0</v>
      </c>
      <c r="BK451" s="20" t="s">
        <v>2978</v>
      </c>
      <c r="BL451" s="36">
        <v>728</v>
      </c>
    </row>
    <row r="452" spans="1:64" ht="179.65" customHeight="1" x14ac:dyDescent="0.2">
      <c r="A452" s="5"/>
      <c r="B452" s="14"/>
      <c r="C452" s="179" t="s">
        <v>2275</v>
      </c>
      <c r="D452" s="180"/>
      <c r="E452" s="180"/>
      <c r="F452" s="180"/>
      <c r="G452" s="180"/>
      <c r="H452" s="180"/>
      <c r="I452" s="180"/>
      <c r="J452" s="180"/>
      <c r="K452" s="180"/>
      <c r="L452" s="180"/>
      <c r="M452" s="181"/>
      <c r="N452" s="5"/>
    </row>
    <row r="453" spans="1:64" x14ac:dyDescent="0.2">
      <c r="A453" s="4" t="s">
        <v>358</v>
      </c>
      <c r="B453" s="13" t="s">
        <v>1285</v>
      </c>
      <c r="C453" s="174" t="s">
        <v>2220</v>
      </c>
      <c r="D453" s="175"/>
      <c r="E453" s="175"/>
      <c r="F453" s="175"/>
      <c r="G453" s="13" t="s">
        <v>2860</v>
      </c>
      <c r="H453" s="82">
        <v>1</v>
      </c>
      <c r="I453" s="109">
        <v>0</v>
      </c>
      <c r="J453" s="20">
        <f t="shared" ref="J453:J459" si="416">H453*AO453</f>
        <v>0</v>
      </c>
      <c r="K453" s="20">
        <f t="shared" ref="K453:K459" si="417">H453*AP453</f>
        <v>0</v>
      </c>
      <c r="L453" s="20">
        <f t="shared" ref="L453:L459" si="418">H453*I453</f>
        <v>0</v>
      </c>
      <c r="M453" s="31" t="s">
        <v>2884</v>
      </c>
      <c r="N453" s="5"/>
      <c r="Z453" s="36">
        <f t="shared" ref="Z453:Z459" si="419">IF(AQ453="5",BJ453,0)</f>
        <v>0</v>
      </c>
      <c r="AB453" s="36">
        <f t="shared" ref="AB453:AB459" si="420">IF(AQ453="1",BH453,0)</f>
        <v>0</v>
      </c>
      <c r="AC453" s="36">
        <f t="shared" ref="AC453:AC459" si="421">IF(AQ453="1",BI453,0)</f>
        <v>0</v>
      </c>
      <c r="AD453" s="36">
        <f t="shared" ref="AD453:AD459" si="422">IF(AQ453="7",BH453,0)</f>
        <v>0</v>
      </c>
      <c r="AE453" s="36">
        <f t="shared" ref="AE453:AE459" si="423">IF(AQ453="7",BI453,0)</f>
        <v>0</v>
      </c>
      <c r="AF453" s="36">
        <f t="shared" ref="AF453:AF459" si="424">IF(AQ453="2",BH453,0)</f>
        <v>0</v>
      </c>
      <c r="AG453" s="36">
        <f t="shared" ref="AG453:AG459" si="425">IF(AQ453="2",BI453,0)</f>
        <v>0</v>
      </c>
      <c r="AH453" s="36">
        <f t="shared" ref="AH453:AH459" si="426">IF(AQ453="0",BJ453,0)</f>
        <v>0</v>
      </c>
      <c r="AI453" s="35" t="s">
        <v>2894</v>
      </c>
      <c r="AJ453" s="20">
        <f t="shared" ref="AJ453:AJ459" si="427">IF(AN453=0,L453,0)</f>
        <v>0</v>
      </c>
      <c r="AK453" s="20">
        <f t="shared" ref="AK453:AK459" si="428">IF(AN453=15,L453,0)</f>
        <v>0</v>
      </c>
      <c r="AL453" s="20">
        <f t="shared" ref="AL453:AL459" si="429">IF(AN453=21,L453,0)</f>
        <v>0</v>
      </c>
      <c r="AN453" s="36">
        <v>21</v>
      </c>
      <c r="AO453" s="36">
        <f t="shared" ref="AO453:AO459" si="430">I453*0</f>
        <v>0</v>
      </c>
      <c r="AP453" s="36">
        <f t="shared" ref="AP453:AP459" si="431">I453*(1-0)</f>
        <v>0</v>
      </c>
      <c r="AQ453" s="37" t="s">
        <v>13</v>
      </c>
      <c r="AV453" s="36">
        <f t="shared" ref="AV453:AV459" si="432">AW453+AX453</f>
        <v>0</v>
      </c>
      <c r="AW453" s="36">
        <f t="shared" ref="AW453:AW459" si="433">H453*AO453</f>
        <v>0</v>
      </c>
      <c r="AX453" s="36">
        <f t="shared" ref="AX453:AX459" si="434">H453*AP453</f>
        <v>0</v>
      </c>
      <c r="AY453" s="39" t="s">
        <v>2929</v>
      </c>
      <c r="AZ453" s="39" t="s">
        <v>2954</v>
      </c>
      <c r="BA453" s="35" t="s">
        <v>2967</v>
      </c>
      <c r="BC453" s="36">
        <f t="shared" ref="BC453:BC459" si="435">AW453+AX453</f>
        <v>0</v>
      </c>
      <c r="BD453" s="36">
        <f t="shared" ref="BD453:BD459" si="436">I453/(100-BE453)*100</f>
        <v>0</v>
      </c>
      <c r="BE453" s="36">
        <v>0</v>
      </c>
      <c r="BF453" s="36">
        <f>453</f>
        <v>453</v>
      </c>
      <c r="BH453" s="20">
        <f t="shared" ref="BH453:BH459" si="437">H453*AO453</f>
        <v>0</v>
      </c>
      <c r="BI453" s="20">
        <f t="shared" ref="BI453:BI459" si="438">H453*AP453</f>
        <v>0</v>
      </c>
      <c r="BJ453" s="20">
        <f t="shared" ref="BJ453:BJ459" si="439">H453*I453</f>
        <v>0</v>
      </c>
      <c r="BK453" s="20" t="s">
        <v>2978</v>
      </c>
      <c r="BL453" s="36">
        <v>728</v>
      </c>
    </row>
    <row r="454" spans="1:64" x14ac:dyDescent="0.2">
      <c r="A454" s="4" t="s">
        <v>359</v>
      </c>
      <c r="B454" s="13" t="s">
        <v>1286</v>
      </c>
      <c r="C454" s="174" t="s">
        <v>2276</v>
      </c>
      <c r="D454" s="175"/>
      <c r="E454" s="175"/>
      <c r="F454" s="175"/>
      <c r="G454" s="13" t="s">
        <v>2862</v>
      </c>
      <c r="H454" s="82">
        <v>30</v>
      </c>
      <c r="I454" s="109">
        <v>0</v>
      </c>
      <c r="J454" s="20">
        <f t="shared" si="416"/>
        <v>0</v>
      </c>
      <c r="K454" s="20">
        <f t="shared" si="417"/>
        <v>0</v>
      </c>
      <c r="L454" s="20">
        <f t="shared" si="418"/>
        <v>0</v>
      </c>
      <c r="M454" s="31" t="s">
        <v>2884</v>
      </c>
      <c r="N454" s="5"/>
      <c r="Z454" s="36">
        <f t="shared" si="419"/>
        <v>0</v>
      </c>
      <c r="AB454" s="36">
        <f t="shared" si="420"/>
        <v>0</v>
      </c>
      <c r="AC454" s="36">
        <f t="shared" si="421"/>
        <v>0</v>
      </c>
      <c r="AD454" s="36">
        <f t="shared" si="422"/>
        <v>0</v>
      </c>
      <c r="AE454" s="36">
        <f t="shared" si="423"/>
        <v>0</v>
      </c>
      <c r="AF454" s="36">
        <f t="shared" si="424"/>
        <v>0</v>
      </c>
      <c r="AG454" s="36">
        <f t="shared" si="425"/>
        <v>0</v>
      </c>
      <c r="AH454" s="36">
        <f t="shared" si="426"/>
        <v>0</v>
      </c>
      <c r="AI454" s="35" t="s">
        <v>2894</v>
      </c>
      <c r="AJ454" s="20">
        <f t="shared" si="427"/>
        <v>0</v>
      </c>
      <c r="AK454" s="20">
        <f t="shared" si="428"/>
        <v>0</v>
      </c>
      <c r="AL454" s="20">
        <f t="shared" si="429"/>
        <v>0</v>
      </c>
      <c r="AN454" s="36">
        <v>21</v>
      </c>
      <c r="AO454" s="36">
        <f t="shared" si="430"/>
        <v>0</v>
      </c>
      <c r="AP454" s="36">
        <f t="shared" si="431"/>
        <v>0</v>
      </c>
      <c r="AQ454" s="37" t="s">
        <v>13</v>
      </c>
      <c r="AV454" s="36">
        <f t="shared" si="432"/>
        <v>0</v>
      </c>
      <c r="AW454" s="36">
        <f t="shared" si="433"/>
        <v>0</v>
      </c>
      <c r="AX454" s="36">
        <f t="shared" si="434"/>
        <v>0</v>
      </c>
      <c r="AY454" s="39" t="s">
        <v>2929</v>
      </c>
      <c r="AZ454" s="39" t="s">
        <v>2954</v>
      </c>
      <c r="BA454" s="35" t="s">
        <v>2967</v>
      </c>
      <c r="BC454" s="36">
        <f t="shared" si="435"/>
        <v>0</v>
      </c>
      <c r="BD454" s="36">
        <f t="shared" si="436"/>
        <v>0</v>
      </c>
      <c r="BE454" s="36">
        <v>0</v>
      </c>
      <c r="BF454" s="36">
        <f>454</f>
        <v>454</v>
      </c>
      <c r="BH454" s="20">
        <f t="shared" si="437"/>
        <v>0</v>
      </c>
      <c r="BI454" s="20">
        <f t="shared" si="438"/>
        <v>0</v>
      </c>
      <c r="BJ454" s="20">
        <f t="shared" si="439"/>
        <v>0</v>
      </c>
      <c r="BK454" s="20" t="s">
        <v>2978</v>
      </c>
      <c r="BL454" s="36">
        <v>728</v>
      </c>
    </row>
    <row r="455" spans="1:64" x14ac:dyDescent="0.2">
      <c r="A455" s="4" t="s">
        <v>360</v>
      </c>
      <c r="B455" s="13" t="s">
        <v>1287</v>
      </c>
      <c r="C455" s="174" t="s">
        <v>2277</v>
      </c>
      <c r="D455" s="175"/>
      <c r="E455" s="175"/>
      <c r="F455" s="175"/>
      <c r="G455" s="13" t="s">
        <v>2861</v>
      </c>
      <c r="H455" s="82">
        <v>1</v>
      </c>
      <c r="I455" s="109">
        <v>0</v>
      </c>
      <c r="J455" s="20">
        <f t="shared" si="416"/>
        <v>0</v>
      </c>
      <c r="K455" s="20">
        <f t="shared" si="417"/>
        <v>0</v>
      </c>
      <c r="L455" s="20">
        <f t="shared" si="418"/>
        <v>0</v>
      </c>
      <c r="M455" s="31" t="s">
        <v>2884</v>
      </c>
      <c r="N455" s="5"/>
      <c r="Z455" s="36">
        <f t="shared" si="419"/>
        <v>0</v>
      </c>
      <c r="AB455" s="36">
        <f t="shared" si="420"/>
        <v>0</v>
      </c>
      <c r="AC455" s="36">
        <f t="shared" si="421"/>
        <v>0</v>
      </c>
      <c r="AD455" s="36">
        <f t="shared" si="422"/>
        <v>0</v>
      </c>
      <c r="AE455" s="36">
        <f t="shared" si="423"/>
        <v>0</v>
      </c>
      <c r="AF455" s="36">
        <f t="shared" si="424"/>
        <v>0</v>
      </c>
      <c r="AG455" s="36">
        <f t="shared" si="425"/>
        <v>0</v>
      </c>
      <c r="AH455" s="36">
        <f t="shared" si="426"/>
        <v>0</v>
      </c>
      <c r="AI455" s="35" t="s">
        <v>2894</v>
      </c>
      <c r="AJ455" s="20">
        <f t="shared" si="427"/>
        <v>0</v>
      </c>
      <c r="AK455" s="20">
        <f t="shared" si="428"/>
        <v>0</v>
      </c>
      <c r="AL455" s="20">
        <f t="shared" si="429"/>
        <v>0</v>
      </c>
      <c r="AN455" s="36">
        <v>21</v>
      </c>
      <c r="AO455" s="36">
        <f t="shared" si="430"/>
        <v>0</v>
      </c>
      <c r="AP455" s="36">
        <f t="shared" si="431"/>
        <v>0</v>
      </c>
      <c r="AQ455" s="37" t="s">
        <v>13</v>
      </c>
      <c r="AV455" s="36">
        <f t="shared" si="432"/>
        <v>0</v>
      </c>
      <c r="AW455" s="36">
        <f t="shared" si="433"/>
        <v>0</v>
      </c>
      <c r="AX455" s="36">
        <f t="shared" si="434"/>
        <v>0</v>
      </c>
      <c r="AY455" s="39" t="s">
        <v>2929</v>
      </c>
      <c r="AZ455" s="39" t="s">
        <v>2954</v>
      </c>
      <c r="BA455" s="35" t="s">
        <v>2967</v>
      </c>
      <c r="BC455" s="36">
        <f t="shared" si="435"/>
        <v>0</v>
      </c>
      <c r="BD455" s="36">
        <f t="shared" si="436"/>
        <v>0</v>
      </c>
      <c r="BE455" s="36">
        <v>0</v>
      </c>
      <c r="BF455" s="36">
        <f>455</f>
        <v>455</v>
      </c>
      <c r="BH455" s="20">
        <f t="shared" si="437"/>
        <v>0</v>
      </c>
      <c r="BI455" s="20">
        <f t="shared" si="438"/>
        <v>0</v>
      </c>
      <c r="BJ455" s="20">
        <f t="shared" si="439"/>
        <v>0</v>
      </c>
      <c r="BK455" s="20" t="s">
        <v>2978</v>
      </c>
      <c r="BL455" s="36">
        <v>728</v>
      </c>
    </row>
    <row r="456" spans="1:64" x14ac:dyDescent="0.2">
      <c r="A456" s="4" t="s">
        <v>361</v>
      </c>
      <c r="B456" s="13" t="s">
        <v>1288</v>
      </c>
      <c r="C456" s="174" t="s">
        <v>2120</v>
      </c>
      <c r="D456" s="175"/>
      <c r="E456" s="175"/>
      <c r="F456" s="175"/>
      <c r="G456" s="13" t="s">
        <v>2862</v>
      </c>
      <c r="H456" s="82">
        <v>25</v>
      </c>
      <c r="I456" s="109">
        <v>0</v>
      </c>
      <c r="J456" s="20">
        <f t="shared" si="416"/>
        <v>0</v>
      </c>
      <c r="K456" s="20">
        <f t="shared" si="417"/>
        <v>0</v>
      </c>
      <c r="L456" s="20">
        <f t="shared" si="418"/>
        <v>0</v>
      </c>
      <c r="M456" s="31" t="s">
        <v>2884</v>
      </c>
      <c r="N456" s="5"/>
      <c r="Z456" s="36">
        <f t="shared" si="419"/>
        <v>0</v>
      </c>
      <c r="AB456" s="36">
        <f t="shared" si="420"/>
        <v>0</v>
      </c>
      <c r="AC456" s="36">
        <f t="shared" si="421"/>
        <v>0</v>
      </c>
      <c r="AD456" s="36">
        <f t="shared" si="422"/>
        <v>0</v>
      </c>
      <c r="AE456" s="36">
        <f t="shared" si="423"/>
        <v>0</v>
      </c>
      <c r="AF456" s="36">
        <f t="shared" si="424"/>
        <v>0</v>
      </c>
      <c r="AG456" s="36">
        <f t="shared" si="425"/>
        <v>0</v>
      </c>
      <c r="AH456" s="36">
        <f t="shared" si="426"/>
        <v>0</v>
      </c>
      <c r="AI456" s="35" t="s">
        <v>2894</v>
      </c>
      <c r="AJ456" s="20">
        <f t="shared" si="427"/>
        <v>0</v>
      </c>
      <c r="AK456" s="20">
        <f t="shared" si="428"/>
        <v>0</v>
      </c>
      <c r="AL456" s="20">
        <f t="shared" si="429"/>
        <v>0</v>
      </c>
      <c r="AN456" s="36">
        <v>21</v>
      </c>
      <c r="AO456" s="36">
        <f t="shared" si="430"/>
        <v>0</v>
      </c>
      <c r="AP456" s="36">
        <f t="shared" si="431"/>
        <v>0</v>
      </c>
      <c r="AQ456" s="37" t="s">
        <v>13</v>
      </c>
      <c r="AV456" s="36">
        <f t="shared" si="432"/>
        <v>0</v>
      </c>
      <c r="AW456" s="36">
        <f t="shared" si="433"/>
        <v>0</v>
      </c>
      <c r="AX456" s="36">
        <f t="shared" si="434"/>
        <v>0</v>
      </c>
      <c r="AY456" s="39" t="s">
        <v>2929</v>
      </c>
      <c r="AZ456" s="39" t="s">
        <v>2954</v>
      </c>
      <c r="BA456" s="35" t="s">
        <v>2967</v>
      </c>
      <c r="BC456" s="36">
        <f t="shared" si="435"/>
        <v>0</v>
      </c>
      <c r="BD456" s="36">
        <f t="shared" si="436"/>
        <v>0</v>
      </c>
      <c r="BE456" s="36">
        <v>0</v>
      </c>
      <c r="BF456" s="36">
        <f>456</f>
        <v>456</v>
      </c>
      <c r="BH456" s="20">
        <f t="shared" si="437"/>
        <v>0</v>
      </c>
      <c r="BI456" s="20">
        <f t="shared" si="438"/>
        <v>0</v>
      </c>
      <c r="BJ456" s="20">
        <f t="shared" si="439"/>
        <v>0</v>
      </c>
      <c r="BK456" s="20" t="s">
        <v>2978</v>
      </c>
      <c r="BL456" s="36">
        <v>728</v>
      </c>
    </row>
    <row r="457" spans="1:64" x14ac:dyDescent="0.2">
      <c r="A457" s="4" t="s">
        <v>362</v>
      </c>
      <c r="B457" s="13" t="s">
        <v>1289</v>
      </c>
      <c r="C457" s="174" t="s">
        <v>2121</v>
      </c>
      <c r="D457" s="175"/>
      <c r="E457" s="175"/>
      <c r="F457" s="175"/>
      <c r="G457" s="13" t="s">
        <v>2861</v>
      </c>
      <c r="H457" s="82">
        <v>1</v>
      </c>
      <c r="I457" s="109">
        <v>0</v>
      </c>
      <c r="J457" s="20">
        <f t="shared" si="416"/>
        <v>0</v>
      </c>
      <c r="K457" s="20">
        <f t="shared" si="417"/>
        <v>0</v>
      </c>
      <c r="L457" s="20">
        <f t="shared" si="418"/>
        <v>0</v>
      </c>
      <c r="M457" s="31" t="s">
        <v>2884</v>
      </c>
      <c r="N457" s="5"/>
      <c r="Z457" s="36">
        <f t="shared" si="419"/>
        <v>0</v>
      </c>
      <c r="AB457" s="36">
        <f t="shared" si="420"/>
        <v>0</v>
      </c>
      <c r="AC457" s="36">
        <f t="shared" si="421"/>
        <v>0</v>
      </c>
      <c r="AD457" s="36">
        <f t="shared" si="422"/>
        <v>0</v>
      </c>
      <c r="AE457" s="36">
        <f t="shared" si="423"/>
        <v>0</v>
      </c>
      <c r="AF457" s="36">
        <f t="shared" si="424"/>
        <v>0</v>
      </c>
      <c r="AG457" s="36">
        <f t="shared" si="425"/>
        <v>0</v>
      </c>
      <c r="AH457" s="36">
        <f t="shared" si="426"/>
        <v>0</v>
      </c>
      <c r="AI457" s="35" t="s">
        <v>2894</v>
      </c>
      <c r="AJ457" s="20">
        <f t="shared" si="427"/>
        <v>0</v>
      </c>
      <c r="AK457" s="20">
        <f t="shared" si="428"/>
        <v>0</v>
      </c>
      <c r="AL457" s="20">
        <f t="shared" si="429"/>
        <v>0</v>
      </c>
      <c r="AN457" s="36">
        <v>21</v>
      </c>
      <c r="AO457" s="36">
        <f t="shared" si="430"/>
        <v>0</v>
      </c>
      <c r="AP457" s="36">
        <f t="shared" si="431"/>
        <v>0</v>
      </c>
      <c r="AQ457" s="37" t="s">
        <v>13</v>
      </c>
      <c r="AV457" s="36">
        <f t="shared" si="432"/>
        <v>0</v>
      </c>
      <c r="AW457" s="36">
        <f t="shared" si="433"/>
        <v>0</v>
      </c>
      <c r="AX457" s="36">
        <f t="shared" si="434"/>
        <v>0</v>
      </c>
      <c r="AY457" s="39" t="s">
        <v>2929</v>
      </c>
      <c r="AZ457" s="39" t="s">
        <v>2954</v>
      </c>
      <c r="BA457" s="35" t="s">
        <v>2967</v>
      </c>
      <c r="BC457" s="36">
        <f t="shared" si="435"/>
        <v>0</v>
      </c>
      <c r="BD457" s="36">
        <f t="shared" si="436"/>
        <v>0</v>
      </c>
      <c r="BE457" s="36">
        <v>0</v>
      </c>
      <c r="BF457" s="36">
        <f>457</f>
        <v>457</v>
      </c>
      <c r="BH457" s="20">
        <f t="shared" si="437"/>
        <v>0</v>
      </c>
      <c r="BI457" s="20">
        <f t="shared" si="438"/>
        <v>0</v>
      </c>
      <c r="BJ457" s="20">
        <f t="shared" si="439"/>
        <v>0</v>
      </c>
      <c r="BK457" s="20" t="s">
        <v>2978</v>
      </c>
      <c r="BL457" s="36">
        <v>728</v>
      </c>
    </row>
    <row r="458" spans="1:64" x14ac:dyDescent="0.2">
      <c r="A458" s="4" t="s">
        <v>363</v>
      </c>
      <c r="B458" s="13" t="s">
        <v>1290</v>
      </c>
      <c r="C458" s="174" t="s">
        <v>2122</v>
      </c>
      <c r="D458" s="175"/>
      <c r="E458" s="175"/>
      <c r="F458" s="175"/>
      <c r="G458" s="13" t="s">
        <v>2860</v>
      </c>
      <c r="H458" s="82">
        <v>1</v>
      </c>
      <c r="I458" s="109">
        <v>0</v>
      </c>
      <c r="J458" s="20">
        <f t="shared" si="416"/>
        <v>0</v>
      </c>
      <c r="K458" s="20">
        <f t="shared" si="417"/>
        <v>0</v>
      </c>
      <c r="L458" s="20">
        <f t="shared" si="418"/>
        <v>0</v>
      </c>
      <c r="M458" s="31" t="s">
        <v>2884</v>
      </c>
      <c r="N458" s="5"/>
      <c r="Z458" s="36">
        <f t="shared" si="419"/>
        <v>0</v>
      </c>
      <c r="AB458" s="36">
        <f t="shared" si="420"/>
        <v>0</v>
      </c>
      <c r="AC458" s="36">
        <f t="shared" si="421"/>
        <v>0</v>
      </c>
      <c r="AD458" s="36">
        <f t="shared" si="422"/>
        <v>0</v>
      </c>
      <c r="AE458" s="36">
        <f t="shared" si="423"/>
        <v>0</v>
      </c>
      <c r="AF458" s="36">
        <f t="shared" si="424"/>
        <v>0</v>
      </c>
      <c r="AG458" s="36">
        <f t="shared" si="425"/>
        <v>0</v>
      </c>
      <c r="AH458" s="36">
        <f t="shared" si="426"/>
        <v>0</v>
      </c>
      <c r="AI458" s="35" t="s">
        <v>2894</v>
      </c>
      <c r="AJ458" s="20">
        <f t="shared" si="427"/>
        <v>0</v>
      </c>
      <c r="AK458" s="20">
        <f t="shared" si="428"/>
        <v>0</v>
      </c>
      <c r="AL458" s="20">
        <f t="shared" si="429"/>
        <v>0</v>
      </c>
      <c r="AN458" s="36">
        <v>21</v>
      </c>
      <c r="AO458" s="36">
        <f t="shared" si="430"/>
        <v>0</v>
      </c>
      <c r="AP458" s="36">
        <f t="shared" si="431"/>
        <v>0</v>
      </c>
      <c r="AQ458" s="37" t="s">
        <v>13</v>
      </c>
      <c r="AV458" s="36">
        <f t="shared" si="432"/>
        <v>0</v>
      </c>
      <c r="AW458" s="36">
        <f t="shared" si="433"/>
        <v>0</v>
      </c>
      <c r="AX458" s="36">
        <f t="shared" si="434"/>
        <v>0</v>
      </c>
      <c r="AY458" s="39" t="s">
        <v>2929</v>
      </c>
      <c r="AZ458" s="39" t="s">
        <v>2954</v>
      </c>
      <c r="BA458" s="35" t="s">
        <v>2967</v>
      </c>
      <c r="BC458" s="36">
        <f t="shared" si="435"/>
        <v>0</v>
      </c>
      <c r="BD458" s="36">
        <f t="shared" si="436"/>
        <v>0</v>
      </c>
      <c r="BE458" s="36">
        <v>0</v>
      </c>
      <c r="BF458" s="36">
        <f>458</f>
        <v>458</v>
      </c>
      <c r="BH458" s="20">
        <f t="shared" si="437"/>
        <v>0</v>
      </c>
      <c r="BI458" s="20">
        <f t="shared" si="438"/>
        <v>0</v>
      </c>
      <c r="BJ458" s="20">
        <f t="shared" si="439"/>
        <v>0</v>
      </c>
      <c r="BK458" s="20" t="s">
        <v>2978</v>
      </c>
      <c r="BL458" s="36">
        <v>728</v>
      </c>
    </row>
    <row r="459" spans="1:64" x14ac:dyDescent="0.2">
      <c r="A459" s="4" t="s">
        <v>364</v>
      </c>
      <c r="B459" s="13" t="s">
        <v>1291</v>
      </c>
      <c r="C459" s="174" t="s">
        <v>2123</v>
      </c>
      <c r="D459" s="175"/>
      <c r="E459" s="175"/>
      <c r="F459" s="175"/>
      <c r="G459" s="13" t="s">
        <v>2861</v>
      </c>
      <c r="H459" s="82">
        <v>1</v>
      </c>
      <c r="I459" s="109">
        <v>0</v>
      </c>
      <c r="J459" s="20">
        <f t="shared" si="416"/>
        <v>0</v>
      </c>
      <c r="K459" s="20">
        <f t="shared" si="417"/>
        <v>0</v>
      </c>
      <c r="L459" s="20">
        <f t="shared" si="418"/>
        <v>0</v>
      </c>
      <c r="M459" s="31" t="s">
        <v>2884</v>
      </c>
      <c r="N459" s="5"/>
      <c r="Z459" s="36">
        <f t="shared" si="419"/>
        <v>0</v>
      </c>
      <c r="AB459" s="36">
        <f t="shared" si="420"/>
        <v>0</v>
      </c>
      <c r="AC459" s="36">
        <f t="shared" si="421"/>
        <v>0</v>
      </c>
      <c r="AD459" s="36">
        <f t="shared" si="422"/>
        <v>0</v>
      </c>
      <c r="AE459" s="36">
        <f t="shared" si="423"/>
        <v>0</v>
      </c>
      <c r="AF459" s="36">
        <f t="shared" si="424"/>
        <v>0</v>
      </c>
      <c r="AG459" s="36">
        <f t="shared" si="425"/>
        <v>0</v>
      </c>
      <c r="AH459" s="36">
        <f t="shared" si="426"/>
        <v>0</v>
      </c>
      <c r="AI459" s="35" t="s">
        <v>2894</v>
      </c>
      <c r="AJ459" s="20">
        <f t="shared" si="427"/>
        <v>0</v>
      </c>
      <c r="AK459" s="20">
        <f t="shared" si="428"/>
        <v>0</v>
      </c>
      <c r="AL459" s="20">
        <f t="shared" si="429"/>
        <v>0</v>
      </c>
      <c r="AN459" s="36">
        <v>21</v>
      </c>
      <c r="AO459" s="36">
        <f t="shared" si="430"/>
        <v>0</v>
      </c>
      <c r="AP459" s="36">
        <f t="shared" si="431"/>
        <v>0</v>
      </c>
      <c r="AQ459" s="37" t="s">
        <v>13</v>
      </c>
      <c r="AV459" s="36">
        <f t="shared" si="432"/>
        <v>0</v>
      </c>
      <c r="AW459" s="36">
        <f t="shared" si="433"/>
        <v>0</v>
      </c>
      <c r="AX459" s="36">
        <f t="shared" si="434"/>
        <v>0</v>
      </c>
      <c r="AY459" s="39" t="s">
        <v>2929</v>
      </c>
      <c r="AZ459" s="39" t="s">
        <v>2954</v>
      </c>
      <c r="BA459" s="35" t="s">
        <v>2967</v>
      </c>
      <c r="BC459" s="36">
        <f t="shared" si="435"/>
        <v>0</v>
      </c>
      <c r="BD459" s="36">
        <f t="shared" si="436"/>
        <v>0</v>
      </c>
      <c r="BE459" s="36">
        <v>0</v>
      </c>
      <c r="BF459" s="36">
        <f>459</f>
        <v>459</v>
      </c>
      <c r="BH459" s="20">
        <f t="shared" si="437"/>
        <v>0</v>
      </c>
      <c r="BI459" s="20">
        <f t="shared" si="438"/>
        <v>0</v>
      </c>
      <c r="BJ459" s="20">
        <f t="shared" si="439"/>
        <v>0</v>
      </c>
      <c r="BK459" s="20" t="s">
        <v>2978</v>
      </c>
      <c r="BL459" s="36">
        <v>728</v>
      </c>
    </row>
    <row r="460" spans="1:64" x14ac:dyDescent="0.2">
      <c r="A460" s="3"/>
      <c r="B460" s="12" t="s">
        <v>736</v>
      </c>
      <c r="C460" s="172" t="s">
        <v>2278</v>
      </c>
      <c r="D460" s="173"/>
      <c r="E460" s="173"/>
      <c r="F460" s="173"/>
      <c r="G460" s="18" t="s">
        <v>6</v>
      </c>
      <c r="H460" s="18" t="s">
        <v>6</v>
      </c>
      <c r="I460" s="18" t="s">
        <v>6</v>
      </c>
      <c r="J460" s="41">
        <f>SUM(J461:J524)</f>
        <v>0</v>
      </c>
      <c r="K460" s="41">
        <f>SUM(K461:K524)</f>
        <v>0</v>
      </c>
      <c r="L460" s="41">
        <f>SUM(L461:L524)</f>
        <v>0</v>
      </c>
      <c r="M460" s="30"/>
      <c r="N460" s="5"/>
      <c r="AI460" s="35" t="s">
        <v>2894</v>
      </c>
      <c r="AS460" s="41">
        <f>SUM(AJ461:AJ524)</f>
        <v>0</v>
      </c>
      <c r="AT460" s="41">
        <f>SUM(AK461:AK524)</f>
        <v>0</v>
      </c>
      <c r="AU460" s="41">
        <f>SUM(AL461:AL524)</f>
        <v>0</v>
      </c>
    </row>
    <row r="461" spans="1:64" x14ac:dyDescent="0.2">
      <c r="A461" s="4" t="s">
        <v>365</v>
      </c>
      <c r="B461" s="13" t="s">
        <v>1292</v>
      </c>
      <c r="C461" s="174" t="s">
        <v>2279</v>
      </c>
      <c r="D461" s="175"/>
      <c r="E461" s="175"/>
      <c r="F461" s="175"/>
      <c r="G461" s="13" t="s">
        <v>2855</v>
      </c>
      <c r="H461" s="82">
        <v>180</v>
      </c>
      <c r="I461" s="109">
        <v>0</v>
      </c>
      <c r="J461" s="20">
        <f>H461*AO461</f>
        <v>0</v>
      </c>
      <c r="K461" s="20">
        <f>H461*AP461</f>
        <v>0</v>
      </c>
      <c r="L461" s="20">
        <f>H461*I461</f>
        <v>0</v>
      </c>
      <c r="M461" s="31" t="s">
        <v>2884</v>
      </c>
      <c r="N461" s="5"/>
      <c r="Z461" s="36">
        <f>IF(AQ461="5",BJ461,0)</f>
        <v>0</v>
      </c>
      <c r="AB461" s="36">
        <f>IF(AQ461="1",BH461,0)</f>
        <v>0</v>
      </c>
      <c r="AC461" s="36">
        <f>IF(AQ461="1",BI461,0)</f>
        <v>0</v>
      </c>
      <c r="AD461" s="36">
        <f>IF(AQ461="7",BH461,0)</f>
        <v>0</v>
      </c>
      <c r="AE461" s="36">
        <f>IF(AQ461="7",BI461,0)</f>
        <v>0</v>
      </c>
      <c r="AF461" s="36">
        <f>IF(AQ461="2",BH461,0)</f>
        <v>0</v>
      </c>
      <c r="AG461" s="36">
        <f>IF(AQ461="2",BI461,0)</f>
        <v>0</v>
      </c>
      <c r="AH461" s="36">
        <f>IF(AQ461="0",BJ461,0)</f>
        <v>0</v>
      </c>
      <c r="AI461" s="35" t="s">
        <v>2894</v>
      </c>
      <c r="AJ461" s="20">
        <f>IF(AN461=0,L461,0)</f>
        <v>0</v>
      </c>
      <c r="AK461" s="20">
        <f>IF(AN461=15,L461,0)</f>
        <v>0</v>
      </c>
      <c r="AL461" s="20">
        <f>IF(AN461=21,L461,0)</f>
        <v>0</v>
      </c>
      <c r="AN461" s="36">
        <v>21</v>
      </c>
      <c r="AO461" s="36">
        <f>I461*0.53</f>
        <v>0</v>
      </c>
      <c r="AP461" s="36">
        <f>I461*(1-0.53)</f>
        <v>0</v>
      </c>
      <c r="AQ461" s="37" t="s">
        <v>13</v>
      </c>
      <c r="AV461" s="36">
        <f>AW461+AX461</f>
        <v>0</v>
      </c>
      <c r="AW461" s="36">
        <f>H461*AO461</f>
        <v>0</v>
      </c>
      <c r="AX461" s="36">
        <f>H461*AP461</f>
        <v>0</v>
      </c>
      <c r="AY461" s="39" t="s">
        <v>2930</v>
      </c>
      <c r="AZ461" s="39" t="s">
        <v>2955</v>
      </c>
      <c r="BA461" s="35" t="s">
        <v>2967</v>
      </c>
      <c r="BC461" s="36">
        <f>AW461+AX461</f>
        <v>0</v>
      </c>
      <c r="BD461" s="36">
        <f>I461/(100-BE461)*100</f>
        <v>0</v>
      </c>
      <c r="BE461" s="36">
        <v>0</v>
      </c>
      <c r="BF461" s="36">
        <f>461</f>
        <v>461</v>
      </c>
      <c r="BH461" s="20">
        <f>H461*AO461</f>
        <v>0</v>
      </c>
      <c r="BI461" s="20">
        <f>H461*AP461</f>
        <v>0</v>
      </c>
      <c r="BJ461" s="20">
        <f>H461*I461</f>
        <v>0</v>
      </c>
      <c r="BK461" s="20" t="s">
        <v>2978</v>
      </c>
      <c r="BL461" s="36">
        <v>730</v>
      </c>
    </row>
    <row r="462" spans="1:64" ht="25.7" customHeight="1" x14ac:dyDescent="0.2">
      <c r="A462" s="5"/>
      <c r="B462" s="14"/>
      <c r="C462" s="179" t="s">
        <v>2280</v>
      </c>
      <c r="D462" s="180"/>
      <c r="E462" s="180"/>
      <c r="F462" s="180"/>
      <c r="G462" s="180"/>
      <c r="H462" s="180"/>
      <c r="I462" s="180"/>
      <c r="J462" s="180"/>
      <c r="K462" s="180"/>
      <c r="L462" s="180"/>
      <c r="M462" s="181"/>
      <c r="N462" s="5"/>
    </row>
    <row r="463" spans="1:64" x14ac:dyDescent="0.2">
      <c r="A463" s="4" t="s">
        <v>366</v>
      </c>
      <c r="B463" s="13" t="s">
        <v>1293</v>
      </c>
      <c r="C463" s="174" t="s">
        <v>2281</v>
      </c>
      <c r="D463" s="175"/>
      <c r="E463" s="175"/>
      <c r="F463" s="175"/>
      <c r="G463" s="13" t="s">
        <v>2855</v>
      </c>
      <c r="H463" s="82">
        <v>120</v>
      </c>
      <c r="I463" s="109">
        <v>0</v>
      </c>
      <c r="J463" s="20">
        <f>H463*AO463</f>
        <v>0</v>
      </c>
      <c r="K463" s="20">
        <f>H463*AP463</f>
        <v>0</v>
      </c>
      <c r="L463" s="20">
        <f>H463*I463</f>
        <v>0</v>
      </c>
      <c r="M463" s="31" t="s">
        <v>2884</v>
      </c>
      <c r="N463" s="5"/>
      <c r="Z463" s="36">
        <f>IF(AQ463="5",BJ463,0)</f>
        <v>0</v>
      </c>
      <c r="AB463" s="36">
        <f>IF(AQ463="1",BH463,0)</f>
        <v>0</v>
      </c>
      <c r="AC463" s="36">
        <f>IF(AQ463="1",BI463,0)</f>
        <v>0</v>
      </c>
      <c r="AD463" s="36">
        <f>IF(AQ463="7",BH463,0)</f>
        <v>0</v>
      </c>
      <c r="AE463" s="36">
        <f>IF(AQ463="7",BI463,0)</f>
        <v>0</v>
      </c>
      <c r="AF463" s="36">
        <f>IF(AQ463="2",BH463,0)</f>
        <v>0</v>
      </c>
      <c r="AG463" s="36">
        <f>IF(AQ463="2",BI463,0)</f>
        <v>0</v>
      </c>
      <c r="AH463" s="36">
        <f>IF(AQ463="0",BJ463,0)</f>
        <v>0</v>
      </c>
      <c r="AI463" s="35" t="s">
        <v>2894</v>
      </c>
      <c r="AJ463" s="20">
        <f>IF(AN463=0,L463,0)</f>
        <v>0</v>
      </c>
      <c r="AK463" s="20">
        <f>IF(AN463=15,L463,0)</f>
        <v>0</v>
      </c>
      <c r="AL463" s="20">
        <f>IF(AN463=21,L463,0)</f>
        <v>0</v>
      </c>
      <c r="AN463" s="36">
        <v>21</v>
      </c>
      <c r="AO463" s="36">
        <f>I463*0.53</f>
        <v>0</v>
      </c>
      <c r="AP463" s="36">
        <f>I463*(1-0.53)</f>
        <v>0</v>
      </c>
      <c r="AQ463" s="37" t="s">
        <v>13</v>
      </c>
      <c r="AV463" s="36">
        <f>AW463+AX463</f>
        <v>0</v>
      </c>
      <c r="AW463" s="36">
        <f>H463*AO463</f>
        <v>0</v>
      </c>
      <c r="AX463" s="36">
        <f>H463*AP463</f>
        <v>0</v>
      </c>
      <c r="AY463" s="39" t="s">
        <v>2930</v>
      </c>
      <c r="AZ463" s="39" t="s">
        <v>2955</v>
      </c>
      <c r="BA463" s="35" t="s">
        <v>2967</v>
      </c>
      <c r="BC463" s="36">
        <f>AW463+AX463</f>
        <v>0</v>
      </c>
      <c r="BD463" s="36">
        <f>I463/(100-BE463)*100</f>
        <v>0</v>
      </c>
      <c r="BE463" s="36">
        <v>0</v>
      </c>
      <c r="BF463" s="36">
        <f>463</f>
        <v>463</v>
      </c>
      <c r="BH463" s="20">
        <f>H463*AO463</f>
        <v>0</v>
      </c>
      <c r="BI463" s="20">
        <f>H463*AP463</f>
        <v>0</v>
      </c>
      <c r="BJ463" s="20">
        <f>H463*I463</f>
        <v>0</v>
      </c>
      <c r="BK463" s="20" t="s">
        <v>2978</v>
      </c>
      <c r="BL463" s="36">
        <v>730</v>
      </c>
    </row>
    <row r="464" spans="1:64" x14ac:dyDescent="0.2">
      <c r="A464" s="4" t="s">
        <v>367</v>
      </c>
      <c r="B464" s="13" t="s">
        <v>1294</v>
      </c>
      <c r="C464" s="174" t="s">
        <v>2282</v>
      </c>
      <c r="D464" s="175"/>
      <c r="E464" s="175"/>
      <c r="F464" s="175"/>
      <c r="G464" s="13" t="s">
        <v>2855</v>
      </c>
      <c r="H464" s="82">
        <v>15</v>
      </c>
      <c r="I464" s="109">
        <v>0</v>
      </c>
      <c r="J464" s="20">
        <f>H464*AO464</f>
        <v>0</v>
      </c>
      <c r="K464" s="20">
        <f>H464*AP464</f>
        <v>0</v>
      </c>
      <c r="L464" s="20">
        <f>H464*I464</f>
        <v>0</v>
      </c>
      <c r="M464" s="31" t="s">
        <v>2884</v>
      </c>
      <c r="N464" s="5"/>
      <c r="Z464" s="36">
        <f>IF(AQ464="5",BJ464,0)</f>
        <v>0</v>
      </c>
      <c r="AB464" s="36">
        <f>IF(AQ464="1",BH464,0)</f>
        <v>0</v>
      </c>
      <c r="AC464" s="36">
        <f>IF(AQ464="1",BI464,0)</f>
        <v>0</v>
      </c>
      <c r="AD464" s="36">
        <f>IF(AQ464="7",BH464,0)</f>
        <v>0</v>
      </c>
      <c r="AE464" s="36">
        <f>IF(AQ464="7",BI464,0)</f>
        <v>0</v>
      </c>
      <c r="AF464" s="36">
        <f>IF(AQ464="2",BH464,0)</f>
        <v>0</v>
      </c>
      <c r="AG464" s="36">
        <f>IF(AQ464="2",BI464,0)</f>
        <v>0</v>
      </c>
      <c r="AH464" s="36">
        <f>IF(AQ464="0",BJ464,0)</f>
        <v>0</v>
      </c>
      <c r="AI464" s="35" t="s">
        <v>2894</v>
      </c>
      <c r="AJ464" s="20">
        <f>IF(AN464=0,L464,0)</f>
        <v>0</v>
      </c>
      <c r="AK464" s="20">
        <f>IF(AN464=15,L464,0)</f>
        <v>0</v>
      </c>
      <c r="AL464" s="20">
        <f>IF(AN464=21,L464,0)</f>
        <v>0</v>
      </c>
      <c r="AN464" s="36">
        <v>21</v>
      </c>
      <c r="AO464" s="36">
        <f>I464*0.53</f>
        <v>0</v>
      </c>
      <c r="AP464" s="36">
        <f>I464*(1-0.53)</f>
        <v>0</v>
      </c>
      <c r="AQ464" s="37" t="s">
        <v>13</v>
      </c>
      <c r="AV464" s="36">
        <f>AW464+AX464</f>
        <v>0</v>
      </c>
      <c r="AW464" s="36">
        <f>H464*AO464</f>
        <v>0</v>
      </c>
      <c r="AX464" s="36">
        <f>H464*AP464</f>
        <v>0</v>
      </c>
      <c r="AY464" s="39" t="s">
        <v>2930</v>
      </c>
      <c r="AZ464" s="39" t="s">
        <v>2955</v>
      </c>
      <c r="BA464" s="35" t="s">
        <v>2967</v>
      </c>
      <c r="BC464" s="36">
        <f>AW464+AX464</f>
        <v>0</v>
      </c>
      <c r="BD464" s="36">
        <f>I464/(100-BE464)*100</f>
        <v>0</v>
      </c>
      <c r="BE464" s="36">
        <v>0</v>
      </c>
      <c r="BF464" s="36">
        <f>464</f>
        <v>464</v>
      </c>
      <c r="BH464" s="20">
        <f>H464*AO464</f>
        <v>0</v>
      </c>
      <c r="BI464" s="20">
        <f>H464*AP464</f>
        <v>0</v>
      </c>
      <c r="BJ464" s="20">
        <f>H464*I464</f>
        <v>0</v>
      </c>
      <c r="BK464" s="20" t="s">
        <v>2978</v>
      </c>
      <c r="BL464" s="36">
        <v>730</v>
      </c>
    </row>
    <row r="465" spans="1:64" x14ac:dyDescent="0.2">
      <c r="A465" s="4" t="s">
        <v>368</v>
      </c>
      <c r="B465" s="13" t="s">
        <v>1295</v>
      </c>
      <c r="C465" s="174" t="s">
        <v>2283</v>
      </c>
      <c r="D465" s="175"/>
      <c r="E465" s="175"/>
      <c r="F465" s="175"/>
      <c r="G465" s="13" t="s">
        <v>2855</v>
      </c>
      <c r="H465" s="82">
        <v>15</v>
      </c>
      <c r="I465" s="109">
        <v>0</v>
      </c>
      <c r="J465" s="20">
        <f>H465*AO465</f>
        <v>0</v>
      </c>
      <c r="K465" s="20">
        <f>H465*AP465</f>
        <v>0</v>
      </c>
      <c r="L465" s="20">
        <f>H465*I465</f>
        <v>0</v>
      </c>
      <c r="M465" s="31" t="s">
        <v>2884</v>
      </c>
      <c r="N465" s="5"/>
      <c r="Z465" s="36">
        <f>IF(AQ465="5",BJ465,0)</f>
        <v>0</v>
      </c>
      <c r="AB465" s="36">
        <f>IF(AQ465="1",BH465,0)</f>
        <v>0</v>
      </c>
      <c r="AC465" s="36">
        <f>IF(AQ465="1",BI465,0)</f>
        <v>0</v>
      </c>
      <c r="AD465" s="36">
        <f>IF(AQ465="7",BH465,0)</f>
        <v>0</v>
      </c>
      <c r="AE465" s="36">
        <f>IF(AQ465="7",BI465,0)</f>
        <v>0</v>
      </c>
      <c r="AF465" s="36">
        <f>IF(AQ465="2",BH465,0)</f>
        <v>0</v>
      </c>
      <c r="AG465" s="36">
        <f>IF(AQ465="2",BI465,0)</f>
        <v>0</v>
      </c>
      <c r="AH465" s="36">
        <f>IF(AQ465="0",BJ465,0)</f>
        <v>0</v>
      </c>
      <c r="AI465" s="35" t="s">
        <v>2894</v>
      </c>
      <c r="AJ465" s="20">
        <f>IF(AN465=0,L465,0)</f>
        <v>0</v>
      </c>
      <c r="AK465" s="20">
        <f>IF(AN465=15,L465,0)</f>
        <v>0</v>
      </c>
      <c r="AL465" s="20">
        <f>IF(AN465=21,L465,0)</f>
        <v>0</v>
      </c>
      <c r="AN465" s="36">
        <v>21</v>
      </c>
      <c r="AO465" s="36">
        <f>I465*0.53</f>
        <v>0</v>
      </c>
      <c r="AP465" s="36">
        <f>I465*(1-0.53)</f>
        <v>0</v>
      </c>
      <c r="AQ465" s="37" t="s">
        <v>13</v>
      </c>
      <c r="AV465" s="36">
        <f>AW465+AX465</f>
        <v>0</v>
      </c>
      <c r="AW465" s="36">
        <f>H465*AO465</f>
        <v>0</v>
      </c>
      <c r="AX465" s="36">
        <f>H465*AP465</f>
        <v>0</v>
      </c>
      <c r="AY465" s="39" t="s">
        <v>2930</v>
      </c>
      <c r="AZ465" s="39" t="s">
        <v>2955</v>
      </c>
      <c r="BA465" s="35" t="s">
        <v>2967</v>
      </c>
      <c r="BC465" s="36">
        <f>AW465+AX465</f>
        <v>0</v>
      </c>
      <c r="BD465" s="36">
        <f>I465/(100-BE465)*100</f>
        <v>0</v>
      </c>
      <c r="BE465" s="36">
        <v>0</v>
      </c>
      <c r="BF465" s="36">
        <f>465</f>
        <v>465</v>
      </c>
      <c r="BH465" s="20">
        <f>H465*AO465</f>
        <v>0</v>
      </c>
      <c r="BI465" s="20">
        <f>H465*AP465</f>
        <v>0</v>
      </c>
      <c r="BJ465" s="20">
        <f>H465*I465</f>
        <v>0</v>
      </c>
      <c r="BK465" s="20" t="s">
        <v>2978</v>
      </c>
      <c r="BL465" s="36">
        <v>730</v>
      </c>
    </row>
    <row r="466" spans="1:64" x14ac:dyDescent="0.2">
      <c r="A466" s="5"/>
      <c r="B466" s="14"/>
      <c r="C466" s="179" t="s">
        <v>2284</v>
      </c>
      <c r="D466" s="180"/>
      <c r="E466" s="180"/>
      <c r="F466" s="180"/>
      <c r="G466" s="180"/>
      <c r="H466" s="180"/>
      <c r="I466" s="180"/>
      <c r="J466" s="180"/>
      <c r="K466" s="180"/>
      <c r="L466" s="180"/>
      <c r="M466" s="181"/>
      <c r="N466" s="5"/>
    </row>
    <row r="467" spans="1:64" x14ac:dyDescent="0.2">
      <c r="A467" s="4" t="s">
        <v>369</v>
      </c>
      <c r="B467" s="13" t="s">
        <v>1296</v>
      </c>
      <c r="C467" s="174" t="s">
        <v>2285</v>
      </c>
      <c r="D467" s="175"/>
      <c r="E467" s="175"/>
      <c r="F467" s="175"/>
      <c r="G467" s="13" t="s">
        <v>2855</v>
      </c>
      <c r="H467" s="82">
        <v>180</v>
      </c>
      <c r="I467" s="109">
        <v>0</v>
      </c>
      <c r="J467" s="20">
        <f>H467*AO467</f>
        <v>0</v>
      </c>
      <c r="K467" s="20">
        <f>H467*AP467</f>
        <v>0</v>
      </c>
      <c r="L467" s="20">
        <f>H467*I467</f>
        <v>0</v>
      </c>
      <c r="M467" s="31" t="s">
        <v>2884</v>
      </c>
      <c r="N467" s="5"/>
      <c r="Z467" s="36">
        <f>IF(AQ467="5",BJ467,0)</f>
        <v>0</v>
      </c>
      <c r="AB467" s="36">
        <f>IF(AQ467="1",BH467,0)</f>
        <v>0</v>
      </c>
      <c r="AC467" s="36">
        <f>IF(AQ467="1",BI467,0)</f>
        <v>0</v>
      </c>
      <c r="AD467" s="36">
        <f>IF(AQ467="7",BH467,0)</f>
        <v>0</v>
      </c>
      <c r="AE467" s="36">
        <f>IF(AQ467="7",BI467,0)</f>
        <v>0</v>
      </c>
      <c r="AF467" s="36">
        <f>IF(AQ467="2",BH467,0)</f>
        <v>0</v>
      </c>
      <c r="AG467" s="36">
        <f>IF(AQ467="2",BI467,0)</f>
        <v>0</v>
      </c>
      <c r="AH467" s="36">
        <f>IF(AQ467="0",BJ467,0)</f>
        <v>0</v>
      </c>
      <c r="AI467" s="35" t="s">
        <v>2894</v>
      </c>
      <c r="AJ467" s="20">
        <f>IF(AN467=0,L467,0)</f>
        <v>0</v>
      </c>
      <c r="AK467" s="20">
        <f>IF(AN467=15,L467,0)</f>
        <v>0</v>
      </c>
      <c r="AL467" s="20">
        <f>IF(AN467=21,L467,0)</f>
        <v>0</v>
      </c>
      <c r="AN467" s="36">
        <v>21</v>
      </c>
      <c r="AO467" s="36">
        <f>I467*0.53</f>
        <v>0</v>
      </c>
      <c r="AP467" s="36">
        <f>I467*(1-0.53)</f>
        <v>0</v>
      </c>
      <c r="AQ467" s="37" t="s">
        <v>13</v>
      </c>
      <c r="AV467" s="36">
        <f>AW467+AX467</f>
        <v>0</v>
      </c>
      <c r="AW467" s="36">
        <f>H467*AO467</f>
        <v>0</v>
      </c>
      <c r="AX467" s="36">
        <f>H467*AP467</f>
        <v>0</v>
      </c>
      <c r="AY467" s="39" t="s">
        <v>2930</v>
      </c>
      <c r="AZ467" s="39" t="s">
        <v>2955</v>
      </c>
      <c r="BA467" s="35" t="s">
        <v>2967</v>
      </c>
      <c r="BC467" s="36">
        <f>AW467+AX467</f>
        <v>0</v>
      </c>
      <c r="BD467" s="36">
        <f>I467/(100-BE467)*100</f>
        <v>0</v>
      </c>
      <c r="BE467" s="36">
        <v>0</v>
      </c>
      <c r="BF467" s="36">
        <f>467</f>
        <v>467</v>
      </c>
      <c r="BH467" s="20">
        <f>H467*AO467</f>
        <v>0</v>
      </c>
      <c r="BI467" s="20">
        <f>H467*AP467</f>
        <v>0</v>
      </c>
      <c r="BJ467" s="20">
        <f>H467*I467</f>
        <v>0</v>
      </c>
      <c r="BK467" s="20" t="s">
        <v>2978</v>
      </c>
      <c r="BL467" s="36">
        <v>730</v>
      </c>
    </row>
    <row r="468" spans="1:64" x14ac:dyDescent="0.2">
      <c r="A468" s="5"/>
      <c r="B468" s="14"/>
      <c r="C468" s="179" t="s">
        <v>2286</v>
      </c>
      <c r="D468" s="180"/>
      <c r="E468" s="180"/>
      <c r="F468" s="180"/>
      <c r="G468" s="180"/>
      <c r="H468" s="180"/>
      <c r="I468" s="180"/>
      <c r="J468" s="180"/>
      <c r="K468" s="180"/>
      <c r="L468" s="180"/>
      <c r="M468" s="181"/>
      <c r="N468" s="5"/>
    </row>
    <row r="469" spans="1:64" x14ac:dyDescent="0.2">
      <c r="A469" s="4" t="s">
        <v>370</v>
      </c>
      <c r="B469" s="13" t="s">
        <v>1297</v>
      </c>
      <c r="C469" s="174" t="s">
        <v>2287</v>
      </c>
      <c r="D469" s="175"/>
      <c r="E469" s="175"/>
      <c r="F469" s="175"/>
      <c r="G469" s="13" t="s">
        <v>2855</v>
      </c>
      <c r="H469" s="82">
        <v>120</v>
      </c>
      <c r="I469" s="109">
        <v>0</v>
      </c>
      <c r="J469" s="20">
        <f>H469*AO469</f>
        <v>0</v>
      </c>
      <c r="K469" s="20">
        <f>H469*AP469</f>
        <v>0</v>
      </c>
      <c r="L469" s="20">
        <f>H469*I469</f>
        <v>0</v>
      </c>
      <c r="M469" s="31" t="s">
        <v>2884</v>
      </c>
      <c r="N469" s="5"/>
      <c r="Z469" s="36">
        <f>IF(AQ469="5",BJ469,0)</f>
        <v>0</v>
      </c>
      <c r="AB469" s="36">
        <f>IF(AQ469="1",BH469,0)</f>
        <v>0</v>
      </c>
      <c r="AC469" s="36">
        <f>IF(AQ469="1",BI469,0)</f>
        <v>0</v>
      </c>
      <c r="AD469" s="36">
        <f>IF(AQ469="7",BH469,0)</f>
        <v>0</v>
      </c>
      <c r="AE469" s="36">
        <f>IF(AQ469="7",BI469,0)</f>
        <v>0</v>
      </c>
      <c r="AF469" s="36">
        <f>IF(AQ469="2",BH469,0)</f>
        <v>0</v>
      </c>
      <c r="AG469" s="36">
        <f>IF(AQ469="2",BI469,0)</f>
        <v>0</v>
      </c>
      <c r="AH469" s="36">
        <f>IF(AQ469="0",BJ469,0)</f>
        <v>0</v>
      </c>
      <c r="AI469" s="35" t="s">
        <v>2894</v>
      </c>
      <c r="AJ469" s="20">
        <f>IF(AN469=0,L469,0)</f>
        <v>0</v>
      </c>
      <c r="AK469" s="20">
        <f>IF(AN469=15,L469,0)</f>
        <v>0</v>
      </c>
      <c r="AL469" s="20">
        <f>IF(AN469=21,L469,0)</f>
        <v>0</v>
      </c>
      <c r="AN469" s="36">
        <v>21</v>
      </c>
      <c r="AO469" s="36">
        <f>I469*0.53</f>
        <v>0</v>
      </c>
      <c r="AP469" s="36">
        <f>I469*(1-0.53)</f>
        <v>0</v>
      </c>
      <c r="AQ469" s="37" t="s">
        <v>13</v>
      </c>
      <c r="AV469" s="36">
        <f>AW469+AX469</f>
        <v>0</v>
      </c>
      <c r="AW469" s="36">
        <f>H469*AO469</f>
        <v>0</v>
      </c>
      <c r="AX469" s="36">
        <f>H469*AP469</f>
        <v>0</v>
      </c>
      <c r="AY469" s="39" t="s">
        <v>2930</v>
      </c>
      <c r="AZ469" s="39" t="s">
        <v>2955</v>
      </c>
      <c r="BA469" s="35" t="s">
        <v>2967</v>
      </c>
      <c r="BC469" s="36">
        <f>AW469+AX469</f>
        <v>0</v>
      </c>
      <c r="BD469" s="36">
        <f>I469/(100-BE469)*100</f>
        <v>0</v>
      </c>
      <c r="BE469" s="36">
        <v>0</v>
      </c>
      <c r="BF469" s="36">
        <f>469</f>
        <v>469</v>
      </c>
      <c r="BH469" s="20">
        <f>H469*AO469</f>
        <v>0</v>
      </c>
      <c r="BI469" s="20">
        <f>H469*AP469</f>
        <v>0</v>
      </c>
      <c r="BJ469" s="20">
        <f>H469*I469</f>
        <v>0</v>
      </c>
      <c r="BK469" s="20" t="s">
        <v>2978</v>
      </c>
      <c r="BL469" s="36">
        <v>730</v>
      </c>
    </row>
    <row r="470" spans="1:64" x14ac:dyDescent="0.2">
      <c r="A470" s="4" t="s">
        <v>371</v>
      </c>
      <c r="B470" s="13" t="s">
        <v>1298</v>
      </c>
      <c r="C470" s="174" t="s">
        <v>2288</v>
      </c>
      <c r="D470" s="175"/>
      <c r="E470" s="175"/>
      <c r="F470" s="175"/>
      <c r="G470" s="13" t="s">
        <v>2860</v>
      </c>
      <c r="H470" s="82">
        <v>1</v>
      </c>
      <c r="I470" s="109">
        <v>0</v>
      </c>
      <c r="J470" s="20">
        <f>H470*AO470</f>
        <v>0</v>
      </c>
      <c r="K470" s="20">
        <f>H470*AP470</f>
        <v>0</v>
      </c>
      <c r="L470" s="20">
        <f>H470*I470</f>
        <v>0</v>
      </c>
      <c r="M470" s="31" t="s">
        <v>2884</v>
      </c>
      <c r="N470" s="5"/>
      <c r="Z470" s="36">
        <f>IF(AQ470="5",BJ470,0)</f>
        <v>0</v>
      </c>
      <c r="AB470" s="36">
        <f>IF(AQ470="1",BH470,0)</f>
        <v>0</v>
      </c>
      <c r="AC470" s="36">
        <f>IF(AQ470="1",BI470,0)</f>
        <v>0</v>
      </c>
      <c r="AD470" s="36">
        <f>IF(AQ470="7",BH470,0)</f>
        <v>0</v>
      </c>
      <c r="AE470" s="36">
        <f>IF(AQ470="7",BI470,0)</f>
        <v>0</v>
      </c>
      <c r="AF470" s="36">
        <f>IF(AQ470="2",BH470,0)</f>
        <v>0</v>
      </c>
      <c r="AG470" s="36">
        <f>IF(AQ470="2",BI470,0)</f>
        <v>0</v>
      </c>
      <c r="AH470" s="36">
        <f>IF(AQ470="0",BJ470,0)</f>
        <v>0</v>
      </c>
      <c r="AI470" s="35" t="s">
        <v>2894</v>
      </c>
      <c r="AJ470" s="20">
        <f>IF(AN470=0,L470,0)</f>
        <v>0</v>
      </c>
      <c r="AK470" s="20">
        <f>IF(AN470=15,L470,0)</f>
        <v>0</v>
      </c>
      <c r="AL470" s="20">
        <f>IF(AN470=21,L470,0)</f>
        <v>0</v>
      </c>
      <c r="AN470" s="36">
        <v>21</v>
      </c>
      <c r="AO470" s="36">
        <f>I470*0.53</f>
        <v>0</v>
      </c>
      <c r="AP470" s="36">
        <f>I470*(1-0.53)</f>
        <v>0</v>
      </c>
      <c r="AQ470" s="37" t="s">
        <v>13</v>
      </c>
      <c r="AV470" s="36">
        <f>AW470+AX470</f>
        <v>0</v>
      </c>
      <c r="AW470" s="36">
        <f>H470*AO470</f>
        <v>0</v>
      </c>
      <c r="AX470" s="36">
        <f>H470*AP470</f>
        <v>0</v>
      </c>
      <c r="AY470" s="39" t="s">
        <v>2930</v>
      </c>
      <c r="AZ470" s="39" t="s">
        <v>2955</v>
      </c>
      <c r="BA470" s="35" t="s">
        <v>2967</v>
      </c>
      <c r="BC470" s="36">
        <f>AW470+AX470</f>
        <v>0</v>
      </c>
      <c r="BD470" s="36">
        <f>I470/(100-BE470)*100</f>
        <v>0</v>
      </c>
      <c r="BE470" s="36">
        <v>0</v>
      </c>
      <c r="BF470" s="36">
        <f>470</f>
        <v>470</v>
      </c>
      <c r="BH470" s="20">
        <f>H470*AO470</f>
        <v>0</v>
      </c>
      <c r="BI470" s="20">
        <f>H470*AP470</f>
        <v>0</v>
      </c>
      <c r="BJ470" s="20">
        <f>H470*I470</f>
        <v>0</v>
      </c>
      <c r="BK470" s="20" t="s">
        <v>2978</v>
      </c>
      <c r="BL470" s="36">
        <v>730</v>
      </c>
    </row>
    <row r="471" spans="1:64" x14ac:dyDescent="0.2">
      <c r="A471" s="5"/>
      <c r="B471" s="14"/>
      <c r="C471" s="179" t="s">
        <v>2289</v>
      </c>
      <c r="D471" s="180"/>
      <c r="E471" s="180"/>
      <c r="F471" s="180"/>
      <c r="G471" s="180"/>
      <c r="H471" s="180"/>
      <c r="I471" s="180"/>
      <c r="J471" s="180"/>
      <c r="K471" s="180"/>
      <c r="L471" s="180"/>
      <c r="M471" s="181"/>
      <c r="N471" s="5"/>
    </row>
    <row r="472" spans="1:64" x14ac:dyDescent="0.2">
      <c r="A472" s="4" t="s">
        <v>372</v>
      </c>
      <c r="B472" s="13" t="s">
        <v>1299</v>
      </c>
      <c r="C472" s="174" t="s">
        <v>2290</v>
      </c>
      <c r="D472" s="175"/>
      <c r="E472" s="175"/>
      <c r="F472" s="175"/>
      <c r="G472" s="13" t="s">
        <v>2860</v>
      </c>
      <c r="H472" s="82">
        <v>2</v>
      </c>
      <c r="I472" s="109">
        <v>0</v>
      </c>
      <c r="J472" s="20">
        <f>H472*AO472</f>
        <v>0</v>
      </c>
      <c r="K472" s="20">
        <f>H472*AP472</f>
        <v>0</v>
      </c>
      <c r="L472" s="20">
        <f>H472*I472</f>
        <v>0</v>
      </c>
      <c r="M472" s="31" t="s">
        <v>2884</v>
      </c>
      <c r="N472" s="5"/>
      <c r="Z472" s="36">
        <f>IF(AQ472="5",BJ472,0)</f>
        <v>0</v>
      </c>
      <c r="AB472" s="36">
        <f>IF(AQ472="1",BH472,0)</f>
        <v>0</v>
      </c>
      <c r="AC472" s="36">
        <f>IF(AQ472="1",BI472,0)</f>
        <v>0</v>
      </c>
      <c r="AD472" s="36">
        <f>IF(AQ472="7",BH472,0)</f>
        <v>0</v>
      </c>
      <c r="AE472" s="36">
        <f>IF(AQ472="7",BI472,0)</f>
        <v>0</v>
      </c>
      <c r="AF472" s="36">
        <f>IF(AQ472="2",BH472,0)</f>
        <v>0</v>
      </c>
      <c r="AG472" s="36">
        <f>IF(AQ472="2",BI472,0)</f>
        <v>0</v>
      </c>
      <c r="AH472" s="36">
        <f>IF(AQ472="0",BJ472,0)</f>
        <v>0</v>
      </c>
      <c r="AI472" s="35" t="s">
        <v>2894</v>
      </c>
      <c r="AJ472" s="20">
        <f>IF(AN472=0,L472,0)</f>
        <v>0</v>
      </c>
      <c r="AK472" s="20">
        <f>IF(AN472=15,L472,0)</f>
        <v>0</v>
      </c>
      <c r="AL472" s="20">
        <f>IF(AN472=21,L472,0)</f>
        <v>0</v>
      </c>
      <c r="AN472" s="36">
        <v>21</v>
      </c>
      <c r="AO472" s="36">
        <f>I472*0.53</f>
        <v>0</v>
      </c>
      <c r="AP472" s="36">
        <f>I472*(1-0.53)</f>
        <v>0</v>
      </c>
      <c r="AQ472" s="37" t="s">
        <v>13</v>
      </c>
      <c r="AV472" s="36">
        <f>AW472+AX472</f>
        <v>0</v>
      </c>
      <c r="AW472" s="36">
        <f>H472*AO472</f>
        <v>0</v>
      </c>
      <c r="AX472" s="36">
        <f>H472*AP472</f>
        <v>0</v>
      </c>
      <c r="AY472" s="39" t="s">
        <v>2930</v>
      </c>
      <c r="AZ472" s="39" t="s">
        <v>2955</v>
      </c>
      <c r="BA472" s="35" t="s">
        <v>2967</v>
      </c>
      <c r="BC472" s="36">
        <f>AW472+AX472</f>
        <v>0</v>
      </c>
      <c r="BD472" s="36">
        <f>I472/(100-BE472)*100</f>
        <v>0</v>
      </c>
      <c r="BE472" s="36">
        <v>0</v>
      </c>
      <c r="BF472" s="36">
        <f>472</f>
        <v>472</v>
      </c>
      <c r="BH472" s="20">
        <f>H472*AO472</f>
        <v>0</v>
      </c>
      <c r="BI472" s="20">
        <f>H472*AP472</f>
        <v>0</v>
      </c>
      <c r="BJ472" s="20">
        <f>H472*I472</f>
        <v>0</v>
      </c>
      <c r="BK472" s="20" t="s">
        <v>2978</v>
      </c>
      <c r="BL472" s="36">
        <v>730</v>
      </c>
    </row>
    <row r="473" spans="1:64" x14ac:dyDescent="0.2">
      <c r="A473" s="5"/>
      <c r="B473" s="14"/>
      <c r="C473" s="179" t="s">
        <v>2291</v>
      </c>
      <c r="D473" s="180"/>
      <c r="E473" s="180"/>
      <c r="F473" s="180"/>
      <c r="G473" s="180"/>
      <c r="H473" s="180"/>
      <c r="I473" s="180"/>
      <c r="J473" s="180"/>
      <c r="K473" s="180"/>
      <c r="L473" s="180"/>
      <c r="M473" s="181"/>
      <c r="N473" s="5"/>
    </row>
    <row r="474" spans="1:64" x14ac:dyDescent="0.2">
      <c r="A474" s="4" t="s">
        <v>373</v>
      </c>
      <c r="B474" s="13" t="s">
        <v>1300</v>
      </c>
      <c r="C474" s="174" t="s">
        <v>2292</v>
      </c>
      <c r="D474" s="175"/>
      <c r="E474" s="175"/>
      <c r="F474" s="175"/>
      <c r="G474" s="13" t="s">
        <v>2860</v>
      </c>
      <c r="H474" s="82">
        <v>2</v>
      </c>
      <c r="I474" s="109">
        <v>0</v>
      </c>
      <c r="J474" s="20">
        <f t="shared" ref="J474:J489" si="440">H474*AO474</f>
        <v>0</v>
      </c>
      <c r="K474" s="20">
        <f t="shared" ref="K474:K489" si="441">H474*AP474</f>
        <v>0</v>
      </c>
      <c r="L474" s="20">
        <f t="shared" ref="L474:L489" si="442">H474*I474</f>
        <v>0</v>
      </c>
      <c r="M474" s="31" t="s">
        <v>2884</v>
      </c>
      <c r="N474" s="5"/>
      <c r="Z474" s="36">
        <f t="shared" ref="Z474:Z489" si="443">IF(AQ474="5",BJ474,0)</f>
        <v>0</v>
      </c>
      <c r="AB474" s="36">
        <f t="shared" ref="AB474:AB489" si="444">IF(AQ474="1",BH474,0)</f>
        <v>0</v>
      </c>
      <c r="AC474" s="36">
        <f t="shared" ref="AC474:AC489" si="445">IF(AQ474="1",BI474,0)</f>
        <v>0</v>
      </c>
      <c r="AD474" s="36">
        <f t="shared" ref="AD474:AD489" si="446">IF(AQ474="7",BH474,0)</f>
        <v>0</v>
      </c>
      <c r="AE474" s="36">
        <f t="shared" ref="AE474:AE489" si="447">IF(AQ474="7",BI474,0)</f>
        <v>0</v>
      </c>
      <c r="AF474" s="36">
        <f t="shared" ref="AF474:AF489" si="448">IF(AQ474="2",BH474,0)</f>
        <v>0</v>
      </c>
      <c r="AG474" s="36">
        <f t="shared" ref="AG474:AG489" si="449">IF(AQ474="2",BI474,0)</f>
        <v>0</v>
      </c>
      <c r="AH474" s="36">
        <f t="shared" ref="AH474:AH489" si="450">IF(AQ474="0",BJ474,0)</f>
        <v>0</v>
      </c>
      <c r="AI474" s="35" t="s">
        <v>2894</v>
      </c>
      <c r="AJ474" s="20">
        <f t="shared" ref="AJ474:AJ489" si="451">IF(AN474=0,L474,0)</f>
        <v>0</v>
      </c>
      <c r="AK474" s="20">
        <f t="shared" ref="AK474:AK489" si="452">IF(AN474=15,L474,0)</f>
        <v>0</v>
      </c>
      <c r="AL474" s="20">
        <f t="shared" ref="AL474:AL489" si="453">IF(AN474=21,L474,0)</f>
        <v>0</v>
      </c>
      <c r="AN474" s="36">
        <v>21</v>
      </c>
      <c r="AO474" s="36">
        <f t="shared" ref="AO474:AO489" si="454">I474*0.53</f>
        <v>0</v>
      </c>
      <c r="AP474" s="36">
        <f t="shared" ref="AP474:AP489" si="455">I474*(1-0.53)</f>
        <v>0</v>
      </c>
      <c r="AQ474" s="37" t="s">
        <v>13</v>
      </c>
      <c r="AV474" s="36">
        <f t="shared" ref="AV474:AV489" si="456">AW474+AX474</f>
        <v>0</v>
      </c>
      <c r="AW474" s="36">
        <f t="shared" ref="AW474:AW489" si="457">H474*AO474</f>
        <v>0</v>
      </c>
      <c r="AX474" s="36">
        <f t="shared" ref="AX474:AX489" si="458">H474*AP474</f>
        <v>0</v>
      </c>
      <c r="AY474" s="39" t="s">
        <v>2930</v>
      </c>
      <c r="AZ474" s="39" t="s">
        <v>2955</v>
      </c>
      <c r="BA474" s="35" t="s">
        <v>2967</v>
      </c>
      <c r="BC474" s="36">
        <f t="shared" ref="BC474:BC489" si="459">AW474+AX474</f>
        <v>0</v>
      </c>
      <c r="BD474" s="36">
        <f t="shared" ref="BD474:BD489" si="460">I474/(100-BE474)*100</f>
        <v>0</v>
      </c>
      <c r="BE474" s="36">
        <v>0</v>
      </c>
      <c r="BF474" s="36">
        <f>474</f>
        <v>474</v>
      </c>
      <c r="BH474" s="20">
        <f t="shared" ref="BH474:BH489" si="461">H474*AO474</f>
        <v>0</v>
      </c>
      <c r="BI474" s="20">
        <f t="shared" ref="BI474:BI489" si="462">H474*AP474</f>
        <v>0</v>
      </c>
      <c r="BJ474" s="20">
        <f t="shared" ref="BJ474:BJ489" si="463">H474*I474</f>
        <v>0</v>
      </c>
      <c r="BK474" s="20" t="s">
        <v>2978</v>
      </c>
      <c r="BL474" s="36">
        <v>730</v>
      </c>
    </row>
    <row r="475" spans="1:64" x14ac:dyDescent="0.2">
      <c r="A475" s="4" t="s">
        <v>374</v>
      </c>
      <c r="B475" s="13" t="s">
        <v>1301</v>
      </c>
      <c r="C475" s="174" t="s">
        <v>2293</v>
      </c>
      <c r="D475" s="175"/>
      <c r="E475" s="175"/>
      <c r="F475" s="175"/>
      <c r="G475" s="13" t="s">
        <v>2860</v>
      </c>
      <c r="H475" s="82">
        <v>1</v>
      </c>
      <c r="I475" s="109">
        <v>0</v>
      </c>
      <c r="J475" s="20">
        <f t="shared" si="440"/>
        <v>0</v>
      </c>
      <c r="K475" s="20">
        <f t="shared" si="441"/>
        <v>0</v>
      </c>
      <c r="L475" s="20">
        <f t="shared" si="442"/>
        <v>0</v>
      </c>
      <c r="M475" s="31" t="s">
        <v>2884</v>
      </c>
      <c r="N475" s="5"/>
      <c r="Z475" s="36">
        <f t="shared" si="443"/>
        <v>0</v>
      </c>
      <c r="AB475" s="36">
        <f t="shared" si="444"/>
        <v>0</v>
      </c>
      <c r="AC475" s="36">
        <f t="shared" si="445"/>
        <v>0</v>
      </c>
      <c r="AD475" s="36">
        <f t="shared" si="446"/>
        <v>0</v>
      </c>
      <c r="AE475" s="36">
        <f t="shared" si="447"/>
        <v>0</v>
      </c>
      <c r="AF475" s="36">
        <f t="shared" si="448"/>
        <v>0</v>
      </c>
      <c r="AG475" s="36">
        <f t="shared" si="449"/>
        <v>0</v>
      </c>
      <c r="AH475" s="36">
        <f t="shared" si="450"/>
        <v>0</v>
      </c>
      <c r="AI475" s="35" t="s">
        <v>2894</v>
      </c>
      <c r="AJ475" s="20">
        <f t="shared" si="451"/>
        <v>0</v>
      </c>
      <c r="AK475" s="20">
        <f t="shared" si="452"/>
        <v>0</v>
      </c>
      <c r="AL475" s="20">
        <f t="shared" si="453"/>
        <v>0</v>
      </c>
      <c r="AN475" s="36">
        <v>21</v>
      </c>
      <c r="AO475" s="36">
        <f t="shared" si="454"/>
        <v>0</v>
      </c>
      <c r="AP475" s="36">
        <f t="shared" si="455"/>
        <v>0</v>
      </c>
      <c r="AQ475" s="37" t="s">
        <v>13</v>
      </c>
      <c r="AV475" s="36">
        <f t="shared" si="456"/>
        <v>0</v>
      </c>
      <c r="AW475" s="36">
        <f t="shared" si="457"/>
        <v>0</v>
      </c>
      <c r="AX475" s="36">
        <f t="shared" si="458"/>
        <v>0</v>
      </c>
      <c r="AY475" s="39" t="s">
        <v>2930</v>
      </c>
      <c r="AZ475" s="39" t="s">
        <v>2955</v>
      </c>
      <c r="BA475" s="35" t="s">
        <v>2967</v>
      </c>
      <c r="BC475" s="36">
        <f t="shared" si="459"/>
        <v>0</v>
      </c>
      <c r="BD475" s="36">
        <f t="shared" si="460"/>
        <v>0</v>
      </c>
      <c r="BE475" s="36">
        <v>0</v>
      </c>
      <c r="BF475" s="36">
        <f>475</f>
        <v>475</v>
      </c>
      <c r="BH475" s="20">
        <f t="shared" si="461"/>
        <v>0</v>
      </c>
      <c r="BI475" s="20">
        <f t="shared" si="462"/>
        <v>0</v>
      </c>
      <c r="BJ475" s="20">
        <f t="shared" si="463"/>
        <v>0</v>
      </c>
      <c r="BK475" s="20" t="s">
        <v>2978</v>
      </c>
      <c r="BL475" s="36">
        <v>730</v>
      </c>
    </row>
    <row r="476" spans="1:64" x14ac:dyDescent="0.2">
      <c r="A476" s="4" t="s">
        <v>375</v>
      </c>
      <c r="B476" s="13" t="s">
        <v>1302</v>
      </c>
      <c r="C476" s="174" t="s">
        <v>2294</v>
      </c>
      <c r="D476" s="175"/>
      <c r="E476" s="175"/>
      <c r="F476" s="175"/>
      <c r="G476" s="13" t="s">
        <v>2860</v>
      </c>
      <c r="H476" s="82">
        <v>7</v>
      </c>
      <c r="I476" s="109">
        <v>0</v>
      </c>
      <c r="J476" s="20">
        <f t="shared" si="440"/>
        <v>0</v>
      </c>
      <c r="K476" s="20">
        <f t="shared" si="441"/>
        <v>0</v>
      </c>
      <c r="L476" s="20">
        <f t="shared" si="442"/>
        <v>0</v>
      </c>
      <c r="M476" s="31" t="s">
        <v>2884</v>
      </c>
      <c r="N476" s="5"/>
      <c r="Z476" s="36">
        <f t="shared" si="443"/>
        <v>0</v>
      </c>
      <c r="AB476" s="36">
        <f t="shared" si="444"/>
        <v>0</v>
      </c>
      <c r="AC476" s="36">
        <f t="shared" si="445"/>
        <v>0</v>
      </c>
      <c r="AD476" s="36">
        <f t="shared" si="446"/>
        <v>0</v>
      </c>
      <c r="AE476" s="36">
        <f t="shared" si="447"/>
        <v>0</v>
      </c>
      <c r="AF476" s="36">
        <f t="shared" si="448"/>
        <v>0</v>
      </c>
      <c r="AG476" s="36">
        <f t="shared" si="449"/>
        <v>0</v>
      </c>
      <c r="AH476" s="36">
        <f t="shared" si="450"/>
        <v>0</v>
      </c>
      <c r="AI476" s="35" t="s">
        <v>2894</v>
      </c>
      <c r="AJ476" s="20">
        <f t="shared" si="451"/>
        <v>0</v>
      </c>
      <c r="AK476" s="20">
        <f t="shared" si="452"/>
        <v>0</v>
      </c>
      <c r="AL476" s="20">
        <f t="shared" si="453"/>
        <v>0</v>
      </c>
      <c r="AN476" s="36">
        <v>21</v>
      </c>
      <c r="AO476" s="36">
        <f t="shared" si="454"/>
        <v>0</v>
      </c>
      <c r="AP476" s="36">
        <f t="shared" si="455"/>
        <v>0</v>
      </c>
      <c r="AQ476" s="37" t="s">
        <v>13</v>
      </c>
      <c r="AV476" s="36">
        <f t="shared" si="456"/>
        <v>0</v>
      </c>
      <c r="AW476" s="36">
        <f t="shared" si="457"/>
        <v>0</v>
      </c>
      <c r="AX476" s="36">
        <f t="shared" si="458"/>
        <v>0</v>
      </c>
      <c r="AY476" s="39" t="s">
        <v>2930</v>
      </c>
      <c r="AZ476" s="39" t="s">
        <v>2955</v>
      </c>
      <c r="BA476" s="35" t="s">
        <v>2967</v>
      </c>
      <c r="BC476" s="36">
        <f t="shared" si="459"/>
        <v>0</v>
      </c>
      <c r="BD476" s="36">
        <f t="shared" si="460"/>
        <v>0</v>
      </c>
      <c r="BE476" s="36">
        <v>0</v>
      </c>
      <c r="BF476" s="36">
        <f>476</f>
        <v>476</v>
      </c>
      <c r="BH476" s="20">
        <f t="shared" si="461"/>
        <v>0</v>
      </c>
      <c r="BI476" s="20">
        <f t="shared" si="462"/>
        <v>0</v>
      </c>
      <c r="BJ476" s="20">
        <f t="shared" si="463"/>
        <v>0</v>
      </c>
      <c r="BK476" s="20" t="s">
        <v>2978</v>
      </c>
      <c r="BL476" s="36">
        <v>730</v>
      </c>
    </row>
    <row r="477" spans="1:64" x14ac:dyDescent="0.2">
      <c r="A477" s="4" t="s">
        <v>376</v>
      </c>
      <c r="B477" s="13" t="s">
        <v>1303</v>
      </c>
      <c r="C477" s="174" t="s">
        <v>2295</v>
      </c>
      <c r="D477" s="175"/>
      <c r="E477" s="175"/>
      <c r="F477" s="175"/>
      <c r="G477" s="13" t="s">
        <v>2860</v>
      </c>
      <c r="H477" s="82">
        <v>2</v>
      </c>
      <c r="I477" s="109">
        <v>0</v>
      </c>
      <c r="J477" s="20">
        <f t="shared" si="440"/>
        <v>0</v>
      </c>
      <c r="K477" s="20">
        <f t="shared" si="441"/>
        <v>0</v>
      </c>
      <c r="L477" s="20">
        <f t="shared" si="442"/>
        <v>0</v>
      </c>
      <c r="M477" s="31" t="s">
        <v>2884</v>
      </c>
      <c r="N477" s="5"/>
      <c r="Z477" s="36">
        <f t="shared" si="443"/>
        <v>0</v>
      </c>
      <c r="AB477" s="36">
        <f t="shared" si="444"/>
        <v>0</v>
      </c>
      <c r="AC477" s="36">
        <f t="shared" si="445"/>
        <v>0</v>
      </c>
      <c r="AD477" s="36">
        <f t="shared" si="446"/>
        <v>0</v>
      </c>
      <c r="AE477" s="36">
        <f t="shared" si="447"/>
        <v>0</v>
      </c>
      <c r="AF477" s="36">
        <f t="shared" si="448"/>
        <v>0</v>
      </c>
      <c r="AG477" s="36">
        <f t="shared" si="449"/>
        <v>0</v>
      </c>
      <c r="AH477" s="36">
        <f t="shared" si="450"/>
        <v>0</v>
      </c>
      <c r="AI477" s="35" t="s">
        <v>2894</v>
      </c>
      <c r="AJ477" s="20">
        <f t="shared" si="451"/>
        <v>0</v>
      </c>
      <c r="AK477" s="20">
        <f t="shared" si="452"/>
        <v>0</v>
      </c>
      <c r="AL477" s="20">
        <f t="shared" si="453"/>
        <v>0</v>
      </c>
      <c r="AN477" s="36">
        <v>21</v>
      </c>
      <c r="AO477" s="36">
        <f t="shared" si="454"/>
        <v>0</v>
      </c>
      <c r="AP477" s="36">
        <f t="shared" si="455"/>
        <v>0</v>
      </c>
      <c r="AQ477" s="37" t="s">
        <v>13</v>
      </c>
      <c r="AV477" s="36">
        <f t="shared" si="456"/>
        <v>0</v>
      </c>
      <c r="AW477" s="36">
        <f t="shared" si="457"/>
        <v>0</v>
      </c>
      <c r="AX477" s="36">
        <f t="shared" si="458"/>
        <v>0</v>
      </c>
      <c r="AY477" s="39" t="s">
        <v>2930</v>
      </c>
      <c r="AZ477" s="39" t="s">
        <v>2955</v>
      </c>
      <c r="BA477" s="35" t="s">
        <v>2967</v>
      </c>
      <c r="BC477" s="36">
        <f t="shared" si="459"/>
        <v>0</v>
      </c>
      <c r="BD477" s="36">
        <f t="shared" si="460"/>
        <v>0</v>
      </c>
      <c r="BE477" s="36">
        <v>0</v>
      </c>
      <c r="BF477" s="36">
        <f>477</f>
        <v>477</v>
      </c>
      <c r="BH477" s="20">
        <f t="shared" si="461"/>
        <v>0</v>
      </c>
      <c r="BI477" s="20">
        <f t="shared" si="462"/>
        <v>0</v>
      </c>
      <c r="BJ477" s="20">
        <f t="shared" si="463"/>
        <v>0</v>
      </c>
      <c r="BK477" s="20" t="s">
        <v>2978</v>
      </c>
      <c r="BL477" s="36">
        <v>730</v>
      </c>
    </row>
    <row r="478" spans="1:64" x14ac:dyDescent="0.2">
      <c r="A478" s="4" t="s">
        <v>377</v>
      </c>
      <c r="B478" s="13" t="s">
        <v>1304</v>
      </c>
      <c r="C478" s="174" t="s">
        <v>2296</v>
      </c>
      <c r="D478" s="175"/>
      <c r="E478" s="175"/>
      <c r="F478" s="175"/>
      <c r="G478" s="13" t="s">
        <v>2860</v>
      </c>
      <c r="H478" s="82">
        <v>2</v>
      </c>
      <c r="I478" s="109">
        <v>0</v>
      </c>
      <c r="J478" s="20">
        <f t="shared" si="440"/>
        <v>0</v>
      </c>
      <c r="K478" s="20">
        <f t="shared" si="441"/>
        <v>0</v>
      </c>
      <c r="L478" s="20">
        <f t="shared" si="442"/>
        <v>0</v>
      </c>
      <c r="M478" s="31" t="s">
        <v>2884</v>
      </c>
      <c r="N478" s="5"/>
      <c r="Z478" s="36">
        <f t="shared" si="443"/>
        <v>0</v>
      </c>
      <c r="AB478" s="36">
        <f t="shared" si="444"/>
        <v>0</v>
      </c>
      <c r="AC478" s="36">
        <f t="shared" si="445"/>
        <v>0</v>
      </c>
      <c r="AD478" s="36">
        <f t="shared" si="446"/>
        <v>0</v>
      </c>
      <c r="AE478" s="36">
        <f t="shared" si="447"/>
        <v>0</v>
      </c>
      <c r="AF478" s="36">
        <f t="shared" si="448"/>
        <v>0</v>
      </c>
      <c r="AG478" s="36">
        <f t="shared" si="449"/>
        <v>0</v>
      </c>
      <c r="AH478" s="36">
        <f t="shared" si="450"/>
        <v>0</v>
      </c>
      <c r="AI478" s="35" t="s">
        <v>2894</v>
      </c>
      <c r="AJ478" s="20">
        <f t="shared" si="451"/>
        <v>0</v>
      </c>
      <c r="AK478" s="20">
        <f t="shared" si="452"/>
        <v>0</v>
      </c>
      <c r="AL478" s="20">
        <f t="shared" si="453"/>
        <v>0</v>
      </c>
      <c r="AN478" s="36">
        <v>21</v>
      </c>
      <c r="AO478" s="36">
        <f t="shared" si="454"/>
        <v>0</v>
      </c>
      <c r="AP478" s="36">
        <f t="shared" si="455"/>
        <v>0</v>
      </c>
      <c r="AQ478" s="37" t="s">
        <v>13</v>
      </c>
      <c r="AV478" s="36">
        <f t="shared" si="456"/>
        <v>0</v>
      </c>
      <c r="AW478" s="36">
        <f t="shared" si="457"/>
        <v>0</v>
      </c>
      <c r="AX478" s="36">
        <f t="shared" si="458"/>
        <v>0</v>
      </c>
      <c r="AY478" s="39" t="s">
        <v>2930</v>
      </c>
      <c r="AZ478" s="39" t="s">
        <v>2955</v>
      </c>
      <c r="BA478" s="35" t="s">
        <v>2967</v>
      </c>
      <c r="BC478" s="36">
        <f t="shared" si="459"/>
        <v>0</v>
      </c>
      <c r="BD478" s="36">
        <f t="shared" si="460"/>
        <v>0</v>
      </c>
      <c r="BE478" s="36">
        <v>0</v>
      </c>
      <c r="BF478" s="36">
        <f>478</f>
        <v>478</v>
      </c>
      <c r="BH478" s="20">
        <f t="shared" si="461"/>
        <v>0</v>
      </c>
      <c r="BI478" s="20">
        <f t="shared" si="462"/>
        <v>0</v>
      </c>
      <c r="BJ478" s="20">
        <f t="shared" si="463"/>
        <v>0</v>
      </c>
      <c r="BK478" s="20" t="s">
        <v>2978</v>
      </c>
      <c r="BL478" s="36">
        <v>730</v>
      </c>
    </row>
    <row r="479" spans="1:64" x14ac:dyDescent="0.2">
      <c r="A479" s="4" t="s">
        <v>378</v>
      </c>
      <c r="B479" s="13" t="s">
        <v>1305</v>
      </c>
      <c r="C479" s="174" t="s">
        <v>2297</v>
      </c>
      <c r="D479" s="175"/>
      <c r="E479" s="175"/>
      <c r="F479" s="175"/>
      <c r="G479" s="13" t="s">
        <v>2860</v>
      </c>
      <c r="H479" s="82">
        <v>1</v>
      </c>
      <c r="I479" s="109">
        <v>0</v>
      </c>
      <c r="J479" s="20">
        <f t="shared" si="440"/>
        <v>0</v>
      </c>
      <c r="K479" s="20">
        <f t="shared" si="441"/>
        <v>0</v>
      </c>
      <c r="L479" s="20">
        <f t="shared" si="442"/>
        <v>0</v>
      </c>
      <c r="M479" s="31" t="s">
        <v>2884</v>
      </c>
      <c r="N479" s="5"/>
      <c r="Z479" s="36">
        <f t="shared" si="443"/>
        <v>0</v>
      </c>
      <c r="AB479" s="36">
        <f t="shared" si="444"/>
        <v>0</v>
      </c>
      <c r="AC479" s="36">
        <f t="shared" si="445"/>
        <v>0</v>
      </c>
      <c r="AD479" s="36">
        <f t="shared" si="446"/>
        <v>0</v>
      </c>
      <c r="AE479" s="36">
        <f t="shared" si="447"/>
        <v>0</v>
      </c>
      <c r="AF479" s="36">
        <f t="shared" si="448"/>
        <v>0</v>
      </c>
      <c r="AG479" s="36">
        <f t="shared" si="449"/>
        <v>0</v>
      </c>
      <c r="AH479" s="36">
        <f t="shared" si="450"/>
        <v>0</v>
      </c>
      <c r="AI479" s="35" t="s">
        <v>2894</v>
      </c>
      <c r="AJ479" s="20">
        <f t="shared" si="451"/>
        <v>0</v>
      </c>
      <c r="AK479" s="20">
        <f t="shared" si="452"/>
        <v>0</v>
      </c>
      <c r="AL479" s="20">
        <f t="shared" si="453"/>
        <v>0</v>
      </c>
      <c r="AN479" s="36">
        <v>21</v>
      </c>
      <c r="AO479" s="36">
        <f t="shared" si="454"/>
        <v>0</v>
      </c>
      <c r="AP479" s="36">
        <f t="shared" si="455"/>
        <v>0</v>
      </c>
      <c r="AQ479" s="37" t="s">
        <v>13</v>
      </c>
      <c r="AV479" s="36">
        <f t="shared" si="456"/>
        <v>0</v>
      </c>
      <c r="AW479" s="36">
        <f t="shared" si="457"/>
        <v>0</v>
      </c>
      <c r="AX479" s="36">
        <f t="shared" si="458"/>
        <v>0</v>
      </c>
      <c r="AY479" s="39" t="s">
        <v>2930</v>
      </c>
      <c r="AZ479" s="39" t="s">
        <v>2955</v>
      </c>
      <c r="BA479" s="35" t="s">
        <v>2967</v>
      </c>
      <c r="BC479" s="36">
        <f t="shared" si="459"/>
        <v>0</v>
      </c>
      <c r="BD479" s="36">
        <f t="shared" si="460"/>
        <v>0</v>
      </c>
      <c r="BE479" s="36">
        <v>0</v>
      </c>
      <c r="BF479" s="36">
        <f>479</f>
        <v>479</v>
      </c>
      <c r="BH479" s="20">
        <f t="shared" si="461"/>
        <v>0</v>
      </c>
      <c r="BI479" s="20">
        <f t="shared" si="462"/>
        <v>0</v>
      </c>
      <c r="BJ479" s="20">
        <f t="shared" si="463"/>
        <v>0</v>
      </c>
      <c r="BK479" s="20" t="s">
        <v>2978</v>
      </c>
      <c r="BL479" s="36">
        <v>730</v>
      </c>
    </row>
    <row r="480" spans="1:64" x14ac:dyDescent="0.2">
      <c r="A480" s="4" t="s">
        <v>379</v>
      </c>
      <c r="B480" s="13" t="s">
        <v>1306</v>
      </c>
      <c r="C480" s="174" t="s">
        <v>2298</v>
      </c>
      <c r="D480" s="175"/>
      <c r="E480" s="175"/>
      <c r="F480" s="175"/>
      <c r="G480" s="13" t="s">
        <v>2860</v>
      </c>
      <c r="H480" s="82">
        <v>6</v>
      </c>
      <c r="I480" s="109">
        <v>0</v>
      </c>
      <c r="J480" s="20">
        <f t="shared" si="440"/>
        <v>0</v>
      </c>
      <c r="K480" s="20">
        <f t="shared" si="441"/>
        <v>0</v>
      </c>
      <c r="L480" s="20">
        <f t="shared" si="442"/>
        <v>0</v>
      </c>
      <c r="M480" s="31" t="s">
        <v>2884</v>
      </c>
      <c r="N480" s="5"/>
      <c r="Z480" s="36">
        <f t="shared" si="443"/>
        <v>0</v>
      </c>
      <c r="AB480" s="36">
        <f t="shared" si="444"/>
        <v>0</v>
      </c>
      <c r="AC480" s="36">
        <f t="shared" si="445"/>
        <v>0</v>
      </c>
      <c r="AD480" s="36">
        <f t="shared" si="446"/>
        <v>0</v>
      </c>
      <c r="AE480" s="36">
        <f t="shared" si="447"/>
        <v>0</v>
      </c>
      <c r="AF480" s="36">
        <f t="shared" si="448"/>
        <v>0</v>
      </c>
      <c r="AG480" s="36">
        <f t="shared" si="449"/>
        <v>0</v>
      </c>
      <c r="AH480" s="36">
        <f t="shared" si="450"/>
        <v>0</v>
      </c>
      <c r="AI480" s="35" t="s">
        <v>2894</v>
      </c>
      <c r="AJ480" s="20">
        <f t="shared" si="451"/>
        <v>0</v>
      </c>
      <c r="AK480" s="20">
        <f t="shared" si="452"/>
        <v>0</v>
      </c>
      <c r="AL480" s="20">
        <f t="shared" si="453"/>
        <v>0</v>
      </c>
      <c r="AN480" s="36">
        <v>21</v>
      </c>
      <c r="AO480" s="36">
        <f t="shared" si="454"/>
        <v>0</v>
      </c>
      <c r="AP480" s="36">
        <f t="shared" si="455"/>
        <v>0</v>
      </c>
      <c r="AQ480" s="37" t="s">
        <v>13</v>
      </c>
      <c r="AV480" s="36">
        <f t="shared" si="456"/>
        <v>0</v>
      </c>
      <c r="AW480" s="36">
        <f t="shared" si="457"/>
        <v>0</v>
      </c>
      <c r="AX480" s="36">
        <f t="shared" si="458"/>
        <v>0</v>
      </c>
      <c r="AY480" s="39" t="s">
        <v>2930</v>
      </c>
      <c r="AZ480" s="39" t="s">
        <v>2955</v>
      </c>
      <c r="BA480" s="35" t="s">
        <v>2967</v>
      </c>
      <c r="BC480" s="36">
        <f t="shared" si="459"/>
        <v>0</v>
      </c>
      <c r="BD480" s="36">
        <f t="shared" si="460"/>
        <v>0</v>
      </c>
      <c r="BE480" s="36">
        <v>0</v>
      </c>
      <c r="BF480" s="36">
        <f>480</f>
        <v>480</v>
      </c>
      <c r="BH480" s="20">
        <f t="shared" si="461"/>
        <v>0</v>
      </c>
      <c r="BI480" s="20">
        <f t="shared" si="462"/>
        <v>0</v>
      </c>
      <c r="BJ480" s="20">
        <f t="shared" si="463"/>
        <v>0</v>
      </c>
      <c r="BK480" s="20" t="s">
        <v>2978</v>
      </c>
      <c r="BL480" s="36">
        <v>730</v>
      </c>
    </row>
    <row r="481" spans="1:64" x14ac:dyDescent="0.2">
      <c r="A481" s="4" t="s">
        <v>380</v>
      </c>
      <c r="B481" s="13" t="s">
        <v>1307</v>
      </c>
      <c r="C481" s="174" t="s">
        <v>2299</v>
      </c>
      <c r="D481" s="175"/>
      <c r="E481" s="175"/>
      <c r="F481" s="175"/>
      <c r="G481" s="13" t="s">
        <v>2860</v>
      </c>
      <c r="H481" s="82">
        <v>1</v>
      </c>
      <c r="I481" s="109">
        <v>0</v>
      </c>
      <c r="J481" s="20">
        <f t="shared" si="440"/>
        <v>0</v>
      </c>
      <c r="K481" s="20">
        <f t="shared" si="441"/>
        <v>0</v>
      </c>
      <c r="L481" s="20">
        <f t="shared" si="442"/>
        <v>0</v>
      </c>
      <c r="M481" s="31" t="s">
        <v>2884</v>
      </c>
      <c r="N481" s="5"/>
      <c r="Z481" s="36">
        <f t="shared" si="443"/>
        <v>0</v>
      </c>
      <c r="AB481" s="36">
        <f t="shared" si="444"/>
        <v>0</v>
      </c>
      <c r="AC481" s="36">
        <f t="shared" si="445"/>
        <v>0</v>
      </c>
      <c r="AD481" s="36">
        <f t="shared" si="446"/>
        <v>0</v>
      </c>
      <c r="AE481" s="36">
        <f t="shared" si="447"/>
        <v>0</v>
      </c>
      <c r="AF481" s="36">
        <f t="shared" si="448"/>
        <v>0</v>
      </c>
      <c r="AG481" s="36">
        <f t="shared" si="449"/>
        <v>0</v>
      </c>
      <c r="AH481" s="36">
        <f t="shared" si="450"/>
        <v>0</v>
      </c>
      <c r="AI481" s="35" t="s">
        <v>2894</v>
      </c>
      <c r="AJ481" s="20">
        <f t="shared" si="451"/>
        <v>0</v>
      </c>
      <c r="AK481" s="20">
        <f t="shared" si="452"/>
        <v>0</v>
      </c>
      <c r="AL481" s="20">
        <f t="shared" si="453"/>
        <v>0</v>
      </c>
      <c r="AN481" s="36">
        <v>21</v>
      </c>
      <c r="AO481" s="36">
        <f t="shared" si="454"/>
        <v>0</v>
      </c>
      <c r="AP481" s="36">
        <f t="shared" si="455"/>
        <v>0</v>
      </c>
      <c r="AQ481" s="37" t="s">
        <v>13</v>
      </c>
      <c r="AV481" s="36">
        <f t="shared" si="456"/>
        <v>0</v>
      </c>
      <c r="AW481" s="36">
        <f t="shared" si="457"/>
        <v>0</v>
      </c>
      <c r="AX481" s="36">
        <f t="shared" si="458"/>
        <v>0</v>
      </c>
      <c r="AY481" s="39" t="s">
        <v>2930</v>
      </c>
      <c r="AZ481" s="39" t="s">
        <v>2955</v>
      </c>
      <c r="BA481" s="35" t="s">
        <v>2967</v>
      </c>
      <c r="BC481" s="36">
        <f t="shared" si="459"/>
        <v>0</v>
      </c>
      <c r="BD481" s="36">
        <f t="shared" si="460"/>
        <v>0</v>
      </c>
      <c r="BE481" s="36">
        <v>0</v>
      </c>
      <c r="BF481" s="36">
        <f>481</f>
        <v>481</v>
      </c>
      <c r="BH481" s="20">
        <f t="shared" si="461"/>
        <v>0</v>
      </c>
      <c r="BI481" s="20">
        <f t="shared" si="462"/>
        <v>0</v>
      </c>
      <c r="BJ481" s="20">
        <f t="shared" si="463"/>
        <v>0</v>
      </c>
      <c r="BK481" s="20" t="s">
        <v>2978</v>
      </c>
      <c r="BL481" s="36">
        <v>730</v>
      </c>
    </row>
    <row r="482" spans="1:64" x14ac:dyDescent="0.2">
      <c r="A482" s="4" t="s">
        <v>381</v>
      </c>
      <c r="B482" s="13" t="s">
        <v>1308</v>
      </c>
      <c r="C482" s="174" t="s">
        <v>2300</v>
      </c>
      <c r="D482" s="175"/>
      <c r="E482" s="175"/>
      <c r="F482" s="175"/>
      <c r="G482" s="13" t="s">
        <v>2860</v>
      </c>
      <c r="H482" s="82">
        <v>25</v>
      </c>
      <c r="I482" s="109">
        <v>0</v>
      </c>
      <c r="J482" s="20">
        <f t="shared" si="440"/>
        <v>0</v>
      </c>
      <c r="K482" s="20">
        <f t="shared" si="441"/>
        <v>0</v>
      </c>
      <c r="L482" s="20">
        <f t="shared" si="442"/>
        <v>0</v>
      </c>
      <c r="M482" s="31" t="s">
        <v>2884</v>
      </c>
      <c r="N482" s="5"/>
      <c r="Z482" s="36">
        <f t="shared" si="443"/>
        <v>0</v>
      </c>
      <c r="AB482" s="36">
        <f t="shared" si="444"/>
        <v>0</v>
      </c>
      <c r="AC482" s="36">
        <f t="shared" si="445"/>
        <v>0</v>
      </c>
      <c r="AD482" s="36">
        <f t="shared" si="446"/>
        <v>0</v>
      </c>
      <c r="AE482" s="36">
        <f t="shared" si="447"/>
        <v>0</v>
      </c>
      <c r="AF482" s="36">
        <f t="shared" si="448"/>
        <v>0</v>
      </c>
      <c r="AG482" s="36">
        <f t="shared" si="449"/>
        <v>0</v>
      </c>
      <c r="AH482" s="36">
        <f t="shared" si="450"/>
        <v>0</v>
      </c>
      <c r="AI482" s="35" t="s">
        <v>2894</v>
      </c>
      <c r="AJ482" s="20">
        <f t="shared" si="451"/>
        <v>0</v>
      </c>
      <c r="AK482" s="20">
        <f t="shared" si="452"/>
        <v>0</v>
      </c>
      <c r="AL482" s="20">
        <f t="shared" si="453"/>
        <v>0</v>
      </c>
      <c r="AN482" s="36">
        <v>21</v>
      </c>
      <c r="AO482" s="36">
        <f t="shared" si="454"/>
        <v>0</v>
      </c>
      <c r="AP482" s="36">
        <f t="shared" si="455"/>
        <v>0</v>
      </c>
      <c r="AQ482" s="37" t="s">
        <v>13</v>
      </c>
      <c r="AV482" s="36">
        <f t="shared" si="456"/>
        <v>0</v>
      </c>
      <c r="AW482" s="36">
        <f t="shared" si="457"/>
        <v>0</v>
      </c>
      <c r="AX482" s="36">
        <f t="shared" si="458"/>
        <v>0</v>
      </c>
      <c r="AY482" s="39" t="s">
        <v>2930</v>
      </c>
      <c r="AZ482" s="39" t="s">
        <v>2955</v>
      </c>
      <c r="BA482" s="35" t="s">
        <v>2967</v>
      </c>
      <c r="BC482" s="36">
        <f t="shared" si="459"/>
        <v>0</v>
      </c>
      <c r="BD482" s="36">
        <f t="shared" si="460"/>
        <v>0</v>
      </c>
      <c r="BE482" s="36">
        <v>0</v>
      </c>
      <c r="BF482" s="36">
        <f>482</f>
        <v>482</v>
      </c>
      <c r="BH482" s="20">
        <f t="shared" si="461"/>
        <v>0</v>
      </c>
      <c r="BI482" s="20">
        <f t="shared" si="462"/>
        <v>0</v>
      </c>
      <c r="BJ482" s="20">
        <f t="shared" si="463"/>
        <v>0</v>
      </c>
      <c r="BK482" s="20" t="s">
        <v>2978</v>
      </c>
      <c r="BL482" s="36">
        <v>730</v>
      </c>
    </row>
    <row r="483" spans="1:64" x14ac:dyDescent="0.2">
      <c r="A483" s="4" t="s">
        <v>382</v>
      </c>
      <c r="B483" s="13" t="s">
        <v>1309</v>
      </c>
      <c r="C483" s="174" t="s">
        <v>2301</v>
      </c>
      <c r="D483" s="175"/>
      <c r="E483" s="175"/>
      <c r="F483" s="175"/>
      <c r="G483" s="13" t="s">
        <v>2860</v>
      </c>
      <c r="H483" s="82">
        <v>24</v>
      </c>
      <c r="I483" s="109">
        <v>0</v>
      </c>
      <c r="J483" s="20">
        <f t="shared" si="440"/>
        <v>0</v>
      </c>
      <c r="K483" s="20">
        <f t="shared" si="441"/>
        <v>0</v>
      </c>
      <c r="L483" s="20">
        <f t="shared" si="442"/>
        <v>0</v>
      </c>
      <c r="M483" s="31" t="s">
        <v>2884</v>
      </c>
      <c r="N483" s="5"/>
      <c r="Z483" s="36">
        <f t="shared" si="443"/>
        <v>0</v>
      </c>
      <c r="AB483" s="36">
        <f t="shared" si="444"/>
        <v>0</v>
      </c>
      <c r="AC483" s="36">
        <f t="shared" si="445"/>
        <v>0</v>
      </c>
      <c r="AD483" s="36">
        <f t="shared" si="446"/>
        <v>0</v>
      </c>
      <c r="AE483" s="36">
        <f t="shared" si="447"/>
        <v>0</v>
      </c>
      <c r="AF483" s="36">
        <f t="shared" si="448"/>
        <v>0</v>
      </c>
      <c r="AG483" s="36">
        <f t="shared" si="449"/>
        <v>0</v>
      </c>
      <c r="AH483" s="36">
        <f t="shared" si="450"/>
        <v>0</v>
      </c>
      <c r="AI483" s="35" t="s">
        <v>2894</v>
      </c>
      <c r="AJ483" s="20">
        <f t="shared" si="451"/>
        <v>0</v>
      </c>
      <c r="AK483" s="20">
        <f t="shared" si="452"/>
        <v>0</v>
      </c>
      <c r="AL483" s="20">
        <f t="shared" si="453"/>
        <v>0</v>
      </c>
      <c r="AN483" s="36">
        <v>21</v>
      </c>
      <c r="AO483" s="36">
        <f t="shared" si="454"/>
        <v>0</v>
      </c>
      <c r="AP483" s="36">
        <f t="shared" si="455"/>
        <v>0</v>
      </c>
      <c r="AQ483" s="37" t="s">
        <v>13</v>
      </c>
      <c r="AV483" s="36">
        <f t="shared" si="456"/>
        <v>0</v>
      </c>
      <c r="AW483" s="36">
        <f t="shared" si="457"/>
        <v>0</v>
      </c>
      <c r="AX483" s="36">
        <f t="shared" si="458"/>
        <v>0</v>
      </c>
      <c r="AY483" s="39" t="s">
        <v>2930</v>
      </c>
      <c r="AZ483" s="39" t="s">
        <v>2955</v>
      </c>
      <c r="BA483" s="35" t="s">
        <v>2967</v>
      </c>
      <c r="BC483" s="36">
        <f t="shared" si="459"/>
        <v>0</v>
      </c>
      <c r="BD483" s="36">
        <f t="shared" si="460"/>
        <v>0</v>
      </c>
      <c r="BE483" s="36">
        <v>0</v>
      </c>
      <c r="BF483" s="36">
        <f>483</f>
        <v>483</v>
      </c>
      <c r="BH483" s="20">
        <f t="shared" si="461"/>
        <v>0</v>
      </c>
      <c r="BI483" s="20">
        <f t="shared" si="462"/>
        <v>0</v>
      </c>
      <c r="BJ483" s="20">
        <f t="shared" si="463"/>
        <v>0</v>
      </c>
      <c r="BK483" s="20" t="s">
        <v>2978</v>
      </c>
      <c r="BL483" s="36">
        <v>730</v>
      </c>
    </row>
    <row r="484" spans="1:64" x14ac:dyDescent="0.2">
      <c r="A484" s="4" t="s">
        <v>383</v>
      </c>
      <c r="B484" s="13" t="s">
        <v>1310</v>
      </c>
      <c r="C484" s="174" t="s">
        <v>2302</v>
      </c>
      <c r="D484" s="175"/>
      <c r="E484" s="175"/>
      <c r="F484" s="175"/>
      <c r="G484" s="13" t="s">
        <v>2860</v>
      </c>
      <c r="H484" s="82">
        <v>1</v>
      </c>
      <c r="I484" s="109">
        <v>0</v>
      </c>
      <c r="J484" s="20">
        <f t="shared" si="440"/>
        <v>0</v>
      </c>
      <c r="K484" s="20">
        <f t="shared" si="441"/>
        <v>0</v>
      </c>
      <c r="L484" s="20">
        <f t="shared" si="442"/>
        <v>0</v>
      </c>
      <c r="M484" s="31" t="s">
        <v>2884</v>
      </c>
      <c r="N484" s="5"/>
      <c r="Z484" s="36">
        <f t="shared" si="443"/>
        <v>0</v>
      </c>
      <c r="AB484" s="36">
        <f t="shared" si="444"/>
        <v>0</v>
      </c>
      <c r="AC484" s="36">
        <f t="shared" si="445"/>
        <v>0</v>
      </c>
      <c r="AD484" s="36">
        <f t="shared" si="446"/>
        <v>0</v>
      </c>
      <c r="AE484" s="36">
        <f t="shared" si="447"/>
        <v>0</v>
      </c>
      <c r="AF484" s="36">
        <f t="shared" si="448"/>
        <v>0</v>
      </c>
      <c r="AG484" s="36">
        <f t="shared" si="449"/>
        <v>0</v>
      </c>
      <c r="AH484" s="36">
        <f t="shared" si="450"/>
        <v>0</v>
      </c>
      <c r="AI484" s="35" t="s">
        <v>2894</v>
      </c>
      <c r="AJ484" s="20">
        <f t="shared" si="451"/>
        <v>0</v>
      </c>
      <c r="AK484" s="20">
        <f t="shared" si="452"/>
        <v>0</v>
      </c>
      <c r="AL484" s="20">
        <f t="shared" si="453"/>
        <v>0</v>
      </c>
      <c r="AN484" s="36">
        <v>21</v>
      </c>
      <c r="AO484" s="36">
        <f t="shared" si="454"/>
        <v>0</v>
      </c>
      <c r="AP484" s="36">
        <f t="shared" si="455"/>
        <v>0</v>
      </c>
      <c r="AQ484" s="37" t="s">
        <v>13</v>
      </c>
      <c r="AV484" s="36">
        <f t="shared" si="456"/>
        <v>0</v>
      </c>
      <c r="AW484" s="36">
        <f t="shared" si="457"/>
        <v>0</v>
      </c>
      <c r="AX484" s="36">
        <f t="shared" si="458"/>
        <v>0</v>
      </c>
      <c r="AY484" s="39" t="s">
        <v>2930</v>
      </c>
      <c r="AZ484" s="39" t="s">
        <v>2955</v>
      </c>
      <c r="BA484" s="35" t="s">
        <v>2967</v>
      </c>
      <c r="BC484" s="36">
        <f t="shared" si="459"/>
        <v>0</v>
      </c>
      <c r="BD484" s="36">
        <f t="shared" si="460"/>
        <v>0</v>
      </c>
      <c r="BE484" s="36">
        <v>0</v>
      </c>
      <c r="BF484" s="36">
        <f>484</f>
        <v>484</v>
      </c>
      <c r="BH484" s="20">
        <f t="shared" si="461"/>
        <v>0</v>
      </c>
      <c r="BI484" s="20">
        <f t="shared" si="462"/>
        <v>0</v>
      </c>
      <c r="BJ484" s="20">
        <f t="shared" si="463"/>
        <v>0</v>
      </c>
      <c r="BK484" s="20" t="s">
        <v>2978</v>
      </c>
      <c r="BL484" s="36">
        <v>730</v>
      </c>
    </row>
    <row r="485" spans="1:64" x14ac:dyDescent="0.2">
      <c r="A485" s="4" t="s">
        <v>384</v>
      </c>
      <c r="B485" s="13" t="s">
        <v>1311</v>
      </c>
      <c r="C485" s="174" t="s">
        <v>2303</v>
      </c>
      <c r="D485" s="175"/>
      <c r="E485" s="175"/>
      <c r="F485" s="175"/>
      <c r="G485" s="13" t="s">
        <v>2860</v>
      </c>
      <c r="H485" s="82">
        <v>25</v>
      </c>
      <c r="I485" s="109">
        <v>0</v>
      </c>
      <c r="J485" s="20">
        <f t="shared" si="440"/>
        <v>0</v>
      </c>
      <c r="K485" s="20">
        <f t="shared" si="441"/>
        <v>0</v>
      </c>
      <c r="L485" s="20">
        <f t="shared" si="442"/>
        <v>0</v>
      </c>
      <c r="M485" s="31" t="s">
        <v>2884</v>
      </c>
      <c r="N485" s="5"/>
      <c r="Z485" s="36">
        <f t="shared" si="443"/>
        <v>0</v>
      </c>
      <c r="AB485" s="36">
        <f t="shared" si="444"/>
        <v>0</v>
      </c>
      <c r="AC485" s="36">
        <f t="shared" si="445"/>
        <v>0</v>
      </c>
      <c r="AD485" s="36">
        <f t="shared" si="446"/>
        <v>0</v>
      </c>
      <c r="AE485" s="36">
        <f t="shared" si="447"/>
        <v>0</v>
      </c>
      <c r="AF485" s="36">
        <f t="shared" si="448"/>
        <v>0</v>
      </c>
      <c r="AG485" s="36">
        <f t="shared" si="449"/>
        <v>0</v>
      </c>
      <c r="AH485" s="36">
        <f t="shared" si="450"/>
        <v>0</v>
      </c>
      <c r="AI485" s="35" t="s">
        <v>2894</v>
      </c>
      <c r="AJ485" s="20">
        <f t="shared" si="451"/>
        <v>0</v>
      </c>
      <c r="AK485" s="20">
        <f t="shared" si="452"/>
        <v>0</v>
      </c>
      <c r="AL485" s="20">
        <f t="shared" si="453"/>
        <v>0</v>
      </c>
      <c r="AN485" s="36">
        <v>21</v>
      </c>
      <c r="AO485" s="36">
        <f t="shared" si="454"/>
        <v>0</v>
      </c>
      <c r="AP485" s="36">
        <f t="shared" si="455"/>
        <v>0</v>
      </c>
      <c r="AQ485" s="37" t="s">
        <v>13</v>
      </c>
      <c r="AV485" s="36">
        <f t="shared" si="456"/>
        <v>0</v>
      </c>
      <c r="AW485" s="36">
        <f t="shared" si="457"/>
        <v>0</v>
      </c>
      <c r="AX485" s="36">
        <f t="shared" si="458"/>
        <v>0</v>
      </c>
      <c r="AY485" s="39" t="s">
        <v>2930</v>
      </c>
      <c r="AZ485" s="39" t="s">
        <v>2955</v>
      </c>
      <c r="BA485" s="35" t="s">
        <v>2967</v>
      </c>
      <c r="BC485" s="36">
        <f t="shared" si="459"/>
        <v>0</v>
      </c>
      <c r="BD485" s="36">
        <f t="shared" si="460"/>
        <v>0</v>
      </c>
      <c r="BE485" s="36">
        <v>0</v>
      </c>
      <c r="BF485" s="36">
        <f>485</f>
        <v>485</v>
      </c>
      <c r="BH485" s="20">
        <f t="shared" si="461"/>
        <v>0</v>
      </c>
      <c r="BI485" s="20">
        <f t="shared" si="462"/>
        <v>0</v>
      </c>
      <c r="BJ485" s="20">
        <f t="shared" si="463"/>
        <v>0</v>
      </c>
      <c r="BK485" s="20" t="s">
        <v>2978</v>
      </c>
      <c r="BL485" s="36">
        <v>730</v>
      </c>
    </row>
    <row r="486" spans="1:64" x14ac:dyDescent="0.2">
      <c r="A486" s="4" t="s">
        <v>385</v>
      </c>
      <c r="B486" s="13" t="s">
        <v>1312</v>
      </c>
      <c r="C486" s="174" t="s">
        <v>2304</v>
      </c>
      <c r="D486" s="175"/>
      <c r="E486" s="175"/>
      <c r="F486" s="175"/>
      <c r="G486" s="13" t="s">
        <v>2860</v>
      </c>
      <c r="H486" s="82">
        <v>25</v>
      </c>
      <c r="I486" s="109">
        <v>0</v>
      </c>
      <c r="J486" s="20">
        <f t="shared" si="440"/>
        <v>0</v>
      </c>
      <c r="K486" s="20">
        <f t="shared" si="441"/>
        <v>0</v>
      </c>
      <c r="L486" s="20">
        <f t="shared" si="442"/>
        <v>0</v>
      </c>
      <c r="M486" s="31" t="s">
        <v>2884</v>
      </c>
      <c r="N486" s="5"/>
      <c r="Z486" s="36">
        <f t="shared" si="443"/>
        <v>0</v>
      </c>
      <c r="AB486" s="36">
        <f t="shared" si="444"/>
        <v>0</v>
      </c>
      <c r="AC486" s="36">
        <f t="shared" si="445"/>
        <v>0</v>
      </c>
      <c r="AD486" s="36">
        <f t="shared" si="446"/>
        <v>0</v>
      </c>
      <c r="AE486" s="36">
        <f t="shared" si="447"/>
        <v>0</v>
      </c>
      <c r="AF486" s="36">
        <f t="shared" si="448"/>
        <v>0</v>
      </c>
      <c r="AG486" s="36">
        <f t="shared" si="449"/>
        <v>0</v>
      </c>
      <c r="AH486" s="36">
        <f t="shared" si="450"/>
        <v>0</v>
      </c>
      <c r="AI486" s="35" t="s">
        <v>2894</v>
      </c>
      <c r="AJ486" s="20">
        <f t="shared" si="451"/>
        <v>0</v>
      </c>
      <c r="AK486" s="20">
        <f t="shared" si="452"/>
        <v>0</v>
      </c>
      <c r="AL486" s="20">
        <f t="shared" si="453"/>
        <v>0</v>
      </c>
      <c r="AN486" s="36">
        <v>21</v>
      </c>
      <c r="AO486" s="36">
        <f t="shared" si="454"/>
        <v>0</v>
      </c>
      <c r="AP486" s="36">
        <f t="shared" si="455"/>
        <v>0</v>
      </c>
      <c r="AQ486" s="37" t="s">
        <v>13</v>
      </c>
      <c r="AV486" s="36">
        <f t="shared" si="456"/>
        <v>0</v>
      </c>
      <c r="AW486" s="36">
        <f t="shared" si="457"/>
        <v>0</v>
      </c>
      <c r="AX486" s="36">
        <f t="shared" si="458"/>
        <v>0</v>
      </c>
      <c r="AY486" s="39" t="s">
        <v>2930</v>
      </c>
      <c r="AZ486" s="39" t="s">
        <v>2955</v>
      </c>
      <c r="BA486" s="35" t="s">
        <v>2967</v>
      </c>
      <c r="BC486" s="36">
        <f t="shared" si="459"/>
        <v>0</v>
      </c>
      <c r="BD486" s="36">
        <f t="shared" si="460"/>
        <v>0</v>
      </c>
      <c r="BE486" s="36">
        <v>0</v>
      </c>
      <c r="BF486" s="36">
        <f>486</f>
        <v>486</v>
      </c>
      <c r="BH486" s="20">
        <f t="shared" si="461"/>
        <v>0</v>
      </c>
      <c r="BI486" s="20">
        <f t="shared" si="462"/>
        <v>0</v>
      </c>
      <c r="BJ486" s="20">
        <f t="shared" si="463"/>
        <v>0</v>
      </c>
      <c r="BK486" s="20" t="s">
        <v>2978</v>
      </c>
      <c r="BL486" s="36">
        <v>730</v>
      </c>
    </row>
    <row r="487" spans="1:64" x14ac:dyDescent="0.2">
      <c r="A487" s="4" t="s">
        <v>386</v>
      </c>
      <c r="B487" s="13" t="s">
        <v>1313</v>
      </c>
      <c r="C487" s="174" t="s">
        <v>2305</v>
      </c>
      <c r="D487" s="175"/>
      <c r="E487" s="175"/>
      <c r="F487" s="175"/>
      <c r="G487" s="13" t="s">
        <v>2860</v>
      </c>
      <c r="H487" s="82">
        <v>25</v>
      </c>
      <c r="I487" s="109">
        <v>0</v>
      </c>
      <c r="J487" s="20">
        <f t="shared" si="440"/>
        <v>0</v>
      </c>
      <c r="K487" s="20">
        <f t="shared" si="441"/>
        <v>0</v>
      </c>
      <c r="L487" s="20">
        <f t="shared" si="442"/>
        <v>0</v>
      </c>
      <c r="M487" s="31" t="s">
        <v>2884</v>
      </c>
      <c r="N487" s="5"/>
      <c r="Z487" s="36">
        <f t="shared" si="443"/>
        <v>0</v>
      </c>
      <c r="AB487" s="36">
        <f t="shared" si="444"/>
        <v>0</v>
      </c>
      <c r="AC487" s="36">
        <f t="shared" si="445"/>
        <v>0</v>
      </c>
      <c r="AD487" s="36">
        <f t="shared" si="446"/>
        <v>0</v>
      </c>
      <c r="AE487" s="36">
        <f t="shared" si="447"/>
        <v>0</v>
      </c>
      <c r="AF487" s="36">
        <f t="shared" si="448"/>
        <v>0</v>
      </c>
      <c r="AG487" s="36">
        <f t="shared" si="449"/>
        <v>0</v>
      </c>
      <c r="AH487" s="36">
        <f t="shared" si="450"/>
        <v>0</v>
      </c>
      <c r="AI487" s="35" t="s">
        <v>2894</v>
      </c>
      <c r="AJ487" s="20">
        <f t="shared" si="451"/>
        <v>0</v>
      </c>
      <c r="AK487" s="20">
        <f t="shared" si="452"/>
        <v>0</v>
      </c>
      <c r="AL487" s="20">
        <f t="shared" si="453"/>
        <v>0</v>
      </c>
      <c r="AN487" s="36">
        <v>21</v>
      </c>
      <c r="AO487" s="36">
        <f t="shared" si="454"/>
        <v>0</v>
      </c>
      <c r="AP487" s="36">
        <f t="shared" si="455"/>
        <v>0</v>
      </c>
      <c r="AQ487" s="37" t="s">
        <v>13</v>
      </c>
      <c r="AV487" s="36">
        <f t="shared" si="456"/>
        <v>0</v>
      </c>
      <c r="AW487" s="36">
        <f t="shared" si="457"/>
        <v>0</v>
      </c>
      <c r="AX487" s="36">
        <f t="shared" si="458"/>
        <v>0</v>
      </c>
      <c r="AY487" s="39" t="s">
        <v>2930</v>
      </c>
      <c r="AZ487" s="39" t="s">
        <v>2955</v>
      </c>
      <c r="BA487" s="35" t="s">
        <v>2967</v>
      </c>
      <c r="BC487" s="36">
        <f t="shared" si="459"/>
        <v>0</v>
      </c>
      <c r="BD487" s="36">
        <f t="shared" si="460"/>
        <v>0</v>
      </c>
      <c r="BE487" s="36">
        <v>0</v>
      </c>
      <c r="BF487" s="36">
        <f>487</f>
        <v>487</v>
      </c>
      <c r="BH487" s="20">
        <f t="shared" si="461"/>
        <v>0</v>
      </c>
      <c r="BI487" s="20">
        <f t="shared" si="462"/>
        <v>0</v>
      </c>
      <c r="BJ487" s="20">
        <f t="shared" si="463"/>
        <v>0</v>
      </c>
      <c r="BK487" s="20" t="s">
        <v>2978</v>
      </c>
      <c r="BL487" s="36">
        <v>730</v>
      </c>
    </row>
    <row r="488" spans="1:64" x14ac:dyDescent="0.2">
      <c r="A488" s="4" t="s">
        <v>387</v>
      </c>
      <c r="B488" s="13" t="s">
        <v>1314</v>
      </c>
      <c r="C488" s="174" t="s">
        <v>2306</v>
      </c>
      <c r="D488" s="175"/>
      <c r="E488" s="175"/>
      <c r="F488" s="175"/>
      <c r="G488" s="13" t="s">
        <v>2860</v>
      </c>
      <c r="H488" s="82">
        <v>25</v>
      </c>
      <c r="I488" s="109">
        <v>0</v>
      </c>
      <c r="J488" s="20">
        <f t="shared" si="440"/>
        <v>0</v>
      </c>
      <c r="K488" s="20">
        <f t="shared" si="441"/>
        <v>0</v>
      </c>
      <c r="L488" s="20">
        <f t="shared" si="442"/>
        <v>0</v>
      </c>
      <c r="M488" s="31" t="s">
        <v>2884</v>
      </c>
      <c r="N488" s="5"/>
      <c r="Z488" s="36">
        <f t="shared" si="443"/>
        <v>0</v>
      </c>
      <c r="AB488" s="36">
        <f t="shared" si="444"/>
        <v>0</v>
      </c>
      <c r="AC488" s="36">
        <f t="shared" si="445"/>
        <v>0</v>
      </c>
      <c r="AD488" s="36">
        <f t="shared" si="446"/>
        <v>0</v>
      </c>
      <c r="AE488" s="36">
        <f t="shared" si="447"/>
        <v>0</v>
      </c>
      <c r="AF488" s="36">
        <f t="shared" si="448"/>
        <v>0</v>
      </c>
      <c r="AG488" s="36">
        <f t="shared" si="449"/>
        <v>0</v>
      </c>
      <c r="AH488" s="36">
        <f t="shared" si="450"/>
        <v>0</v>
      </c>
      <c r="AI488" s="35" t="s">
        <v>2894</v>
      </c>
      <c r="AJ488" s="20">
        <f t="shared" si="451"/>
        <v>0</v>
      </c>
      <c r="AK488" s="20">
        <f t="shared" si="452"/>
        <v>0</v>
      </c>
      <c r="AL488" s="20">
        <f t="shared" si="453"/>
        <v>0</v>
      </c>
      <c r="AN488" s="36">
        <v>21</v>
      </c>
      <c r="AO488" s="36">
        <f t="shared" si="454"/>
        <v>0</v>
      </c>
      <c r="AP488" s="36">
        <f t="shared" si="455"/>
        <v>0</v>
      </c>
      <c r="AQ488" s="37" t="s">
        <v>13</v>
      </c>
      <c r="AV488" s="36">
        <f t="shared" si="456"/>
        <v>0</v>
      </c>
      <c r="AW488" s="36">
        <f t="shared" si="457"/>
        <v>0</v>
      </c>
      <c r="AX488" s="36">
        <f t="shared" si="458"/>
        <v>0</v>
      </c>
      <c r="AY488" s="39" t="s">
        <v>2930</v>
      </c>
      <c r="AZ488" s="39" t="s">
        <v>2955</v>
      </c>
      <c r="BA488" s="35" t="s">
        <v>2967</v>
      </c>
      <c r="BC488" s="36">
        <f t="shared" si="459"/>
        <v>0</v>
      </c>
      <c r="BD488" s="36">
        <f t="shared" si="460"/>
        <v>0</v>
      </c>
      <c r="BE488" s="36">
        <v>0</v>
      </c>
      <c r="BF488" s="36">
        <f>488</f>
        <v>488</v>
      </c>
      <c r="BH488" s="20">
        <f t="shared" si="461"/>
        <v>0</v>
      </c>
      <c r="BI488" s="20">
        <f t="shared" si="462"/>
        <v>0</v>
      </c>
      <c r="BJ488" s="20">
        <f t="shared" si="463"/>
        <v>0</v>
      </c>
      <c r="BK488" s="20" t="s">
        <v>2978</v>
      </c>
      <c r="BL488" s="36">
        <v>730</v>
      </c>
    </row>
    <row r="489" spans="1:64" x14ac:dyDescent="0.2">
      <c r="A489" s="4" t="s">
        <v>388</v>
      </c>
      <c r="B489" s="13" t="s">
        <v>1315</v>
      </c>
      <c r="C489" s="174" t="s">
        <v>2307</v>
      </c>
      <c r="D489" s="175"/>
      <c r="E489" s="175"/>
      <c r="F489" s="175"/>
      <c r="G489" s="13" t="s">
        <v>2860</v>
      </c>
      <c r="H489" s="82">
        <v>2</v>
      </c>
      <c r="I489" s="109">
        <v>0</v>
      </c>
      <c r="J489" s="20">
        <f t="shared" si="440"/>
        <v>0</v>
      </c>
      <c r="K489" s="20">
        <f t="shared" si="441"/>
        <v>0</v>
      </c>
      <c r="L489" s="20">
        <f t="shared" si="442"/>
        <v>0</v>
      </c>
      <c r="M489" s="31" t="s">
        <v>2884</v>
      </c>
      <c r="N489" s="5"/>
      <c r="Z489" s="36">
        <f t="shared" si="443"/>
        <v>0</v>
      </c>
      <c r="AB489" s="36">
        <f t="shared" si="444"/>
        <v>0</v>
      </c>
      <c r="AC489" s="36">
        <f t="shared" si="445"/>
        <v>0</v>
      </c>
      <c r="AD489" s="36">
        <f t="shared" si="446"/>
        <v>0</v>
      </c>
      <c r="AE489" s="36">
        <f t="shared" si="447"/>
        <v>0</v>
      </c>
      <c r="AF489" s="36">
        <f t="shared" si="448"/>
        <v>0</v>
      </c>
      <c r="AG489" s="36">
        <f t="shared" si="449"/>
        <v>0</v>
      </c>
      <c r="AH489" s="36">
        <f t="shared" si="450"/>
        <v>0</v>
      </c>
      <c r="AI489" s="35" t="s">
        <v>2894</v>
      </c>
      <c r="AJ489" s="20">
        <f t="shared" si="451"/>
        <v>0</v>
      </c>
      <c r="AK489" s="20">
        <f t="shared" si="452"/>
        <v>0</v>
      </c>
      <c r="AL489" s="20">
        <f t="shared" si="453"/>
        <v>0</v>
      </c>
      <c r="AN489" s="36">
        <v>21</v>
      </c>
      <c r="AO489" s="36">
        <f t="shared" si="454"/>
        <v>0</v>
      </c>
      <c r="AP489" s="36">
        <f t="shared" si="455"/>
        <v>0</v>
      </c>
      <c r="AQ489" s="37" t="s">
        <v>13</v>
      </c>
      <c r="AV489" s="36">
        <f t="shared" si="456"/>
        <v>0</v>
      </c>
      <c r="AW489" s="36">
        <f t="shared" si="457"/>
        <v>0</v>
      </c>
      <c r="AX489" s="36">
        <f t="shared" si="458"/>
        <v>0</v>
      </c>
      <c r="AY489" s="39" t="s">
        <v>2930</v>
      </c>
      <c r="AZ489" s="39" t="s">
        <v>2955</v>
      </c>
      <c r="BA489" s="35" t="s">
        <v>2967</v>
      </c>
      <c r="BC489" s="36">
        <f t="shared" si="459"/>
        <v>0</v>
      </c>
      <c r="BD489" s="36">
        <f t="shared" si="460"/>
        <v>0</v>
      </c>
      <c r="BE489" s="36">
        <v>0</v>
      </c>
      <c r="BF489" s="36">
        <f>489</f>
        <v>489</v>
      </c>
      <c r="BH489" s="20">
        <f t="shared" si="461"/>
        <v>0</v>
      </c>
      <c r="BI489" s="20">
        <f t="shared" si="462"/>
        <v>0</v>
      </c>
      <c r="BJ489" s="20">
        <f t="shared" si="463"/>
        <v>0</v>
      </c>
      <c r="BK489" s="20" t="s">
        <v>2978</v>
      </c>
      <c r="BL489" s="36">
        <v>730</v>
      </c>
    </row>
    <row r="490" spans="1:64" x14ac:dyDescent="0.2">
      <c r="A490" s="5"/>
      <c r="B490" s="14"/>
      <c r="C490" s="179" t="s">
        <v>2308</v>
      </c>
      <c r="D490" s="180"/>
      <c r="E490" s="180"/>
      <c r="F490" s="180"/>
      <c r="G490" s="180"/>
      <c r="H490" s="180"/>
      <c r="I490" s="180"/>
      <c r="J490" s="180"/>
      <c r="K490" s="180"/>
      <c r="L490" s="180"/>
      <c r="M490" s="181"/>
      <c r="N490" s="5"/>
    </row>
    <row r="491" spans="1:64" x14ac:dyDescent="0.2">
      <c r="A491" s="4" t="s">
        <v>389</v>
      </c>
      <c r="B491" s="13" t="s">
        <v>1316</v>
      </c>
      <c r="C491" s="174" t="s">
        <v>2309</v>
      </c>
      <c r="D491" s="175"/>
      <c r="E491" s="175"/>
      <c r="F491" s="175"/>
      <c r="G491" s="13" t="s">
        <v>2860</v>
      </c>
      <c r="H491" s="82">
        <v>1</v>
      </c>
      <c r="I491" s="109">
        <v>0</v>
      </c>
      <c r="J491" s="20">
        <f>H491*AO491</f>
        <v>0</v>
      </c>
      <c r="K491" s="20">
        <f>H491*AP491</f>
        <v>0</v>
      </c>
      <c r="L491" s="20">
        <f>H491*I491</f>
        <v>0</v>
      </c>
      <c r="M491" s="31" t="s">
        <v>2884</v>
      </c>
      <c r="N491" s="5"/>
      <c r="Z491" s="36">
        <f>IF(AQ491="5",BJ491,0)</f>
        <v>0</v>
      </c>
      <c r="AB491" s="36">
        <f>IF(AQ491="1",BH491,0)</f>
        <v>0</v>
      </c>
      <c r="AC491" s="36">
        <f>IF(AQ491="1",BI491,0)</f>
        <v>0</v>
      </c>
      <c r="AD491" s="36">
        <f>IF(AQ491="7",BH491,0)</f>
        <v>0</v>
      </c>
      <c r="AE491" s="36">
        <f>IF(AQ491="7",BI491,0)</f>
        <v>0</v>
      </c>
      <c r="AF491" s="36">
        <f>IF(AQ491="2",BH491,0)</f>
        <v>0</v>
      </c>
      <c r="AG491" s="36">
        <f>IF(AQ491="2",BI491,0)</f>
        <v>0</v>
      </c>
      <c r="AH491" s="36">
        <f>IF(AQ491="0",BJ491,0)</f>
        <v>0</v>
      </c>
      <c r="AI491" s="35" t="s">
        <v>2894</v>
      </c>
      <c r="AJ491" s="20">
        <f>IF(AN491=0,L491,0)</f>
        <v>0</v>
      </c>
      <c r="AK491" s="20">
        <f>IF(AN491=15,L491,0)</f>
        <v>0</v>
      </c>
      <c r="AL491" s="20">
        <f>IF(AN491=21,L491,0)</f>
        <v>0</v>
      </c>
      <c r="AN491" s="36">
        <v>21</v>
      </c>
      <c r="AO491" s="36">
        <f>I491*0.53</f>
        <v>0</v>
      </c>
      <c r="AP491" s="36">
        <f>I491*(1-0.53)</f>
        <v>0</v>
      </c>
      <c r="AQ491" s="37" t="s">
        <v>13</v>
      </c>
      <c r="AV491" s="36">
        <f>AW491+AX491</f>
        <v>0</v>
      </c>
      <c r="AW491" s="36">
        <f>H491*AO491</f>
        <v>0</v>
      </c>
      <c r="AX491" s="36">
        <f>H491*AP491</f>
        <v>0</v>
      </c>
      <c r="AY491" s="39" t="s">
        <v>2930</v>
      </c>
      <c r="AZ491" s="39" t="s">
        <v>2955</v>
      </c>
      <c r="BA491" s="35" t="s">
        <v>2967</v>
      </c>
      <c r="BC491" s="36">
        <f>AW491+AX491</f>
        <v>0</v>
      </c>
      <c r="BD491" s="36">
        <f>I491/(100-BE491)*100</f>
        <v>0</v>
      </c>
      <c r="BE491" s="36">
        <v>0</v>
      </c>
      <c r="BF491" s="36">
        <f>491</f>
        <v>491</v>
      </c>
      <c r="BH491" s="20">
        <f>H491*AO491</f>
        <v>0</v>
      </c>
      <c r="BI491" s="20">
        <f>H491*AP491</f>
        <v>0</v>
      </c>
      <c r="BJ491" s="20">
        <f>H491*I491</f>
        <v>0</v>
      </c>
      <c r="BK491" s="20" t="s">
        <v>2978</v>
      </c>
      <c r="BL491" s="36">
        <v>730</v>
      </c>
    </row>
    <row r="492" spans="1:64" x14ac:dyDescent="0.2">
      <c r="A492" s="4" t="s">
        <v>390</v>
      </c>
      <c r="B492" s="13" t="s">
        <v>1317</v>
      </c>
      <c r="C492" s="174" t="s">
        <v>2310</v>
      </c>
      <c r="D492" s="175"/>
      <c r="E492" s="175"/>
      <c r="F492" s="175"/>
      <c r="G492" s="13" t="s">
        <v>2860</v>
      </c>
      <c r="H492" s="82">
        <v>1</v>
      </c>
      <c r="I492" s="109">
        <v>0</v>
      </c>
      <c r="J492" s="20">
        <f>H492*AO492</f>
        <v>0</v>
      </c>
      <c r="K492" s="20">
        <f>H492*AP492</f>
        <v>0</v>
      </c>
      <c r="L492" s="20">
        <f>H492*I492</f>
        <v>0</v>
      </c>
      <c r="M492" s="31" t="s">
        <v>2884</v>
      </c>
      <c r="N492" s="5"/>
      <c r="Z492" s="36">
        <f>IF(AQ492="5",BJ492,0)</f>
        <v>0</v>
      </c>
      <c r="AB492" s="36">
        <f>IF(AQ492="1",BH492,0)</f>
        <v>0</v>
      </c>
      <c r="AC492" s="36">
        <f>IF(AQ492="1",BI492,0)</f>
        <v>0</v>
      </c>
      <c r="AD492" s="36">
        <f>IF(AQ492="7",BH492,0)</f>
        <v>0</v>
      </c>
      <c r="AE492" s="36">
        <f>IF(AQ492="7",BI492,0)</f>
        <v>0</v>
      </c>
      <c r="AF492" s="36">
        <f>IF(AQ492="2",BH492,0)</f>
        <v>0</v>
      </c>
      <c r="AG492" s="36">
        <f>IF(AQ492="2",BI492,0)</f>
        <v>0</v>
      </c>
      <c r="AH492" s="36">
        <f>IF(AQ492="0",BJ492,0)</f>
        <v>0</v>
      </c>
      <c r="AI492" s="35" t="s">
        <v>2894</v>
      </c>
      <c r="AJ492" s="20">
        <f>IF(AN492=0,L492,0)</f>
        <v>0</v>
      </c>
      <c r="AK492" s="20">
        <f>IF(AN492=15,L492,0)</f>
        <v>0</v>
      </c>
      <c r="AL492" s="20">
        <f>IF(AN492=21,L492,0)</f>
        <v>0</v>
      </c>
      <c r="AN492" s="36">
        <v>21</v>
      </c>
      <c r="AO492" s="36">
        <f>I492*0.53</f>
        <v>0</v>
      </c>
      <c r="AP492" s="36">
        <f>I492*(1-0.53)</f>
        <v>0</v>
      </c>
      <c r="AQ492" s="37" t="s">
        <v>13</v>
      </c>
      <c r="AV492" s="36">
        <f>AW492+AX492</f>
        <v>0</v>
      </c>
      <c r="AW492" s="36">
        <f>H492*AO492</f>
        <v>0</v>
      </c>
      <c r="AX492" s="36">
        <f>H492*AP492</f>
        <v>0</v>
      </c>
      <c r="AY492" s="39" t="s">
        <v>2930</v>
      </c>
      <c r="AZ492" s="39" t="s">
        <v>2955</v>
      </c>
      <c r="BA492" s="35" t="s">
        <v>2967</v>
      </c>
      <c r="BC492" s="36">
        <f>AW492+AX492</f>
        <v>0</v>
      </c>
      <c r="BD492" s="36">
        <f>I492/(100-BE492)*100</f>
        <v>0</v>
      </c>
      <c r="BE492" s="36">
        <v>0</v>
      </c>
      <c r="BF492" s="36">
        <f>492</f>
        <v>492</v>
      </c>
      <c r="BH492" s="20">
        <f>H492*AO492</f>
        <v>0</v>
      </c>
      <c r="BI492" s="20">
        <f>H492*AP492</f>
        <v>0</v>
      </c>
      <c r="BJ492" s="20">
        <f>H492*I492</f>
        <v>0</v>
      </c>
      <c r="BK492" s="20" t="s">
        <v>2978</v>
      </c>
      <c r="BL492" s="36">
        <v>730</v>
      </c>
    </row>
    <row r="493" spans="1:64" x14ac:dyDescent="0.2">
      <c r="A493" s="4" t="s">
        <v>391</v>
      </c>
      <c r="B493" s="13" t="s">
        <v>1318</v>
      </c>
      <c r="C493" s="174" t="s">
        <v>2311</v>
      </c>
      <c r="D493" s="175"/>
      <c r="E493" s="175"/>
      <c r="F493" s="175"/>
      <c r="G493" s="13" t="s">
        <v>2861</v>
      </c>
      <c r="H493" s="82">
        <v>1</v>
      </c>
      <c r="I493" s="109">
        <v>0</v>
      </c>
      <c r="J493" s="20">
        <f>H493*AO493</f>
        <v>0</v>
      </c>
      <c r="K493" s="20">
        <f>H493*AP493</f>
        <v>0</v>
      </c>
      <c r="L493" s="20">
        <f>H493*I493</f>
        <v>0</v>
      </c>
      <c r="M493" s="31" t="s">
        <v>2884</v>
      </c>
      <c r="N493" s="5"/>
      <c r="Z493" s="36">
        <f>IF(AQ493="5",BJ493,0)</f>
        <v>0</v>
      </c>
      <c r="AB493" s="36">
        <f>IF(AQ493="1",BH493,0)</f>
        <v>0</v>
      </c>
      <c r="AC493" s="36">
        <f>IF(AQ493="1",BI493,0)</f>
        <v>0</v>
      </c>
      <c r="AD493" s="36">
        <f>IF(AQ493="7",BH493,0)</f>
        <v>0</v>
      </c>
      <c r="AE493" s="36">
        <f>IF(AQ493="7",BI493,0)</f>
        <v>0</v>
      </c>
      <c r="AF493" s="36">
        <f>IF(AQ493="2",BH493,0)</f>
        <v>0</v>
      </c>
      <c r="AG493" s="36">
        <f>IF(AQ493="2",BI493,0)</f>
        <v>0</v>
      </c>
      <c r="AH493" s="36">
        <f>IF(AQ493="0",BJ493,0)</f>
        <v>0</v>
      </c>
      <c r="AI493" s="35" t="s">
        <v>2894</v>
      </c>
      <c r="AJ493" s="20">
        <f>IF(AN493=0,L493,0)</f>
        <v>0</v>
      </c>
      <c r="AK493" s="20">
        <f>IF(AN493=15,L493,0)</f>
        <v>0</v>
      </c>
      <c r="AL493" s="20">
        <f>IF(AN493=21,L493,0)</f>
        <v>0</v>
      </c>
      <c r="AN493" s="36">
        <v>21</v>
      </c>
      <c r="AO493" s="36">
        <f>I493*0.53</f>
        <v>0</v>
      </c>
      <c r="AP493" s="36">
        <f>I493*(1-0.53)</f>
        <v>0</v>
      </c>
      <c r="AQ493" s="37" t="s">
        <v>13</v>
      </c>
      <c r="AV493" s="36">
        <f>AW493+AX493</f>
        <v>0</v>
      </c>
      <c r="AW493" s="36">
        <f>H493*AO493</f>
        <v>0</v>
      </c>
      <c r="AX493" s="36">
        <f>H493*AP493</f>
        <v>0</v>
      </c>
      <c r="AY493" s="39" t="s">
        <v>2930</v>
      </c>
      <c r="AZ493" s="39" t="s">
        <v>2955</v>
      </c>
      <c r="BA493" s="35" t="s">
        <v>2967</v>
      </c>
      <c r="BC493" s="36">
        <f>AW493+AX493</f>
        <v>0</v>
      </c>
      <c r="BD493" s="36">
        <f>I493/(100-BE493)*100</f>
        <v>0</v>
      </c>
      <c r="BE493" s="36">
        <v>0</v>
      </c>
      <c r="BF493" s="36">
        <f>493</f>
        <v>493</v>
      </c>
      <c r="BH493" s="20">
        <f>H493*AO493</f>
        <v>0</v>
      </c>
      <c r="BI493" s="20">
        <f>H493*AP493</f>
        <v>0</v>
      </c>
      <c r="BJ493" s="20">
        <f>H493*I493</f>
        <v>0</v>
      </c>
      <c r="BK493" s="20" t="s">
        <v>2978</v>
      </c>
      <c r="BL493" s="36">
        <v>730</v>
      </c>
    </row>
    <row r="494" spans="1:64" x14ac:dyDescent="0.2">
      <c r="A494" s="5"/>
      <c r="B494" s="14"/>
      <c r="C494" s="179" t="s">
        <v>2312</v>
      </c>
      <c r="D494" s="180"/>
      <c r="E494" s="180"/>
      <c r="F494" s="180"/>
      <c r="G494" s="180"/>
      <c r="H494" s="180"/>
      <c r="I494" s="180"/>
      <c r="J494" s="180"/>
      <c r="K494" s="180"/>
      <c r="L494" s="180"/>
      <c r="M494" s="181"/>
      <c r="N494" s="5"/>
    </row>
    <row r="495" spans="1:64" x14ac:dyDescent="0.2">
      <c r="A495" s="4" t="s">
        <v>392</v>
      </c>
      <c r="B495" s="13" t="s">
        <v>1319</v>
      </c>
      <c r="C495" s="174" t="s">
        <v>2313</v>
      </c>
      <c r="D495" s="175"/>
      <c r="E495" s="175"/>
      <c r="F495" s="175"/>
      <c r="G495" s="13" t="s">
        <v>2861</v>
      </c>
      <c r="H495" s="82">
        <v>1</v>
      </c>
      <c r="I495" s="109">
        <v>0</v>
      </c>
      <c r="J495" s="20">
        <f t="shared" ref="J495:J507" si="464">H495*AO495</f>
        <v>0</v>
      </c>
      <c r="K495" s="20">
        <f t="shared" ref="K495:K507" si="465">H495*AP495</f>
        <v>0</v>
      </c>
      <c r="L495" s="20">
        <f t="shared" ref="L495:L507" si="466">H495*I495</f>
        <v>0</v>
      </c>
      <c r="M495" s="31" t="s">
        <v>2884</v>
      </c>
      <c r="N495" s="5"/>
      <c r="Z495" s="36">
        <f t="shared" ref="Z495:Z507" si="467">IF(AQ495="5",BJ495,0)</f>
        <v>0</v>
      </c>
      <c r="AB495" s="36">
        <f t="shared" ref="AB495:AB507" si="468">IF(AQ495="1",BH495,0)</f>
        <v>0</v>
      </c>
      <c r="AC495" s="36">
        <f t="shared" ref="AC495:AC507" si="469">IF(AQ495="1",BI495,0)</f>
        <v>0</v>
      </c>
      <c r="AD495" s="36">
        <f t="shared" ref="AD495:AD507" si="470">IF(AQ495="7",BH495,0)</f>
        <v>0</v>
      </c>
      <c r="AE495" s="36">
        <f t="shared" ref="AE495:AE507" si="471">IF(AQ495="7",BI495,0)</f>
        <v>0</v>
      </c>
      <c r="AF495" s="36">
        <f t="shared" ref="AF495:AF507" si="472">IF(AQ495="2",BH495,0)</f>
        <v>0</v>
      </c>
      <c r="AG495" s="36">
        <f t="shared" ref="AG495:AG507" si="473">IF(AQ495="2",BI495,0)</f>
        <v>0</v>
      </c>
      <c r="AH495" s="36">
        <f t="shared" ref="AH495:AH507" si="474">IF(AQ495="0",BJ495,0)</f>
        <v>0</v>
      </c>
      <c r="AI495" s="35" t="s">
        <v>2894</v>
      </c>
      <c r="AJ495" s="20">
        <f t="shared" ref="AJ495:AJ507" si="475">IF(AN495=0,L495,0)</f>
        <v>0</v>
      </c>
      <c r="AK495" s="20">
        <f t="shared" ref="AK495:AK507" si="476">IF(AN495=15,L495,0)</f>
        <v>0</v>
      </c>
      <c r="AL495" s="20">
        <f t="shared" ref="AL495:AL507" si="477">IF(AN495=21,L495,0)</f>
        <v>0</v>
      </c>
      <c r="AN495" s="36">
        <v>21</v>
      </c>
      <c r="AO495" s="36">
        <f>I495*0.53</f>
        <v>0</v>
      </c>
      <c r="AP495" s="36">
        <f>I495*(1-0.53)</f>
        <v>0</v>
      </c>
      <c r="AQ495" s="37" t="s">
        <v>13</v>
      </c>
      <c r="AV495" s="36">
        <f t="shared" ref="AV495:AV507" si="478">AW495+AX495</f>
        <v>0</v>
      </c>
      <c r="AW495" s="36">
        <f t="shared" ref="AW495:AW507" si="479">H495*AO495</f>
        <v>0</v>
      </c>
      <c r="AX495" s="36">
        <f t="shared" ref="AX495:AX507" si="480">H495*AP495</f>
        <v>0</v>
      </c>
      <c r="AY495" s="39" t="s">
        <v>2930</v>
      </c>
      <c r="AZ495" s="39" t="s">
        <v>2955</v>
      </c>
      <c r="BA495" s="35" t="s">
        <v>2967</v>
      </c>
      <c r="BC495" s="36">
        <f t="shared" ref="BC495:BC507" si="481">AW495+AX495</f>
        <v>0</v>
      </c>
      <c r="BD495" s="36">
        <f t="shared" ref="BD495:BD507" si="482">I495/(100-BE495)*100</f>
        <v>0</v>
      </c>
      <c r="BE495" s="36">
        <v>0</v>
      </c>
      <c r="BF495" s="36">
        <f>495</f>
        <v>495</v>
      </c>
      <c r="BH495" s="20">
        <f t="shared" ref="BH495:BH507" si="483">H495*AO495</f>
        <v>0</v>
      </c>
      <c r="BI495" s="20">
        <f t="shared" ref="BI495:BI507" si="484">H495*AP495</f>
        <v>0</v>
      </c>
      <c r="BJ495" s="20">
        <f t="shared" ref="BJ495:BJ507" si="485">H495*I495</f>
        <v>0</v>
      </c>
      <c r="BK495" s="20" t="s">
        <v>2978</v>
      </c>
      <c r="BL495" s="36">
        <v>730</v>
      </c>
    </row>
    <row r="496" spans="1:64" x14ac:dyDescent="0.2">
      <c r="A496" s="4" t="s">
        <v>393</v>
      </c>
      <c r="B496" s="13" t="s">
        <v>1320</v>
      </c>
      <c r="C496" s="174" t="s">
        <v>2314</v>
      </c>
      <c r="D496" s="175"/>
      <c r="E496" s="175"/>
      <c r="F496" s="175"/>
      <c r="G496" s="13" t="s">
        <v>2855</v>
      </c>
      <c r="H496" s="82">
        <v>5</v>
      </c>
      <c r="I496" s="109">
        <v>0</v>
      </c>
      <c r="J496" s="20">
        <f t="shared" si="464"/>
        <v>0</v>
      </c>
      <c r="K496" s="20">
        <f t="shared" si="465"/>
        <v>0</v>
      </c>
      <c r="L496" s="20">
        <f t="shared" si="466"/>
        <v>0</v>
      </c>
      <c r="M496" s="31" t="s">
        <v>2884</v>
      </c>
      <c r="N496" s="5"/>
      <c r="Z496" s="36">
        <f t="shared" si="467"/>
        <v>0</v>
      </c>
      <c r="AB496" s="36">
        <f t="shared" si="468"/>
        <v>0</v>
      </c>
      <c r="AC496" s="36">
        <f t="shared" si="469"/>
        <v>0</v>
      </c>
      <c r="AD496" s="36">
        <f t="shared" si="470"/>
        <v>0</v>
      </c>
      <c r="AE496" s="36">
        <f t="shared" si="471"/>
        <v>0</v>
      </c>
      <c r="AF496" s="36">
        <f t="shared" si="472"/>
        <v>0</v>
      </c>
      <c r="AG496" s="36">
        <f t="shared" si="473"/>
        <v>0</v>
      </c>
      <c r="AH496" s="36">
        <f t="shared" si="474"/>
        <v>0</v>
      </c>
      <c r="AI496" s="35" t="s">
        <v>2894</v>
      </c>
      <c r="AJ496" s="20">
        <f t="shared" si="475"/>
        <v>0</v>
      </c>
      <c r="AK496" s="20">
        <f t="shared" si="476"/>
        <v>0</v>
      </c>
      <c r="AL496" s="20">
        <f t="shared" si="477"/>
        <v>0</v>
      </c>
      <c r="AN496" s="36">
        <v>21</v>
      </c>
      <c r="AO496" s="36">
        <f>I496*0.53</f>
        <v>0</v>
      </c>
      <c r="AP496" s="36">
        <f>I496*(1-0.53)</f>
        <v>0</v>
      </c>
      <c r="AQ496" s="37" t="s">
        <v>13</v>
      </c>
      <c r="AV496" s="36">
        <f t="shared" si="478"/>
        <v>0</v>
      </c>
      <c r="AW496" s="36">
        <f t="shared" si="479"/>
        <v>0</v>
      </c>
      <c r="AX496" s="36">
        <f t="shared" si="480"/>
        <v>0</v>
      </c>
      <c r="AY496" s="39" t="s">
        <v>2930</v>
      </c>
      <c r="AZ496" s="39" t="s">
        <v>2955</v>
      </c>
      <c r="BA496" s="35" t="s">
        <v>2967</v>
      </c>
      <c r="BC496" s="36">
        <f t="shared" si="481"/>
        <v>0</v>
      </c>
      <c r="BD496" s="36">
        <f t="shared" si="482"/>
        <v>0</v>
      </c>
      <c r="BE496" s="36">
        <v>0</v>
      </c>
      <c r="BF496" s="36">
        <f>496</f>
        <v>496</v>
      </c>
      <c r="BH496" s="20">
        <f t="shared" si="483"/>
        <v>0</v>
      </c>
      <c r="BI496" s="20">
        <f t="shared" si="484"/>
        <v>0</v>
      </c>
      <c r="BJ496" s="20">
        <f t="shared" si="485"/>
        <v>0</v>
      </c>
      <c r="BK496" s="20" t="s">
        <v>2978</v>
      </c>
      <c r="BL496" s="36">
        <v>730</v>
      </c>
    </row>
    <row r="497" spans="1:64" x14ac:dyDescent="0.2">
      <c r="A497" s="4" t="s">
        <v>394</v>
      </c>
      <c r="B497" s="13" t="s">
        <v>1321</v>
      </c>
      <c r="C497" s="174" t="s">
        <v>2315</v>
      </c>
      <c r="D497" s="175"/>
      <c r="E497" s="175"/>
      <c r="F497" s="175"/>
      <c r="G497" s="13" t="s">
        <v>2861</v>
      </c>
      <c r="H497" s="82">
        <v>1</v>
      </c>
      <c r="I497" s="109">
        <v>0</v>
      </c>
      <c r="J497" s="20">
        <f t="shared" si="464"/>
        <v>0</v>
      </c>
      <c r="K497" s="20">
        <f t="shared" si="465"/>
        <v>0</v>
      </c>
      <c r="L497" s="20">
        <f t="shared" si="466"/>
        <v>0</v>
      </c>
      <c r="M497" s="31" t="s">
        <v>2884</v>
      </c>
      <c r="N497" s="5"/>
      <c r="Z497" s="36">
        <f t="shared" si="467"/>
        <v>0</v>
      </c>
      <c r="AB497" s="36">
        <f t="shared" si="468"/>
        <v>0</v>
      </c>
      <c r="AC497" s="36">
        <f t="shared" si="469"/>
        <v>0</v>
      </c>
      <c r="AD497" s="36">
        <f t="shared" si="470"/>
        <v>0</v>
      </c>
      <c r="AE497" s="36">
        <f t="shared" si="471"/>
        <v>0</v>
      </c>
      <c r="AF497" s="36">
        <f t="shared" si="472"/>
        <v>0</v>
      </c>
      <c r="AG497" s="36">
        <f t="shared" si="473"/>
        <v>0</v>
      </c>
      <c r="AH497" s="36">
        <f t="shared" si="474"/>
        <v>0</v>
      </c>
      <c r="AI497" s="35" t="s">
        <v>2894</v>
      </c>
      <c r="AJ497" s="20">
        <f t="shared" si="475"/>
        <v>0</v>
      </c>
      <c r="AK497" s="20">
        <f t="shared" si="476"/>
        <v>0</v>
      </c>
      <c r="AL497" s="20">
        <f t="shared" si="477"/>
        <v>0</v>
      </c>
      <c r="AN497" s="36">
        <v>21</v>
      </c>
      <c r="AO497" s="36">
        <f>I497*0.53</f>
        <v>0</v>
      </c>
      <c r="AP497" s="36">
        <f>I497*(1-0.53)</f>
        <v>0</v>
      </c>
      <c r="AQ497" s="37" t="s">
        <v>13</v>
      </c>
      <c r="AV497" s="36">
        <f t="shared" si="478"/>
        <v>0</v>
      </c>
      <c r="AW497" s="36">
        <f t="shared" si="479"/>
        <v>0</v>
      </c>
      <c r="AX497" s="36">
        <f t="shared" si="480"/>
        <v>0</v>
      </c>
      <c r="AY497" s="39" t="s">
        <v>2930</v>
      </c>
      <c r="AZ497" s="39" t="s">
        <v>2955</v>
      </c>
      <c r="BA497" s="35" t="s">
        <v>2967</v>
      </c>
      <c r="BC497" s="36">
        <f t="shared" si="481"/>
        <v>0</v>
      </c>
      <c r="BD497" s="36">
        <f t="shared" si="482"/>
        <v>0</v>
      </c>
      <c r="BE497" s="36">
        <v>0</v>
      </c>
      <c r="BF497" s="36">
        <f>497</f>
        <v>497</v>
      </c>
      <c r="BH497" s="20">
        <f t="shared" si="483"/>
        <v>0</v>
      </c>
      <c r="BI497" s="20">
        <f t="shared" si="484"/>
        <v>0</v>
      </c>
      <c r="BJ497" s="20">
        <f t="shared" si="485"/>
        <v>0</v>
      </c>
      <c r="BK497" s="20" t="s">
        <v>2978</v>
      </c>
      <c r="BL497" s="36">
        <v>730</v>
      </c>
    </row>
    <row r="498" spans="1:64" x14ac:dyDescent="0.2">
      <c r="A498" s="4" t="s">
        <v>395</v>
      </c>
      <c r="B498" s="13" t="s">
        <v>1322</v>
      </c>
      <c r="C498" s="174" t="s">
        <v>2316</v>
      </c>
      <c r="D498" s="175"/>
      <c r="E498" s="175"/>
      <c r="F498" s="175"/>
      <c r="G498" s="13" t="s">
        <v>2861</v>
      </c>
      <c r="H498" s="82">
        <v>1</v>
      </c>
      <c r="I498" s="109">
        <v>0</v>
      </c>
      <c r="J498" s="20">
        <f t="shared" si="464"/>
        <v>0</v>
      </c>
      <c r="K498" s="20">
        <f t="shared" si="465"/>
        <v>0</v>
      </c>
      <c r="L498" s="20">
        <f t="shared" si="466"/>
        <v>0</v>
      </c>
      <c r="M498" s="31" t="s">
        <v>2884</v>
      </c>
      <c r="N498" s="5"/>
      <c r="Z498" s="36">
        <f t="shared" si="467"/>
        <v>0</v>
      </c>
      <c r="AB498" s="36">
        <f t="shared" si="468"/>
        <v>0</v>
      </c>
      <c r="AC498" s="36">
        <f t="shared" si="469"/>
        <v>0</v>
      </c>
      <c r="AD498" s="36">
        <f t="shared" si="470"/>
        <v>0</v>
      </c>
      <c r="AE498" s="36">
        <f t="shared" si="471"/>
        <v>0</v>
      </c>
      <c r="AF498" s="36">
        <f t="shared" si="472"/>
        <v>0</v>
      </c>
      <c r="AG498" s="36">
        <f t="shared" si="473"/>
        <v>0</v>
      </c>
      <c r="AH498" s="36">
        <f t="shared" si="474"/>
        <v>0</v>
      </c>
      <c r="AI498" s="35" t="s">
        <v>2894</v>
      </c>
      <c r="AJ498" s="20">
        <f t="shared" si="475"/>
        <v>0</v>
      </c>
      <c r="AK498" s="20">
        <f t="shared" si="476"/>
        <v>0</v>
      </c>
      <c r="AL498" s="20">
        <f t="shared" si="477"/>
        <v>0</v>
      </c>
      <c r="AN498" s="36">
        <v>21</v>
      </c>
      <c r="AO498" s="36">
        <f>I498*0.53</f>
        <v>0</v>
      </c>
      <c r="AP498" s="36">
        <f>I498*(1-0.53)</f>
        <v>0</v>
      </c>
      <c r="AQ498" s="37" t="s">
        <v>13</v>
      </c>
      <c r="AV498" s="36">
        <f t="shared" si="478"/>
        <v>0</v>
      </c>
      <c r="AW498" s="36">
        <f t="shared" si="479"/>
        <v>0</v>
      </c>
      <c r="AX498" s="36">
        <f t="shared" si="480"/>
        <v>0</v>
      </c>
      <c r="AY498" s="39" t="s">
        <v>2930</v>
      </c>
      <c r="AZ498" s="39" t="s">
        <v>2955</v>
      </c>
      <c r="BA498" s="35" t="s">
        <v>2967</v>
      </c>
      <c r="BC498" s="36">
        <f t="shared" si="481"/>
        <v>0</v>
      </c>
      <c r="BD498" s="36">
        <f t="shared" si="482"/>
        <v>0</v>
      </c>
      <c r="BE498" s="36">
        <v>0</v>
      </c>
      <c r="BF498" s="36">
        <f>498</f>
        <v>498</v>
      </c>
      <c r="BH498" s="20">
        <f t="shared" si="483"/>
        <v>0</v>
      </c>
      <c r="BI498" s="20">
        <f t="shared" si="484"/>
        <v>0</v>
      </c>
      <c r="BJ498" s="20">
        <f t="shared" si="485"/>
        <v>0</v>
      </c>
      <c r="BK498" s="20" t="s">
        <v>2978</v>
      </c>
      <c r="BL498" s="36">
        <v>730</v>
      </c>
    </row>
    <row r="499" spans="1:64" x14ac:dyDescent="0.2">
      <c r="A499" s="4" t="s">
        <v>396</v>
      </c>
      <c r="B499" s="13" t="s">
        <v>1323</v>
      </c>
      <c r="C499" s="174" t="s">
        <v>2317</v>
      </c>
      <c r="D499" s="175"/>
      <c r="E499" s="175"/>
      <c r="F499" s="175"/>
      <c r="G499" s="13" t="s">
        <v>2861</v>
      </c>
      <c r="H499" s="82">
        <v>1</v>
      </c>
      <c r="I499" s="109">
        <v>0</v>
      </c>
      <c r="J499" s="20">
        <f t="shared" si="464"/>
        <v>0</v>
      </c>
      <c r="K499" s="20">
        <f t="shared" si="465"/>
        <v>0</v>
      </c>
      <c r="L499" s="20">
        <f t="shared" si="466"/>
        <v>0</v>
      </c>
      <c r="M499" s="31" t="s">
        <v>2884</v>
      </c>
      <c r="N499" s="5"/>
      <c r="Z499" s="36">
        <f t="shared" si="467"/>
        <v>0</v>
      </c>
      <c r="AB499" s="36">
        <f t="shared" si="468"/>
        <v>0</v>
      </c>
      <c r="AC499" s="36">
        <f t="shared" si="469"/>
        <v>0</v>
      </c>
      <c r="AD499" s="36">
        <f t="shared" si="470"/>
        <v>0</v>
      </c>
      <c r="AE499" s="36">
        <f t="shared" si="471"/>
        <v>0</v>
      </c>
      <c r="AF499" s="36">
        <f t="shared" si="472"/>
        <v>0</v>
      </c>
      <c r="AG499" s="36">
        <f t="shared" si="473"/>
        <v>0</v>
      </c>
      <c r="AH499" s="36">
        <f t="shared" si="474"/>
        <v>0</v>
      </c>
      <c r="AI499" s="35" t="s">
        <v>2894</v>
      </c>
      <c r="AJ499" s="20">
        <f t="shared" si="475"/>
        <v>0</v>
      </c>
      <c r="AK499" s="20">
        <f t="shared" si="476"/>
        <v>0</v>
      </c>
      <c r="AL499" s="20">
        <f t="shared" si="477"/>
        <v>0</v>
      </c>
      <c r="AN499" s="36">
        <v>21</v>
      </c>
      <c r="AO499" s="36">
        <f t="shared" ref="AO499:AO507" si="486">I499*0</f>
        <v>0</v>
      </c>
      <c r="AP499" s="36">
        <f t="shared" ref="AP499:AP507" si="487">I499*(1-0)</f>
        <v>0</v>
      </c>
      <c r="AQ499" s="37" t="s">
        <v>13</v>
      </c>
      <c r="AV499" s="36">
        <f t="shared" si="478"/>
        <v>0</v>
      </c>
      <c r="AW499" s="36">
        <f t="shared" si="479"/>
        <v>0</v>
      </c>
      <c r="AX499" s="36">
        <f t="shared" si="480"/>
        <v>0</v>
      </c>
      <c r="AY499" s="39" t="s">
        <v>2930</v>
      </c>
      <c r="AZ499" s="39" t="s">
        <v>2955</v>
      </c>
      <c r="BA499" s="35" t="s">
        <v>2967</v>
      </c>
      <c r="BC499" s="36">
        <f t="shared" si="481"/>
        <v>0</v>
      </c>
      <c r="BD499" s="36">
        <f t="shared" si="482"/>
        <v>0</v>
      </c>
      <c r="BE499" s="36">
        <v>0</v>
      </c>
      <c r="BF499" s="36">
        <f>499</f>
        <v>499</v>
      </c>
      <c r="BH499" s="20">
        <f t="shared" si="483"/>
        <v>0</v>
      </c>
      <c r="BI499" s="20">
        <f t="shared" si="484"/>
        <v>0</v>
      </c>
      <c r="BJ499" s="20">
        <f t="shared" si="485"/>
        <v>0</v>
      </c>
      <c r="BK499" s="20" t="s">
        <v>2978</v>
      </c>
      <c r="BL499" s="36">
        <v>730</v>
      </c>
    </row>
    <row r="500" spans="1:64" x14ac:dyDescent="0.2">
      <c r="A500" s="4" t="s">
        <v>397</v>
      </c>
      <c r="B500" s="13" t="s">
        <v>1324</v>
      </c>
      <c r="C500" s="174" t="s">
        <v>2318</v>
      </c>
      <c r="D500" s="175"/>
      <c r="E500" s="175"/>
      <c r="F500" s="175"/>
      <c r="G500" s="13" t="s">
        <v>2861</v>
      </c>
      <c r="H500" s="82">
        <v>1</v>
      </c>
      <c r="I500" s="109">
        <v>0</v>
      </c>
      <c r="J500" s="20">
        <f t="shared" si="464"/>
        <v>0</v>
      </c>
      <c r="K500" s="20">
        <f t="shared" si="465"/>
        <v>0</v>
      </c>
      <c r="L500" s="20">
        <f t="shared" si="466"/>
        <v>0</v>
      </c>
      <c r="M500" s="31" t="s">
        <v>2884</v>
      </c>
      <c r="N500" s="5"/>
      <c r="Z500" s="36">
        <f t="shared" si="467"/>
        <v>0</v>
      </c>
      <c r="AB500" s="36">
        <f t="shared" si="468"/>
        <v>0</v>
      </c>
      <c r="AC500" s="36">
        <f t="shared" si="469"/>
        <v>0</v>
      </c>
      <c r="AD500" s="36">
        <f t="shared" si="470"/>
        <v>0</v>
      </c>
      <c r="AE500" s="36">
        <f t="shared" si="471"/>
        <v>0</v>
      </c>
      <c r="AF500" s="36">
        <f t="shared" si="472"/>
        <v>0</v>
      </c>
      <c r="AG500" s="36">
        <f t="shared" si="473"/>
        <v>0</v>
      </c>
      <c r="AH500" s="36">
        <f t="shared" si="474"/>
        <v>0</v>
      </c>
      <c r="AI500" s="35" t="s">
        <v>2894</v>
      </c>
      <c r="AJ500" s="20">
        <f t="shared" si="475"/>
        <v>0</v>
      </c>
      <c r="AK500" s="20">
        <f t="shared" si="476"/>
        <v>0</v>
      </c>
      <c r="AL500" s="20">
        <f t="shared" si="477"/>
        <v>0</v>
      </c>
      <c r="AN500" s="36">
        <v>21</v>
      </c>
      <c r="AO500" s="36">
        <f t="shared" si="486"/>
        <v>0</v>
      </c>
      <c r="AP500" s="36">
        <f t="shared" si="487"/>
        <v>0</v>
      </c>
      <c r="AQ500" s="37" t="s">
        <v>13</v>
      </c>
      <c r="AV500" s="36">
        <f t="shared" si="478"/>
        <v>0</v>
      </c>
      <c r="AW500" s="36">
        <f t="shared" si="479"/>
        <v>0</v>
      </c>
      <c r="AX500" s="36">
        <f t="shared" si="480"/>
        <v>0</v>
      </c>
      <c r="AY500" s="39" t="s">
        <v>2930</v>
      </c>
      <c r="AZ500" s="39" t="s">
        <v>2955</v>
      </c>
      <c r="BA500" s="35" t="s">
        <v>2967</v>
      </c>
      <c r="BC500" s="36">
        <f t="shared" si="481"/>
        <v>0</v>
      </c>
      <c r="BD500" s="36">
        <f t="shared" si="482"/>
        <v>0</v>
      </c>
      <c r="BE500" s="36">
        <v>0</v>
      </c>
      <c r="BF500" s="36">
        <f>500</f>
        <v>500</v>
      </c>
      <c r="BH500" s="20">
        <f t="shared" si="483"/>
        <v>0</v>
      </c>
      <c r="BI500" s="20">
        <f t="shared" si="484"/>
        <v>0</v>
      </c>
      <c r="BJ500" s="20">
        <f t="shared" si="485"/>
        <v>0</v>
      </c>
      <c r="BK500" s="20" t="s">
        <v>2978</v>
      </c>
      <c r="BL500" s="36">
        <v>730</v>
      </c>
    </row>
    <row r="501" spans="1:64" x14ac:dyDescent="0.2">
      <c r="A501" s="4" t="s">
        <v>398</v>
      </c>
      <c r="B501" s="13" t="s">
        <v>1325</v>
      </c>
      <c r="C501" s="174" t="s">
        <v>2319</v>
      </c>
      <c r="D501" s="175"/>
      <c r="E501" s="175"/>
      <c r="F501" s="175"/>
      <c r="G501" s="13" t="s">
        <v>2861</v>
      </c>
      <c r="H501" s="82">
        <v>1</v>
      </c>
      <c r="I501" s="109">
        <v>0</v>
      </c>
      <c r="J501" s="20">
        <f t="shared" si="464"/>
        <v>0</v>
      </c>
      <c r="K501" s="20">
        <f t="shared" si="465"/>
        <v>0</v>
      </c>
      <c r="L501" s="20">
        <f t="shared" si="466"/>
        <v>0</v>
      </c>
      <c r="M501" s="31" t="s">
        <v>2884</v>
      </c>
      <c r="N501" s="5"/>
      <c r="Z501" s="36">
        <f t="shared" si="467"/>
        <v>0</v>
      </c>
      <c r="AB501" s="36">
        <f t="shared" si="468"/>
        <v>0</v>
      </c>
      <c r="AC501" s="36">
        <f t="shared" si="469"/>
        <v>0</v>
      </c>
      <c r="AD501" s="36">
        <f t="shared" si="470"/>
        <v>0</v>
      </c>
      <c r="AE501" s="36">
        <f t="shared" si="471"/>
        <v>0</v>
      </c>
      <c r="AF501" s="36">
        <f t="shared" si="472"/>
        <v>0</v>
      </c>
      <c r="AG501" s="36">
        <f t="shared" si="473"/>
        <v>0</v>
      </c>
      <c r="AH501" s="36">
        <f t="shared" si="474"/>
        <v>0</v>
      </c>
      <c r="AI501" s="35" t="s">
        <v>2894</v>
      </c>
      <c r="AJ501" s="20">
        <f t="shared" si="475"/>
        <v>0</v>
      </c>
      <c r="AK501" s="20">
        <f t="shared" si="476"/>
        <v>0</v>
      </c>
      <c r="AL501" s="20">
        <f t="shared" si="477"/>
        <v>0</v>
      </c>
      <c r="AN501" s="36">
        <v>21</v>
      </c>
      <c r="AO501" s="36">
        <f t="shared" si="486"/>
        <v>0</v>
      </c>
      <c r="AP501" s="36">
        <f t="shared" si="487"/>
        <v>0</v>
      </c>
      <c r="AQ501" s="37" t="s">
        <v>13</v>
      </c>
      <c r="AV501" s="36">
        <f t="shared" si="478"/>
        <v>0</v>
      </c>
      <c r="AW501" s="36">
        <f t="shared" si="479"/>
        <v>0</v>
      </c>
      <c r="AX501" s="36">
        <f t="shared" si="480"/>
        <v>0</v>
      </c>
      <c r="AY501" s="39" t="s">
        <v>2930</v>
      </c>
      <c r="AZ501" s="39" t="s">
        <v>2955</v>
      </c>
      <c r="BA501" s="35" t="s">
        <v>2967</v>
      </c>
      <c r="BC501" s="36">
        <f t="shared" si="481"/>
        <v>0</v>
      </c>
      <c r="BD501" s="36">
        <f t="shared" si="482"/>
        <v>0</v>
      </c>
      <c r="BE501" s="36">
        <v>0</v>
      </c>
      <c r="BF501" s="36">
        <f>501</f>
        <v>501</v>
      </c>
      <c r="BH501" s="20">
        <f t="shared" si="483"/>
        <v>0</v>
      </c>
      <c r="BI501" s="20">
        <f t="shared" si="484"/>
        <v>0</v>
      </c>
      <c r="BJ501" s="20">
        <f t="shared" si="485"/>
        <v>0</v>
      </c>
      <c r="BK501" s="20" t="s">
        <v>2978</v>
      </c>
      <c r="BL501" s="36">
        <v>730</v>
      </c>
    </row>
    <row r="502" spans="1:64" x14ac:dyDescent="0.2">
      <c r="A502" s="4" t="s">
        <v>399</v>
      </c>
      <c r="B502" s="13" t="s">
        <v>1326</v>
      </c>
      <c r="C502" s="174" t="s">
        <v>2320</v>
      </c>
      <c r="D502" s="175"/>
      <c r="E502" s="175"/>
      <c r="F502" s="175"/>
      <c r="G502" s="13" t="s">
        <v>2861</v>
      </c>
      <c r="H502" s="82">
        <v>1</v>
      </c>
      <c r="I502" s="109">
        <v>0</v>
      </c>
      <c r="J502" s="20">
        <f t="shared" si="464"/>
        <v>0</v>
      </c>
      <c r="K502" s="20">
        <f t="shared" si="465"/>
        <v>0</v>
      </c>
      <c r="L502" s="20">
        <f t="shared" si="466"/>
        <v>0</v>
      </c>
      <c r="M502" s="31" t="s">
        <v>2884</v>
      </c>
      <c r="N502" s="5"/>
      <c r="Z502" s="36">
        <f t="shared" si="467"/>
        <v>0</v>
      </c>
      <c r="AB502" s="36">
        <f t="shared" si="468"/>
        <v>0</v>
      </c>
      <c r="AC502" s="36">
        <f t="shared" si="469"/>
        <v>0</v>
      </c>
      <c r="AD502" s="36">
        <f t="shared" si="470"/>
        <v>0</v>
      </c>
      <c r="AE502" s="36">
        <f t="shared" si="471"/>
        <v>0</v>
      </c>
      <c r="AF502" s="36">
        <f t="shared" si="472"/>
        <v>0</v>
      </c>
      <c r="AG502" s="36">
        <f t="shared" si="473"/>
        <v>0</v>
      </c>
      <c r="AH502" s="36">
        <f t="shared" si="474"/>
        <v>0</v>
      </c>
      <c r="AI502" s="35" t="s">
        <v>2894</v>
      </c>
      <c r="AJ502" s="20">
        <f t="shared" si="475"/>
        <v>0</v>
      </c>
      <c r="AK502" s="20">
        <f t="shared" si="476"/>
        <v>0</v>
      </c>
      <c r="AL502" s="20">
        <f t="shared" si="477"/>
        <v>0</v>
      </c>
      <c r="AN502" s="36">
        <v>21</v>
      </c>
      <c r="AO502" s="36">
        <f t="shared" si="486"/>
        <v>0</v>
      </c>
      <c r="AP502" s="36">
        <f t="shared" si="487"/>
        <v>0</v>
      </c>
      <c r="AQ502" s="37" t="s">
        <v>13</v>
      </c>
      <c r="AV502" s="36">
        <f t="shared" si="478"/>
        <v>0</v>
      </c>
      <c r="AW502" s="36">
        <f t="shared" si="479"/>
        <v>0</v>
      </c>
      <c r="AX502" s="36">
        <f t="shared" si="480"/>
        <v>0</v>
      </c>
      <c r="AY502" s="39" t="s">
        <v>2930</v>
      </c>
      <c r="AZ502" s="39" t="s">
        <v>2955</v>
      </c>
      <c r="BA502" s="35" t="s">
        <v>2967</v>
      </c>
      <c r="BC502" s="36">
        <f t="shared" si="481"/>
        <v>0</v>
      </c>
      <c r="BD502" s="36">
        <f t="shared" si="482"/>
        <v>0</v>
      </c>
      <c r="BE502" s="36">
        <v>0</v>
      </c>
      <c r="BF502" s="36">
        <f>502</f>
        <v>502</v>
      </c>
      <c r="BH502" s="20">
        <f t="shared" si="483"/>
        <v>0</v>
      </c>
      <c r="BI502" s="20">
        <f t="shared" si="484"/>
        <v>0</v>
      </c>
      <c r="BJ502" s="20">
        <f t="shared" si="485"/>
        <v>0</v>
      </c>
      <c r="BK502" s="20" t="s">
        <v>2978</v>
      </c>
      <c r="BL502" s="36">
        <v>730</v>
      </c>
    </row>
    <row r="503" spans="1:64" x14ac:dyDescent="0.2">
      <c r="A503" s="4" t="s">
        <v>400</v>
      </c>
      <c r="B503" s="13" t="s">
        <v>1327</v>
      </c>
      <c r="C503" s="174" t="s">
        <v>2321</v>
      </c>
      <c r="D503" s="175"/>
      <c r="E503" s="175"/>
      <c r="F503" s="175"/>
      <c r="G503" s="13" t="s">
        <v>2861</v>
      </c>
      <c r="H503" s="82">
        <v>1</v>
      </c>
      <c r="I503" s="109">
        <v>0</v>
      </c>
      <c r="J503" s="20">
        <f t="shared" si="464"/>
        <v>0</v>
      </c>
      <c r="K503" s="20">
        <f t="shared" si="465"/>
        <v>0</v>
      </c>
      <c r="L503" s="20">
        <f t="shared" si="466"/>
        <v>0</v>
      </c>
      <c r="M503" s="31" t="s">
        <v>2884</v>
      </c>
      <c r="N503" s="5"/>
      <c r="Z503" s="36">
        <f t="shared" si="467"/>
        <v>0</v>
      </c>
      <c r="AB503" s="36">
        <f t="shared" si="468"/>
        <v>0</v>
      </c>
      <c r="AC503" s="36">
        <f t="shared" si="469"/>
        <v>0</v>
      </c>
      <c r="AD503" s="36">
        <f t="shared" si="470"/>
        <v>0</v>
      </c>
      <c r="AE503" s="36">
        <f t="shared" si="471"/>
        <v>0</v>
      </c>
      <c r="AF503" s="36">
        <f t="shared" si="472"/>
        <v>0</v>
      </c>
      <c r="AG503" s="36">
        <f t="shared" si="473"/>
        <v>0</v>
      </c>
      <c r="AH503" s="36">
        <f t="shared" si="474"/>
        <v>0</v>
      </c>
      <c r="AI503" s="35" t="s">
        <v>2894</v>
      </c>
      <c r="AJ503" s="20">
        <f t="shared" si="475"/>
        <v>0</v>
      </c>
      <c r="AK503" s="20">
        <f t="shared" si="476"/>
        <v>0</v>
      </c>
      <c r="AL503" s="20">
        <f t="shared" si="477"/>
        <v>0</v>
      </c>
      <c r="AN503" s="36">
        <v>21</v>
      </c>
      <c r="AO503" s="36">
        <f t="shared" si="486"/>
        <v>0</v>
      </c>
      <c r="AP503" s="36">
        <f t="shared" si="487"/>
        <v>0</v>
      </c>
      <c r="AQ503" s="37" t="s">
        <v>13</v>
      </c>
      <c r="AV503" s="36">
        <f t="shared" si="478"/>
        <v>0</v>
      </c>
      <c r="AW503" s="36">
        <f t="shared" si="479"/>
        <v>0</v>
      </c>
      <c r="AX503" s="36">
        <f t="shared" si="480"/>
        <v>0</v>
      </c>
      <c r="AY503" s="39" t="s">
        <v>2930</v>
      </c>
      <c r="AZ503" s="39" t="s">
        <v>2955</v>
      </c>
      <c r="BA503" s="35" t="s">
        <v>2967</v>
      </c>
      <c r="BC503" s="36">
        <f t="shared" si="481"/>
        <v>0</v>
      </c>
      <c r="BD503" s="36">
        <f t="shared" si="482"/>
        <v>0</v>
      </c>
      <c r="BE503" s="36">
        <v>0</v>
      </c>
      <c r="BF503" s="36">
        <f>503</f>
        <v>503</v>
      </c>
      <c r="BH503" s="20">
        <f t="shared" si="483"/>
        <v>0</v>
      </c>
      <c r="BI503" s="20">
        <f t="shared" si="484"/>
        <v>0</v>
      </c>
      <c r="BJ503" s="20">
        <f t="shared" si="485"/>
        <v>0</v>
      </c>
      <c r="BK503" s="20" t="s">
        <v>2978</v>
      </c>
      <c r="BL503" s="36">
        <v>730</v>
      </c>
    </row>
    <row r="504" spans="1:64" x14ac:dyDescent="0.2">
      <c r="A504" s="4" t="s">
        <v>401</v>
      </c>
      <c r="B504" s="13" t="s">
        <v>1328</v>
      </c>
      <c r="C504" s="174" t="s">
        <v>2322</v>
      </c>
      <c r="D504" s="175"/>
      <c r="E504" s="175"/>
      <c r="F504" s="175"/>
      <c r="G504" s="13" t="s">
        <v>2861</v>
      </c>
      <c r="H504" s="82">
        <v>1</v>
      </c>
      <c r="I504" s="109">
        <v>0</v>
      </c>
      <c r="J504" s="20">
        <f t="shared" si="464"/>
        <v>0</v>
      </c>
      <c r="K504" s="20">
        <f t="shared" si="465"/>
        <v>0</v>
      </c>
      <c r="L504" s="20">
        <f t="shared" si="466"/>
        <v>0</v>
      </c>
      <c r="M504" s="31" t="s">
        <v>2884</v>
      </c>
      <c r="N504" s="5"/>
      <c r="Z504" s="36">
        <f t="shared" si="467"/>
        <v>0</v>
      </c>
      <c r="AB504" s="36">
        <f t="shared" si="468"/>
        <v>0</v>
      </c>
      <c r="AC504" s="36">
        <f t="shared" si="469"/>
        <v>0</v>
      </c>
      <c r="AD504" s="36">
        <f t="shared" si="470"/>
        <v>0</v>
      </c>
      <c r="AE504" s="36">
        <f t="shared" si="471"/>
        <v>0</v>
      </c>
      <c r="AF504" s="36">
        <f t="shared" si="472"/>
        <v>0</v>
      </c>
      <c r="AG504" s="36">
        <f t="shared" si="473"/>
        <v>0</v>
      </c>
      <c r="AH504" s="36">
        <f t="shared" si="474"/>
        <v>0</v>
      </c>
      <c r="AI504" s="35" t="s">
        <v>2894</v>
      </c>
      <c r="AJ504" s="20">
        <f t="shared" si="475"/>
        <v>0</v>
      </c>
      <c r="AK504" s="20">
        <f t="shared" si="476"/>
        <v>0</v>
      </c>
      <c r="AL504" s="20">
        <f t="shared" si="477"/>
        <v>0</v>
      </c>
      <c r="AN504" s="36">
        <v>21</v>
      </c>
      <c r="AO504" s="36">
        <f t="shared" si="486"/>
        <v>0</v>
      </c>
      <c r="AP504" s="36">
        <f t="shared" si="487"/>
        <v>0</v>
      </c>
      <c r="AQ504" s="37" t="s">
        <v>13</v>
      </c>
      <c r="AV504" s="36">
        <f t="shared" si="478"/>
        <v>0</v>
      </c>
      <c r="AW504" s="36">
        <f t="shared" si="479"/>
        <v>0</v>
      </c>
      <c r="AX504" s="36">
        <f t="shared" si="480"/>
        <v>0</v>
      </c>
      <c r="AY504" s="39" t="s">
        <v>2930</v>
      </c>
      <c r="AZ504" s="39" t="s">
        <v>2955</v>
      </c>
      <c r="BA504" s="35" t="s">
        <v>2967</v>
      </c>
      <c r="BC504" s="36">
        <f t="shared" si="481"/>
        <v>0</v>
      </c>
      <c r="BD504" s="36">
        <f t="shared" si="482"/>
        <v>0</v>
      </c>
      <c r="BE504" s="36">
        <v>0</v>
      </c>
      <c r="BF504" s="36">
        <f>504</f>
        <v>504</v>
      </c>
      <c r="BH504" s="20">
        <f t="shared" si="483"/>
        <v>0</v>
      </c>
      <c r="BI504" s="20">
        <f t="shared" si="484"/>
        <v>0</v>
      </c>
      <c r="BJ504" s="20">
        <f t="shared" si="485"/>
        <v>0</v>
      </c>
      <c r="BK504" s="20" t="s">
        <v>2978</v>
      </c>
      <c r="BL504" s="36">
        <v>730</v>
      </c>
    </row>
    <row r="505" spans="1:64" x14ac:dyDescent="0.2">
      <c r="A505" s="4" t="s">
        <v>402</v>
      </c>
      <c r="B505" s="13" t="s">
        <v>1329</v>
      </c>
      <c r="C505" s="174" t="s">
        <v>2323</v>
      </c>
      <c r="D505" s="175"/>
      <c r="E505" s="175"/>
      <c r="F505" s="175"/>
      <c r="G505" s="13" t="s">
        <v>2861</v>
      </c>
      <c r="H505" s="82">
        <v>1</v>
      </c>
      <c r="I505" s="109">
        <v>0</v>
      </c>
      <c r="J505" s="20">
        <f t="shared" si="464"/>
        <v>0</v>
      </c>
      <c r="K505" s="20">
        <f t="shared" si="465"/>
        <v>0</v>
      </c>
      <c r="L505" s="20">
        <f t="shared" si="466"/>
        <v>0</v>
      </c>
      <c r="M505" s="31" t="s">
        <v>2884</v>
      </c>
      <c r="N505" s="5"/>
      <c r="Z505" s="36">
        <f t="shared" si="467"/>
        <v>0</v>
      </c>
      <c r="AB505" s="36">
        <f t="shared" si="468"/>
        <v>0</v>
      </c>
      <c r="AC505" s="36">
        <f t="shared" si="469"/>
        <v>0</v>
      </c>
      <c r="AD505" s="36">
        <f t="shared" si="470"/>
        <v>0</v>
      </c>
      <c r="AE505" s="36">
        <f t="shared" si="471"/>
        <v>0</v>
      </c>
      <c r="AF505" s="36">
        <f t="shared" si="472"/>
        <v>0</v>
      </c>
      <c r="AG505" s="36">
        <f t="shared" si="473"/>
        <v>0</v>
      </c>
      <c r="AH505" s="36">
        <f t="shared" si="474"/>
        <v>0</v>
      </c>
      <c r="AI505" s="35" t="s">
        <v>2894</v>
      </c>
      <c r="AJ505" s="20">
        <f t="shared" si="475"/>
        <v>0</v>
      </c>
      <c r="AK505" s="20">
        <f t="shared" si="476"/>
        <v>0</v>
      </c>
      <c r="AL505" s="20">
        <f t="shared" si="477"/>
        <v>0</v>
      </c>
      <c r="AN505" s="36">
        <v>21</v>
      </c>
      <c r="AO505" s="36">
        <f t="shared" si="486"/>
        <v>0</v>
      </c>
      <c r="AP505" s="36">
        <f t="shared" si="487"/>
        <v>0</v>
      </c>
      <c r="AQ505" s="37" t="s">
        <v>13</v>
      </c>
      <c r="AV505" s="36">
        <f t="shared" si="478"/>
        <v>0</v>
      </c>
      <c r="AW505" s="36">
        <f t="shared" si="479"/>
        <v>0</v>
      </c>
      <c r="AX505" s="36">
        <f t="shared" si="480"/>
        <v>0</v>
      </c>
      <c r="AY505" s="39" t="s">
        <v>2930</v>
      </c>
      <c r="AZ505" s="39" t="s">
        <v>2955</v>
      </c>
      <c r="BA505" s="35" t="s">
        <v>2967</v>
      </c>
      <c r="BC505" s="36">
        <f t="shared" si="481"/>
        <v>0</v>
      </c>
      <c r="BD505" s="36">
        <f t="shared" si="482"/>
        <v>0</v>
      </c>
      <c r="BE505" s="36">
        <v>0</v>
      </c>
      <c r="BF505" s="36">
        <f>505</f>
        <v>505</v>
      </c>
      <c r="BH505" s="20">
        <f t="shared" si="483"/>
        <v>0</v>
      </c>
      <c r="BI505" s="20">
        <f t="shared" si="484"/>
        <v>0</v>
      </c>
      <c r="BJ505" s="20">
        <f t="shared" si="485"/>
        <v>0</v>
      </c>
      <c r="BK505" s="20" t="s">
        <v>2978</v>
      </c>
      <c r="BL505" s="36">
        <v>730</v>
      </c>
    </row>
    <row r="506" spans="1:64" x14ac:dyDescent="0.2">
      <c r="A506" s="4" t="s">
        <v>403</v>
      </c>
      <c r="B506" s="13" t="s">
        <v>1330</v>
      </c>
      <c r="C506" s="174" t="s">
        <v>2122</v>
      </c>
      <c r="D506" s="175"/>
      <c r="E506" s="175"/>
      <c r="F506" s="175"/>
      <c r="G506" s="13" t="s">
        <v>2861</v>
      </c>
      <c r="H506" s="82">
        <v>1</v>
      </c>
      <c r="I506" s="109">
        <v>0</v>
      </c>
      <c r="J506" s="20">
        <f t="shared" si="464"/>
        <v>0</v>
      </c>
      <c r="K506" s="20">
        <f t="shared" si="465"/>
        <v>0</v>
      </c>
      <c r="L506" s="20">
        <f t="shared" si="466"/>
        <v>0</v>
      </c>
      <c r="M506" s="31" t="s">
        <v>2884</v>
      </c>
      <c r="N506" s="5"/>
      <c r="Z506" s="36">
        <f t="shared" si="467"/>
        <v>0</v>
      </c>
      <c r="AB506" s="36">
        <f t="shared" si="468"/>
        <v>0</v>
      </c>
      <c r="AC506" s="36">
        <f t="shared" si="469"/>
        <v>0</v>
      </c>
      <c r="AD506" s="36">
        <f t="shared" si="470"/>
        <v>0</v>
      </c>
      <c r="AE506" s="36">
        <f t="shared" si="471"/>
        <v>0</v>
      </c>
      <c r="AF506" s="36">
        <f t="shared" si="472"/>
        <v>0</v>
      </c>
      <c r="AG506" s="36">
        <f t="shared" si="473"/>
        <v>0</v>
      </c>
      <c r="AH506" s="36">
        <f t="shared" si="474"/>
        <v>0</v>
      </c>
      <c r="AI506" s="35" t="s">
        <v>2894</v>
      </c>
      <c r="AJ506" s="20">
        <f t="shared" si="475"/>
        <v>0</v>
      </c>
      <c r="AK506" s="20">
        <f t="shared" si="476"/>
        <v>0</v>
      </c>
      <c r="AL506" s="20">
        <f t="shared" si="477"/>
        <v>0</v>
      </c>
      <c r="AN506" s="36">
        <v>21</v>
      </c>
      <c r="AO506" s="36">
        <f t="shared" si="486"/>
        <v>0</v>
      </c>
      <c r="AP506" s="36">
        <f t="shared" si="487"/>
        <v>0</v>
      </c>
      <c r="AQ506" s="37" t="s">
        <v>13</v>
      </c>
      <c r="AV506" s="36">
        <f t="shared" si="478"/>
        <v>0</v>
      </c>
      <c r="AW506" s="36">
        <f t="shared" si="479"/>
        <v>0</v>
      </c>
      <c r="AX506" s="36">
        <f t="shared" si="480"/>
        <v>0</v>
      </c>
      <c r="AY506" s="39" t="s">
        <v>2930</v>
      </c>
      <c r="AZ506" s="39" t="s">
        <v>2955</v>
      </c>
      <c r="BA506" s="35" t="s">
        <v>2967</v>
      </c>
      <c r="BC506" s="36">
        <f t="shared" si="481"/>
        <v>0</v>
      </c>
      <c r="BD506" s="36">
        <f t="shared" si="482"/>
        <v>0</v>
      </c>
      <c r="BE506" s="36">
        <v>0</v>
      </c>
      <c r="BF506" s="36">
        <f>506</f>
        <v>506</v>
      </c>
      <c r="BH506" s="20">
        <f t="shared" si="483"/>
        <v>0</v>
      </c>
      <c r="BI506" s="20">
        <f t="shared" si="484"/>
        <v>0</v>
      </c>
      <c r="BJ506" s="20">
        <f t="shared" si="485"/>
        <v>0</v>
      </c>
      <c r="BK506" s="20" t="s">
        <v>2978</v>
      </c>
      <c r="BL506" s="36">
        <v>730</v>
      </c>
    </row>
    <row r="507" spans="1:64" x14ac:dyDescent="0.2">
      <c r="A507" s="4" t="s">
        <v>404</v>
      </c>
      <c r="B507" s="13" t="s">
        <v>1331</v>
      </c>
      <c r="C507" s="174" t="s">
        <v>2324</v>
      </c>
      <c r="D507" s="175"/>
      <c r="E507" s="175"/>
      <c r="F507" s="175"/>
      <c r="G507" s="13" t="s">
        <v>2862</v>
      </c>
      <c r="H507" s="82">
        <v>20</v>
      </c>
      <c r="I507" s="109">
        <v>0</v>
      </c>
      <c r="J507" s="20">
        <f t="shared" si="464"/>
        <v>0</v>
      </c>
      <c r="K507" s="20">
        <f t="shared" si="465"/>
        <v>0</v>
      </c>
      <c r="L507" s="20">
        <f t="shared" si="466"/>
        <v>0</v>
      </c>
      <c r="M507" s="31" t="s">
        <v>2884</v>
      </c>
      <c r="N507" s="5"/>
      <c r="Z507" s="36">
        <f t="shared" si="467"/>
        <v>0</v>
      </c>
      <c r="AB507" s="36">
        <f t="shared" si="468"/>
        <v>0</v>
      </c>
      <c r="AC507" s="36">
        <f t="shared" si="469"/>
        <v>0</v>
      </c>
      <c r="AD507" s="36">
        <f t="shared" si="470"/>
        <v>0</v>
      </c>
      <c r="AE507" s="36">
        <f t="shared" si="471"/>
        <v>0</v>
      </c>
      <c r="AF507" s="36">
        <f t="shared" si="472"/>
        <v>0</v>
      </c>
      <c r="AG507" s="36">
        <f t="shared" si="473"/>
        <v>0</v>
      </c>
      <c r="AH507" s="36">
        <f t="shared" si="474"/>
        <v>0</v>
      </c>
      <c r="AI507" s="35" t="s">
        <v>2894</v>
      </c>
      <c r="AJ507" s="20">
        <f t="shared" si="475"/>
        <v>0</v>
      </c>
      <c r="AK507" s="20">
        <f t="shared" si="476"/>
        <v>0</v>
      </c>
      <c r="AL507" s="20">
        <f t="shared" si="477"/>
        <v>0</v>
      </c>
      <c r="AN507" s="36">
        <v>21</v>
      </c>
      <c r="AO507" s="36">
        <f t="shared" si="486"/>
        <v>0</v>
      </c>
      <c r="AP507" s="36">
        <f t="shared" si="487"/>
        <v>0</v>
      </c>
      <c r="AQ507" s="37" t="s">
        <v>13</v>
      </c>
      <c r="AV507" s="36">
        <f t="shared" si="478"/>
        <v>0</v>
      </c>
      <c r="AW507" s="36">
        <f t="shared" si="479"/>
        <v>0</v>
      </c>
      <c r="AX507" s="36">
        <f t="shared" si="480"/>
        <v>0</v>
      </c>
      <c r="AY507" s="39" t="s">
        <v>2930</v>
      </c>
      <c r="AZ507" s="39" t="s">
        <v>2955</v>
      </c>
      <c r="BA507" s="35" t="s">
        <v>2967</v>
      </c>
      <c r="BC507" s="36">
        <f t="shared" si="481"/>
        <v>0</v>
      </c>
      <c r="BD507" s="36">
        <f t="shared" si="482"/>
        <v>0</v>
      </c>
      <c r="BE507" s="36">
        <v>0</v>
      </c>
      <c r="BF507" s="36">
        <f>507</f>
        <v>507</v>
      </c>
      <c r="BH507" s="20">
        <f t="shared" si="483"/>
        <v>0</v>
      </c>
      <c r="BI507" s="20">
        <f t="shared" si="484"/>
        <v>0</v>
      </c>
      <c r="BJ507" s="20">
        <f t="shared" si="485"/>
        <v>0</v>
      </c>
      <c r="BK507" s="20" t="s">
        <v>2978</v>
      </c>
      <c r="BL507" s="36">
        <v>730</v>
      </c>
    </row>
    <row r="508" spans="1:64" x14ac:dyDescent="0.2">
      <c r="A508" s="5"/>
      <c r="B508" s="14"/>
      <c r="C508" s="179" t="s">
        <v>2325</v>
      </c>
      <c r="D508" s="180"/>
      <c r="E508" s="180"/>
      <c r="F508" s="180"/>
      <c r="G508" s="180"/>
      <c r="H508" s="180"/>
      <c r="I508" s="180"/>
      <c r="J508" s="180"/>
      <c r="K508" s="180"/>
      <c r="L508" s="180"/>
      <c r="M508" s="181"/>
      <c r="N508" s="5"/>
    </row>
    <row r="509" spans="1:64" x14ac:dyDescent="0.2">
      <c r="A509" s="4" t="s">
        <v>405</v>
      </c>
      <c r="B509" s="13" t="s">
        <v>1332</v>
      </c>
      <c r="C509" s="174" t="s">
        <v>2326</v>
      </c>
      <c r="D509" s="175"/>
      <c r="E509" s="175"/>
      <c r="F509" s="175"/>
      <c r="G509" s="13" t="s">
        <v>2862</v>
      </c>
      <c r="H509" s="82">
        <v>40</v>
      </c>
      <c r="I509" s="109">
        <v>0</v>
      </c>
      <c r="J509" s="20">
        <f t="shared" ref="J509:J524" si="488">H509*AO509</f>
        <v>0</v>
      </c>
      <c r="K509" s="20">
        <f t="shared" ref="K509:K524" si="489">H509*AP509</f>
        <v>0</v>
      </c>
      <c r="L509" s="20">
        <f t="shared" ref="L509:L524" si="490">H509*I509</f>
        <v>0</v>
      </c>
      <c r="M509" s="31" t="s">
        <v>2884</v>
      </c>
      <c r="N509" s="5"/>
      <c r="Z509" s="36">
        <f t="shared" ref="Z509:Z524" si="491">IF(AQ509="5",BJ509,0)</f>
        <v>0</v>
      </c>
      <c r="AB509" s="36">
        <f t="shared" ref="AB509:AB524" si="492">IF(AQ509="1",BH509,0)</f>
        <v>0</v>
      </c>
      <c r="AC509" s="36">
        <f t="shared" ref="AC509:AC524" si="493">IF(AQ509="1",BI509,0)</f>
        <v>0</v>
      </c>
      <c r="AD509" s="36">
        <f t="shared" ref="AD509:AD524" si="494">IF(AQ509="7",BH509,0)</f>
        <v>0</v>
      </c>
      <c r="AE509" s="36">
        <f t="shared" ref="AE509:AE524" si="495">IF(AQ509="7",BI509,0)</f>
        <v>0</v>
      </c>
      <c r="AF509" s="36">
        <f t="shared" ref="AF509:AF524" si="496">IF(AQ509="2",BH509,0)</f>
        <v>0</v>
      </c>
      <c r="AG509" s="36">
        <f t="shared" ref="AG509:AG524" si="497">IF(AQ509="2",BI509,0)</f>
        <v>0</v>
      </c>
      <c r="AH509" s="36">
        <f t="shared" ref="AH509:AH524" si="498">IF(AQ509="0",BJ509,0)</f>
        <v>0</v>
      </c>
      <c r="AI509" s="35" t="s">
        <v>2894</v>
      </c>
      <c r="AJ509" s="20">
        <f t="shared" ref="AJ509:AJ524" si="499">IF(AN509=0,L509,0)</f>
        <v>0</v>
      </c>
      <c r="AK509" s="20">
        <f t="shared" ref="AK509:AK524" si="500">IF(AN509=15,L509,0)</f>
        <v>0</v>
      </c>
      <c r="AL509" s="20">
        <f t="shared" ref="AL509:AL524" si="501">IF(AN509=21,L509,0)</f>
        <v>0</v>
      </c>
      <c r="AN509" s="36">
        <v>21</v>
      </c>
      <c r="AO509" s="36">
        <f>I509*0</f>
        <v>0</v>
      </c>
      <c r="AP509" s="36">
        <f>I509*(1-0)</f>
        <v>0</v>
      </c>
      <c r="AQ509" s="37" t="s">
        <v>13</v>
      </c>
      <c r="AV509" s="36">
        <f t="shared" ref="AV509:AV524" si="502">AW509+AX509</f>
        <v>0</v>
      </c>
      <c r="AW509" s="36">
        <f t="shared" ref="AW509:AW524" si="503">H509*AO509</f>
        <v>0</v>
      </c>
      <c r="AX509" s="36">
        <f t="shared" ref="AX509:AX524" si="504">H509*AP509</f>
        <v>0</v>
      </c>
      <c r="AY509" s="39" t="s">
        <v>2930</v>
      </c>
      <c r="AZ509" s="39" t="s">
        <v>2955</v>
      </c>
      <c r="BA509" s="35" t="s">
        <v>2967</v>
      </c>
      <c r="BC509" s="36">
        <f t="shared" ref="BC509:BC524" si="505">AW509+AX509</f>
        <v>0</v>
      </c>
      <c r="BD509" s="36">
        <f t="shared" ref="BD509:BD524" si="506">I509/(100-BE509)*100</f>
        <v>0</v>
      </c>
      <c r="BE509" s="36">
        <v>0</v>
      </c>
      <c r="BF509" s="36">
        <f>509</f>
        <v>509</v>
      </c>
      <c r="BH509" s="20">
        <f t="shared" ref="BH509:BH524" si="507">H509*AO509</f>
        <v>0</v>
      </c>
      <c r="BI509" s="20">
        <f t="shared" ref="BI509:BI524" si="508">H509*AP509</f>
        <v>0</v>
      </c>
      <c r="BJ509" s="20">
        <f t="shared" ref="BJ509:BJ524" si="509">H509*I509</f>
        <v>0</v>
      </c>
      <c r="BK509" s="20" t="s">
        <v>2978</v>
      </c>
      <c r="BL509" s="36">
        <v>730</v>
      </c>
    </row>
    <row r="510" spans="1:64" x14ac:dyDescent="0.2">
      <c r="A510" s="4" t="s">
        <v>406</v>
      </c>
      <c r="B510" s="13" t="s">
        <v>1333</v>
      </c>
      <c r="C510" s="174" t="s">
        <v>2327</v>
      </c>
      <c r="D510" s="175"/>
      <c r="E510" s="175"/>
      <c r="F510" s="175"/>
      <c r="G510" s="13" t="s">
        <v>2861</v>
      </c>
      <c r="H510" s="82">
        <v>1</v>
      </c>
      <c r="I510" s="109">
        <v>0</v>
      </c>
      <c r="J510" s="20">
        <f t="shared" si="488"/>
        <v>0</v>
      </c>
      <c r="K510" s="20">
        <f t="shared" si="489"/>
        <v>0</v>
      </c>
      <c r="L510" s="20">
        <f t="shared" si="490"/>
        <v>0</v>
      </c>
      <c r="M510" s="31" t="s">
        <v>2884</v>
      </c>
      <c r="N510" s="5"/>
      <c r="Z510" s="36">
        <f t="shared" si="491"/>
        <v>0</v>
      </c>
      <c r="AB510" s="36">
        <f t="shared" si="492"/>
        <v>0</v>
      </c>
      <c r="AC510" s="36">
        <f t="shared" si="493"/>
        <v>0</v>
      </c>
      <c r="AD510" s="36">
        <f t="shared" si="494"/>
        <v>0</v>
      </c>
      <c r="AE510" s="36">
        <f t="shared" si="495"/>
        <v>0</v>
      </c>
      <c r="AF510" s="36">
        <f t="shared" si="496"/>
        <v>0</v>
      </c>
      <c r="AG510" s="36">
        <f t="shared" si="497"/>
        <v>0</v>
      </c>
      <c r="AH510" s="36">
        <f t="shared" si="498"/>
        <v>0</v>
      </c>
      <c r="AI510" s="35" t="s">
        <v>2894</v>
      </c>
      <c r="AJ510" s="20">
        <f t="shared" si="499"/>
        <v>0</v>
      </c>
      <c r="AK510" s="20">
        <f t="shared" si="500"/>
        <v>0</v>
      </c>
      <c r="AL510" s="20">
        <f t="shared" si="501"/>
        <v>0</v>
      </c>
      <c r="AN510" s="36">
        <v>21</v>
      </c>
      <c r="AO510" s="36">
        <f>I510*0</f>
        <v>0</v>
      </c>
      <c r="AP510" s="36">
        <f>I510*(1-0)</f>
        <v>0</v>
      </c>
      <c r="AQ510" s="37" t="s">
        <v>13</v>
      </c>
      <c r="AV510" s="36">
        <f t="shared" si="502"/>
        <v>0</v>
      </c>
      <c r="AW510" s="36">
        <f t="shared" si="503"/>
        <v>0</v>
      </c>
      <c r="AX510" s="36">
        <f t="shared" si="504"/>
        <v>0</v>
      </c>
      <c r="AY510" s="39" t="s">
        <v>2930</v>
      </c>
      <c r="AZ510" s="39" t="s">
        <v>2955</v>
      </c>
      <c r="BA510" s="35" t="s">
        <v>2967</v>
      </c>
      <c r="BC510" s="36">
        <f t="shared" si="505"/>
        <v>0</v>
      </c>
      <c r="BD510" s="36">
        <f t="shared" si="506"/>
        <v>0</v>
      </c>
      <c r="BE510" s="36">
        <v>0</v>
      </c>
      <c r="BF510" s="36">
        <f>510</f>
        <v>510</v>
      </c>
      <c r="BH510" s="20">
        <f t="shared" si="507"/>
        <v>0</v>
      </c>
      <c r="BI510" s="20">
        <f t="shared" si="508"/>
        <v>0</v>
      </c>
      <c r="BJ510" s="20">
        <f t="shared" si="509"/>
        <v>0</v>
      </c>
      <c r="BK510" s="20" t="s">
        <v>2978</v>
      </c>
      <c r="BL510" s="36">
        <v>730</v>
      </c>
    </row>
    <row r="511" spans="1:64" x14ac:dyDescent="0.2">
      <c r="A511" s="4" t="s">
        <v>407</v>
      </c>
      <c r="B511" s="13" t="s">
        <v>1334</v>
      </c>
      <c r="C511" s="174" t="s">
        <v>2328</v>
      </c>
      <c r="D511" s="175"/>
      <c r="E511" s="175"/>
      <c r="F511" s="175"/>
      <c r="G511" s="13" t="s">
        <v>2860</v>
      </c>
      <c r="H511" s="82">
        <v>5</v>
      </c>
      <c r="I511" s="109">
        <v>0</v>
      </c>
      <c r="J511" s="20">
        <f t="shared" si="488"/>
        <v>0</v>
      </c>
      <c r="K511" s="20">
        <f t="shared" si="489"/>
        <v>0</v>
      </c>
      <c r="L511" s="20">
        <f t="shared" si="490"/>
        <v>0</v>
      </c>
      <c r="M511" s="31" t="s">
        <v>2884</v>
      </c>
      <c r="N511" s="5"/>
      <c r="Z511" s="36">
        <f t="shared" si="491"/>
        <v>0</v>
      </c>
      <c r="AB511" s="36">
        <f t="shared" si="492"/>
        <v>0</v>
      </c>
      <c r="AC511" s="36">
        <f t="shared" si="493"/>
        <v>0</v>
      </c>
      <c r="AD511" s="36">
        <f t="shared" si="494"/>
        <v>0</v>
      </c>
      <c r="AE511" s="36">
        <f t="shared" si="495"/>
        <v>0</v>
      </c>
      <c r="AF511" s="36">
        <f t="shared" si="496"/>
        <v>0</v>
      </c>
      <c r="AG511" s="36">
        <f t="shared" si="497"/>
        <v>0</v>
      </c>
      <c r="AH511" s="36">
        <f t="shared" si="498"/>
        <v>0</v>
      </c>
      <c r="AI511" s="35" t="s">
        <v>2894</v>
      </c>
      <c r="AJ511" s="20">
        <f t="shared" si="499"/>
        <v>0</v>
      </c>
      <c r="AK511" s="20">
        <f t="shared" si="500"/>
        <v>0</v>
      </c>
      <c r="AL511" s="20">
        <f t="shared" si="501"/>
        <v>0</v>
      </c>
      <c r="AN511" s="36">
        <v>21</v>
      </c>
      <c r="AO511" s="36">
        <f>I511*0</f>
        <v>0</v>
      </c>
      <c r="AP511" s="36">
        <f>I511*(1-0)</f>
        <v>0</v>
      </c>
      <c r="AQ511" s="37" t="s">
        <v>13</v>
      </c>
      <c r="AV511" s="36">
        <f t="shared" si="502"/>
        <v>0</v>
      </c>
      <c r="AW511" s="36">
        <f t="shared" si="503"/>
        <v>0</v>
      </c>
      <c r="AX511" s="36">
        <f t="shared" si="504"/>
        <v>0</v>
      </c>
      <c r="AY511" s="39" t="s">
        <v>2930</v>
      </c>
      <c r="AZ511" s="39" t="s">
        <v>2955</v>
      </c>
      <c r="BA511" s="35" t="s">
        <v>2967</v>
      </c>
      <c r="BC511" s="36">
        <f t="shared" si="505"/>
        <v>0</v>
      </c>
      <c r="BD511" s="36">
        <f t="shared" si="506"/>
        <v>0</v>
      </c>
      <c r="BE511" s="36">
        <v>0</v>
      </c>
      <c r="BF511" s="36">
        <f>511</f>
        <v>511</v>
      </c>
      <c r="BH511" s="20">
        <f t="shared" si="507"/>
        <v>0</v>
      </c>
      <c r="BI511" s="20">
        <f t="shared" si="508"/>
        <v>0</v>
      </c>
      <c r="BJ511" s="20">
        <f t="shared" si="509"/>
        <v>0</v>
      </c>
      <c r="BK511" s="20" t="s">
        <v>2978</v>
      </c>
      <c r="BL511" s="36">
        <v>730</v>
      </c>
    </row>
    <row r="512" spans="1:64" x14ac:dyDescent="0.2">
      <c r="A512" s="4" t="s">
        <v>408</v>
      </c>
      <c r="B512" s="13" t="s">
        <v>1335</v>
      </c>
      <c r="C512" s="174" t="s">
        <v>2329</v>
      </c>
      <c r="D512" s="175"/>
      <c r="E512" s="175"/>
      <c r="F512" s="175"/>
      <c r="G512" s="13" t="s">
        <v>2860</v>
      </c>
      <c r="H512" s="82">
        <v>10</v>
      </c>
      <c r="I512" s="109">
        <v>0</v>
      </c>
      <c r="J512" s="20">
        <f t="shared" si="488"/>
        <v>0</v>
      </c>
      <c r="K512" s="20">
        <f t="shared" si="489"/>
        <v>0</v>
      </c>
      <c r="L512" s="20">
        <f t="shared" si="490"/>
        <v>0</v>
      </c>
      <c r="M512" s="31" t="s">
        <v>2884</v>
      </c>
      <c r="N512" s="5"/>
      <c r="Z512" s="36">
        <f t="shared" si="491"/>
        <v>0</v>
      </c>
      <c r="AB512" s="36">
        <f t="shared" si="492"/>
        <v>0</v>
      </c>
      <c r="AC512" s="36">
        <f t="shared" si="493"/>
        <v>0</v>
      </c>
      <c r="AD512" s="36">
        <f t="shared" si="494"/>
        <v>0</v>
      </c>
      <c r="AE512" s="36">
        <f t="shared" si="495"/>
        <v>0</v>
      </c>
      <c r="AF512" s="36">
        <f t="shared" si="496"/>
        <v>0</v>
      </c>
      <c r="AG512" s="36">
        <f t="shared" si="497"/>
        <v>0</v>
      </c>
      <c r="AH512" s="36">
        <f t="shared" si="498"/>
        <v>0</v>
      </c>
      <c r="AI512" s="35" t="s">
        <v>2894</v>
      </c>
      <c r="AJ512" s="20">
        <f t="shared" si="499"/>
        <v>0</v>
      </c>
      <c r="AK512" s="20">
        <f t="shared" si="500"/>
        <v>0</v>
      </c>
      <c r="AL512" s="20">
        <f t="shared" si="501"/>
        <v>0</v>
      </c>
      <c r="AN512" s="36">
        <v>21</v>
      </c>
      <c r="AO512" s="36">
        <f>I512*0</f>
        <v>0</v>
      </c>
      <c r="AP512" s="36">
        <f>I512*(1-0)</f>
        <v>0</v>
      </c>
      <c r="AQ512" s="37" t="s">
        <v>13</v>
      </c>
      <c r="AV512" s="36">
        <f t="shared" si="502"/>
        <v>0</v>
      </c>
      <c r="AW512" s="36">
        <f t="shared" si="503"/>
        <v>0</v>
      </c>
      <c r="AX512" s="36">
        <f t="shared" si="504"/>
        <v>0</v>
      </c>
      <c r="AY512" s="39" t="s">
        <v>2930</v>
      </c>
      <c r="AZ512" s="39" t="s">
        <v>2955</v>
      </c>
      <c r="BA512" s="35" t="s">
        <v>2967</v>
      </c>
      <c r="BC512" s="36">
        <f t="shared" si="505"/>
        <v>0</v>
      </c>
      <c r="BD512" s="36">
        <f t="shared" si="506"/>
        <v>0</v>
      </c>
      <c r="BE512" s="36">
        <v>0</v>
      </c>
      <c r="BF512" s="36">
        <f>512</f>
        <v>512</v>
      </c>
      <c r="BH512" s="20">
        <f t="shared" si="507"/>
        <v>0</v>
      </c>
      <c r="BI512" s="20">
        <f t="shared" si="508"/>
        <v>0</v>
      </c>
      <c r="BJ512" s="20">
        <f t="shared" si="509"/>
        <v>0</v>
      </c>
      <c r="BK512" s="20" t="s">
        <v>2978</v>
      </c>
      <c r="BL512" s="36">
        <v>730</v>
      </c>
    </row>
    <row r="513" spans="1:64" x14ac:dyDescent="0.2">
      <c r="A513" s="4" t="s">
        <v>409</v>
      </c>
      <c r="B513" s="13" t="s">
        <v>1336</v>
      </c>
      <c r="C513" s="174" t="s">
        <v>2114</v>
      </c>
      <c r="D513" s="175"/>
      <c r="E513" s="175"/>
      <c r="F513" s="175"/>
      <c r="G513" s="13" t="s">
        <v>2862</v>
      </c>
      <c r="H513" s="82">
        <v>50</v>
      </c>
      <c r="I513" s="109">
        <v>0</v>
      </c>
      <c r="J513" s="20">
        <f t="shared" si="488"/>
        <v>0</v>
      </c>
      <c r="K513" s="20">
        <f t="shared" si="489"/>
        <v>0</v>
      </c>
      <c r="L513" s="20">
        <f t="shared" si="490"/>
        <v>0</v>
      </c>
      <c r="M513" s="31" t="s">
        <v>2884</v>
      </c>
      <c r="N513" s="5"/>
      <c r="Z513" s="36">
        <f t="shared" si="491"/>
        <v>0</v>
      </c>
      <c r="AB513" s="36">
        <f t="shared" si="492"/>
        <v>0</v>
      </c>
      <c r="AC513" s="36">
        <f t="shared" si="493"/>
        <v>0</v>
      </c>
      <c r="AD513" s="36">
        <f t="shared" si="494"/>
        <v>0</v>
      </c>
      <c r="AE513" s="36">
        <f t="shared" si="495"/>
        <v>0</v>
      </c>
      <c r="AF513" s="36">
        <f t="shared" si="496"/>
        <v>0</v>
      </c>
      <c r="AG513" s="36">
        <f t="shared" si="497"/>
        <v>0</v>
      </c>
      <c r="AH513" s="36">
        <f t="shared" si="498"/>
        <v>0</v>
      </c>
      <c r="AI513" s="35" t="s">
        <v>2894</v>
      </c>
      <c r="AJ513" s="20">
        <f t="shared" si="499"/>
        <v>0</v>
      </c>
      <c r="AK513" s="20">
        <f t="shared" si="500"/>
        <v>0</v>
      </c>
      <c r="AL513" s="20">
        <f t="shared" si="501"/>
        <v>0</v>
      </c>
      <c r="AN513" s="36">
        <v>21</v>
      </c>
      <c r="AO513" s="36">
        <f>I513*0</f>
        <v>0</v>
      </c>
      <c r="AP513" s="36">
        <f>I513*(1-0)</f>
        <v>0</v>
      </c>
      <c r="AQ513" s="37" t="s">
        <v>13</v>
      </c>
      <c r="AV513" s="36">
        <f t="shared" si="502"/>
        <v>0</v>
      </c>
      <c r="AW513" s="36">
        <f t="shared" si="503"/>
        <v>0</v>
      </c>
      <c r="AX513" s="36">
        <f t="shared" si="504"/>
        <v>0</v>
      </c>
      <c r="AY513" s="39" t="s">
        <v>2930</v>
      </c>
      <c r="AZ513" s="39" t="s">
        <v>2955</v>
      </c>
      <c r="BA513" s="35" t="s">
        <v>2967</v>
      </c>
      <c r="BC513" s="36">
        <f t="shared" si="505"/>
        <v>0</v>
      </c>
      <c r="BD513" s="36">
        <f t="shared" si="506"/>
        <v>0</v>
      </c>
      <c r="BE513" s="36">
        <v>0</v>
      </c>
      <c r="BF513" s="36">
        <f>513</f>
        <v>513</v>
      </c>
      <c r="BH513" s="20">
        <f t="shared" si="507"/>
        <v>0</v>
      </c>
      <c r="BI513" s="20">
        <f t="shared" si="508"/>
        <v>0</v>
      </c>
      <c r="BJ513" s="20">
        <f t="shared" si="509"/>
        <v>0</v>
      </c>
      <c r="BK513" s="20" t="s">
        <v>2978</v>
      </c>
      <c r="BL513" s="36">
        <v>730</v>
      </c>
    </row>
    <row r="514" spans="1:64" x14ac:dyDescent="0.2">
      <c r="A514" s="4" t="s">
        <v>410</v>
      </c>
      <c r="B514" s="13" t="s">
        <v>1337</v>
      </c>
      <c r="C514" s="174" t="s">
        <v>2330</v>
      </c>
      <c r="D514" s="175"/>
      <c r="E514" s="175"/>
      <c r="F514" s="175"/>
      <c r="G514" s="13" t="s">
        <v>2860</v>
      </c>
      <c r="H514" s="82">
        <v>10</v>
      </c>
      <c r="I514" s="109">
        <v>0</v>
      </c>
      <c r="J514" s="20">
        <f t="shared" si="488"/>
        <v>0</v>
      </c>
      <c r="K514" s="20">
        <f t="shared" si="489"/>
        <v>0</v>
      </c>
      <c r="L514" s="20">
        <f t="shared" si="490"/>
        <v>0</v>
      </c>
      <c r="M514" s="31" t="s">
        <v>2884</v>
      </c>
      <c r="N514" s="5"/>
      <c r="Z514" s="36">
        <f t="shared" si="491"/>
        <v>0</v>
      </c>
      <c r="AB514" s="36">
        <f t="shared" si="492"/>
        <v>0</v>
      </c>
      <c r="AC514" s="36">
        <f t="shared" si="493"/>
        <v>0</v>
      </c>
      <c r="AD514" s="36">
        <f t="shared" si="494"/>
        <v>0</v>
      </c>
      <c r="AE514" s="36">
        <f t="shared" si="495"/>
        <v>0</v>
      </c>
      <c r="AF514" s="36">
        <f t="shared" si="496"/>
        <v>0</v>
      </c>
      <c r="AG514" s="36">
        <f t="shared" si="497"/>
        <v>0</v>
      </c>
      <c r="AH514" s="36">
        <f t="shared" si="498"/>
        <v>0</v>
      </c>
      <c r="AI514" s="35" t="s">
        <v>2894</v>
      </c>
      <c r="AJ514" s="20">
        <f t="shared" si="499"/>
        <v>0</v>
      </c>
      <c r="AK514" s="20">
        <f t="shared" si="500"/>
        <v>0</v>
      </c>
      <c r="AL514" s="20">
        <f t="shared" si="501"/>
        <v>0</v>
      </c>
      <c r="AN514" s="36">
        <v>21</v>
      </c>
      <c r="AO514" s="36">
        <f>I514*0.53</f>
        <v>0</v>
      </c>
      <c r="AP514" s="36">
        <f>I514*(1-0.53)</f>
        <v>0</v>
      </c>
      <c r="AQ514" s="37" t="s">
        <v>13</v>
      </c>
      <c r="AV514" s="36">
        <f t="shared" si="502"/>
        <v>0</v>
      </c>
      <c r="AW514" s="36">
        <f t="shared" si="503"/>
        <v>0</v>
      </c>
      <c r="AX514" s="36">
        <f t="shared" si="504"/>
        <v>0</v>
      </c>
      <c r="AY514" s="39" t="s">
        <v>2930</v>
      </c>
      <c r="AZ514" s="39" t="s">
        <v>2955</v>
      </c>
      <c r="BA514" s="35" t="s">
        <v>2967</v>
      </c>
      <c r="BC514" s="36">
        <f t="shared" si="505"/>
        <v>0</v>
      </c>
      <c r="BD514" s="36">
        <f t="shared" si="506"/>
        <v>0</v>
      </c>
      <c r="BE514" s="36">
        <v>0</v>
      </c>
      <c r="BF514" s="36">
        <f>514</f>
        <v>514</v>
      </c>
      <c r="BH514" s="20">
        <f t="shared" si="507"/>
        <v>0</v>
      </c>
      <c r="BI514" s="20">
        <f t="shared" si="508"/>
        <v>0</v>
      </c>
      <c r="BJ514" s="20">
        <f t="shared" si="509"/>
        <v>0</v>
      </c>
      <c r="BK514" s="20" t="s">
        <v>2978</v>
      </c>
      <c r="BL514" s="36">
        <v>730</v>
      </c>
    </row>
    <row r="515" spans="1:64" x14ac:dyDescent="0.2">
      <c r="A515" s="4" t="s">
        <v>411</v>
      </c>
      <c r="B515" s="13" t="s">
        <v>1338</v>
      </c>
      <c r="C515" s="174" t="s">
        <v>2331</v>
      </c>
      <c r="D515" s="175"/>
      <c r="E515" s="175"/>
      <c r="F515" s="175"/>
      <c r="G515" s="13" t="s">
        <v>2861</v>
      </c>
      <c r="H515" s="82">
        <v>1</v>
      </c>
      <c r="I515" s="109">
        <v>0</v>
      </c>
      <c r="J515" s="20">
        <f t="shared" si="488"/>
        <v>0</v>
      </c>
      <c r="K515" s="20">
        <f t="shared" si="489"/>
        <v>0</v>
      </c>
      <c r="L515" s="20">
        <f t="shared" si="490"/>
        <v>0</v>
      </c>
      <c r="M515" s="31" t="s">
        <v>2884</v>
      </c>
      <c r="N515" s="5"/>
      <c r="Z515" s="36">
        <f t="shared" si="491"/>
        <v>0</v>
      </c>
      <c r="AB515" s="36">
        <f t="shared" si="492"/>
        <v>0</v>
      </c>
      <c r="AC515" s="36">
        <f t="shared" si="493"/>
        <v>0</v>
      </c>
      <c r="AD515" s="36">
        <f t="shared" si="494"/>
        <v>0</v>
      </c>
      <c r="AE515" s="36">
        <f t="shared" si="495"/>
        <v>0</v>
      </c>
      <c r="AF515" s="36">
        <f t="shared" si="496"/>
        <v>0</v>
      </c>
      <c r="AG515" s="36">
        <f t="shared" si="497"/>
        <v>0</v>
      </c>
      <c r="AH515" s="36">
        <f t="shared" si="498"/>
        <v>0</v>
      </c>
      <c r="AI515" s="35" t="s">
        <v>2894</v>
      </c>
      <c r="AJ515" s="20">
        <f t="shared" si="499"/>
        <v>0</v>
      </c>
      <c r="AK515" s="20">
        <f t="shared" si="500"/>
        <v>0</v>
      </c>
      <c r="AL515" s="20">
        <f t="shared" si="501"/>
        <v>0</v>
      </c>
      <c r="AN515" s="36">
        <v>21</v>
      </c>
      <c r="AO515" s="36">
        <f>I515*0</f>
        <v>0</v>
      </c>
      <c r="AP515" s="36">
        <f>I515*(1-0)</f>
        <v>0</v>
      </c>
      <c r="AQ515" s="37" t="s">
        <v>13</v>
      </c>
      <c r="AV515" s="36">
        <f t="shared" si="502"/>
        <v>0</v>
      </c>
      <c r="AW515" s="36">
        <f t="shared" si="503"/>
        <v>0</v>
      </c>
      <c r="AX515" s="36">
        <f t="shared" si="504"/>
        <v>0</v>
      </c>
      <c r="AY515" s="39" t="s">
        <v>2930</v>
      </c>
      <c r="AZ515" s="39" t="s">
        <v>2955</v>
      </c>
      <c r="BA515" s="35" t="s">
        <v>2967</v>
      </c>
      <c r="BC515" s="36">
        <f t="shared" si="505"/>
        <v>0</v>
      </c>
      <c r="BD515" s="36">
        <f t="shared" si="506"/>
        <v>0</v>
      </c>
      <c r="BE515" s="36">
        <v>0</v>
      </c>
      <c r="BF515" s="36">
        <f>515</f>
        <v>515</v>
      </c>
      <c r="BH515" s="20">
        <f t="shared" si="507"/>
        <v>0</v>
      </c>
      <c r="BI515" s="20">
        <f t="shared" si="508"/>
        <v>0</v>
      </c>
      <c r="BJ515" s="20">
        <f t="shared" si="509"/>
        <v>0</v>
      </c>
      <c r="BK515" s="20" t="s">
        <v>2978</v>
      </c>
      <c r="BL515" s="36">
        <v>730</v>
      </c>
    </row>
    <row r="516" spans="1:64" x14ac:dyDescent="0.2">
      <c r="A516" s="4" t="s">
        <v>412</v>
      </c>
      <c r="B516" s="13" t="s">
        <v>1339</v>
      </c>
      <c r="C516" s="174" t="s">
        <v>2332</v>
      </c>
      <c r="D516" s="175"/>
      <c r="E516" s="175"/>
      <c r="F516" s="175"/>
      <c r="G516" s="13" t="s">
        <v>2861</v>
      </c>
      <c r="H516" s="82">
        <v>1</v>
      </c>
      <c r="I516" s="109">
        <v>0</v>
      </c>
      <c r="J516" s="20">
        <f t="shared" si="488"/>
        <v>0</v>
      </c>
      <c r="K516" s="20">
        <f t="shared" si="489"/>
        <v>0</v>
      </c>
      <c r="L516" s="20">
        <f t="shared" si="490"/>
        <v>0</v>
      </c>
      <c r="M516" s="31" t="s">
        <v>2884</v>
      </c>
      <c r="N516" s="5"/>
      <c r="Z516" s="36">
        <f t="shared" si="491"/>
        <v>0</v>
      </c>
      <c r="AB516" s="36">
        <f t="shared" si="492"/>
        <v>0</v>
      </c>
      <c r="AC516" s="36">
        <f t="shared" si="493"/>
        <v>0</v>
      </c>
      <c r="AD516" s="36">
        <f t="shared" si="494"/>
        <v>0</v>
      </c>
      <c r="AE516" s="36">
        <f t="shared" si="495"/>
        <v>0</v>
      </c>
      <c r="AF516" s="36">
        <f t="shared" si="496"/>
        <v>0</v>
      </c>
      <c r="AG516" s="36">
        <f t="shared" si="497"/>
        <v>0</v>
      </c>
      <c r="AH516" s="36">
        <f t="shared" si="498"/>
        <v>0</v>
      </c>
      <c r="AI516" s="35" t="s">
        <v>2894</v>
      </c>
      <c r="AJ516" s="20">
        <f t="shared" si="499"/>
        <v>0</v>
      </c>
      <c r="AK516" s="20">
        <f t="shared" si="500"/>
        <v>0</v>
      </c>
      <c r="AL516" s="20">
        <f t="shared" si="501"/>
        <v>0</v>
      </c>
      <c r="AN516" s="36">
        <v>21</v>
      </c>
      <c r="AO516" s="36">
        <f>I516*0</f>
        <v>0</v>
      </c>
      <c r="AP516" s="36">
        <f>I516*(1-0)</f>
        <v>0</v>
      </c>
      <c r="AQ516" s="37" t="s">
        <v>13</v>
      </c>
      <c r="AV516" s="36">
        <f t="shared" si="502"/>
        <v>0</v>
      </c>
      <c r="AW516" s="36">
        <f t="shared" si="503"/>
        <v>0</v>
      </c>
      <c r="AX516" s="36">
        <f t="shared" si="504"/>
        <v>0</v>
      </c>
      <c r="AY516" s="39" t="s">
        <v>2930</v>
      </c>
      <c r="AZ516" s="39" t="s">
        <v>2955</v>
      </c>
      <c r="BA516" s="35" t="s">
        <v>2967</v>
      </c>
      <c r="BC516" s="36">
        <f t="shared" si="505"/>
        <v>0</v>
      </c>
      <c r="BD516" s="36">
        <f t="shared" si="506"/>
        <v>0</v>
      </c>
      <c r="BE516" s="36">
        <v>0</v>
      </c>
      <c r="BF516" s="36">
        <f>516</f>
        <v>516</v>
      </c>
      <c r="BH516" s="20">
        <f t="shared" si="507"/>
        <v>0</v>
      </c>
      <c r="BI516" s="20">
        <f t="shared" si="508"/>
        <v>0</v>
      </c>
      <c r="BJ516" s="20">
        <f t="shared" si="509"/>
        <v>0</v>
      </c>
      <c r="BK516" s="20" t="s">
        <v>2978</v>
      </c>
      <c r="BL516" s="36">
        <v>730</v>
      </c>
    </row>
    <row r="517" spans="1:64" x14ac:dyDescent="0.2">
      <c r="A517" s="4" t="s">
        <v>413</v>
      </c>
      <c r="B517" s="13" t="s">
        <v>1340</v>
      </c>
      <c r="C517" s="174" t="s">
        <v>2333</v>
      </c>
      <c r="D517" s="175"/>
      <c r="E517" s="175"/>
      <c r="F517" s="175"/>
      <c r="G517" s="13" t="s">
        <v>2861</v>
      </c>
      <c r="H517" s="82">
        <v>1</v>
      </c>
      <c r="I517" s="109">
        <v>0</v>
      </c>
      <c r="J517" s="20">
        <f t="shared" si="488"/>
        <v>0</v>
      </c>
      <c r="K517" s="20">
        <f t="shared" si="489"/>
        <v>0</v>
      </c>
      <c r="L517" s="20">
        <f t="shared" si="490"/>
        <v>0</v>
      </c>
      <c r="M517" s="31" t="s">
        <v>2884</v>
      </c>
      <c r="N517" s="5"/>
      <c r="Z517" s="36">
        <f t="shared" si="491"/>
        <v>0</v>
      </c>
      <c r="AB517" s="36">
        <f t="shared" si="492"/>
        <v>0</v>
      </c>
      <c r="AC517" s="36">
        <f t="shared" si="493"/>
        <v>0</v>
      </c>
      <c r="AD517" s="36">
        <f t="shared" si="494"/>
        <v>0</v>
      </c>
      <c r="AE517" s="36">
        <f t="shared" si="495"/>
        <v>0</v>
      </c>
      <c r="AF517" s="36">
        <f t="shared" si="496"/>
        <v>0</v>
      </c>
      <c r="AG517" s="36">
        <f t="shared" si="497"/>
        <v>0</v>
      </c>
      <c r="AH517" s="36">
        <f t="shared" si="498"/>
        <v>0</v>
      </c>
      <c r="AI517" s="35" t="s">
        <v>2894</v>
      </c>
      <c r="AJ517" s="20">
        <f t="shared" si="499"/>
        <v>0</v>
      </c>
      <c r="AK517" s="20">
        <f t="shared" si="500"/>
        <v>0</v>
      </c>
      <c r="AL517" s="20">
        <f t="shared" si="501"/>
        <v>0</v>
      </c>
      <c r="AN517" s="36">
        <v>21</v>
      </c>
      <c r="AO517" s="36">
        <f>I517*0</f>
        <v>0</v>
      </c>
      <c r="AP517" s="36">
        <f>I517*(1-0)</f>
        <v>0</v>
      </c>
      <c r="AQ517" s="37" t="s">
        <v>13</v>
      </c>
      <c r="AV517" s="36">
        <f t="shared" si="502"/>
        <v>0</v>
      </c>
      <c r="AW517" s="36">
        <f t="shared" si="503"/>
        <v>0</v>
      </c>
      <c r="AX517" s="36">
        <f t="shared" si="504"/>
        <v>0</v>
      </c>
      <c r="AY517" s="39" t="s">
        <v>2930</v>
      </c>
      <c r="AZ517" s="39" t="s">
        <v>2955</v>
      </c>
      <c r="BA517" s="35" t="s">
        <v>2967</v>
      </c>
      <c r="BC517" s="36">
        <f t="shared" si="505"/>
        <v>0</v>
      </c>
      <c r="BD517" s="36">
        <f t="shared" si="506"/>
        <v>0</v>
      </c>
      <c r="BE517" s="36">
        <v>0</v>
      </c>
      <c r="BF517" s="36">
        <f>517</f>
        <v>517</v>
      </c>
      <c r="BH517" s="20">
        <f t="shared" si="507"/>
        <v>0</v>
      </c>
      <c r="BI517" s="20">
        <f t="shared" si="508"/>
        <v>0</v>
      </c>
      <c r="BJ517" s="20">
        <f t="shared" si="509"/>
        <v>0</v>
      </c>
      <c r="BK517" s="20" t="s">
        <v>2978</v>
      </c>
      <c r="BL517" s="36">
        <v>730</v>
      </c>
    </row>
    <row r="518" spans="1:64" x14ac:dyDescent="0.2">
      <c r="A518" s="4" t="s">
        <v>414</v>
      </c>
      <c r="B518" s="13" t="s">
        <v>1341</v>
      </c>
      <c r="C518" s="174" t="s">
        <v>2334</v>
      </c>
      <c r="D518" s="175"/>
      <c r="E518" s="175"/>
      <c r="F518" s="175"/>
      <c r="G518" s="13" t="s">
        <v>2861</v>
      </c>
      <c r="H518" s="82">
        <v>1</v>
      </c>
      <c r="I518" s="109">
        <v>0</v>
      </c>
      <c r="J518" s="20">
        <f t="shared" si="488"/>
        <v>0</v>
      </c>
      <c r="K518" s="20">
        <f t="shared" si="489"/>
        <v>0</v>
      </c>
      <c r="L518" s="20">
        <f t="shared" si="490"/>
        <v>0</v>
      </c>
      <c r="M518" s="31" t="s">
        <v>2884</v>
      </c>
      <c r="N518" s="5"/>
      <c r="Z518" s="36">
        <f t="shared" si="491"/>
        <v>0</v>
      </c>
      <c r="AB518" s="36">
        <f t="shared" si="492"/>
        <v>0</v>
      </c>
      <c r="AC518" s="36">
        <f t="shared" si="493"/>
        <v>0</v>
      </c>
      <c r="AD518" s="36">
        <f t="shared" si="494"/>
        <v>0</v>
      </c>
      <c r="AE518" s="36">
        <f t="shared" si="495"/>
        <v>0</v>
      </c>
      <c r="AF518" s="36">
        <f t="shared" si="496"/>
        <v>0</v>
      </c>
      <c r="AG518" s="36">
        <f t="shared" si="497"/>
        <v>0</v>
      </c>
      <c r="AH518" s="36">
        <f t="shared" si="498"/>
        <v>0</v>
      </c>
      <c r="AI518" s="35" t="s">
        <v>2894</v>
      </c>
      <c r="AJ518" s="20">
        <f t="shared" si="499"/>
        <v>0</v>
      </c>
      <c r="AK518" s="20">
        <f t="shared" si="500"/>
        <v>0</v>
      </c>
      <c r="AL518" s="20">
        <f t="shared" si="501"/>
        <v>0</v>
      </c>
      <c r="AN518" s="36">
        <v>21</v>
      </c>
      <c r="AO518" s="36">
        <f>I518*0</f>
        <v>0</v>
      </c>
      <c r="AP518" s="36">
        <f>I518*(1-0)</f>
        <v>0</v>
      </c>
      <c r="AQ518" s="37" t="s">
        <v>13</v>
      </c>
      <c r="AV518" s="36">
        <f t="shared" si="502"/>
        <v>0</v>
      </c>
      <c r="AW518" s="36">
        <f t="shared" si="503"/>
        <v>0</v>
      </c>
      <c r="AX518" s="36">
        <f t="shared" si="504"/>
        <v>0</v>
      </c>
      <c r="AY518" s="39" t="s">
        <v>2930</v>
      </c>
      <c r="AZ518" s="39" t="s">
        <v>2955</v>
      </c>
      <c r="BA518" s="35" t="s">
        <v>2967</v>
      </c>
      <c r="BC518" s="36">
        <f t="shared" si="505"/>
        <v>0</v>
      </c>
      <c r="BD518" s="36">
        <f t="shared" si="506"/>
        <v>0</v>
      </c>
      <c r="BE518" s="36">
        <v>0</v>
      </c>
      <c r="BF518" s="36">
        <f>518</f>
        <v>518</v>
      </c>
      <c r="BH518" s="20">
        <f t="shared" si="507"/>
        <v>0</v>
      </c>
      <c r="BI518" s="20">
        <f t="shared" si="508"/>
        <v>0</v>
      </c>
      <c r="BJ518" s="20">
        <f t="shared" si="509"/>
        <v>0</v>
      </c>
      <c r="BK518" s="20" t="s">
        <v>2978</v>
      </c>
      <c r="BL518" s="36">
        <v>730</v>
      </c>
    </row>
    <row r="519" spans="1:64" x14ac:dyDescent="0.2">
      <c r="A519" s="4" t="s">
        <v>415</v>
      </c>
      <c r="B519" s="13" t="s">
        <v>1342</v>
      </c>
      <c r="C519" s="174" t="s">
        <v>2335</v>
      </c>
      <c r="D519" s="175"/>
      <c r="E519" s="175"/>
      <c r="F519" s="175"/>
      <c r="G519" s="13" t="s">
        <v>2860</v>
      </c>
      <c r="H519" s="82">
        <v>2</v>
      </c>
      <c r="I519" s="109">
        <v>0</v>
      </c>
      <c r="J519" s="20">
        <f t="shared" si="488"/>
        <v>0</v>
      </c>
      <c r="K519" s="20">
        <f t="shared" si="489"/>
        <v>0</v>
      </c>
      <c r="L519" s="20">
        <f t="shared" si="490"/>
        <v>0</v>
      </c>
      <c r="M519" s="31" t="s">
        <v>2884</v>
      </c>
      <c r="N519" s="5"/>
      <c r="Z519" s="36">
        <f t="shared" si="491"/>
        <v>0</v>
      </c>
      <c r="AB519" s="36">
        <f t="shared" si="492"/>
        <v>0</v>
      </c>
      <c r="AC519" s="36">
        <f t="shared" si="493"/>
        <v>0</v>
      </c>
      <c r="AD519" s="36">
        <f t="shared" si="494"/>
        <v>0</v>
      </c>
      <c r="AE519" s="36">
        <f t="shared" si="495"/>
        <v>0</v>
      </c>
      <c r="AF519" s="36">
        <f t="shared" si="496"/>
        <v>0</v>
      </c>
      <c r="AG519" s="36">
        <f t="shared" si="497"/>
        <v>0</v>
      </c>
      <c r="AH519" s="36">
        <f t="shared" si="498"/>
        <v>0</v>
      </c>
      <c r="AI519" s="35" t="s">
        <v>2894</v>
      </c>
      <c r="AJ519" s="20">
        <f t="shared" si="499"/>
        <v>0</v>
      </c>
      <c r="AK519" s="20">
        <f t="shared" si="500"/>
        <v>0</v>
      </c>
      <c r="AL519" s="20">
        <f t="shared" si="501"/>
        <v>0</v>
      </c>
      <c r="AN519" s="36">
        <v>21</v>
      </c>
      <c r="AO519" s="36">
        <f>I519*0</f>
        <v>0</v>
      </c>
      <c r="AP519" s="36">
        <f>I519*(1-0)</f>
        <v>0</v>
      </c>
      <c r="AQ519" s="37" t="s">
        <v>13</v>
      </c>
      <c r="AV519" s="36">
        <f t="shared" si="502"/>
        <v>0</v>
      </c>
      <c r="AW519" s="36">
        <f t="shared" si="503"/>
        <v>0</v>
      </c>
      <c r="AX519" s="36">
        <f t="shared" si="504"/>
        <v>0</v>
      </c>
      <c r="AY519" s="39" t="s">
        <v>2930</v>
      </c>
      <c r="AZ519" s="39" t="s">
        <v>2955</v>
      </c>
      <c r="BA519" s="35" t="s">
        <v>2967</v>
      </c>
      <c r="BC519" s="36">
        <f t="shared" si="505"/>
        <v>0</v>
      </c>
      <c r="BD519" s="36">
        <f t="shared" si="506"/>
        <v>0</v>
      </c>
      <c r="BE519" s="36">
        <v>0</v>
      </c>
      <c r="BF519" s="36">
        <f>519</f>
        <v>519</v>
      </c>
      <c r="BH519" s="20">
        <f t="shared" si="507"/>
        <v>0</v>
      </c>
      <c r="BI519" s="20">
        <f t="shared" si="508"/>
        <v>0</v>
      </c>
      <c r="BJ519" s="20">
        <f t="shared" si="509"/>
        <v>0</v>
      </c>
      <c r="BK519" s="20" t="s">
        <v>2978</v>
      </c>
      <c r="BL519" s="36">
        <v>730</v>
      </c>
    </row>
    <row r="520" spans="1:64" x14ac:dyDescent="0.2">
      <c r="A520" s="4" t="s">
        <v>416</v>
      </c>
      <c r="B520" s="13" t="s">
        <v>1343</v>
      </c>
      <c r="C520" s="174" t="s">
        <v>2336</v>
      </c>
      <c r="D520" s="175"/>
      <c r="E520" s="175"/>
      <c r="F520" s="175"/>
      <c r="G520" s="13" t="s">
        <v>2861</v>
      </c>
      <c r="H520" s="82">
        <v>1</v>
      </c>
      <c r="I520" s="109">
        <v>0</v>
      </c>
      <c r="J520" s="20">
        <f t="shared" si="488"/>
        <v>0</v>
      </c>
      <c r="K520" s="20">
        <f t="shared" si="489"/>
        <v>0</v>
      </c>
      <c r="L520" s="20">
        <f t="shared" si="490"/>
        <v>0</v>
      </c>
      <c r="M520" s="31" t="s">
        <v>2884</v>
      </c>
      <c r="N520" s="5"/>
      <c r="Z520" s="36">
        <f t="shared" si="491"/>
        <v>0</v>
      </c>
      <c r="AB520" s="36">
        <f t="shared" si="492"/>
        <v>0</v>
      </c>
      <c r="AC520" s="36">
        <f t="shared" si="493"/>
        <v>0</v>
      </c>
      <c r="AD520" s="36">
        <f t="shared" si="494"/>
        <v>0</v>
      </c>
      <c r="AE520" s="36">
        <f t="shared" si="495"/>
        <v>0</v>
      </c>
      <c r="AF520" s="36">
        <f t="shared" si="496"/>
        <v>0</v>
      </c>
      <c r="AG520" s="36">
        <f t="shared" si="497"/>
        <v>0</v>
      </c>
      <c r="AH520" s="36">
        <f t="shared" si="498"/>
        <v>0</v>
      </c>
      <c r="AI520" s="35" t="s">
        <v>2894</v>
      </c>
      <c r="AJ520" s="20">
        <f t="shared" si="499"/>
        <v>0</v>
      </c>
      <c r="AK520" s="20">
        <f t="shared" si="500"/>
        <v>0</v>
      </c>
      <c r="AL520" s="20">
        <f t="shared" si="501"/>
        <v>0</v>
      </c>
      <c r="AN520" s="36">
        <v>21</v>
      </c>
      <c r="AO520" s="36">
        <f>I520*0.53</f>
        <v>0</v>
      </c>
      <c r="AP520" s="36">
        <f>I520*(1-0.53)</f>
        <v>0</v>
      </c>
      <c r="AQ520" s="37" t="s">
        <v>13</v>
      </c>
      <c r="AV520" s="36">
        <f t="shared" si="502"/>
        <v>0</v>
      </c>
      <c r="AW520" s="36">
        <f t="shared" si="503"/>
        <v>0</v>
      </c>
      <c r="AX520" s="36">
        <f t="shared" si="504"/>
        <v>0</v>
      </c>
      <c r="AY520" s="39" t="s">
        <v>2930</v>
      </c>
      <c r="AZ520" s="39" t="s">
        <v>2955</v>
      </c>
      <c r="BA520" s="35" t="s">
        <v>2967</v>
      </c>
      <c r="BC520" s="36">
        <f t="shared" si="505"/>
        <v>0</v>
      </c>
      <c r="BD520" s="36">
        <f t="shared" si="506"/>
        <v>0</v>
      </c>
      <c r="BE520" s="36">
        <v>0</v>
      </c>
      <c r="BF520" s="36">
        <f>520</f>
        <v>520</v>
      </c>
      <c r="BH520" s="20">
        <f t="shared" si="507"/>
        <v>0</v>
      </c>
      <c r="BI520" s="20">
        <f t="shared" si="508"/>
        <v>0</v>
      </c>
      <c r="BJ520" s="20">
        <f t="shared" si="509"/>
        <v>0</v>
      </c>
      <c r="BK520" s="20" t="s">
        <v>2978</v>
      </c>
      <c r="BL520" s="36">
        <v>730</v>
      </c>
    </row>
    <row r="521" spans="1:64" x14ac:dyDescent="0.2">
      <c r="A521" s="4" t="s">
        <v>417</v>
      </c>
      <c r="B521" s="13" t="s">
        <v>1344</v>
      </c>
      <c r="C521" s="174" t="s">
        <v>2337</v>
      </c>
      <c r="D521" s="175"/>
      <c r="E521" s="175"/>
      <c r="F521" s="175"/>
      <c r="G521" s="13" t="s">
        <v>2861</v>
      </c>
      <c r="H521" s="82">
        <v>1</v>
      </c>
      <c r="I521" s="109">
        <v>0</v>
      </c>
      <c r="J521" s="20">
        <f t="shared" si="488"/>
        <v>0</v>
      </c>
      <c r="K521" s="20">
        <f t="shared" si="489"/>
        <v>0</v>
      </c>
      <c r="L521" s="20">
        <f t="shared" si="490"/>
        <v>0</v>
      </c>
      <c r="M521" s="31" t="s">
        <v>2884</v>
      </c>
      <c r="N521" s="5"/>
      <c r="Z521" s="36">
        <f t="shared" si="491"/>
        <v>0</v>
      </c>
      <c r="AB521" s="36">
        <f t="shared" si="492"/>
        <v>0</v>
      </c>
      <c r="AC521" s="36">
        <f t="shared" si="493"/>
        <v>0</v>
      </c>
      <c r="AD521" s="36">
        <f t="shared" si="494"/>
        <v>0</v>
      </c>
      <c r="AE521" s="36">
        <f t="shared" si="495"/>
        <v>0</v>
      </c>
      <c r="AF521" s="36">
        <f t="shared" si="496"/>
        <v>0</v>
      </c>
      <c r="AG521" s="36">
        <f t="shared" si="497"/>
        <v>0</v>
      </c>
      <c r="AH521" s="36">
        <f t="shared" si="498"/>
        <v>0</v>
      </c>
      <c r="AI521" s="35" t="s">
        <v>2894</v>
      </c>
      <c r="AJ521" s="20">
        <f t="shared" si="499"/>
        <v>0</v>
      </c>
      <c r="AK521" s="20">
        <f t="shared" si="500"/>
        <v>0</v>
      </c>
      <c r="AL521" s="20">
        <f t="shared" si="501"/>
        <v>0</v>
      </c>
      <c r="AN521" s="36">
        <v>21</v>
      </c>
      <c r="AO521" s="36">
        <f>I521*0</f>
        <v>0</v>
      </c>
      <c r="AP521" s="36">
        <f>I521*(1-0)</f>
        <v>0</v>
      </c>
      <c r="AQ521" s="37" t="s">
        <v>13</v>
      </c>
      <c r="AV521" s="36">
        <f t="shared" si="502"/>
        <v>0</v>
      </c>
      <c r="AW521" s="36">
        <f t="shared" si="503"/>
        <v>0</v>
      </c>
      <c r="AX521" s="36">
        <f t="shared" si="504"/>
        <v>0</v>
      </c>
      <c r="AY521" s="39" t="s">
        <v>2930</v>
      </c>
      <c r="AZ521" s="39" t="s">
        <v>2955</v>
      </c>
      <c r="BA521" s="35" t="s">
        <v>2967</v>
      </c>
      <c r="BC521" s="36">
        <f t="shared" si="505"/>
        <v>0</v>
      </c>
      <c r="BD521" s="36">
        <f t="shared" si="506"/>
        <v>0</v>
      </c>
      <c r="BE521" s="36">
        <v>0</v>
      </c>
      <c r="BF521" s="36">
        <f>521</f>
        <v>521</v>
      </c>
      <c r="BH521" s="20">
        <f t="shared" si="507"/>
        <v>0</v>
      </c>
      <c r="BI521" s="20">
        <f t="shared" si="508"/>
        <v>0</v>
      </c>
      <c r="BJ521" s="20">
        <f t="shared" si="509"/>
        <v>0</v>
      </c>
      <c r="BK521" s="20" t="s">
        <v>2978</v>
      </c>
      <c r="BL521" s="36">
        <v>730</v>
      </c>
    </row>
    <row r="522" spans="1:64" x14ac:dyDescent="0.2">
      <c r="A522" s="4" t="s">
        <v>418</v>
      </c>
      <c r="B522" s="13" t="s">
        <v>1345</v>
      </c>
      <c r="C522" s="174" t="s">
        <v>2121</v>
      </c>
      <c r="D522" s="175"/>
      <c r="E522" s="175"/>
      <c r="F522" s="175"/>
      <c r="G522" s="13" t="s">
        <v>2861</v>
      </c>
      <c r="H522" s="82">
        <v>1</v>
      </c>
      <c r="I522" s="109">
        <v>0</v>
      </c>
      <c r="J522" s="20">
        <f t="shared" si="488"/>
        <v>0</v>
      </c>
      <c r="K522" s="20">
        <f t="shared" si="489"/>
        <v>0</v>
      </c>
      <c r="L522" s="20">
        <f t="shared" si="490"/>
        <v>0</v>
      </c>
      <c r="M522" s="31" t="s">
        <v>2884</v>
      </c>
      <c r="N522" s="5"/>
      <c r="Z522" s="36">
        <f t="shared" si="491"/>
        <v>0</v>
      </c>
      <c r="AB522" s="36">
        <f t="shared" si="492"/>
        <v>0</v>
      </c>
      <c r="AC522" s="36">
        <f t="shared" si="493"/>
        <v>0</v>
      </c>
      <c r="AD522" s="36">
        <f t="shared" si="494"/>
        <v>0</v>
      </c>
      <c r="AE522" s="36">
        <f t="shared" si="495"/>
        <v>0</v>
      </c>
      <c r="AF522" s="36">
        <f t="shared" si="496"/>
        <v>0</v>
      </c>
      <c r="AG522" s="36">
        <f t="shared" si="497"/>
        <v>0</v>
      </c>
      <c r="AH522" s="36">
        <f t="shared" si="498"/>
        <v>0</v>
      </c>
      <c r="AI522" s="35" t="s">
        <v>2894</v>
      </c>
      <c r="AJ522" s="20">
        <f t="shared" si="499"/>
        <v>0</v>
      </c>
      <c r="AK522" s="20">
        <f t="shared" si="500"/>
        <v>0</v>
      </c>
      <c r="AL522" s="20">
        <f t="shared" si="501"/>
        <v>0</v>
      </c>
      <c r="AN522" s="36">
        <v>21</v>
      </c>
      <c r="AO522" s="36">
        <f>I522*0</f>
        <v>0</v>
      </c>
      <c r="AP522" s="36">
        <f>I522*(1-0)</f>
        <v>0</v>
      </c>
      <c r="AQ522" s="37" t="s">
        <v>13</v>
      </c>
      <c r="AV522" s="36">
        <f t="shared" si="502"/>
        <v>0</v>
      </c>
      <c r="AW522" s="36">
        <f t="shared" si="503"/>
        <v>0</v>
      </c>
      <c r="AX522" s="36">
        <f t="shared" si="504"/>
        <v>0</v>
      </c>
      <c r="AY522" s="39" t="s">
        <v>2930</v>
      </c>
      <c r="AZ522" s="39" t="s">
        <v>2955</v>
      </c>
      <c r="BA522" s="35" t="s">
        <v>2967</v>
      </c>
      <c r="BC522" s="36">
        <f t="shared" si="505"/>
        <v>0</v>
      </c>
      <c r="BD522" s="36">
        <f t="shared" si="506"/>
        <v>0</v>
      </c>
      <c r="BE522" s="36">
        <v>0</v>
      </c>
      <c r="BF522" s="36">
        <f>522</f>
        <v>522</v>
      </c>
      <c r="BH522" s="20">
        <f t="shared" si="507"/>
        <v>0</v>
      </c>
      <c r="BI522" s="20">
        <f t="shared" si="508"/>
        <v>0</v>
      </c>
      <c r="BJ522" s="20">
        <f t="shared" si="509"/>
        <v>0</v>
      </c>
      <c r="BK522" s="20" t="s">
        <v>2978</v>
      </c>
      <c r="BL522" s="36">
        <v>730</v>
      </c>
    </row>
    <row r="523" spans="1:64" x14ac:dyDescent="0.2">
      <c r="A523" s="4" t="s">
        <v>419</v>
      </c>
      <c r="B523" s="13" t="s">
        <v>1346</v>
      </c>
      <c r="C523" s="174" t="s">
        <v>2122</v>
      </c>
      <c r="D523" s="175"/>
      <c r="E523" s="175"/>
      <c r="F523" s="175"/>
      <c r="G523" s="13" t="s">
        <v>2860</v>
      </c>
      <c r="H523" s="82">
        <v>1</v>
      </c>
      <c r="I523" s="109">
        <v>0</v>
      </c>
      <c r="J523" s="20">
        <f t="shared" si="488"/>
        <v>0</v>
      </c>
      <c r="K523" s="20">
        <f t="shared" si="489"/>
        <v>0</v>
      </c>
      <c r="L523" s="20">
        <f t="shared" si="490"/>
        <v>0</v>
      </c>
      <c r="M523" s="31" t="s">
        <v>2884</v>
      </c>
      <c r="N523" s="5"/>
      <c r="Z523" s="36">
        <f t="shared" si="491"/>
        <v>0</v>
      </c>
      <c r="AB523" s="36">
        <f t="shared" si="492"/>
        <v>0</v>
      </c>
      <c r="AC523" s="36">
        <f t="shared" si="493"/>
        <v>0</v>
      </c>
      <c r="AD523" s="36">
        <f t="shared" si="494"/>
        <v>0</v>
      </c>
      <c r="AE523" s="36">
        <f t="shared" si="495"/>
        <v>0</v>
      </c>
      <c r="AF523" s="36">
        <f t="shared" si="496"/>
        <v>0</v>
      </c>
      <c r="AG523" s="36">
        <f t="shared" si="497"/>
        <v>0</v>
      </c>
      <c r="AH523" s="36">
        <f t="shared" si="498"/>
        <v>0</v>
      </c>
      <c r="AI523" s="35" t="s">
        <v>2894</v>
      </c>
      <c r="AJ523" s="20">
        <f t="shared" si="499"/>
        <v>0</v>
      </c>
      <c r="AK523" s="20">
        <f t="shared" si="500"/>
        <v>0</v>
      </c>
      <c r="AL523" s="20">
        <f t="shared" si="501"/>
        <v>0</v>
      </c>
      <c r="AN523" s="36">
        <v>21</v>
      </c>
      <c r="AO523" s="36">
        <f>I523*0</f>
        <v>0</v>
      </c>
      <c r="AP523" s="36">
        <f>I523*(1-0)</f>
        <v>0</v>
      </c>
      <c r="AQ523" s="37" t="s">
        <v>13</v>
      </c>
      <c r="AV523" s="36">
        <f t="shared" si="502"/>
        <v>0</v>
      </c>
      <c r="AW523" s="36">
        <f t="shared" si="503"/>
        <v>0</v>
      </c>
      <c r="AX523" s="36">
        <f t="shared" si="504"/>
        <v>0</v>
      </c>
      <c r="AY523" s="39" t="s">
        <v>2930</v>
      </c>
      <c r="AZ523" s="39" t="s">
        <v>2955</v>
      </c>
      <c r="BA523" s="35" t="s">
        <v>2967</v>
      </c>
      <c r="BC523" s="36">
        <f t="shared" si="505"/>
        <v>0</v>
      </c>
      <c r="BD523" s="36">
        <f t="shared" si="506"/>
        <v>0</v>
      </c>
      <c r="BE523" s="36">
        <v>0</v>
      </c>
      <c r="BF523" s="36">
        <f>523</f>
        <v>523</v>
      </c>
      <c r="BH523" s="20">
        <f t="shared" si="507"/>
        <v>0</v>
      </c>
      <c r="BI523" s="20">
        <f t="shared" si="508"/>
        <v>0</v>
      </c>
      <c r="BJ523" s="20">
        <f t="shared" si="509"/>
        <v>0</v>
      </c>
      <c r="BK523" s="20" t="s">
        <v>2978</v>
      </c>
      <c r="BL523" s="36">
        <v>730</v>
      </c>
    </row>
    <row r="524" spans="1:64" x14ac:dyDescent="0.2">
      <c r="A524" s="4" t="s">
        <v>420</v>
      </c>
      <c r="B524" s="13" t="s">
        <v>1347</v>
      </c>
      <c r="C524" s="174" t="s">
        <v>2123</v>
      </c>
      <c r="D524" s="175"/>
      <c r="E524" s="175"/>
      <c r="F524" s="175"/>
      <c r="G524" s="13" t="s">
        <v>2861</v>
      </c>
      <c r="H524" s="82">
        <v>1</v>
      </c>
      <c r="I524" s="109">
        <v>0</v>
      </c>
      <c r="J524" s="20">
        <f t="shared" si="488"/>
        <v>0</v>
      </c>
      <c r="K524" s="20">
        <f t="shared" si="489"/>
        <v>0</v>
      </c>
      <c r="L524" s="20">
        <f t="shared" si="490"/>
        <v>0</v>
      </c>
      <c r="M524" s="31" t="s">
        <v>2884</v>
      </c>
      <c r="N524" s="5"/>
      <c r="Z524" s="36">
        <f t="shared" si="491"/>
        <v>0</v>
      </c>
      <c r="AB524" s="36">
        <f t="shared" si="492"/>
        <v>0</v>
      </c>
      <c r="AC524" s="36">
        <f t="shared" si="493"/>
        <v>0</v>
      </c>
      <c r="AD524" s="36">
        <f t="shared" si="494"/>
        <v>0</v>
      </c>
      <c r="AE524" s="36">
        <f t="shared" si="495"/>
        <v>0</v>
      </c>
      <c r="AF524" s="36">
        <f t="shared" si="496"/>
        <v>0</v>
      </c>
      <c r="AG524" s="36">
        <f t="shared" si="497"/>
        <v>0</v>
      </c>
      <c r="AH524" s="36">
        <f t="shared" si="498"/>
        <v>0</v>
      </c>
      <c r="AI524" s="35" t="s">
        <v>2894</v>
      </c>
      <c r="AJ524" s="20">
        <f t="shared" si="499"/>
        <v>0</v>
      </c>
      <c r="AK524" s="20">
        <f t="shared" si="500"/>
        <v>0</v>
      </c>
      <c r="AL524" s="20">
        <f t="shared" si="501"/>
        <v>0</v>
      </c>
      <c r="AN524" s="36">
        <v>21</v>
      </c>
      <c r="AO524" s="36">
        <f>I524*0</f>
        <v>0</v>
      </c>
      <c r="AP524" s="36">
        <f>I524*(1-0)</f>
        <v>0</v>
      </c>
      <c r="AQ524" s="37" t="s">
        <v>13</v>
      </c>
      <c r="AV524" s="36">
        <f t="shared" si="502"/>
        <v>0</v>
      </c>
      <c r="AW524" s="36">
        <f t="shared" si="503"/>
        <v>0</v>
      </c>
      <c r="AX524" s="36">
        <f t="shared" si="504"/>
        <v>0</v>
      </c>
      <c r="AY524" s="39" t="s">
        <v>2930</v>
      </c>
      <c r="AZ524" s="39" t="s">
        <v>2955</v>
      </c>
      <c r="BA524" s="35" t="s">
        <v>2967</v>
      </c>
      <c r="BC524" s="36">
        <f t="shared" si="505"/>
        <v>0</v>
      </c>
      <c r="BD524" s="36">
        <f t="shared" si="506"/>
        <v>0</v>
      </c>
      <c r="BE524" s="36">
        <v>0</v>
      </c>
      <c r="BF524" s="36">
        <f>524</f>
        <v>524</v>
      </c>
      <c r="BH524" s="20">
        <f t="shared" si="507"/>
        <v>0</v>
      </c>
      <c r="BI524" s="20">
        <f t="shared" si="508"/>
        <v>0</v>
      </c>
      <c r="BJ524" s="20">
        <f t="shared" si="509"/>
        <v>0</v>
      </c>
      <c r="BK524" s="20" t="s">
        <v>2978</v>
      </c>
      <c r="BL524" s="36">
        <v>730</v>
      </c>
    </row>
    <row r="525" spans="1:64" x14ac:dyDescent="0.2">
      <c r="A525" s="3"/>
      <c r="B525" s="12" t="s">
        <v>770</v>
      </c>
      <c r="C525" s="172" t="s">
        <v>2338</v>
      </c>
      <c r="D525" s="173"/>
      <c r="E525" s="173"/>
      <c r="F525" s="173"/>
      <c r="G525" s="18" t="s">
        <v>6</v>
      </c>
      <c r="H525" s="18" t="s">
        <v>6</v>
      </c>
      <c r="I525" s="18" t="s">
        <v>6</v>
      </c>
      <c r="J525" s="41">
        <f>SUM(J526:J528)</f>
        <v>0</v>
      </c>
      <c r="K525" s="41">
        <f>SUM(K526:K528)</f>
        <v>0</v>
      </c>
      <c r="L525" s="41">
        <f>SUM(L526:L528)</f>
        <v>0</v>
      </c>
      <c r="M525" s="30"/>
      <c r="N525" s="5"/>
      <c r="AI525" s="35" t="s">
        <v>2894</v>
      </c>
      <c r="AS525" s="41">
        <f>SUM(AJ526:AJ528)</f>
        <v>0</v>
      </c>
      <c r="AT525" s="41">
        <f>SUM(AK526:AK528)</f>
        <v>0</v>
      </c>
      <c r="AU525" s="41">
        <f>SUM(AL526:AL528)</f>
        <v>0</v>
      </c>
    </row>
    <row r="526" spans="1:64" x14ac:dyDescent="0.2">
      <c r="A526" s="4" t="s">
        <v>421</v>
      </c>
      <c r="B526" s="13" t="s">
        <v>1348</v>
      </c>
      <c r="C526" s="174" t="s">
        <v>2339</v>
      </c>
      <c r="D526" s="175"/>
      <c r="E526" s="175"/>
      <c r="F526" s="175"/>
      <c r="G526" s="13" t="s">
        <v>2855</v>
      </c>
      <c r="H526" s="82">
        <v>33.5</v>
      </c>
      <c r="I526" s="109">
        <v>0</v>
      </c>
      <c r="J526" s="20">
        <f>H526*AO526</f>
        <v>0</v>
      </c>
      <c r="K526" s="20">
        <f>H526*AP526</f>
        <v>0</v>
      </c>
      <c r="L526" s="20">
        <f>H526*I526</f>
        <v>0</v>
      </c>
      <c r="M526" s="31" t="s">
        <v>2884</v>
      </c>
      <c r="N526" s="5"/>
      <c r="Z526" s="36">
        <f>IF(AQ526="5",BJ526,0)</f>
        <v>0</v>
      </c>
      <c r="AB526" s="36">
        <f>IF(AQ526="1",BH526,0)</f>
        <v>0</v>
      </c>
      <c r="AC526" s="36">
        <f>IF(AQ526="1",BI526,0)</f>
        <v>0</v>
      </c>
      <c r="AD526" s="36">
        <f>IF(AQ526="7",BH526,0)</f>
        <v>0</v>
      </c>
      <c r="AE526" s="36">
        <f>IF(AQ526="7",BI526,0)</f>
        <v>0</v>
      </c>
      <c r="AF526" s="36">
        <f>IF(AQ526="2",BH526,0)</f>
        <v>0</v>
      </c>
      <c r="AG526" s="36">
        <f>IF(AQ526="2",BI526,0)</f>
        <v>0</v>
      </c>
      <c r="AH526" s="36">
        <f>IF(AQ526="0",BJ526,0)</f>
        <v>0</v>
      </c>
      <c r="AI526" s="35" t="s">
        <v>2894</v>
      </c>
      <c r="AJ526" s="20">
        <f>IF(AN526=0,L526,0)</f>
        <v>0</v>
      </c>
      <c r="AK526" s="20">
        <f>IF(AN526=15,L526,0)</f>
        <v>0</v>
      </c>
      <c r="AL526" s="20">
        <f>IF(AN526=21,L526,0)</f>
        <v>0</v>
      </c>
      <c r="AN526" s="36">
        <v>21</v>
      </c>
      <c r="AO526" s="36">
        <f>I526*0</f>
        <v>0</v>
      </c>
      <c r="AP526" s="36">
        <f>I526*(1-0)</f>
        <v>0</v>
      </c>
      <c r="AQ526" s="37" t="s">
        <v>13</v>
      </c>
      <c r="AV526" s="36">
        <f>AW526+AX526</f>
        <v>0</v>
      </c>
      <c r="AW526" s="36">
        <f>H526*AO526</f>
        <v>0</v>
      </c>
      <c r="AX526" s="36">
        <f>H526*AP526</f>
        <v>0</v>
      </c>
      <c r="AY526" s="39" t="s">
        <v>2931</v>
      </c>
      <c r="AZ526" s="39" t="s">
        <v>2956</v>
      </c>
      <c r="BA526" s="35" t="s">
        <v>2967</v>
      </c>
      <c r="BC526" s="36">
        <f>AW526+AX526</f>
        <v>0</v>
      </c>
      <c r="BD526" s="36">
        <f>I526/(100-BE526)*100</f>
        <v>0</v>
      </c>
      <c r="BE526" s="36">
        <v>0</v>
      </c>
      <c r="BF526" s="36">
        <f>526</f>
        <v>526</v>
      </c>
      <c r="BH526" s="20">
        <f>H526*AO526</f>
        <v>0</v>
      </c>
      <c r="BI526" s="20">
        <f>H526*AP526</f>
        <v>0</v>
      </c>
      <c r="BJ526" s="20">
        <f>H526*I526</f>
        <v>0</v>
      </c>
      <c r="BK526" s="20" t="s">
        <v>2978</v>
      </c>
      <c r="BL526" s="36">
        <v>764</v>
      </c>
    </row>
    <row r="527" spans="1:64" x14ac:dyDescent="0.2">
      <c r="A527" s="4" t="s">
        <v>422</v>
      </c>
      <c r="B527" s="13" t="s">
        <v>1349</v>
      </c>
      <c r="C527" s="174" t="s">
        <v>2340</v>
      </c>
      <c r="D527" s="175"/>
      <c r="E527" s="175"/>
      <c r="F527" s="175"/>
      <c r="G527" s="13" t="s">
        <v>2855</v>
      </c>
      <c r="H527" s="82">
        <v>92</v>
      </c>
      <c r="I527" s="109">
        <v>0</v>
      </c>
      <c r="J527" s="20">
        <f>H527*AO527</f>
        <v>0</v>
      </c>
      <c r="K527" s="20">
        <f>H527*AP527</f>
        <v>0</v>
      </c>
      <c r="L527" s="20">
        <f>H527*I527</f>
        <v>0</v>
      </c>
      <c r="M527" s="31" t="s">
        <v>2884</v>
      </c>
      <c r="N527" s="5"/>
      <c r="Z527" s="36">
        <f>IF(AQ527="5",BJ527,0)</f>
        <v>0</v>
      </c>
      <c r="AB527" s="36">
        <f>IF(AQ527="1",BH527,0)</f>
        <v>0</v>
      </c>
      <c r="AC527" s="36">
        <f>IF(AQ527="1",BI527,0)</f>
        <v>0</v>
      </c>
      <c r="AD527" s="36">
        <f>IF(AQ527="7",BH527,0)</f>
        <v>0</v>
      </c>
      <c r="AE527" s="36">
        <f>IF(AQ527="7",BI527,0)</f>
        <v>0</v>
      </c>
      <c r="AF527" s="36">
        <f>IF(AQ527="2",BH527,0)</f>
        <v>0</v>
      </c>
      <c r="AG527" s="36">
        <f>IF(AQ527="2",BI527,0)</f>
        <v>0</v>
      </c>
      <c r="AH527" s="36">
        <f>IF(AQ527="0",BJ527,0)</f>
        <v>0</v>
      </c>
      <c r="AI527" s="35" t="s">
        <v>2894</v>
      </c>
      <c r="AJ527" s="20">
        <f>IF(AN527=0,L527,0)</f>
        <v>0</v>
      </c>
      <c r="AK527" s="20">
        <f>IF(AN527=15,L527,0)</f>
        <v>0</v>
      </c>
      <c r="AL527" s="20">
        <f>IF(AN527=21,L527,0)</f>
        <v>0</v>
      </c>
      <c r="AN527" s="36">
        <v>21</v>
      </c>
      <c r="AO527" s="36">
        <f>I527*0</f>
        <v>0</v>
      </c>
      <c r="AP527" s="36">
        <f>I527*(1-0)</f>
        <v>0</v>
      </c>
      <c r="AQ527" s="37" t="s">
        <v>13</v>
      </c>
      <c r="AV527" s="36">
        <f>AW527+AX527</f>
        <v>0</v>
      </c>
      <c r="AW527" s="36">
        <f>H527*AO527</f>
        <v>0</v>
      </c>
      <c r="AX527" s="36">
        <f>H527*AP527</f>
        <v>0</v>
      </c>
      <c r="AY527" s="39" t="s">
        <v>2931</v>
      </c>
      <c r="AZ527" s="39" t="s">
        <v>2956</v>
      </c>
      <c r="BA527" s="35" t="s">
        <v>2967</v>
      </c>
      <c r="BC527" s="36">
        <f>AW527+AX527</f>
        <v>0</v>
      </c>
      <c r="BD527" s="36">
        <f>I527/(100-BE527)*100</f>
        <v>0</v>
      </c>
      <c r="BE527" s="36">
        <v>0</v>
      </c>
      <c r="BF527" s="36">
        <f>527</f>
        <v>527</v>
      </c>
      <c r="BH527" s="20">
        <f>H527*AO527</f>
        <v>0</v>
      </c>
      <c r="BI527" s="20">
        <f>H527*AP527</f>
        <v>0</v>
      </c>
      <c r="BJ527" s="20">
        <f>H527*I527</f>
        <v>0</v>
      </c>
      <c r="BK527" s="20" t="s">
        <v>2978</v>
      </c>
      <c r="BL527" s="36">
        <v>764</v>
      </c>
    </row>
    <row r="528" spans="1:64" x14ac:dyDescent="0.2">
      <c r="A528" s="4" t="s">
        <v>423</v>
      </c>
      <c r="B528" s="13" t="s">
        <v>1350</v>
      </c>
      <c r="C528" s="174" t="s">
        <v>2341</v>
      </c>
      <c r="D528" s="175"/>
      <c r="E528" s="175"/>
      <c r="F528" s="175"/>
      <c r="G528" s="13" t="s">
        <v>2856</v>
      </c>
      <c r="H528" s="82">
        <v>0.51900000000000002</v>
      </c>
      <c r="I528" s="109">
        <v>0</v>
      </c>
      <c r="J528" s="20">
        <f>H528*AO528</f>
        <v>0</v>
      </c>
      <c r="K528" s="20">
        <f>H528*AP528</f>
        <v>0</v>
      </c>
      <c r="L528" s="20">
        <f>H528*I528</f>
        <v>0</v>
      </c>
      <c r="M528" s="31" t="s">
        <v>2884</v>
      </c>
      <c r="N528" s="5"/>
      <c r="Z528" s="36">
        <f>IF(AQ528="5",BJ528,0)</f>
        <v>0</v>
      </c>
      <c r="AB528" s="36">
        <f>IF(AQ528="1",BH528,0)</f>
        <v>0</v>
      </c>
      <c r="AC528" s="36">
        <f>IF(AQ528="1",BI528,0)</f>
        <v>0</v>
      </c>
      <c r="AD528" s="36">
        <f>IF(AQ528="7",BH528,0)</f>
        <v>0</v>
      </c>
      <c r="AE528" s="36">
        <f>IF(AQ528="7",BI528,0)</f>
        <v>0</v>
      </c>
      <c r="AF528" s="36">
        <f>IF(AQ528="2",BH528,0)</f>
        <v>0</v>
      </c>
      <c r="AG528" s="36">
        <f>IF(AQ528="2",BI528,0)</f>
        <v>0</v>
      </c>
      <c r="AH528" s="36">
        <f>IF(AQ528="0",BJ528,0)</f>
        <v>0</v>
      </c>
      <c r="AI528" s="35" t="s">
        <v>2894</v>
      </c>
      <c r="AJ528" s="20">
        <f>IF(AN528=0,L528,0)</f>
        <v>0</v>
      </c>
      <c r="AK528" s="20">
        <f>IF(AN528=15,L528,0)</f>
        <v>0</v>
      </c>
      <c r="AL528" s="20">
        <f>IF(AN528=21,L528,0)</f>
        <v>0</v>
      </c>
      <c r="AN528" s="36">
        <v>21</v>
      </c>
      <c r="AO528" s="36">
        <f>I528*0</f>
        <v>0</v>
      </c>
      <c r="AP528" s="36">
        <f>I528*(1-0)</f>
        <v>0</v>
      </c>
      <c r="AQ528" s="37" t="s">
        <v>11</v>
      </c>
      <c r="AV528" s="36">
        <f>AW528+AX528</f>
        <v>0</v>
      </c>
      <c r="AW528" s="36">
        <f>H528*AO528</f>
        <v>0</v>
      </c>
      <c r="AX528" s="36">
        <f>H528*AP528</f>
        <v>0</v>
      </c>
      <c r="AY528" s="39" t="s">
        <v>2931</v>
      </c>
      <c r="AZ528" s="39" t="s">
        <v>2956</v>
      </c>
      <c r="BA528" s="35" t="s">
        <v>2967</v>
      </c>
      <c r="BC528" s="36">
        <f>AW528+AX528</f>
        <v>0</v>
      </c>
      <c r="BD528" s="36">
        <f>I528/(100-BE528)*100</f>
        <v>0</v>
      </c>
      <c r="BE528" s="36">
        <v>0</v>
      </c>
      <c r="BF528" s="36">
        <f>528</f>
        <v>528</v>
      </c>
      <c r="BH528" s="20">
        <f>H528*AO528</f>
        <v>0</v>
      </c>
      <c r="BI528" s="20">
        <f>H528*AP528</f>
        <v>0</v>
      </c>
      <c r="BJ528" s="20">
        <f>H528*I528</f>
        <v>0</v>
      </c>
      <c r="BK528" s="20" t="s">
        <v>2978</v>
      </c>
      <c r="BL528" s="36">
        <v>764</v>
      </c>
    </row>
    <row r="529" spans="1:64" x14ac:dyDescent="0.2">
      <c r="A529" s="3"/>
      <c r="B529" s="12" t="s">
        <v>772</v>
      </c>
      <c r="C529" s="172" t="s">
        <v>2342</v>
      </c>
      <c r="D529" s="173"/>
      <c r="E529" s="173"/>
      <c r="F529" s="173"/>
      <c r="G529" s="18" t="s">
        <v>6</v>
      </c>
      <c r="H529" s="18" t="s">
        <v>6</v>
      </c>
      <c r="I529" s="18" t="s">
        <v>6</v>
      </c>
      <c r="J529" s="41">
        <f>SUM(J530:J557)</f>
        <v>0</v>
      </c>
      <c r="K529" s="41">
        <f>SUM(K530:K557)</f>
        <v>0</v>
      </c>
      <c r="L529" s="41">
        <f>SUM(L530:L557)</f>
        <v>0</v>
      </c>
      <c r="M529" s="30"/>
      <c r="N529" s="5"/>
      <c r="AI529" s="35" t="s">
        <v>2894</v>
      </c>
      <c r="AS529" s="41">
        <f>SUM(AJ530:AJ557)</f>
        <v>0</v>
      </c>
      <c r="AT529" s="41">
        <f>SUM(AK530:AK557)</f>
        <v>0</v>
      </c>
      <c r="AU529" s="41">
        <f>SUM(AL530:AL557)</f>
        <v>0</v>
      </c>
    </row>
    <row r="530" spans="1:64" x14ac:dyDescent="0.2">
      <c r="A530" s="4" t="s">
        <v>424</v>
      </c>
      <c r="B530" s="13" t="s">
        <v>1351</v>
      </c>
      <c r="C530" s="174" t="s">
        <v>2343</v>
      </c>
      <c r="D530" s="175"/>
      <c r="E530" s="175"/>
      <c r="F530" s="175"/>
      <c r="G530" s="13" t="s">
        <v>2855</v>
      </c>
      <c r="H530" s="82">
        <v>204.7</v>
      </c>
      <c r="I530" s="109">
        <v>0</v>
      </c>
      <c r="J530" s="20">
        <f>H530*AO530</f>
        <v>0</v>
      </c>
      <c r="K530" s="20">
        <f>H530*AP530</f>
        <v>0</v>
      </c>
      <c r="L530" s="20">
        <f>H530*I530</f>
        <v>0</v>
      </c>
      <c r="M530" s="31" t="s">
        <v>2884</v>
      </c>
      <c r="N530" s="5"/>
      <c r="Z530" s="36">
        <f>IF(AQ530="5",BJ530,0)</f>
        <v>0</v>
      </c>
      <c r="AB530" s="36">
        <f>IF(AQ530="1",BH530,0)</f>
        <v>0</v>
      </c>
      <c r="AC530" s="36">
        <f>IF(AQ530="1",BI530,0)</f>
        <v>0</v>
      </c>
      <c r="AD530" s="36">
        <f>IF(AQ530="7",BH530,0)</f>
        <v>0</v>
      </c>
      <c r="AE530" s="36">
        <f>IF(AQ530="7",BI530,0)</f>
        <v>0</v>
      </c>
      <c r="AF530" s="36">
        <f>IF(AQ530="2",BH530,0)</f>
        <v>0</v>
      </c>
      <c r="AG530" s="36">
        <f>IF(AQ530="2",BI530,0)</f>
        <v>0</v>
      </c>
      <c r="AH530" s="36">
        <f>IF(AQ530="0",BJ530,0)</f>
        <v>0</v>
      </c>
      <c r="AI530" s="35" t="s">
        <v>2894</v>
      </c>
      <c r="AJ530" s="20">
        <f>IF(AN530=0,L530,0)</f>
        <v>0</v>
      </c>
      <c r="AK530" s="20">
        <f>IF(AN530=15,L530,0)</f>
        <v>0</v>
      </c>
      <c r="AL530" s="20">
        <f>IF(AN530=21,L530,0)</f>
        <v>0</v>
      </c>
      <c r="AN530" s="36">
        <v>21</v>
      </c>
      <c r="AO530" s="36">
        <f>I530*0.460986842105263</f>
        <v>0</v>
      </c>
      <c r="AP530" s="36">
        <f>I530*(1-0.460986842105263)</f>
        <v>0</v>
      </c>
      <c r="AQ530" s="37" t="s">
        <v>13</v>
      </c>
      <c r="AV530" s="36">
        <f>AW530+AX530</f>
        <v>0</v>
      </c>
      <c r="AW530" s="36">
        <f>H530*AO530</f>
        <v>0</v>
      </c>
      <c r="AX530" s="36">
        <f>H530*AP530</f>
        <v>0</v>
      </c>
      <c r="AY530" s="39" t="s">
        <v>2932</v>
      </c>
      <c r="AZ530" s="39" t="s">
        <v>2956</v>
      </c>
      <c r="BA530" s="35" t="s">
        <v>2967</v>
      </c>
      <c r="BC530" s="36">
        <f>AW530+AX530</f>
        <v>0</v>
      </c>
      <c r="BD530" s="36">
        <f>I530/(100-BE530)*100</f>
        <v>0</v>
      </c>
      <c r="BE530" s="36">
        <v>0</v>
      </c>
      <c r="BF530" s="36">
        <f>530</f>
        <v>530</v>
      </c>
      <c r="BH530" s="20">
        <f>H530*AO530</f>
        <v>0</v>
      </c>
      <c r="BI530" s="20">
        <f>H530*AP530</f>
        <v>0</v>
      </c>
      <c r="BJ530" s="20">
        <f>H530*I530</f>
        <v>0</v>
      </c>
      <c r="BK530" s="20" t="s">
        <v>2978</v>
      </c>
      <c r="BL530" s="36">
        <v>766</v>
      </c>
    </row>
    <row r="531" spans="1:64" x14ac:dyDescent="0.2">
      <c r="A531" s="4" t="s">
        <v>425</v>
      </c>
      <c r="B531" s="13" t="s">
        <v>1352</v>
      </c>
      <c r="C531" s="174" t="s">
        <v>2344</v>
      </c>
      <c r="D531" s="175"/>
      <c r="E531" s="175"/>
      <c r="F531" s="175"/>
      <c r="G531" s="13" t="s">
        <v>2855</v>
      </c>
      <c r="H531" s="82">
        <v>33.5</v>
      </c>
      <c r="I531" s="109">
        <v>0</v>
      </c>
      <c r="J531" s="20">
        <f>H531*AO531</f>
        <v>0</v>
      </c>
      <c r="K531" s="20">
        <f>H531*AP531</f>
        <v>0</v>
      </c>
      <c r="L531" s="20">
        <f>H531*I531</f>
        <v>0</v>
      </c>
      <c r="M531" s="31" t="s">
        <v>2884</v>
      </c>
      <c r="N531" s="5"/>
      <c r="Z531" s="36">
        <f>IF(AQ531="5",BJ531,0)</f>
        <v>0</v>
      </c>
      <c r="AB531" s="36">
        <f>IF(AQ531="1",BH531,0)</f>
        <v>0</v>
      </c>
      <c r="AC531" s="36">
        <f>IF(AQ531="1",BI531,0)</f>
        <v>0</v>
      </c>
      <c r="AD531" s="36">
        <f>IF(AQ531="7",BH531,0)</f>
        <v>0</v>
      </c>
      <c r="AE531" s="36">
        <f>IF(AQ531="7",BI531,0)</f>
        <v>0</v>
      </c>
      <c r="AF531" s="36">
        <f>IF(AQ531="2",BH531,0)</f>
        <v>0</v>
      </c>
      <c r="AG531" s="36">
        <f>IF(AQ531="2",BI531,0)</f>
        <v>0</v>
      </c>
      <c r="AH531" s="36">
        <f>IF(AQ531="0",BJ531,0)</f>
        <v>0</v>
      </c>
      <c r="AI531" s="35" t="s">
        <v>2894</v>
      </c>
      <c r="AJ531" s="20">
        <f>IF(AN531=0,L531,0)</f>
        <v>0</v>
      </c>
      <c r="AK531" s="20">
        <f>IF(AN531=15,L531,0)</f>
        <v>0</v>
      </c>
      <c r="AL531" s="20">
        <f>IF(AN531=21,L531,0)</f>
        <v>0</v>
      </c>
      <c r="AN531" s="36">
        <v>21</v>
      </c>
      <c r="AO531" s="36">
        <f>I531*0.401091924447399</f>
        <v>0</v>
      </c>
      <c r="AP531" s="36">
        <f>I531*(1-0.401091924447399)</f>
        <v>0</v>
      </c>
      <c r="AQ531" s="37" t="s">
        <v>13</v>
      </c>
      <c r="AV531" s="36">
        <f>AW531+AX531</f>
        <v>0</v>
      </c>
      <c r="AW531" s="36">
        <f>H531*AO531</f>
        <v>0</v>
      </c>
      <c r="AX531" s="36">
        <f>H531*AP531</f>
        <v>0</v>
      </c>
      <c r="AY531" s="39" t="s">
        <v>2932</v>
      </c>
      <c r="AZ531" s="39" t="s">
        <v>2956</v>
      </c>
      <c r="BA531" s="35" t="s">
        <v>2967</v>
      </c>
      <c r="BC531" s="36">
        <f>AW531+AX531</f>
        <v>0</v>
      </c>
      <c r="BD531" s="36">
        <f>I531/(100-BE531)*100</f>
        <v>0</v>
      </c>
      <c r="BE531" s="36">
        <v>0</v>
      </c>
      <c r="BF531" s="36">
        <f>531</f>
        <v>531</v>
      </c>
      <c r="BH531" s="20">
        <f>H531*AO531</f>
        <v>0</v>
      </c>
      <c r="BI531" s="20">
        <f>H531*AP531</f>
        <v>0</v>
      </c>
      <c r="BJ531" s="20">
        <f>H531*I531</f>
        <v>0</v>
      </c>
      <c r="BK531" s="20" t="s">
        <v>2978</v>
      </c>
      <c r="BL531" s="36">
        <v>766</v>
      </c>
    </row>
    <row r="532" spans="1:64" x14ac:dyDescent="0.2">
      <c r="A532" s="5"/>
      <c r="B532" s="14"/>
      <c r="C532" s="179" t="s">
        <v>2345</v>
      </c>
      <c r="D532" s="180"/>
      <c r="E532" s="180"/>
      <c r="F532" s="180"/>
      <c r="G532" s="180"/>
      <c r="H532" s="180"/>
      <c r="I532" s="180"/>
      <c r="J532" s="180"/>
      <c r="K532" s="180"/>
      <c r="L532" s="180"/>
      <c r="M532" s="181"/>
      <c r="N532" s="5"/>
    </row>
    <row r="533" spans="1:64" x14ac:dyDescent="0.2">
      <c r="A533" s="4" t="s">
        <v>426</v>
      </c>
      <c r="B533" s="13" t="s">
        <v>1353</v>
      </c>
      <c r="C533" s="174" t="s">
        <v>2346</v>
      </c>
      <c r="D533" s="175"/>
      <c r="E533" s="175"/>
      <c r="F533" s="175"/>
      <c r="G533" s="13" t="s">
        <v>2852</v>
      </c>
      <c r="H533" s="82">
        <v>4</v>
      </c>
      <c r="I533" s="109">
        <v>0</v>
      </c>
      <c r="J533" s="20">
        <f t="shared" ref="J533:J557" si="510">H533*AO533</f>
        <v>0</v>
      </c>
      <c r="K533" s="20">
        <f t="shared" ref="K533:K557" si="511">H533*AP533</f>
        <v>0</v>
      </c>
      <c r="L533" s="20">
        <f t="shared" ref="L533:L557" si="512">H533*I533</f>
        <v>0</v>
      </c>
      <c r="M533" s="31" t="s">
        <v>2884</v>
      </c>
      <c r="N533" s="5"/>
      <c r="Z533" s="36">
        <f t="shared" ref="Z533:Z557" si="513">IF(AQ533="5",BJ533,0)</f>
        <v>0</v>
      </c>
      <c r="AB533" s="36">
        <f t="shared" ref="AB533:AB557" si="514">IF(AQ533="1",BH533,0)</f>
        <v>0</v>
      </c>
      <c r="AC533" s="36">
        <f t="shared" ref="AC533:AC557" si="515">IF(AQ533="1",BI533,0)</f>
        <v>0</v>
      </c>
      <c r="AD533" s="36">
        <f t="shared" ref="AD533:AD557" si="516">IF(AQ533="7",BH533,0)</f>
        <v>0</v>
      </c>
      <c r="AE533" s="36">
        <f t="shared" ref="AE533:AE557" si="517">IF(AQ533="7",BI533,0)</f>
        <v>0</v>
      </c>
      <c r="AF533" s="36">
        <f t="shared" ref="AF533:AF557" si="518">IF(AQ533="2",BH533,0)</f>
        <v>0</v>
      </c>
      <c r="AG533" s="36">
        <f t="shared" ref="AG533:AG557" si="519">IF(AQ533="2",BI533,0)</f>
        <v>0</v>
      </c>
      <c r="AH533" s="36">
        <f t="shared" ref="AH533:AH557" si="520">IF(AQ533="0",BJ533,0)</f>
        <v>0</v>
      </c>
      <c r="AI533" s="35" t="s">
        <v>2894</v>
      </c>
      <c r="AJ533" s="20">
        <f t="shared" ref="AJ533:AJ557" si="521">IF(AN533=0,L533,0)</f>
        <v>0</v>
      </c>
      <c r="AK533" s="20">
        <f t="shared" ref="AK533:AK557" si="522">IF(AN533=15,L533,0)</f>
        <v>0</v>
      </c>
      <c r="AL533" s="20">
        <f t="shared" ref="AL533:AL557" si="523">IF(AN533=21,L533,0)</f>
        <v>0</v>
      </c>
      <c r="AN533" s="36">
        <v>21</v>
      </c>
      <c r="AO533" s="36">
        <f t="shared" ref="AO533:AO551" si="524">I533*0.79</f>
        <v>0</v>
      </c>
      <c r="AP533" s="36">
        <f t="shared" ref="AP533:AP551" si="525">I533*(1-0.79)</f>
        <v>0</v>
      </c>
      <c r="AQ533" s="37" t="s">
        <v>13</v>
      </c>
      <c r="AV533" s="36">
        <f t="shared" ref="AV533:AV557" si="526">AW533+AX533</f>
        <v>0</v>
      </c>
      <c r="AW533" s="36">
        <f t="shared" ref="AW533:AW557" si="527">H533*AO533</f>
        <v>0</v>
      </c>
      <c r="AX533" s="36">
        <f t="shared" ref="AX533:AX557" si="528">H533*AP533</f>
        <v>0</v>
      </c>
      <c r="AY533" s="39" t="s">
        <v>2932</v>
      </c>
      <c r="AZ533" s="39" t="s">
        <v>2956</v>
      </c>
      <c r="BA533" s="35" t="s">
        <v>2967</v>
      </c>
      <c r="BC533" s="36">
        <f t="shared" ref="BC533:BC557" si="529">AW533+AX533</f>
        <v>0</v>
      </c>
      <c r="BD533" s="36">
        <f t="shared" ref="BD533:BD557" si="530">I533/(100-BE533)*100</f>
        <v>0</v>
      </c>
      <c r="BE533" s="36">
        <v>0</v>
      </c>
      <c r="BF533" s="36">
        <f>533</f>
        <v>533</v>
      </c>
      <c r="BH533" s="20">
        <f t="shared" ref="BH533:BH557" si="531">H533*AO533</f>
        <v>0</v>
      </c>
      <c r="BI533" s="20">
        <f t="shared" ref="BI533:BI557" si="532">H533*AP533</f>
        <v>0</v>
      </c>
      <c r="BJ533" s="20">
        <f t="shared" ref="BJ533:BJ557" si="533">H533*I533</f>
        <v>0</v>
      </c>
      <c r="BK533" s="20" t="s">
        <v>2978</v>
      </c>
      <c r="BL533" s="36">
        <v>766</v>
      </c>
    </row>
    <row r="534" spans="1:64" x14ac:dyDescent="0.2">
      <c r="A534" s="4" t="s">
        <v>427</v>
      </c>
      <c r="B534" s="13" t="s">
        <v>1354</v>
      </c>
      <c r="C534" s="174" t="s">
        <v>2347</v>
      </c>
      <c r="D534" s="175"/>
      <c r="E534" s="175"/>
      <c r="F534" s="175"/>
      <c r="G534" s="13" t="s">
        <v>2852</v>
      </c>
      <c r="H534" s="82">
        <v>1</v>
      </c>
      <c r="I534" s="109">
        <v>0</v>
      </c>
      <c r="J534" s="20">
        <f t="shared" si="510"/>
        <v>0</v>
      </c>
      <c r="K534" s="20">
        <f t="shared" si="511"/>
        <v>0</v>
      </c>
      <c r="L534" s="20">
        <f t="shared" si="512"/>
        <v>0</v>
      </c>
      <c r="M534" s="31" t="s">
        <v>2884</v>
      </c>
      <c r="N534" s="5"/>
      <c r="Z534" s="36">
        <f t="shared" si="513"/>
        <v>0</v>
      </c>
      <c r="AB534" s="36">
        <f t="shared" si="514"/>
        <v>0</v>
      </c>
      <c r="AC534" s="36">
        <f t="shared" si="515"/>
        <v>0</v>
      </c>
      <c r="AD534" s="36">
        <f t="shared" si="516"/>
        <v>0</v>
      </c>
      <c r="AE534" s="36">
        <f t="shared" si="517"/>
        <v>0</v>
      </c>
      <c r="AF534" s="36">
        <f t="shared" si="518"/>
        <v>0</v>
      </c>
      <c r="AG534" s="36">
        <f t="shared" si="519"/>
        <v>0</v>
      </c>
      <c r="AH534" s="36">
        <f t="shared" si="520"/>
        <v>0</v>
      </c>
      <c r="AI534" s="35" t="s">
        <v>2894</v>
      </c>
      <c r="AJ534" s="20">
        <f t="shared" si="521"/>
        <v>0</v>
      </c>
      <c r="AK534" s="20">
        <f t="shared" si="522"/>
        <v>0</v>
      </c>
      <c r="AL534" s="20">
        <f t="shared" si="523"/>
        <v>0</v>
      </c>
      <c r="AN534" s="36">
        <v>21</v>
      </c>
      <c r="AO534" s="36">
        <f t="shared" si="524"/>
        <v>0</v>
      </c>
      <c r="AP534" s="36">
        <f t="shared" si="525"/>
        <v>0</v>
      </c>
      <c r="AQ534" s="37" t="s">
        <v>13</v>
      </c>
      <c r="AV534" s="36">
        <f t="shared" si="526"/>
        <v>0</v>
      </c>
      <c r="AW534" s="36">
        <f t="shared" si="527"/>
        <v>0</v>
      </c>
      <c r="AX534" s="36">
        <f t="shared" si="528"/>
        <v>0</v>
      </c>
      <c r="AY534" s="39" t="s">
        <v>2932</v>
      </c>
      <c r="AZ534" s="39" t="s">
        <v>2956</v>
      </c>
      <c r="BA534" s="35" t="s">
        <v>2967</v>
      </c>
      <c r="BC534" s="36">
        <f t="shared" si="529"/>
        <v>0</v>
      </c>
      <c r="BD534" s="36">
        <f t="shared" si="530"/>
        <v>0</v>
      </c>
      <c r="BE534" s="36">
        <v>0</v>
      </c>
      <c r="BF534" s="36">
        <f>534</f>
        <v>534</v>
      </c>
      <c r="BH534" s="20">
        <f t="shared" si="531"/>
        <v>0</v>
      </c>
      <c r="BI534" s="20">
        <f t="shared" si="532"/>
        <v>0</v>
      </c>
      <c r="BJ534" s="20">
        <f t="shared" si="533"/>
        <v>0</v>
      </c>
      <c r="BK534" s="20" t="s">
        <v>2978</v>
      </c>
      <c r="BL534" s="36">
        <v>766</v>
      </c>
    </row>
    <row r="535" spans="1:64" x14ac:dyDescent="0.2">
      <c r="A535" s="4" t="s">
        <v>428</v>
      </c>
      <c r="B535" s="13" t="s">
        <v>1355</v>
      </c>
      <c r="C535" s="174" t="s">
        <v>2348</v>
      </c>
      <c r="D535" s="175"/>
      <c r="E535" s="175"/>
      <c r="F535" s="175"/>
      <c r="G535" s="13" t="s">
        <v>2852</v>
      </c>
      <c r="H535" s="82">
        <v>2</v>
      </c>
      <c r="I535" s="109">
        <v>0</v>
      </c>
      <c r="J535" s="20">
        <f t="shared" si="510"/>
        <v>0</v>
      </c>
      <c r="K535" s="20">
        <f t="shared" si="511"/>
        <v>0</v>
      </c>
      <c r="L535" s="20">
        <f t="shared" si="512"/>
        <v>0</v>
      </c>
      <c r="M535" s="31" t="s">
        <v>2884</v>
      </c>
      <c r="N535" s="5"/>
      <c r="Z535" s="36">
        <f t="shared" si="513"/>
        <v>0</v>
      </c>
      <c r="AB535" s="36">
        <f t="shared" si="514"/>
        <v>0</v>
      </c>
      <c r="AC535" s="36">
        <f t="shared" si="515"/>
        <v>0</v>
      </c>
      <c r="AD535" s="36">
        <f t="shared" si="516"/>
        <v>0</v>
      </c>
      <c r="AE535" s="36">
        <f t="shared" si="517"/>
        <v>0</v>
      </c>
      <c r="AF535" s="36">
        <f t="shared" si="518"/>
        <v>0</v>
      </c>
      <c r="AG535" s="36">
        <f t="shared" si="519"/>
        <v>0</v>
      </c>
      <c r="AH535" s="36">
        <f t="shared" si="520"/>
        <v>0</v>
      </c>
      <c r="AI535" s="35" t="s">
        <v>2894</v>
      </c>
      <c r="AJ535" s="20">
        <f t="shared" si="521"/>
        <v>0</v>
      </c>
      <c r="AK535" s="20">
        <f t="shared" si="522"/>
        <v>0</v>
      </c>
      <c r="AL535" s="20">
        <f t="shared" si="523"/>
        <v>0</v>
      </c>
      <c r="AN535" s="36">
        <v>21</v>
      </c>
      <c r="AO535" s="36">
        <f t="shared" si="524"/>
        <v>0</v>
      </c>
      <c r="AP535" s="36">
        <f t="shared" si="525"/>
        <v>0</v>
      </c>
      <c r="AQ535" s="37" t="s">
        <v>13</v>
      </c>
      <c r="AV535" s="36">
        <f t="shared" si="526"/>
        <v>0</v>
      </c>
      <c r="AW535" s="36">
        <f t="shared" si="527"/>
        <v>0</v>
      </c>
      <c r="AX535" s="36">
        <f t="shared" si="528"/>
        <v>0</v>
      </c>
      <c r="AY535" s="39" t="s">
        <v>2932</v>
      </c>
      <c r="AZ535" s="39" t="s">
        <v>2956</v>
      </c>
      <c r="BA535" s="35" t="s">
        <v>2967</v>
      </c>
      <c r="BC535" s="36">
        <f t="shared" si="529"/>
        <v>0</v>
      </c>
      <c r="BD535" s="36">
        <f t="shared" si="530"/>
        <v>0</v>
      </c>
      <c r="BE535" s="36">
        <v>0</v>
      </c>
      <c r="BF535" s="36">
        <f>535</f>
        <v>535</v>
      </c>
      <c r="BH535" s="20">
        <f t="shared" si="531"/>
        <v>0</v>
      </c>
      <c r="BI535" s="20">
        <f t="shared" si="532"/>
        <v>0</v>
      </c>
      <c r="BJ535" s="20">
        <f t="shared" si="533"/>
        <v>0</v>
      </c>
      <c r="BK535" s="20" t="s">
        <v>2978</v>
      </c>
      <c r="BL535" s="36">
        <v>766</v>
      </c>
    </row>
    <row r="536" spans="1:64" x14ac:dyDescent="0.2">
      <c r="A536" s="4" t="s">
        <v>429</v>
      </c>
      <c r="B536" s="13" t="s">
        <v>1356</v>
      </c>
      <c r="C536" s="174" t="s">
        <v>2349</v>
      </c>
      <c r="D536" s="175"/>
      <c r="E536" s="175"/>
      <c r="F536" s="175"/>
      <c r="G536" s="13" t="s">
        <v>2852</v>
      </c>
      <c r="H536" s="82">
        <v>13</v>
      </c>
      <c r="I536" s="109">
        <v>0</v>
      </c>
      <c r="J536" s="20">
        <f t="shared" si="510"/>
        <v>0</v>
      </c>
      <c r="K536" s="20">
        <f t="shared" si="511"/>
        <v>0</v>
      </c>
      <c r="L536" s="20">
        <f t="shared" si="512"/>
        <v>0</v>
      </c>
      <c r="M536" s="31" t="s">
        <v>2884</v>
      </c>
      <c r="N536" s="5"/>
      <c r="Z536" s="36">
        <f t="shared" si="513"/>
        <v>0</v>
      </c>
      <c r="AB536" s="36">
        <f t="shared" si="514"/>
        <v>0</v>
      </c>
      <c r="AC536" s="36">
        <f t="shared" si="515"/>
        <v>0</v>
      </c>
      <c r="AD536" s="36">
        <f t="shared" si="516"/>
        <v>0</v>
      </c>
      <c r="AE536" s="36">
        <f t="shared" si="517"/>
        <v>0</v>
      </c>
      <c r="AF536" s="36">
        <f t="shared" si="518"/>
        <v>0</v>
      </c>
      <c r="AG536" s="36">
        <f t="shared" si="519"/>
        <v>0</v>
      </c>
      <c r="AH536" s="36">
        <f t="shared" si="520"/>
        <v>0</v>
      </c>
      <c r="AI536" s="35" t="s">
        <v>2894</v>
      </c>
      <c r="AJ536" s="20">
        <f t="shared" si="521"/>
        <v>0</v>
      </c>
      <c r="AK536" s="20">
        <f t="shared" si="522"/>
        <v>0</v>
      </c>
      <c r="AL536" s="20">
        <f t="shared" si="523"/>
        <v>0</v>
      </c>
      <c r="AN536" s="36">
        <v>21</v>
      </c>
      <c r="AO536" s="36">
        <f t="shared" si="524"/>
        <v>0</v>
      </c>
      <c r="AP536" s="36">
        <f t="shared" si="525"/>
        <v>0</v>
      </c>
      <c r="AQ536" s="37" t="s">
        <v>13</v>
      </c>
      <c r="AV536" s="36">
        <f t="shared" si="526"/>
        <v>0</v>
      </c>
      <c r="AW536" s="36">
        <f t="shared" si="527"/>
        <v>0</v>
      </c>
      <c r="AX536" s="36">
        <f t="shared" si="528"/>
        <v>0</v>
      </c>
      <c r="AY536" s="39" t="s">
        <v>2932</v>
      </c>
      <c r="AZ536" s="39" t="s">
        <v>2956</v>
      </c>
      <c r="BA536" s="35" t="s">
        <v>2967</v>
      </c>
      <c r="BC536" s="36">
        <f t="shared" si="529"/>
        <v>0</v>
      </c>
      <c r="BD536" s="36">
        <f t="shared" si="530"/>
        <v>0</v>
      </c>
      <c r="BE536" s="36">
        <v>0</v>
      </c>
      <c r="BF536" s="36">
        <f>536</f>
        <v>536</v>
      </c>
      <c r="BH536" s="20">
        <f t="shared" si="531"/>
        <v>0</v>
      </c>
      <c r="BI536" s="20">
        <f t="shared" si="532"/>
        <v>0</v>
      </c>
      <c r="BJ536" s="20">
        <f t="shared" si="533"/>
        <v>0</v>
      </c>
      <c r="BK536" s="20" t="s">
        <v>2978</v>
      </c>
      <c r="BL536" s="36">
        <v>766</v>
      </c>
    </row>
    <row r="537" spans="1:64" x14ac:dyDescent="0.2">
      <c r="A537" s="4" t="s">
        <v>430</v>
      </c>
      <c r="B537" s="13" t="s">
        <v>1357</v>
      </c>
      <c r="C537" s="174" t="s">
        <v>2350</v>
      </c>
      <c r="D537" s="175"/>
      <c r="E537" s="175"/>
      <c r="F537" s="175"/>
      <c r="G537" s="13" t="s">
        <v>2852</v>
      </c>
      <c r="H537" s="82">
        <v>3</v>
      </c>
      <c r="I537" s="109">
        <v>0</v>
      </c>
      <c r="J537" s="20">
        <f t="shared" si="510"/>
        <v>0</v>
      </c>
      <c r="K537" s="20">
        <f t="shared" si="511"/>
        <v>0</v>
      </c>
      <c r="L537" s="20">
        <f t="shared" si="512"/>
        <v>0</v>
      </c>
      <c r="M537" s="31" t="s">
        <v>2884</v>
      </c>
      <c r="N537" s="5"/>
      <c r="Z537" s="36">
        <f t="shared" si="513"/>
        <v>0</v>
      </c>
      <c r="AB537" s="36">
        <f t="shared" si="514"/>
        <v>0</v>
      </c>
      <c r="AC537" s="36">
        <f t="shared" si="515"/>
        <v>0</v>
      </c>
      <c r="AD537" s="36">
        <f t="shared" si="516"/>
        <v>0</v>
      </c>
      <c r="AE537" s="36">
        <f t="shared" si="517"/>
        <v>0</v>
      </c>
      <c r="AF537" s="36">
        <f t="shared" si="518"/>
        <v>0</v>
      </c>
      <c r="AG537" s="36">
        <f t="shared" si="519"/>
        <v>0</v>
      </c>
      <c r="AH537" s="36">
        <f t="shared" si="520"/>
        <v>0</v>
      </c>
      <c r="AI537" s="35" t="s">
        <v>2894</v>
      </c>
      <c r="AJ537" s="20">
        <f t="shared" si="521"/>
        <v>0</v>
      </c>
      <c r="AK537" s="20">
        <f t="shared" si="522"/>
        <v>0</v>
      </c>
      <c r="AL537" s="20">
        <f t="shared" si="523"/>
        <v>0</v>
      </c>
      <c r="AN537" s="36">
        <v>21</v>
      </c>
      <c r="AO537" s="36">
        <f t="shared" si="524"/>
        <v>0</v>
      </c>
      <c r="AP537" s="36">
        <f t="shared" si="525"/>
        <v>0</v>
      </c>
      <c r="AQ537" s="37" t="s">
        <v>13</v>
      </c>
      <c r="AV537" s="36">
        <f t="shared" si="526"/>
        <v>0</v>
      </c>
      <c r="AW537" s="36">
        <f t="shared" si="527"/>
        <v>0</v>
      </c>
      <c r="AX537" s="36">
        <f t="shared" si="528"/>
        <v>0</v>
      </c>
      <c r="AY537" s="39" t="s">
        <v>2932</v>
      </c>
      <c r="AZ537" s="39" t="s">
        <v>2956</v>
      </c>
      <c r="BA537" s="35" t="s">
        <v>2967</v>
      </c>
      <c r="BC537" s="36">
        <f t="shared" si="529"/>
        <v>0</v>
      </c>
      <c r="BD537" s="36">
        <f t="shared" si="530"/>
        <v>0</v>
      </c>
      <c r="BE537" s="36">
        <v>0</v>
      </c>
      <c r="BF537" s="36">
        <f>537</f>
        <v>537</v>
      </c>
      <c r="BH537" s="20">
        <f t="shared" si="531"/>
        <v>0</v>
      </c>
      <c r="BI537" s="20">
        <f t="shared" si="532"/>
        <v>0</v>
      </c>
      <c r="BJ537" s="20">
        <f t="shared" si="533"/>
        <v>0</v>
      </c>
      <c r="BK537" s="20" t="s">
        <v>2978</v>
      </c>
      <c r="BL537" s="36">
        <v>766</v>
      </c>
    </row>
    <row r="538" spans="1:64" x14ac:dyDescent="0.2">
      <c r="A538" s="4" t="s">
        <v>431</v>
      </c>
      <c r="B538" s="13" t="s">
        <v>1358</v>
      </c>
      <c r="C538" s="174" t="s">
        <v>2351</v>
      </c>
      <c r="D538" s="175"/>
      <c r="E538" s="175"/>
      <c r="F538" s="175"/>
      <c r="G538" s="13" t="s">
        <v>2852</v>
      </c>
      <c r="H538" s="82">
        <v>4</v>
      </c>
      <c r="I538" s="109">
        <v>0</v>
      </c>
      <c r="J538" s="20">
        <f t="shared" si="510"/>
        <v>0</v>
      </c>
      <c r="K538" s="20">
        <f t="shared" si="511"/>
        <v>0</v>
      </c>
      <c r="L538" s="20">
        <f t="shared" si="512"/>
        <v>0</v>
      </c>
      <c r="M538" s="31" t="s">
        <v>2884</v>
      </c>
      <c r="N538" s="5"/>
      <c r="Z538" s="36">
        <f t="shared" si="513"/>
        <v>0</v>
      </c>
      <c r="AB538" s="36">
        <f t="shared" si="514"/>
        <v>0</v>
      </c>
      <c r="AC538" s="36">
        <f t="shared" si="515"/>
        <v>0</v>
      </c>
      <c r="AD538" s="36">
        <f t="shared" si="516"/>
        <v>0</v>
      </c>
      <c r="AE538" s="36">
        <f t="shared" si="517"/>
        <v>0</v>
      </c>
      <c r="AF538" s="36">
        <f t="shared" si="518"/>
        <v>0</v>
      </c>
      <c r="AG538" s="36">
        <f t="shared" si="519"/>
        <v>0</v>
      </c>
      <c r="AH538" s="36">
        <f t="shared" si="520"/>
        <v>0</v>
      </c>
      <c r="AI538" s="35" t="s">
        <v>2894</v>
      </c>
      <c r="AJ538" s="20">
        <f t="shared" si="521"/>
        <v>0</v>
      </c>
      <c r="AK538" s="20">
        <f t="shared" si="522"/>
        <v>0</v>
      </c>
      <c r="AL538" s="20">
        <f t="shared" si="523"/>
        <v>0</v>
      </c>
      <c r="AN538" s="36">
        <v>21</v>
      </c>
      <c r="AO538" s="36">
        <f t="shared" si="524"/>
        <v>0</v>
      </c>
      <c r="AP538" s="36">
        <f t="shared" si="525"/>
        <v>0</v>
      </c>
      <c r="AQ538" s="37" t="s">
        <v>13</v>
      </c>
      <c r="AV538" s="36">
        <f t="shared" si="526"/>
        <v>0</v>
      </c>
      <c r="AW538" s="36">
        <f t="shared" si="527"/>
        <v>0</v>
      </c>
      <c r="AX538" s="36">
        <f t="shared" si="528"/>
        <v>0</v>
      </c>
      <c r="AY538" s="39" t="s">
        <v>2932</v>
      </c>
      <c r="AZ538" s="39" t="s">
        <v>2956</v>
      </c>
      <c r="BA538" s="35" t="s">
        <v>2967</v>
      </c>
      <c r="BC538" s="36">
        <f t="shared" si="529"/>
        <v>0</v>
      </c>
      <c r="BD538" s="36">
        <f t="shared" si="530"/>
        <v>0</v>
      </c>
      <c r="BE538" s="36">
        <v>0</v>
      </c>
      <c r="BF538" s="36">
        <f>538</f>
        <v>538</v>
      </c>
      <c r="BH538" s="20">
        <f t="shared" si="531"/>
        <v>0</v>
      </c>
      <c r="BI538" s="20">
        <f t="shared" si="532"/>
        <v>0</v>
      </c>
      <c r="BJ538" s="20">
        <f t="shared" si="533"/>
        <v>0</v>
      </c>
      <c r="BK538" s="20" t="s">
        <v>2978</v>
      </c>
      <c r="BL538" s="36">
        <v>766</v>
      </c>
    </row>
    <row r="539" spans="1:64" x14ac:dyDescent="0.2">
      <c r="A539" s="4" t="s">
        <v>432</v>
      </c>
      <c r="B539" s="13" t="s">
        <v>1359</v>
      </c>
      <c r="C539" s="174" t="s">
        <v>2352</v>
      </c>
      <c r="D539" s="175"/>
      <c r="E539" s="175"/>
      <c r="F539" s="175"/>
      <c r="G539" s="13" t="s">
        <v>2852</v>
      </c>
      <c r="H539" s="82">
        <v>4</v>
      </c>
      <c r="I539" s="109">
        <v>0</v>
      </c>
      <c r="J539" s="20">
        <f t="shared" si="510"/>
        <v>0</v>
      </c>
      <c r="K539" s="20">
        <f t="shared" si="511"/>
        <v>0</v>
      </c>
      <c r="L539" s="20">
        <f t="shared" si="512"/>
        <v>0</v>
      </c>
      <c r="M539" s="31" t="s">
        <v>2884</v>
      </c>
      <c r="N539" s="5"/>
      <c r="Z539" s="36">
        <f t="shared" si="513"/>
        <v>0</v>
      </c>
      <c r="AB539" s="36">
        <f t="shared" si="514"/>
        <v>0</v>
      </c>
      <c r="AC539" s="36">
        <f t="shared" si="515"/>
        <v>0</v>
      </c>
      <c r="AD539" s="36">
        <f t="shared" si="516"/>
        <v>0</v>
      </c>
      <c r="AE539" s="36">
        <f t="shared" si="517"/>
        <v>0</v>
      </c>
      <c r="AF539" s="36">
        <f t="shared" si="518"/>
        <v>0</v>
      </c>
      <c r="AG539" s="36">
        <f t="shared" si="519"/>
        <v>0</v>
      </c>
      <c r="AH539" s="36">
        <f t="shared" si="520"/>
        <v>0</v>
      </c>
      <c r="AI539" s="35" t="s">
        <v>2894</v>
      </c>
      <c r="AJ539" s="20">
        <f t="shared" si="521"/>
        <v>0</v>
      </c>
      <c r="AK539" s="20">
        <f t="shared" si="522"/>
        <v>0</v>
      </c>
      <c r="AL539" s="20">
        <f t="shared" si="523"/>
        <v>0</v>
      </c>
      <c r="AN539" s="36">
        <v>21</v>
      </c>
      <c r="AO539" s="36">
        <f t="shared" si="524"/>
        <v>0</v>
      </c>
      <c r="AP539" s="36">
        <f t="shared" si="525"/>
        <v>0</v>
      </c>
      <c r="AQ539" s="37" t="s">
        <v>13</v>
      </c>
      <c r="AV539" s="36">
        <f t="shared" si="526"/>
        <v>0</v>
      </c>
      <c r="AW539" s="36">
        <f t="shared" si="527"/>
        <v>0</v>
      </c>
      <c r="AX539" s="36">
        <f t="shared" si="528"/>
        <v>0</v>
      </c>
      <c r="AY539" s="39" t="s">
        <v>2932</v>
      </c>
      <c r="AZ539" s="39" t="s">
        <v>2956</v>
      </c>
      <c r="BA539" s="35" t="s">
        <v>2967</v>
      </c>
      <c r="BC539" s="36">
        <f t="shared" si="529"/>
        <v>0</v>
      </c>
      <c r="BD539" s="36">
        <f t="shared" si="530"/>
        <v>0</v>
      </c>
      <c r="BE539" s="36">
        <v>0</v>
      </c>
      <c r="BF539" s="36">
        <f>539</f>
        <v>539</v>
      </c>
      <c r="BH539" s="20">
        <f t="shared" si="531"/>
        <v>0</v>
      </c>
      <c r="BI539" s="20">
        <f t="shared" si="532"/>
        <v>0</v>
      </c>
      <c r="BJ539" s="20">
        <f t="shared" si="533"/>
        <v>0</v>
      </c>
      <c r="BK539" s="20" t="s">
        <v>2978</v>
      </c>
      <c r="BL539" s="36">
        <v>766</v>
      </c>
    </row>
    <row r="540" spans="1:64" x14ac:dyDescent="0.2">
      <c r="A540" s="4" t="s">
        <v>433</v>
      </c>
      <c r="B540" s="13" t="s">
        <v>1360</v>
      </c>
      <c r="C540" s="174" t="s">
        <v>2353</v>
      </c>
      <c r="D540" s="175"/>
      <c r="E540" s="175"/>
      <c r="F540" s="175"/>
      <c r="G540" s="13" t="s">
        <v>2852</v>
      </c>
      <c r="H540" s="82">
        <v>4</v>
      </c>
      <c r="I540" s="109">
        <v>0</v>
      </c>
      <c r="J540" s="20">
        <f t="shared" si="510"/>
        <v>0</v>
      </c>
      <c r="K540" s="20">
        <f t="shared" si="511"/>
        <v>0</v>
      </c>
      <c r="L540" s="20">
        <f t="shared" si="512"/>
        <v>0</v>
      </c>
      <c r="M540" s="31" t="s">
        <v>2884</v>
      </c>
      <c r="N540" s="5"/>
      <c r="Z540" s="36">
        <f t="shared" si="513"/>
        <v>0</v>
      </c>
      <c r="AB540" s="36">
        <f t="shared" si="514"/>
        <v>0</v>
      </c>
      <c r="AC540" s="36">
        <f t="shared" si="515"/>
        <v>0</v>
      </c>
      <c r="AD540" s="36">
        <f t="shared" si="516"/>
        <v>0</v>
      </c>
      <c r="AE540" s="36">
        <f t="shared" si="517"/>
        <v>0</v>
      </c>
      <c r="AF540" s="36">
        <f t="shared" si="518"/>
        <v>0</v>
      </c>
      <c r="AG540" s="36">
        <f t="shared" si="519"/>
        <v>0</v>
      </c>
      <c r="AH540" s="36">
        <f t="shared" si="520"/>
        <v>0</v>
      </c>
      <c r="AI540" s="35" t="s">
        <v>2894</v>
      </c>
      <c r="AJ540" s="20">
        <f t="shared" si="521"/>
        <v>0</v>
      </c>
      <c r="AK540" s="20">
        <f t="shared" si="522"/>
        <v>0</v>
      </c>
      <c r="AL540" s="20">
        <f t="shared" si="523"/>
        <v>0</v>
      </c>
      <c r="AN540" s="36">
        <v>21</v>
      </c>
      <c r="AO540" s="36">
        <f t="shared" si="524"/>
        <v>0</v>
      </c>
      <c r="AP540" s="36">
        <f t="shared" si="525"/>
        <v>0</v>
      </c>
      <c r="AQ540" s="37" t="s">
        <v>13</v>
      </c>
      <c r="AV540" s="36">
        <f t="shared" si="526"/>
        <v>0</v>
      </c>
      <c r="AW540" s="36">
        <f t="shared" si="527"/>
        <v>0</v>
      </c>
      <c r="AX540" s="36">
        <f t="shared" si="528"/>
        <v>0</v>
      </c>
      <c r="AY540" s="39" t="s">
        <v>2932</v>
      </c>
      <c r="AZ540" s="39" t="s">
        <v>2956</v>
      </c>
      <c r="BA540" s="35" t="s">
        <v>2967</v>
      </c>
      <c r="BC540" s="36">
        <f t="shared" si="529"/>
        <v>0</v>
      </c>
      <c r="BD540" s="36">
        <f t="shared" si="530"/>
        <v>0</v>
      </c>
      <c r="BE540" s="36">
        <v>0</v>
      </c>
      <c r="BF540" s="36">
        <f>540</f>
        <v>540</v>
      </c>
      <c r="BH540" s="20">
        <f t="shared" si="531"/>
        <v>0</v>
      </c>
      <c r="BI540" s="20">
        <f t="shared" si="532"/>
        <v>0</v>
      </c>
      <c r="BJ540" s="20">
        <f t="shared" si="533"/>
        <v>0</v>
      </c>
      <c r="BK540" s="20" t="s">
        <v>2978</v>
      </c>
      <c r="BL540" s="36">
        <v>766</v>
      </c>
    </row>
    <row r="541" spans="1:64" x14ac:dyDescent="0.2">
      <c r="A541" s="4" t="s">
        <v>434</v>
      </c>
      <c r="B541" s="13" t="s">
        <v>1361</v>
      </c>
      <c r="C541" s="174" t="s">
        <v>2354</v>
      </c>
      <c r="D541" s="175"/>
      <c r="E541" s="175"/>
      <c r="F541" s="175"/>
      <c r="G541" s="13" t="s">
        <v>2852</v>
      </c>
      <c r="H541" s="82">
        <v>1</v>
      </c>
      <c r="I541" s="109">
        <v>0</v>
      </c>
      <c r="J541" s="20">
        <f t="shared" si="510"/>
        <v>0</v>
      </c>
      <c r="K541" s="20">
        <f t="shared" si="511"/>
        <v>0</v>
      </c>
      <c r="L541" s="20">
        <f t="shared" si="512"/>
        <v>0</v>
      </c>
      <c r="M541" s="31" t="s">
        <v>2884</v>
      </c>
      <c r="N541" s="5"/>
      <c r="Z541" s="36">
        <f t="shared" si="513"/>
        <v>0</v>
      </c>
      <c r="AB541" s="36">
        <f t="shared" si="514"/>
        <v>0</v>
      </c>
      <c r="AC541" s="36">
        <f t="shared" si="515"/>
        <v>0</v>
      </c>
      <c r="AD541" s="36">
        <f t="shared" si="516"/>
        <v>0</v>
      </c>
      <c r="AE541" s="36">
        <f t="shared" si="517"/>
        <v>0</v>
      </c>
      <c r="AF541" s="36">
        <f t="shared" si="518"/>
        <v>0</v>
      </c>
      <c r="AG541" s="36">
        <f t="shared" si="519"/>
        <v>0</v>
      </c>
      <c r="AH541" s="36">
        <f t="shared" si="520"/>
        <v>0</v>
      </c>
      <c r="AI541" s="35" t="s">
        <v>2894</v>
      </c>
      <c r="AJ541" s="20">
        <f t="shared" si="521"/>
        <v>0</v>
      </c>
      <c r="AK541" s="20">
        <f t="shared" si="522"/>
        <v>0</v>
      </c>
      <c r="AL541" s="20">
        <f t="shared" si="523"/>
        <v>0</v>
      </c>
      <c r="AN541" s="36">
        <v>21</v>
      </c>
      <c r="AO541" s="36">
        <f t="shared" si="524"/>
        <v>0</v>
      </c>
      <c r="AP541" s="36">
        <f t="shared" si="525"/>
        <v>0</v>
      </c>
      <c r="AQ541" s="37" t="s">
        <v>13</v>
      </c>
      <c r="AV541" s="36">
        <f t="shared" si="526"/>
        <v>0</v>
      </c>
      <c r="AW541" s="36">
        <f t="shared" si="527"/>
        <v>0</v>
      </c>
      <c r="AX541" s="36">
        <f t="shared" si="528"/>
        <v>0</v>
      </c>
      <c r="AY541" s="39" t="s">
        <v>2932</v>
      </c>
      <c r="AZ541" s="39" t="s">
        <v>2956</v>
      </c>
      <c r="BA541" s="35" t="s">
        <v>2967</v>
      </c>
      <c r="BC541" s="36">
        <f t="shared" si="529"/>
        <v>0</v>
      </c>
      <c r="BD541" s="36">
        <f t="shared" si="530"/>
        <v>0</v>
      </c>
      <c r="BE541" s="36">
        <v>0</v>
      </c>
      <c r="BF541" s="36">
        <f>541</f>
        <v>541</v>
      </c>
      <c r="BH541" s="20">
        <f t="shared" si="531"/>
        <v>0</v>
      </c>
      <c r="BI541" s="20">
        <f t="shared" si="532"/>
        <v>0</v>
      </c>
      <c r="BJ541" s="20">
        <f t="shared" si="533"/>
        <v>0</v>
      </c>
      <c r="BK541" s="20" t="s">
        <v>2978</v>
      </c>
      <c r="BL541" s="36">
        <v>766</v>
      </c>
    </row>
    <row r="542" spans="1:64" x14ac:dyDescent="0.2">
      <c r="A542" s="4" t="s">
        <v>435</v>
      </c>
      <c r="B542" s="13" t="s">
        <v>1362</v>
      </c>
      <c r="C542" s="174" t="s">
        <v>2355</v>
      </c>
      <c r="D542" s="175"/>
      <c r="E542" s="175"/>
      <c r="F542" s="175"/>
      <c r="G542" s="13" t="s">
        <v>2852</v>
      </c>
      <c r="H542" s="82">
        <v>5</v>
      </c>
      <c r="I542" s="109">
        <v>0</v>
      </c>
      <c r="J542" s="20">
        <f t="shared" si="510"/>
        <v>0</v>
      </c>
      <c r="K542" s="20">
        <f t="shared" si="511"/>
        <v>0</v>
      </c>
      <c r="L542" s="20">
        <f t="shared" si="512"/>
        <v>0</v>
      </c>
      <c r="M542" s="31" t="s">
        <v>2884</v>
      </c>
      <c r="N542" s="5"/>
      <c r="Z542" s="36">
        <f t="shared" si="513"/>
        <v>0</v>
      </c>
      <c r="AB542" s="36">
        <f t="shared" si="514"/>
        <v>0</v>
      </c>
      <c r="AC542" s="36">
        <f t="shared" si="515"/>
        <v>0</v>
      </c>
      <c r="AD542" s="36">
        <f t="shared" si="516"/>
        <v>0</v>
      </c>
      <c r="AE542" s="36">
        <f t="shared" si="517"/>
        <v>0</v>
      </c>
      <c r="AF542" s="36">
        <f t="shared" si="518"/>
        <v>0</v>
      </c>
      <c r="AG542" s="36">
        <f t="shared" si="519"/>
        <v>0</v>
      </c>
      <c r="AH542" s="36">
        <f t="shared" si="520"/>
        <v>0</v>
      </c>
      <c r="AI542" s="35" t="s">
        <v>2894</v>
      </c>
      <c r="AJ542" s="20">
        <f t="shared" si="521"/>
        <v>0</v>
      </c>
      <c r="AK542" s="20">
        <f t="shared" si="522"/>
        <v>0</v>
      </c>
      <c r="AL542" s="20">
        <f t="shared" si="523"/>
        <v>0</v>
      </c>
      <c r="AN542" s="36">
        <v>21</v>
      </c>
      <c r="AO542" s="36">
        <f t="shared" si="524"/>
        <v>0</v>
      </c>
      <c r="AP542" s="36">
        <f t="shared" si="525"/>
        <v>0</v>
      </c>
      <c r="AQ542" s="37" t="s">
        <v>13</v>
      </c>
      <c r="AV542" s="36">
        <f t="shared" si="526"/>
        <v>0</v>
      </c>
      <c r="AW542" s="36">
        <f t="shared" si="527"/>
        <v>0</v>
      </c>
      <c r="AX542" s="36">
        <f t="shared" si="528"/>
        <v>0</v>
      </c>
      <c r="AY542" s="39" t="s">
        <v>2932</v>
      </c>
      <c r="AZ542" s="39" t="s">
        <v>2956</v>
      </c>
      <c r="BA542" s="35" t="s">
        <v>2967</v>
      </c>
      <c r="BC542" s="36">
        <f t="shared" si="529"/>
        <v>0</v>
      </c>
      <c r="BD542" s="36">
        <f t="shared" si="530"/>
        <v>0</v>
      </c>
      <c r="BE542" s="36">
        <v>0</v>
      </c>
      <c r="BF542" s="36">
        <f>542</f>
        <v>542</v>
      </c>
      <c r="BH542" s="20">
        <f t="shared" si="531"/>
        <v>0</v>
      </c>
      <c r="BI542" s="20">
        <f t="shared" si="532"/>
        <v>0</v>
      </c>
      <c r="BJ542" s="20">
        <f t="shared" si="533"/>
        <v>0</v>
      </c>
      <c r="BK542" s="20" t="s">
        <v>2978</v>
      </c>
      <c r="BL542" s="36">
        <v>766</v>
      </c>
    </row>
    <row r="543" spans="1:64" x14ac:dyDescent="0.2">
      <c r="A543" s="4" t="s">
        <v>436</v>
      </c>
      <c r="B543" s="13" t="s">
        <v>1363</v>
      </c>
      <c r="C543" s="174" t="s">
        <v>2356</v>
      </c>
      <c r="D543" s="175"/>
      <c r="E543" s="175"/>
      <c r="F543" s="175"/>
      <c r="G543" s="13" t="s">
        <v>2852</v>
      </c>
      <c r="H543" s="82">
        <v>3</v>
      </c>
      <c r="I543" s="109">
        <v>0</v>
      </c>
      <c r="J543" s="20">
        <f t="shared" si="510"/>
        <v>0</v>
      </c>
      <c r="K543" s="20">
        <f t="shared" si="511"/>
        <v>0</v>
      </c>
      <c r="L543" s="20">
        <f t="shared" si="512"/>
        <v>0</v>
      </c>
      <c r="M543" s="31" t="s">
        <v>2884</v>
      </c>
      <c r="N543" s="5"/>
      <c r="Z543" s="36">
        <f t="shared" si="513"/>
        <v>0</v>
      </c>
      <c r="AB543" s="36">
        <f t="shared" si="514"/>
        <v>0</v>
      </c>
      <c r="AC543" s="36">
        <f t="shared" si="515"/>
        <v>0</v>
      </c>
      <c r="AD543" s="36">
        <f t="shared" si="516"/>
        <v>0</v>
      </c>
      <c r="AE543" s="36">
        <f t="shared" si="517"/>
        <v>0</v>
      </c>
      <c r="AF543" s="36">
        <f t="shared" si="518"/>
        <v>0</v>
      </c>
      <c r="AG543" s="36">
        <f t="shared" si="519"/>
        <v>0</v>
      </c>
      <c r="AH543" s="36">
        <f t="shared" si="520"/>
        <v>0</v>
      </c>
      <c r="AI543" s="35" t="s">
        <v>2894</v>
      </c>
      <c r="AJ543" s="20">
        <f t="shared" si="521"/>
        <v>0</v>
      </c>
      <c r="AK543" s="20">
        <f t="shared" si="522"/>
        <v>0</v>
      </c>
      <c r="AL543" s="20">
        <f t="shared" si="523"/>
        <v>0</v>
      </c>
      <c r="AN543" s="36">
        <v>21</v>
      </c>
      <c r="AO543" s="36">
        <f t="shared" si="524"/>
        <v>0</v>
      </c>
      <c r="AP543" s="36">
        <f t="shared" si="525"/>
        <v>0</v>
      </c>
      <c r="AQ543" s="37" t="s">
        <v>13</v>
      </c>
      <c r="AV543" s="36">
        <f t="shared" si="526"/>
        <v>0</v>
      </c>
      <c r="AW543" s="36">
        <f t="shared" si="527"/>
        <v>0</v>
      </c>
      <c r="AX543" s="36">
        <f t="shared" si="528"/>
        <v>0</v>
      </c>
      <c r="AY543" s="39" t="s">
        <v>2932</v>
      </c>
      <c r="AZ543" s="39" t="s">
        <v>2956</v>
      </c>
      <c r="BA543" s="35" t="s">
        <v>2967</v>
      </c>
      <c r="BC543" s="36">
        <f t="shared" si="529"/>
        <v>0</v>
      </c>
      <c r="BD543" s="36">
        <f t="shared" si="530"/>
        <v>0</v>
      </c>
      <c r="BE543" s="36">
        <v>0</v>
      </c>
      <c r="BF543" s="36">
        <f>543</f>
        <v>543</v>
      </c>
      <c r="BH543" s="20">
        <f t="shared" si="531"/>
        <v>0</v>
      </c>
      <c r="BI543" s="20">
        <f t="shared" si="532"/>
        <v>0</v>
      </c>
      <c r="BJ543" s="20">
        <f t="shared" si="533"/>
        <v>0</v>
      </c>
      <c r="BK543" s="20" t="s">
        <v>2978</v>
      </c>
      <c r="BL543" s="36">
        <v>766</v>
      </c>
    </row>
    <row r="544" spans="1:64" x14ac:dyDescent="0.2">
      <c r="A544" s="4" t="s">
        <v>437</v>
      </c>
      <c r="B544" s="13" t="s">
        <v>1364</v>
      </c>
      <c r="C544" s="174" t="s">
        <v>2357</v>
      </c>
      <c r="D544" s="175"/>
      <c r="E544" s="175"/>
      <c r="F544" s="175"/>
      <c r="G544" s="13" t="s">
        <v>2852</v>
      </c>
      <c r="H544" s="82">
        <v>3</v>
      </c>
      <c r="I544" s="109">
        <v>0</v>
      </c>
      <c r="J544" s="20">
        <f t="shared" si="510"/>
        <v>0</v>
      </c>
      <c r="K544" s="20">
        <f t="shared" si="511"/>
        <v>0</v>
      </c>
      <c r="L544" s="20">
        <f t="shared" si="512"/>
        <v>0</v>
      </c>
      <c r="M544" s="31" t="s">
        <v>2884</v>
      </c>
      <c r="N544" s="5"/>
      <c r="Z544" s="36">
        <f t="shared" si="513"/>
        <v>0</v>
      </c>
      <c r="AB544" s="36">
        <f t="shared" si="514"/>
        <v>0</v>
      </c>
      <c r="AC544" s="36">
        <f t="shared" si="515"/>
        <v>0</v>
      </c>
      <c r="AD544" s="36">
        <f t="shared" si="516"/>
        <v>0</v>
      </c>
      <c r="AE544" s="36">
        <f t="shared" si="517"/>
        <v>0</v>
      </c>
      <c r="AF544" s="36">
        <f t="shared" si="518"/>
        <v>0</v>
      </c>
      <c r="AG544" s="36">
        <f t="shared" si="519"/>
        <v>0</v>
      </c>
      <c r="AH544" s="36">
        <f t="shared" si="520"/>
        <v>0</v>
      </c>
      <c r="AI544" s="35" t="s">
        <v>2894</v>
      </c>
      <c r="AJ544" s="20">
        <f t="shared" si="521"/>
        <v>0</v>
      </c>
      <c r="AK544" s="20">
        <f t="shared" si="522"/>
        <v>0</v>
      </c>
      <c r="AL544" s="20">
        <f t="shared" si="523"/>
        <v>0</v>
      </c>
      <c r="AN544" s="36">
        <v>21</v>
      </c>
      <c r="AO544" s="36">
        <f t="shared" si="524"/>
        <v>0</v>
      </c>
      <c r="AP544" s="36">
        <f t="shared" si="525"/>
        <v>0</v>
      </c>
      <c r="AQ544" s="37" t="s">
        <v>13</v>
      </c>
      <c r="AV544" s="36">
        <f t="shared" si="526"/>
        <v>0</v>
      </c>
      <c r="AW544" s="36">
        <f t="shared" si="527"/>
        <v>0</v>
      </c>
      <c r="AX544" s="36">
        <f t="shared" si="528"/>
        <v>0</v>
      </c>
      <c r="AY544" s="39" t="s">
        <v>2932</v>
      </c>
      <c r="AZ544" s="39" t="s">
        <v>2956</v>
      </c>
      <c r="BA544" s="35" t="s">
        <v>2967</v>
      </c>
      <c r="BC544" s="36">
        <f t="shared" si="529"/>
        <v>0</v>
      </c>
      <c r="BD544" s="36">
        <f t="shared" si="530"/>
        <v>0</v>
      </c>
      <c r="BE544" s="36">
        <v>0</v>
      </c>
      <c r="BF544" s="36">
        <f>544</f>
        <v>544</v>
      </c>
      <c r="BH544" s="20">
        <f t="shared" si="531"/>
        <v>0</v>
      </c>
      <c r="BI544" s="20">
        <f t="shared" si="532"/>
        <v>0</v>
      </c>
      <c r="BJ544" s="20">
        <f t="shared" si="533"/>
        <v>0</v>
      </c>
      <c r="BK544" s="20" t="s">
        <v>2978</v>
      </c>
      <c r="BL544" s="36">
        <v>766</v>
      </c>
    </row>
    <row r="545" spans="1:64" x14ac:dyDescent="0.2">
      <c r="A545" s="4" t="s">
        <v>438</v>
      </c>
      <c r="B545" s="13" t="s">
        <v>1365</v>
      </c>
      <c r="C545" s="174" t="s">
        <v>2358</v>
      </c>
      <c r="D545" s="175"/>
      <c r="E545" s="175"/>
      <c r="F545" s="175"/>
      <c r="G545" s="13" t="s">
        <v>2852</v>
      </c>
      <c r="H545" s="82">
        <v>7</v>
      </c>
      <c r="I545" s="109">
        <v>0</v>
      </c>
      <c r="J545" s="20">
        <f t="shared" si="510"/>
        <v>0</v>
      </c>
      <c r="K545" s="20">
        <f t="shared" si="511"/>
        <v>0</v>
      </c>
      <c r="L545" s="20">
        <f t="shared" si="512"/>
        <v>0</v>
      </c>
      <c r="M545" s="31" t="s">
        <v>2884</v>
      </c>
      <c r="N545" s="5"/>
      <c r="Z545" s="36">
        <f t="shared" si="513"/>
        <v>0</v>
      </c>
      <c r="AB545" s="36">
        <f t="shared" si="514"/>
        <v>0</v>
      </c>
      <c r="AC545" s="36">
        <f t="shared" si="515"/>
        <v>0</v>
      </c>
      <c r="AD545" s="36">
        <f t="shared" si="516"/>
        <v>0</v>
      </c>
      <c r="AE545" s="36">
        <f t="shared" si="517"/>
        <v>0</v>
      </c>
      <c r="AF545" s="36">
        <f t="shared" si="518"/>
        <v>0</v>
      </c>
      <c r="AG545" s="36">
        <f t="shared" si="519"/>
        <v>0</v>
      </c>
      <c r="AH545" s="36">
        <f t="shared" si="520"/>
        <v>0</v>
      </c>
      <c r="AI545" s="35" t="s">
        <v>2894</v>
      </c>
      <c r="AJ545" s="20">
        <f t="shared" si="521"/>
        <v>0</v>
      </c>
      <c r="AK545" s="20">
        <f t="shared" si="522"/>
        <v>0</v>
      </c>
      <c r="AL545" s="20">
        <f t="shared" si="523"/>
        <v>0</v>
      </c>
      <c r="AN545" s="36">
        <v>21</v>
      </c>
      <c r="AO545" s="36">
        <f t="shared" si="524"/>
        <v>0</v>
      </c>
      <c r="AP545" s="36">
        <f t="shared" si="525"/>
        <v>0</v>
      </c>
      <c r="AQ545" s="37" t="s">
        <v>13</v>
      </c>
      <c r="AV545" s="36">
        <f t="shared" si="526"/>
        <v>0</v>
      </c>
      <c r="AW545" s="36">
        <f t="shared" si="527"/>
        <v>0</v>
      </c>
      <c r="AX545" s="36">
        <f t="shared" si="528"/>
        <v>0</v>
      </c>
      <c r="AY545" s="39" t="s">
        <v>2932</v>
      </c>
      <c r="AZ545" s="39" t="s">
        <v>2956</v>
      </c>
      <c r="BA545" s="35" t="s">
        <v>2967</v>
      </c>
      <c r="BC545" s="36">
        <f t="shared" si="529"/>
        <v>0</v>
      </c>
      <c r="BD545" s="36">
        <f t="shared" si="530"/>
        <v>0</v>
      </c>
      <c r="BE545" s="36">
        <v>0</v>
      </c>
      <c r="BF545" s="36">
        <f>545</f>
        <v>545</v>
      </c>
      <c r="BH545" s="20">
        <f t="shared" si="531"/>
        <v>0</v>
      </c>
      <c r="BI545" s="20">
        <f t="shared" si="532"/>
        <v>0</v>
      </c>
      <c r="BJ545" s="20">
        <f t="shared" si="533"/>
        <v>0</v>
      </c>
      <c r="BK545" s="20" t="s">
        <v>2978</v>
      </c>
      <c r="BL545" s="36">
        <v>766</v>
      </c>
    </row>
    <row r="546" spans="1:64" x14ac:dyDescent="0.2">
      <c r="A546" s="4" t="s">
        <v>439</v>
      </c>
      <c r="B546" s="13" t="s">
        <v>1366</v>
      </c>
      <c r="C546" s="174" t="s">
        <v>2359</v>
      </c>
      <c r="D546" s="175"/>
      <c r="E546" s="175"/>
      <c r="F546" s="175"/>
      <c r="G546" s="13" t="s">
        <v>2852</v>
      </c>
      <c r="H546" s="82">
        <v>1</v>
      </c>
      <c r="I546" s="109">
        <v>0</v>
      </c>
      <c r="J546" s="20">
        <f t="shared" si="510"/>
        <v>0</v>
      </c>
      <c r="K546" s="20">
        <f t="shared" si="511"/>
        <v>0</v>
      </c>
      <c r="L546" s="20">
        <f t="shared" si="512"/>
        <v>0</v>
      </c>
      <c r="M546" s="31" t="s">
        <v>2884</v>
      </c>
      <c r="N546" s="5"/>
      <c r="Z546" s="36">
        <f t="shared" si="513"/>
        <v>0</v>
      </c>
      <c r="AB546" s="36">
        <f t="shared" si="514"/>
        <v>0</v>
      </c>
      <c r="AC546" s="36">
        <f t="shared" si="515"/>
        <v>0</v>
      </c>
      <c r="AD546" s="36">
        <f t="shared" si="516"/>
        <v>0</v>
      </c>
      <c r="AE546" s="36">
        <f t="shared" si="517"/>
        <v>0</v>
      </c>
      <c r="AF546" s="36">
        <f t="shared" si="518"/>
        <v>0</v>
      </c>
      <c r="AG546" s="36">
        <f t="shared" si="519"/>
        <v>0</v>
      </c>
      <c r="AH546" s="36">
        <f t="shared" si="520"/>
        <v>0</v>
      </c>
      <c r="AI546" s="35" t="s">
        <v>2894</v>
      </c>
      <c r="AJ546" s="20">
        <f t="shared" si="521"/>
        <v>0</v>
      </c>
      <c r="AK546" s="20">
        <f t="shared" si="522"/>
        <v>0</v>
      </c>
      <c r="AL546" s="20">
        <f t="shared" si="523"/>
        <v>0</v>
      </c>
      <c r="AN546" s="36">
        <v>21</v>
      </c>
      <c r="AO546" s="36">
        <f t="shared" si="524"/>
        <v>0</v>
      </c>
      <c r="AP546" s="36">
        <f t="shared" si="525"/>
        <v>0</v>
      </c>
      <c r="AQ546" s="37" t="s">
        <v>13</v>
      </c>
      <c r="AV546" s="36">
        <f t="shared" si="526"/>
        <v>0</v>
      </c>
      <c r="AW546" s="36">
        <f t="shared" si="527"/>
        <v>0</v>
      </c>
      <c r="AX546" s="36">
        <f t="shared" si="528"/>
        <v>0</v>
      </c>
      <c r="AY546" s="39" t="s">
        <v>2932</v>
      </c>
      <c r="AZ546" s="39" t="s">
        <v>2956</v>
      </c>
      <c r="BA546" s="35" t="s">
        <v>2967</v>
      </c>
      <c r="BC546" s="36">
        <f t="shared" si="529"/>
        <v>0</v>
      </c>
      <c r="BD546" s="36">
        <f t="shared" si="530"/>
        <v>0</v>
      </c>
      <c r="BE546" s="36">
        <v>0</v>
      </c>
      <c r="BF546" s="36">
        <f>546</f>
        <v>546</v>
      </c>
      <c r="BH546" s="20">
        <f t="shared" si="531"/>
        <v>0</v>
      </c>
      <c r="BI546" s="20">
        <f t="shared" si="532"/>
        <v>0</v>
      </c>
      <c r="BJ546" s="20">
        <f t="shared" si="533"/>
        <v>0</v>
      </c>
      <c r="BK546" s="20" t="s">
        <v>2978</v>
      </c>
      <c r="BL546" s="36">
        <v>766</v>
      </c>
    </row>
    <row r="547" spans="1:64" x14ac:dyDescent="0.2">
      <c r="A547" s="4" t="s">
        <v>440</v>
      </c>
      <c r="B547" s="13" t="s">
        <v>1367</v>
      </c>
      <c r="C547" s="174" t="s">
        <v>2360</v>
      </c>
      <c r="D547" s="175"/>
      <c r="E547" s="175"/>
      <c r="F547" s="175"/>
      <c r="G547" s="13" t="s">
        <v>2852</v>
      </c>
      <c r="H547" s="82">
        <v>2</v>
      </c>
      <c r="I547" s="109">
        <v>0</v>
      </c>
      <c r="J547" s="20">
        <f t="shared" si="510"/>
        <v>0</v>
      </c>
      <c r="K547" s="20">
        <f t="shared" si="511"/>
        <v>0</v>
      </c>
      <c r="L547" s="20">
        <f t="shared" si="512"/>
        <v>0</v>
      </c>
      <c r="M547" s="31" t="s">
        <v>2884</v>
      </c>
      <c r="N547" s="5"/>
      <c r="Z547" s="36">
        <f t="shared" si="513"/>
        <v>0</v>
      </c>
      <c r="AB547" s="36">
        <f t="shared" si="514"/>
        <v>0</v>
      </c>
      <c r="AC547" s="36">
        <f t="shared" si="515"/>
        <v>0</v>
      </c>
      <c r="AD547" s="36">
        <f t="shared" si="516"/>
        <v>0</v>
      </c>
      <c r="AE547" s="36">
        <f t="shared" si="517"/>
        <v>0</v>
      </c>
      <c r="AF547" s="36">
        <f t="shared" si="518"/>
        <v>0</v>
      </c>
      <c r="AG547" s="36">
        <f t="shared" si="519"/>
        <v>0</v>
      </c>
      <c r="AH547" s="36">
        <f t="shared" si="520"/>
        <v>0</v>
      </c>
      <c r="AI547" s="35" t="s">
        <v>2894</v>
      </c>
      <c r="AJ547" s="20">
        <f t="shared" si="521"/>
        <v>0</v>
      </c>
      <c r="AK547" s="20">
        <f t="shared" si="522"/>
        <v>0</v>
      </c>
      <c r="AL547" s="20">
        <f t="shared" si="523"/>
        <v>0</v>
      </c>
      <c r="AN547" s="36">
        <v>21</v>
      </c>
      <c r="AO547" s="36">
        <f t="shared" si="524"/>
        <v>0</v>
      </c>
      <c r="AP547" s="36">
        <f t="shared" si="525"/>
        <v>0</v>
      </c>
      <c r="AQ547" s="37" t="s">
        <v>13</v>
      </c>
      <c r="AV547" s="36">
        <f t="shared" si="526"/>
        <v>0</v>
      </c>
      <c r="AW547" s="36">
        <f t="shared" si="527"/>
        <v>0</v>
      </c>
      <c r="AX547" s="36">
        <f t="shared" si="528"/>
        <v>0</v>
      </c>
      <c r="AY547" s="39" t="s">
        <v>2932</v>
      </c>
      <c r="AZ547" s="39" t="s">
        <v>2956</v>
      </c>
      <c r="BA547" s="35" t="s">
        <v>2967</v>
      </c>
      <c r="BC547" s="36">
        <f t="shared" si="529"/>
        <v>0</v>
      </c>
      <c r="BD547" s="36">
        <f t="shared" si="530"/>
        <v>0</v>
      </c>
      <c r="BE547" s="36">
        <v>0</v>
      </c>
      <c r="BF547" s="36">
        <f>547</f>
        <v>547</v>
      </c>
      <c r="BH547" s="20">
        <f t="shared" si="531"/>
        <v>0</v>
      </c>
      <c r="BI547" s="20">
        <f t="shared" si="532"/>
        <v>0</v>
      </c>
      <c r="BJ547" s="20">
        <f t="shared" si="533"/>
        <v>0</v>
      </c>
      <c r="BK547" s="20" t="s">
        <v>2978</v>
      </c>
      <c r="BL547" s="36">
        <v>766</v>
      </c>
    </row>
    <row r="548" spans="1:64" x14ac:dyDescent="0.2">
      <c r="A548" s="4" t="s">
        <v>441</v>
      </c>
      <c r="B548" s="13" t="s">
        <v>1368</v>
      </c>
      <c r="C548" s="174" t="s">
        <v>2361</v>
      </c>
      <c r="D548" s="175"/>
      <c r="E548" s="175"/>
      <c r="F548" s="175"/>
      <c r="G548" s="13" t="s">
        <v>2852</v>
      </c>
      <c r="H548" s="82">
        <v>13</v>
      </c>
      <c r="I548" s="109">
        <v>0</v>
      </c>
      <c r="J548" s="20">
        <f t="shared" si="510"/>
        <v>0</v>
      </c>
      <c r="K548" s="20">
        <f t="shared" si="511"/>
        <v>0</v>
      </c>
      <c r="L548" s="20">
        <f t="shared" si="512"/>
        <v>0</v>
      </c>
      <c r="M548" s="31" t="s">
        <v>2884</v>
      </c>
      <c r="N548" s="5"/>
      <c r="Z548" s="36">
        <f t="shared" si="513"/>
        <v>0</v>
      </c>
      <c r="AB548" s="36">
        <f t="shared" si="514"/>
        <v>0</v>
      </c>
      <c r="AC548" s="36">
        <f t="shared" si="515"/>
        <v>0</v>
      </c>
      <c r="AD548" s="36">
        <f t="shared" si="516"/>
        <v>0</v>
      </c>
      <c r="AE548" s="36">
        <f t="shared" si="517"/>
        <v>0</v>
      </c>
      <c r="AF548" s="36">
        <f t="shared" si="518"/>
        <v>0</v>
      </c>
      <c r="AG548" s="36">
        <f t="shared" si="519"/>
        <v>0</v>
      </c>
      <c r="AH548" s="36">
        <f t="shared" si="520"/>
        <v>0</v>
      </c>
      <c r="AI548" s="35" t="s">
        <v>2894</v>
      </c>
      <c r="AJ548" s="20">
        <f t="shared" si="521"/>
        <v>0</v>
      </c>
      <c r="AK548" s="20">
        <f t="shared" si="522"/>
        <v>0</v>
      </c>
      <c r="AL548" s="20">
        <f t="shared" si="523"/>
        <v>0</v>
      </c>
      <c r="AN548" s="36">
        <v>21</v>
      </c>
      <c r="AO548" s="36">
        <f t="shared" si="524"/>
        <v>0</v>
      </c>
      <c r="AP548" s="36">
        <f t="shared" si="525"/>
        <v>0</v>
      </c>
      <c r="AQ548" s="37" t="s">
        <v>13</v>
      </c>
      <c r="AV548" s="36">
        <f t="shared" si="526"/>
        <v>0</v>
      </c>
      <c r="AW548" s="36">
        <f t="shared" si="527"/>
        <v>0</v>
      </c>
      <c r="AX548" s="36">
        <f t="shared" si="528"/>
        <v>0</v>
      </c>
      <c r="AY548" s="39" t="s">
        <v>2932</v>
      </c>
      <c r="AZ548" s="39" t="s">
        <v>2956</v>
      </c>
      <c r="BA548" s="35" t="s">
        <v>2967</v>
      </c>
      <c r="BC548" s="36">
        <f t="shared" si="529"/>
        <v>0</v>
      </c>
      <c r="BD548" s="36">
        <f t="shared" si="530"/>
        <v>0</v>
      </c>
      <c r="BE548" s="36">
        <v>0</v>
      </c>
      <c r="BF548" s="36">
        <f>548</f>
        <v>548</v>
      </c>
      <c r="BH548" s="20">
        <f t="shared" si="531"/>
        <v>0</v>
      </c>
      <c r="BI548" s="20">
        <f t="shared" si="532"/>
        <v>0</v>
      </c>
      <c r="BJ548" s="20">
        <f t="shared" si="533"/>
        <v>0</v>
      </c>
      <c r="BK548" s="20" t="s">
        <v>2978</v>
      </c>
      <c r="BL548" s="36">
        <v>766</v>
      </c>
    </row>
    <row r="549" spans="1:64" x14ac:dyDescent="0.2">
      <c r="A549" s="4" t="s">
        <v>442</v>
      </c>
      <c r="B549" s="13" t="s">
        <v>1369</v>
      </c>
      <c r="C549" s="174" t="s">
        <v>2362</v>
      </c>
      <c r="D549" s="175"/>
      <c r="E549" s="175"/>
      <c r="F549" s="175"/>
      <c r="G549" s="13" t="s">
        <v>2852</v>
      </c>
      <c r="H549" s="82">
        <v>3</v>
      </c>
      <c r="I549" s="109">
        <v>0</v>
      </c>
      <c r="J549" s="20">
        <f t="shared" si="510"/>
        <v>0</v>
      </c>
      <c r="K549" s="20">
        <f t="shared" si="511"/>
        <v>0</v>
      </c>
      <c r="L549" s="20">
        <f t="shared" si="512"/>
        <v>0</v>
      </c>
      <c r="M549" s="31" t="s">
        <v>2884</v>
      </c>
      <c r="N549" s="5"/>
      <c r="Z549" s="36">
        <f t="shared" si="513"/>
        <v>0</v>
      </c>
      <c r="AB549" s="36">
        <f t="shared" si="514"/>
        <v>0</v>
      </c>
      <c r="AC549" s="36">
        <f t="shared" si="515"/>
        <v>0</v>
      </c>
      <c r="AD549" s="36">
        <f t="shared" si="516"/>
        <v>0</v>
      </c>
      <c r="AE549" s="36">
        <f t="shared" si="517"/>
        <v>0</v>
      </c>
      <c r="AF549" s="36">
        <f t="shared" si="518"/>
        <v>0</v>
      </c>
      <c r="AG549" s="36">
        <f t="shared" si="519"/>
        <v>0</v>
      </c>
      <c r="AH549" s="36">
        <f t="shared" si="520"/>
        <v>0</v>
      </c>
      <c r="AI549" s="35" t="s">
        <v>2894</v>
      </c>
      <c r="AJ549" s="20">
        <f t="shared" si="521"/>
        <v>0</v>
      </c>
      <c r="AK549" s="20">
        <f t="shared" si="522"/>
        <v>0</v>
      </c>
      <c r="AL549" s="20">
        <f t="shared" si="523"/>
        <v>0</v>
      </c>
      <c r="AN549" s="36">
        <v>21</v>
      </c>
      <c r="AO549" s="36">
        <f t="shared" si="524"/>
        <v>0</v>
      </c>
      <c r="AP549" s="36">
        <f t="shared" si="525"/>
        <v>0</v>
      </c>
      <c r="AQ549" s="37" t="s">
        <v>13</v>
      </c>
      <c r="AV549" s="36">
        <f t="shared" si="526"/>
        <v>0</v>
      </c>
      <c r="AW549" s="36">
        <f t="shared" si="527"/>
        <v>0</v>
      </c>
      <c r="AX549" s="36">
        <f t="shared" si="528"/>
        <v>0</v>
      </c>
      <c r="AY549" s="39" t="s">
        <v>2932</v>
      </c>
      <c r="AZ549" s="39" t="s">
        <v>2956</v>
      </c>
      <c r="BA549" s="35" t="s">
        <v>2967</v>
      </c>
      <c r="BC549" s="36">
        <f t="shared" si="529"/>
        <v>0</v>
      </c>
      <c r="BD549" s="36">
        <f t="shared" si="530"/>
        <v>0</v>
      </c>
      <c r="BE549" s="36">
        <v>0</v>
      </c>
      <c r="BF549" s="36">
        <f>549</f>
        <v>549</v>
      </c>
      <c r="BH549" s="20">
        <f t="shared" si="531"/>
        <v>0</v>
      </c>
      <c r="BI549" s="20">
        <f t="shared" si="532"/>
        <v>0</v>
      </c>
      <c r="BJ549" s="20">
        <f t="shared" si="533"/>
        <v>0</v>
      </c>
      <c r="BK549" s="20" t="s">
        <v>2978</v>
      </c>
      <c r="BL549" s="36">
        <v>766</v>
      </c>
    </row>
    <row r="550" spans="1:64" x14ac:dyDescent="0.2">
      <c r="A550" s="4" t="s">
        <v>443</v>
      </c>
      <c r="B550" s="13" t="s">
        <v>1370</v>
      </c>
      <c r="C550" s="174" t="s">
        <v>2363</v>
      </c>
      <c r="D550" s="175"/>
      <c r="E550" s="175"/>
      <c r="F550" s="175"/>
      <c r="G550" s="13" t="s">
        <v>2852</v>
      </c>
      <c r="H550" s="82">
        <v>4</v>
      </c>
      <c r="I550" s="109">
        <v>0</v>
      </c>
      <c r="J550" s="20">
        <f t="shared" si="510"/>
        <v>0</v>
      </c>
      <c r="K550" s="20">
        <f t="shared" si="511"/>
        <v>0</v>
      </c>
      <c r="L550" s="20">
        <f t="shared" si="512"/>
        <v>0</v>
      </c>
      <c r="M550" s="31" t="s">
        <v>2884</v>
      </c>
      <c r="N550" s="5"/>
      <c r="Z550" s="36">
        <f t="shared" si="513"/>
        <v>0</v>
      </c>
      <c r="AB550" s="36">
        <f t="shared" si="514"/>
        <v>0</v>
      </c>
      <c r="AC550" s="36">
        <f t="shared" si="515"/>
        <v>0</v>
      </c>
      <c r="AD550" s="36">
        <f t="shared" si="516"/>
        <v>0</v>
      </c>
      <c r="AE550" s="36">
        <f t="shared" si="517"/>
        <v>0</v>
      </c>
      <c r="AF550" s="36">
        <f t="shared" si="518"/>
        <v>0</v>
      </c>
      <c r="AG550" s="36">
        <f t="shared" si="519"/>
        <v>0</v>
      </c>
      <c r="AH550" s="36">
        <f t="shared" si="520"/>
        <v>0</v>
      </c>
      <c r="AI550" s="35" t="s">
        <v>2894</v>
      </c>
      <c r="AJ550" s="20">
        <f t="shared" si="521"/>
        <v>0</v>
      </c>
      <c r="AK550" s="20">
        <f t="shared" si="522"/>
        <v>0</v>
      </c>
      <c r="AL550" s="20">
        <f t="shared" si="523"/>
        <v>0</v>
      </c>
      <c r="AN550" s="36">
        <v>21</v>
      </c>
      <c r="AO550" s="36">
        <f t="shared" si="524"/>
        <v>0</v>
      </c>
      <c r="AP550" s="36">
        <f t="shared" si="525"/>
        <v>0</v>
      </c>
      <c r="AQ550" s="37" t="s">
        <v>13</v>
      </c>
      <c r="AV550" s="36">
        <f t="shared" si="526"/>
        <v>0</v>
      </c>
      <c r="AW550" s="36">
        <f t="shared" si="527"/>
        <v>0</v>
      </c>
      <c r="AX550" s="36">
        <f t="shared" si="528"/>
        <v>0</v>
      </c>
      <c r="AY550" s="39" t="s">
        <v>2932</v>
      </c>
      <c r="AZ550" s="39" t="s">
        <v>2956</v>
      </c>
      <c r="BA550" s="35" t="s">
        <v>2967</v>
      </c>
      <c r="BC550" s="36">
        <f t="shared" si="529"/>
        <v>0</v>
      </c>
      <c r="BD550" s="36">
        <f t="shared" si="530"/>
        <v>0</v>
      </c>
      <c r="BE550" s="36">
        <v>0</v>
      </c>
      <c r="BF550" s="36">
        <f>550</f>
        <v>550</v>
      </c>
      <c r="BH550" s="20">
        <f t="shared" si="531"/>
        <v>0</v>
      </c>
      <c r="BI550" s="20">
        <f t="shared" si="532"/>
        <v>0</v>
      </c>
      <c r="BJ550" s="20">
        <f t="shared" si="533"/>
        <v>0</v>
      </c>
      <c r="BK550" s="20" t="s">
        <v>2978</v>
      </c>
      <c r="BL550" s="36">
        <v>766</v>
      </c>
    </row>
    <row r="551" spans="1:64" x14ac:dyDescent="0.2">
      <c r="A551" s="4" t="s">
        <v>444</v>
      </c>
      <c r="B551" s="13" t="s">
        <v>1371</v>
      </c>
      <c r="C551" s="174" t="s">
        <v>2364</v>
      </c>
      <c r="D551" s="175"/>
      <c r="E551" s="175"/>
      <c r="F551" s="175"/>
      <c r="G551" s="13" t="s">
        <v>2852</v>
      </c>
      <c r="H551" s="82">
        <v>4</v>
      </c>
      <c r="I551" s="109">
        <v>0</v>
      </c>
      <c r="J551" s="20">
        <f t="shared" si="510"/>
        <v>0</v>
      </c>
      <c r="K551" s="20">
        <f t="shared" si="511"/>
        <v>0</v>
      </c>
      <c r="L551" s="20">
        <f t="shared" si="512"/>
        <v>0</v>
      </c>
      <c r="M551" s="31" t="s">
        <v>2884</v>
      </c>
      <c r="N551" s="5"/>
      <c r="Z551" s="36">
        <f t="shared" si="513"/>
        <v>0</v>
      </c>
      <c r="AB551" s="36">
        <f t="shared" si="514"/>
        <v>0</v>
      </c>
      <c r="AC551" s="36">
        <f t="shared" si="515"/>
        <v>0</v>
      </c>
      <c r="AD551" s="36">
        <f t="shared" si="516"/>
        <v>0</v>
      </c>
      <c r="AE551" s="36">
        <f t="shared" si="517"/>
        <v>0</v>
      </c>
      <c r="AF551" s="36">
        <f t="shared" si="518"/>
        <v>0</v>
      </c>
      <c r="AG551" s="36">
        <f t="shared" si="519"/>
        <v>0</v>
      </c>
      <c r="AH551" s="36">
        <f t="shared" si="520"/>
        <v>0</v>
      </c>
      <c r="AI551" s="35" t="s">
        <v>2894</v>
      </c>
      <c r="AJ551" s="20">
        <f t="shared" si="521"/>
        <v>0</v>
      </c>
      <c r="AK551" s="20">
        <f t="shared" si="522"/>
        <v>0</v>
      </c>
      <c r="AL551" s="20">
        <f t="shared" si="523"/>
        <v>0</v>
      </c>
      <c r="AN551" s="36">
        <v>21</v>
      </c>
      <c r="AO551" s="36">
        <f t="shared" si="524"/>
        <v>0</v>
      </c>
      <c r="AP551" s="36">
        <f t="shared" si="525"/>
        <v>0</v>
      </c>
      <c r="AQ551" s="37" t="s">
        <v>13</v>
      </c>
      <c r="AV551" s="36">
        <f t="shared" si="526"/>
        <v>0</v>
      </c>
      <c r="AW551" s="36">
        <f t="shared" si="527"/>
        <v>0</v>
      </c>
      <c r="AX551" s="36">
        <f t="shared" si="528"/>
        <v>0</v>
      </c>
      <c r="AY551" s="39" t="s">
        <v>2932</v>
      </c>
      <c r="AZ551" s="39" t="s">
        <v>2956</v>
      </c>
      <c r="BA551" s="35" t="s">
        <v>2967</v>
      </c>
      <c r="BC551" s="36">
        <f t="shared" si="529"/>
        <v>0</v>
      </c>
      <c r="BD551" s="36">
        <f t="shared" si="530"/>
        <v>0</v>
      </c>
      <c r="BE551" s="36">
        <v>0</v>
      </c>
      <c r="BF551" s="36">
        <f>551</f>
        <v>551</v>
      </c>
      <c r="BH551" s="20">
        <f t="shared" si="531"/>
        <v>0</v>
      </c>
      <c r="BI551" s="20">
        <f t="shared" si="532"/>
        <v>0</v>
      </c>
      <c r="BJ551" s="20">
        <f t="shared" si="533"/>
        <v>0</v>
      </c>
      <c r="BK551" s="20" t="s">
        <v>2978</v>
      </c>
      <c r="BL551" s="36">
        <v>766</v>
      </c>
    </row>
    <row r="552" spans="1:64" x14ac:dyDescent="0.2">
      <c r="A552" s="4" t="s">
        <v>445</v>
      </c>
      <c r="B552" s="13" t="s">
        <v>1372</v>
      </c>
      <c r="C552" s="174" t="s">
        <v>2365</v>
      </c>
      <c r="D552" s="175"/>
      <c r="E552" s="175"/>
      <c r="F552" s="175"/>
      <c r="G552" s="13" t="s">
        <v>2855</v>
      </c>
      <c r="H552" s="82">
        <v>90.7</v>
      </c>
      <c r="I552" s="109">
        <v>0</v>
      </c>
      <c r="J552" s="20">
        <f t="shared" si="510"/>
        <v>0</v>
      </c>
      <c r="K552" s="20">
        <f t="shared" si="511"/>
        <v>0</v>
      </c>
      <c r="L552" s="20">
        <f t="shared" si="512"/>
        <v>0</v>
      </c>
      <c r="M552" s="31" t="s">
        <v>2884</v>
      </c>
      <c r="N552" s="5"/>
      <c r="Z552" s="36">
        <f t="shared" si="513"/>
        <v>0</v>
      </c>
      <c r="AB552" s="36">
        <f t="shared" si="514"/>
        <v>0</v>
      </c>
      <c r="AC552" s="36">
        <f t="shared" si="515"/>
        <v>0</v>
      </c>
      <c r="AD552" s="36">
        <f t="shared" si="516"/>
        <v>0</v>
      </c>
      <c r="AE552" s="36">
        <f t="shared" si="517"/>
        <v>0</v>
      </c>
      <c r="AF552" s="36">
        <f t="shared" si="518"/>
        <v>0</v>
      </c>
      <c r="AG552" s="36">
        <f t="shared" si="519"/>
        <v>0</v>
      </c>
      <c r="AH552" s="36">
        <f t="shared" si="520"/>
        <v>0</v>
      </c>
      <c r="AI552" s="35" t="s">
        <v>2894</v>
      </c>
      <c r="AJ552" s="20">
        <f t="shared" si="521"/>
        <v>0</v>
      </c>
      <c r="AK552" s="20">
        <f t="shared" si="522"/>
        <v>0</v>
      </c>
      <c r="AL552" s="20">
        <f t="shared" si="523"/>
        <v>0</v>
      </c>
      <c r="AN552" s="36">
        <v>21</v>
      </c>
      <c r="AO552" s="36">
        <f>I552*0.789999960629062</f>
        <v>0</v>
      </c>
      <c r="AP552" s="36">
        <f>I552*(1-0.789999960629062)</f>
        <v>0</v>
      </c>
      <c r="AQ552" s="37" t="s">
        <v>13</v>
      </c>
      <c r="AV552" s="36">
        <f t="shared" si="526"/>
        <v>0</v>
      </c>
      <c r="AW552" s="36">
        <f t="shared" si="527"/>
        <v>0</v>
      </c>
      <c r="AX552" s="36">
        <f t="shared" si="528"/>
        <v>0</v>
      </c>
      <c r="AY552" s="39" t="s">
        <v>2932</v>
      </c>
      <c r="AZ552" s="39" t="s">
        <v>2956</v>
      </c>
      <c r="BA552" s="35" t="s">
        <v>2967</v>
      </c>
      <c r="BC552" s="36">
        <f t="shared" si="529"/>
        <v>0</v>
      </c>
      <c r="BD552" s="36">
        <f t="shared" si="530"/>
        <v>0</v>
      </c>
      <c r="BE552" s="36">
        <v>0</v>
      </c>
      <c r="BF552" s="36">
        <f>552</f>
        <v>552</v>
      </c>
      <c r="BH552" s="20">
        <f t="shared" si="531"/>
        <v>0</v>
      </c>
      <c r="BI552" s="20">
        <f t="shared" si="532"/>
        <v>0</v>
      </c>
      <c r="BJ552" s="20">
        <f t="shared" si="533"/>
        <v>0</v>
      </c>
      <c r="BK552" s="20" t="s">
        <v>2978</v>
      </c>
      <c r="BL552" s="36">
        <v>766</v>
      </c>
    </row>
    <row r="553" spans="1:64" x14ac:dyDescent="0.2">
      <c r="A553" s="4" t="s">
        <v>446</v>
      </c>
      <c r="B553" s="13" t="s">
        <v>1373</v>
      </c>
      <c r="C553" s="174" t="s">
        <v>2366</v>
      </c>
      <c r="D553" s="175"/>
      <c r="E553" s="175"/>
      <c r="F553" s="175"/>
      <c r="G553" s="13" t="s">
        <v>2852</v>
      </c>
      <c r="H553" s="82">
        <v>2</v>
      </c>
      <c r="I553" s="109">
        <v>0</v>
      </c>
      <c r="J553" s="20">
        <f t="shared" si="510"/>
        <v>0</v>
      </c>
      <c r="K553" s="20">
        <f t="shared" si="511"/>
        <v>0</v>
      </c>
      <c r="L553" s="20">
        <f t="shared" si="512"/>
        <v>0</v>
      </c>
      <c r="M553" s="31" t="s">
        <v>2884</v>
      </c>
      <c r="N553" s="5"/>
      <c r="Z553" s="36">
        <f t="shared" si="513"/>
        <v>0</v>
      </c>
      <c r="AB553" s="36">
        <f t="shared" si="514"/>
        <v>0</v>
      </c>
      <c r="AC553" s="36">
        <f t="shared" si="515"/>
        <v>0</v>
      </c>
      <c r="AD553" s="36">
        <f t="shared" si="516"/>
        <v>0</v>
      </c>
      <c r="AE553" s="36">
        <f t="shared" si="517"/>
        <v>0</v>
      </c>
      <c r="AF553" s="36">
        <f t="shared" si="518"/>
        <v>0</v>
      </c>
      <c r="AG553" s="36">
        <f t="shared" si="519"/>
        <v>0</v>
      </c>
      <c r="AH553" s="36">
        <f t="shared" si="520"/>
        <v>0</v>
      </c>
      <c r="AI553" s="35" t="s">
        <v>2894</v>
      </c>
      <c r="AJ553" s="20">
        <f t="shared" si="521"/>
        <v>0</v>
      </c>
      <c r="AK553" s="20">
        <f t="shared" si="522"/>
        <v>0</v>
      </c>
      <c r="AL553" s="20">
        <f t="shared" si="523"/>
        <v>0</v>
      </c>
      <c r="AN553" s="36">
        <v>21</v>
      </c>
      <c r="AO553" s="36">
        <f>I553*0.79</f>
        <v>0</v>
      </c>
      <c r="AP553" s="36">
        <f>I553*(1-0.79)</f>
        <v>0</v>
      </c>
      <c r="AQ553" s="37" t="s">
        <v>13</v>
      </c>
      <c r="AV553" s="36">
        <f t="shared" si="526"/>
        <v>0</v>
      </c>
      <c r="AW553" s="36">
        <f t="shared" si="527"/>
        <v>0</v>
      </c>
      <c r="AX553" s="36">
        <f t="shared" si="528"/>
        <v>0</v>
      </c>
      <c r="AY553" s="39" t="s">
        <v>2932</v>
      </c>
      <c r="AZ553" s="39" t="s">
        <v>2956</v>
      </c>
      <c r="BA553" s="35" t="s">
        <v>2967</v>
      </c>
      <c r="BC553" s="36">
        <f t="shared" si="529"/>
        <v>0</v>
      </c>
      <c r="BD553" s="36">
        <f t="shared" si="530"/>
        <v>0</v>
      </c>
      <c r="BE553" s="36">
        <v>0</v>
      </c>
      <c r="BF553" s="36">
        <f>553</f>
        <v>553</v>
      </c>
      <c r="BH553" s="20">
        <f t="shared" si="531"/>
        <v>0</v>
      </c>
      <c r="BI553" s="20">
        <f t="shared" si="532"/>
        <v>0</v>
      </c>
      <c r="BJ553" s="20">
        <f t="shared" si="533"/>
        <v>0</v>
      </c>
      <c r="BK553" s="20" t="s">
        <v>2978</v>
      </c>
      <c r="BL553" s="36">
        <v>766</v>
      </c>
    </row>
    <row r="554" spans="1:64" x14ac:dyDescent="0.2">
      <c r="A554" s="4" t="s">
        <v>447</v>
      </c>
      <c r="B554" s="13" t="s">
        <v>1374</v>
      </c>
      <c r="C554" s="174" t="s">
        <v>2367</v>
      </c>
      <c r="D554" s="175"/>
      <c r="E554" s="175"/>
      <c r="F554" s="175"/>
      <c r="G554" s="13" t="s">
        <v>2855</v>
      </c>
      <c r="H554" s="82">
        <v>12</v>
      </c>
      <c r="I554" s="109">
        <v>0</v>
      </c>
      <c r="J554" s="20">
        <f t="shared" si="510"/>
        <v>0</v>
      </c>
      <c r="K554" s="20">
        <f t="shared" si="511"/>
        <v>0</v>
      </c>
      <c r="L554" s="20">
        <f t="shared" si="512"/>
        <v>0</v>
      </c>
      <c r="M554" s="31" t="s">
        <v>2884</v>
      </c>
      <c r="N554" s="5"/>
      <c r="Z554" s="36">
        <f t="shared" si="513"/>
        <v>0</v>
      </c>
      <c r="AB554" s="36">
        <f t="shared" si="514"/>
        <v>0</v>
      </c>
      <c r="AC554" s="36">
        <f t="shared" si="515"/>
        <v>0</v>
      </c>
      <c r="AD554" s="36">
        <f t="shared" si="516"/>
        <v>0</v>
      </c>
      <c r="AE554" s="36">
        <f t="shared" si="517"/>
        <v>0</v>
      </c>
      <c r="AF554" s="36">
        <f t="shared" si="518"/>
        <v>0</v>
      </c>
      <c r="AG554" s="36">
        <f t="shared" si="519"/>
        <v>0</v>
      </c>
      <c r="AH554" s="36">
        <f t="shared" si="520"/>
        <v>0</v>
      </c>
      <c r="AI554" s="35" t="s">
        <v>2894</v>
      </c>
      <c r="AJ554" s="20">
        <f t="shared" si="521"/>
        <v>0</v>
      </c>
      <c r="AK554" s="20">
        <f t="shared" si="522"/>
        <v>0</v>
      </c>
      <c r="AL554" s="20">
        <f t="shared" si="523"/>
        <v>0</v>
      </c>
      <c r="AN554" s="36">
        <v>21</v>
      </c>
      <c r="AO554" s="36">
        <f>I554*0.79</f>
        <v>0</v>
      </c>
      <c r="AP554" s="36">
        <f>I554*(1-0.79)</f>
        <v>0</v>
      </c>
      <c r="AQ554" s="37" t="s">
        <v>13</v>
      </c>
      <c r="AV554" s="36">
        <f t="shared" si="526"/>
        <v>0</v>
      </c>
      <c r="AW554" s="36">
        <f t="shared" si="527"/>
        <v>0</v>
      </c>
      <c r="AX554" s="36">
        <f t="shared" si="528"/>
        <v>0</v>
      </c>
      <c r="AY554" s="39" t="s">
        <v>2932</v>
      </c>
      <c r="AZ554" s="39" t="s">
        <v>2956</v>
      </c>
      <c r="BA554" s="35" t="s">
        <v>2967</v>
      </c>
      <c r="BC554" s="36">
        <f t="shared" si="529"/>
        <v>0</v>
      </c>
      <c r="BD554" s="36">
        <f t="shared" si="530"/>
        <v>0</v>
      </c>
      <c r="BE554" s="36">
        <v>0</v>
      </c>
      <c r="BF554" s="36">
        <f>554</f>
        <v>554</v>
      </c>
      <c r="BH554" s="20">
        <f t="shared" si="531"/>
        <v>0</v>
      </c>
      <c r="BI554" s="20">
        <f t="shared" si="532"/>
        <v>0</v>
      </c>
      <c r="BJ554" s="20">
        <f t="shared" si="533"/>
        <v>0</v>
      </c>
      <c r="BK554" s="20" t="s">
        <v>2978</v>
      </c>
      <c r="BL554" s="36">
        <v>766</v>
      </c>
    </row>
    <row r="555" spans="1:64" x14ac:dyDescent="0.2">
      <c r="A555" s="4" t="s">
        <v>448</v>
      </c>
      <c r="B555" s="13" t="s">
        <v>1375</v>
      </c>
      <c r="C555" s="174" t="s">
        <v>2368</v>
      </c>
      <c r="D555" s="175"/>
      <c r="E555" s="175"/>
      <c r="F555" s="175"/>
      <c r="G555" s="13" t="s">
        <v>2852</v>
      </c>
      <c r="H555" s="82">
        <v>18</v>
      </c>
      <c r="I555" s="109">
        <v>0</v>
      </c>
      <c r="J555" s="20">
        <f t="shared" si="510"/>
        <v>0</v>
      </c>
      <c r="K555" s="20">
        <f t="shared" si="511"/>
        <v>0</v>
      </c>
      <c r="L555" s="20">
        <f t="shared" si="512"/>
        <v>0</v>
      </c>
      <c r="M555" s="31" t="s">
        <v>2884</v>
      </c>
      <c r="N555" s="5"/>
      <c r="Z555" s="36">
        <f t="shared" si="513"/>
        <v>0</v>
      </c>
      <c r="AB555" s="36">
        <f t="shared" si="514"/>
        <v>0</v>
      </c>
      <c r="AC555" s="36">
        <f t="shared" si="515"/>
        <v>0</v>
      </c>
      <c r="AD555" s="36">
        <f t="shared" si="516"/>
        <v>0</v>
      </c>
      <c r="AE555" s="36">
        <f t="shared" si="517"/>
        <v>0</v>
      </c>
      <c r="AF555" s="36">
        <f t="shared" si="518"/>
        <v>0</v>
      </c>
      <c r="AG555" s="36">
        <f t="shared" si="519"/>
        <v>0</v>
      </c>
      <c r="AH555" s="36">
        <f t="shared" si="520"/>
        <v>0</v>
      </c>
      <c r="AI555" s="35" t="s">
        <v>2894</v>
      </c>
      <c r="AJ555" s="20">
        <f t="shared" si="521"/>
        <v>0</v>
      </c>
      <c r="AK555" s="20">
        <f t="shared" si="522"/>
        <v>0</v>
      </c>
      <c r="AL555" s="20">
        <f t="shared" si="523"/>
        <v>0</v>
      </c>
      <c r="AN555" s="36">
        <v>21</v>
      </c>
      <c r="AO555" s="36">
        <f>I555*0.79</f>
        <v>0</v>
      </c>
      <c r="AP555" s="36">
        <f>I555*(1-0.79)</f>
        <v>0</v>
      </c>
      <c r="AQ555" s="37" t="s">
        <v>13</v>
      </c>
      <c r="AV555" s="36">
        <f t="shared" si="526"/>
        <v>0</v>
      </c>
      <c r="AW555" s="36">
        <f t="shared" si="527"/>
        <v>0</v>
      </c>
      <c r="AX555" s="36">
        <f t="shared" si="528"/>
        <v>0</v>
      </c>
      <c r="AY555" s="39" t="s">
        <v>2932</v>
      </c>
      <c r="AZ555" s="39" t="s">
        <v>2956</v>
      </c>
      <c r="BA555" s="35" t="s">
        <v>2967</v>
      </c>
      <c r="BC555" s="36">
        <f t="shared" si="529"/>
        <v>0</v>
      </c>
      <c r="BD555" s="36">
        <f t="shared" si="530"/>
        <v>0</v>
      </c>
      <c r="BE555" s="36">
        <v>0</v>
      </c>
      <c r="BF555" s="36">
        <f>555</f>
        <v>555</v>
      </c>
      <c r="BH555" s="20">
        <f t="shared" si="531"/>
        <v>0</v>
      </c>
      <c r="BI555" s="20">
        <f t="shared" si="532"/>
        <v>0</v>
      </c>
      <c r="BJ555" s="20">
        <f t="shared" si="533"/>
        <v>0</v>
      </c>
      <c r="BK555" s="20" t="s">
        <v>2978</v>
      </c>
      <c r="BL555" s="36">
        <v>766</v>
      </c>
    </row>
    <row r="556" spans="1:64" x14ac:dyDescent="0.2">
      <c r="A556" s="4" t="s">
        <v>449</v>
      </c>
      <c r="B556" s="13" t="s">
        <v>1376</v>
      </c>
      <c r="C556" s="174" t="s">
        <v>2369</v>
      </c>
      <c r="D556" s="175"/>
      <c r="E556" s="175"/>
      <c r="F556" s="175"/>
      <c r="G556" s="13" t="s">
        <v>2852</v>
      </c>
      <c r="H556" s="82">
        <v>22</v>
      </c>
      <c r="I556" s="109">
        <v>0</v>
      </c>
      <c r="J556" s="20">
        <f t="shared" si="510"/>
        <v>0</v>
      </c>
      <c r="K556" s="20">
        <f t="shared" si="511"/>
        <v>0</v>
      </c>
      <c r="L556" s="20">
        <f t="shared" si="512"/>
        <v>0</v>
      </c>
      <c r="M556" s="31" t="s">
        <v>2884</v>
      </c>
      <c r="N556" s="5"/>
      <c r="Z556" s="36">
        <f t="shared" si="513"/>
        <v>0</v>
      </c>
      <c r="AB556" s="36">
        <f t="shared" si="514"/>
        <v>0</v>
      </c>
      <c r="AC556" s="36">
        <f t="shared" si="515"/>
        <v>0</v>
      </c>
      <c r="AD556" s="36">
        <f t="shared" si="516"/>
        <v>0</v>
      </c>
      <c r="AE556" s="36">
        <f t="shared" si="517"/>
        <v>0</v>
      </c>
      <c r="AF556" s="36">
        <f t="shared" si="518"/>
        <v>0</v>
      </c>
      <c r="AG556" s="36">
        <f t="shared" si="519"/>
        <v>0</v>
      </c>
      <c r="AH556" s="36">
        <f t="shared" si="520"/>
        <v>0</v>
      </c>
      <c r="AI556" s="35" t="s">
        <v>2894</v>
      </c>
      <c r="AJ556" s="20">
        <f t="shared" si="521"/>
        <v>0</v>
      </c>
      <c r="AK556" s="20">
        <f t="shared" si="522"/>
        <v>0</v>
      </c>
      <c r="AL556" s="20">
        <f t="shared" si="523"/>
        <v>0</v>
      </c>
      <c r="AN556" s="36">
        <v>21</v>
      </c>
      <c r="AO556" s="36">
        <f>I556*0.79</f>
        <v>0</v>
      </c>
      <c r="AP556" s="36">
        <f>I556*(1-0.79)</f>
        <v>0</v>
      </c>
      <c r="AQ556" s="37" t="s">
        <v>13</v>
      </c>
      <c r="AV556" s="36">
        <f t="shared" si="526"/>
        <v>0</v>
      </c>
      <c r="AW556" s="36">
        <f t="shared" si="527"/>
        <v>0</v>
      </c>
      <c r="AX556" s="36">
        <f t="shared" si="528"/>
        <v>0</v>
      </c>
      <c r="AY556" s="39" t="s">
        <v>2932</v>
      </c>
      <c r="AZ556" s="39" t="s">
        <v>2956</v>
      </c>
      <c r="BA556" s="35" t="s">
        <v>2967</v>
      </c>
      <c r="BC556" s="36">
        <f t="shared" si="529"/>
        <v>0</v>
      </c>
      <c r="BD556" s="36">
        <f t="shared" si="530"/>
        <v>0</v>
      </c>
      <c r="BE556" s="36">
        <v>0</v>
      </c>
      <c r="BF556" s="36">
        <f>556</f>
        <v>556</v>
      </c>
      <c r="BH556" s="20">
        <f t="shared" si="531"/>
        <v>0</v>
      </c>
      <c r="BI556" s="20">
        <f t="shared" si="532"/>
        <v>0</v>
      </c>
      <c r="BJ556" s="20">
        <f t="shared" si="533"/>
        <v>0</v>
      </c>
      <c r="BK556" s="20" t="s">
        <v>2978</v>
      </c>
      <c r="BL556" s="36">
        <v>766</v>
      </c>
    </row>
    <row r="557" spans="1:64" x14ac:dyDescent="0.2">
      <c r="A557" s="4" t="s">
        <v>450</v>
      </c>
      <c r="B557" s="13" t="s">
        <v>1377</v>
      </c>
      <c r="C557" s="174" t="s">
        <v>2370</v>
      </c>
      <c r="D557" s="175"/>
      <c r="E557" s="175"/>
      <c r="F557" s="175"/>
      <c r="G557" s="13" t="s">
        <v>2856</v>
      </c>
      <c r="H557" s="82">
        <v>7.157</v>
      </c>
      <c r="I557" s="109">
        <v>0</v>
      </c>
      <c r="J557" s="20">
        <f t="shared" si="510"/>
        <v>0</v>
      </c>
      <c r="K557" s="20">
        <f t="shared" si="511"/>
        <v>0</v>
      </c>
      <c r="L557" s="20">
        <f t="shared" si="512"/>
        <v>0</v>
      </c>
      <c r="M557" s="31" t="s">
        <v>2884</v>
      </c>
      <c r="N557" s="5"/>
      <c r="Z557" s="36">
        <f t="shared" si="513"/>
        <v>0</v>
      </c>
      <c r="AB557" s="36">
        <f t="shared" si="514"/>
        <v>0</v>
      </c>
      <c r="AC557" s="36">
        <f t="shared" si="515"/>
        <v>0</v>
      </c>
      <c r="AD557" s="36">
        <f t="shared" si="516"/>
        <v>0</v>
      </c>
      <c r="AE557" s="36">
        <f t="shared" si="517"/>
        <v>0</v>
      </c>
      <c r="AF557" s="36">
        <f t="shared" si="518"/>
        <v>0</v>
      </c>
      <c r="AG557" s="36">
        <f t="shared" si="519"/>
        <v>0</v>
      </c>
      <c r="AH557" s="36">
        <f t="shared" si="520"/>
        <v>0</v>
      </c>
      <c r="AI557" s="35" t="s">
        <v>2894</v>
      </c>
      <c r="AJ557" s="20">
        <f t="shared" si="521"/>
        <v>0</v>
      </c>
      <c r="AK557" s="20">
        <f t="shared" si="522"/>
        <v>0</v>
      </c>
      <c r="AL557" s="20">
        <f t="shared" si="523"/>
        <v>0</v>
      </c>
      <c r="AN557" s="36">
        <v>21</v>
      </c>
      <c r="AO557" s="36">
        <f>I557*0</f>
        <v>0</v>
      </c>
      <c r="AP557" s="36">
        <f>I557*(1-0)</f>
        <v>0</v>
      </c>
      <c r="AQ557" s="37" t="s">
        <v>11</v>
      </c>
      <c r="AV557" s="36">
        <f t="shared" si="526"/>
        <v>0</v>
      </c>
      <c r="AW557" s="36">
        <f t="shared" si="527"/>
        <v>0</v>
      </c>
      <c r="AX557" s="36">
        <f t="shared" si="528"/>
        <v>0</v>
      </c>
      <c r="AY557" s="39" t="s">
        <v>2932</v>
      </c>
      <c r="AZ557" s="39" t="s">
        <v>2956</v>
      </c>
      <c r="BA557" s="35" t="s">
        <v>2967</v>
      </c>
      <c r="BC557" s="36">
        <f t="shared" si="529"/>
        <v>0</v>
      </c>
      <c r="BD557" s="36">
        <f t="shared" si="530"/>
        <v>0</v>
      </c>
      <c r="BE557" s="36">
        <v>0</v>
      </c>
      <c r="BF557" s="36">
        <f>557</f>
        <v>557</v>
      </c>
      <c r="BH557" s="20">
        <f t="shared" si="531"/>
        <v>0</v>
      </c>
      <c r="BI557" s="20">
        <f t="shared" si="532"/>
        <v>0</v>
      </c>
      <c r="BJ557" s="20">
        <f t="shared" si="533"/>
        <v>0</v>
      </c>
      <c r="BK557" s="20" t="s">
        <v>2978</v>
      </c>
      <c r="BL557" s="36">
        <v>766</v>
      </c>
    </row>
    <row r="558" spans="1:64" x14ac:dyDescent="0.2">
      <c r="A558" s="3"/>
      <c r="B558" s="12" t="s">
        <v>773</v>
      </c>
      <c r="C558" s="172" t="s">
        <v>2371</v>
      </c>
      <c r="D558" s="173"/>
      <c r="E558" s="173"/>
      <c r="F558" s="173"/>
      <c r="G558" s="18" t="s">
        <v>6</v>
      </c>
      <c r="H558" s="18" t="s">
        <v>6</v>
      </c>
      <c r="I558" s="18" t="s">
        <v>6</v>
      </c>
      <c r="J558" s="41">
        <f>SUM(J559:J576)</f>
        <v>0</v>
      </c>
      <c r="K558" s="41">
        <f>SUM(K559:K576)</f>
        <v>0</v>
      </c>
      <c r="L558" s="41">
        <f>SUM(L559:L576)</f>
        <v>0</v>
      </c>
      <c r="M558" s="30"/>
      <c r="N558" s="5"/>
      <c r="AI558" s="35" t="s">
        <v>2894</v>
      </c>
      <c r="AS558" s="41">
        <f>SUM(AJ559:AJ576)</f>
        <v>0</v>
      </c>
      <c r="AT558" s="41">
        <f>SUM(AK559:AK576)</f>
        <v>0</v>
      </c>
      <c r="AU558" s="41">
        <f>SUM(AL559:AL576)</f>
        <v>0</v>
      </c>
    </row>
    <row r="559" spans="1:64" x14ac:dyDescent="0.2">
      <c r="A559" s="4" t="s">
        <v>451</v>
      </c>
      <c r="B559" s="13" t="s">
        <v>1378</v>
      </c>
      <c r="C559" s="174" t="s">
        <v>2372</v>
      </c>
      <c r="D559" s="175"/>
      <c r="E559" s="175"/>
      <c r="F559" s="175"/>
      <c r="G559" s="13" t="s">
        <v>2852</v>
      </c>
      <c r="H559" s="82">
        <v>1</v>
      </c>
      <c r="I559" s="109">
        <v>0</v>
      </c>
      <c r="J559" s="20">
        <f t="shared" ref="J559:J576" si="534">H559*AO559</f>
        <v>0</v>
      </c>
      <c r="K559" s="20">
        <f t="shared" ref="K559:K576" si="535">H559*AP559</f>
        <v>0</v>
      </c>
      <c r="L559" s="20">
        <f t="shared" ref="L559:L576" si="536">H559*I559</f>
        <v>0</v>
      </c>
      <c r="M559" s="31" t="s">
        <v>2884</v>
      </c>
      <c r="N559" s="5"/>
      <c r="Z559" s="36">
        <f t="shared" ref="Z559:Z576" si="537">IF(AQ559="5",BJ559,0)</f>
        <v>0</v>
      </c>
      <c r="AB559" s="36">
        <f t="shared" ref="AB559:AB576" si="538">IF(AQ559="1",BH559,0)</f>
        <v>0</v>
      </c>
      <c r="AC559" s="36">
        <f t="shared" ref="AC559:AC576" si="539">IF(AQ559="1",BI559,0)</f>
        <v>0</v>
      </c>
      <c r="AD559" s="36">
        <f t="shared" ref="AD559:AD576" si="540">IF(AQ559="7",BH559,0)</f>
        <v>0</v>
      </c>
      <c r="AE559" s="36">
        <f t="shared" ref="AE559:AE576" si="541">IF(AQ559="7",BI559,0)</f>
        <v>0</v>
      </c>
      <c r="AF559" s="36">
        <f t="shared" ref="AF559:AF576" si="542">IF(AQ559="2",BH559,0)</f>
        <v>0</v>
      </c>
      <c r="AG559" s="36">
        <f t="shared" ref="AG559:AG576" si="543">IF(AQ559="2",BI559,0)</f>
        <v>0</v>
      </c>
      <c r="AH559" s="36">
        <f t="shared" ref="AH559:AH576" si="544">IF(AQ559="0",BJ559,0)</f>
        <v>0</v>
      </c>
      <c r="AI559" s="35" t="s">
        <v>2894</v>
      </c>
      <c r="AJ559" s="20">
        <f t="shared" ref="AJ559:AJ576" si="545">IF(AN559=0,L559,0)</f>
        <v>0</v>
      </c>
      <c r="AK559" s="20">
        <f t="shared" ref="AK559:AK576" si="546">IF(AN559=15,L559,0)</f>
        <v>0</v>
      </c>
      <c r="AL559" s="20">
        <f t="shared" ref="AL559:AL576" si="547">IF(AN559=21,L559,0)</f>
        <v>0</v>
      </c>
      <c r="AN559" s="36">
        <v>21</v>
      </c>
      <c r="AO559" s="36">
        <f t="shared" ref="AO559:AO575" si="548">I559*0.79</f>
        <v>0</v>
      </c>
      <c r="AP559" s="36">
        <f t="shared" ref="AP559:AP575" si="549">I559*(1-0.79)</f>
        <v>0</v>
      </c>
      <c r="AQ559" s="37" t="s">
        <v>13</v>
      </c>
      <c r="AV559" s="36">
        <f t="shared" ref="AV559:AV576" si="550">AW559+AX559</f>
        <v>0</v>
      </c>
      <c r="AW559" s="36">
        <f t="shared" ref="AW559:AW576" si="551">H559*AO559</f>
        <v>0</v>
      </c>
      <c r="AX559" s="36">
        <f t="shared" ref="AX559:AX576" si="552">H559*AP559</f>
        <v>0</v>
      </c>
      <c r="AY559" s="39" t="s">
        <v>2933</v>
      </c>
      <c r="AZ559" s="39" t="s">
        <v>2956</v>
      </c>
      <c r="BA559" s="35" t="s">
        <v>2967</v>
      </c>
      <c r="BC559" s="36">
        <f t="shared" ref="BC559:BC576" si="553">AW559+AX559</f>
        <v>0</v>
      </c>
      <c r="BD559" s="36">
        <f t="shared" ref="BD559:BD576" si="554">I559/(100-BE559)*100</f>
        <v>0</v>
      </c>
      <c r="BE559" s="36">
        <v>0</v>
      </c>
      <c r="BF559" s="36">
        <f>559</f>
        <v>559</v>
      </c>
      <c r="BH559" s="20">
        <f t="shared" ref="BH559:BH576" si="555">H559*AO559</f>
        <v>0</v>
      </c>
      <c r="BI559" s="20">
        <f t="shared" ref="BI559:BI576" si="556">H559*AP559</f>
        <v>0</v>
      </c>
      <c r="BJ559" s="20">
        <f t="shared" ref="BJ559:BJ576" si="557">H559*I559</f>
        <v>0</v>
      </c>
      <c r="BK559" s="20" t="s">
        <v>2978</v>
      </c>
      <c r="BL559" s="36">
        <v>767</v>
      </c>
    </row>
    <row r="560" spans="1:64" x14ac:dyDescent="0.2">
      <c r="A560" s="4" t="s">
        <v>452</v>
      </c>
      <c r="B560" s="13" t="s">
        <v>1379</v>
      </c>
      <c r="C560" s="174" t="s">
        <v>2373</v>
      </c>
      <c r="D560" s="175"/>
      <c r="E560" s="175"/>
      <c r="F560" s="175"/>
      <c r="G560" s="13" t="s">
        <v>2852</v>
      </c>
      <c r="H560" s="82">
        <v>1</v>
      </c>
      <c r="I560" s="109">
        <v>0</v>
      </c>
      <c r="J560" s="20">
        <f t="shared" si="534"/>
        <v>0</v>
      </c>
      <c r="K560" s="20">
        <f t="shared" si="535"/>
        <v>0</v>
      </c>
      <c r="L560" s="20">
        <f t="shared" si="536"/>
        <v>0</v>
      </c>
      <c r="M560" s="31" t="s">
        <v>2884</v>
      </c>
      <c r="N560" s="5"/>
      <c r="Z560" s="36">
        <f t="shared" si="537"/>
        <v>0</v>
      </c>
      <c r="AB560" s="36">
        <f t="shared" si="538"/>
        <v>0</v>
      </c>
      <c r="AC560" s="36">
        <f t="shared" si="539"/>
        <v>0</v>
      </c>
      <c r="AD560" s="36">
        <f t="shared" si="540"/>
        <v>0</v>
      </c>
      <c r="AE560" s="36">
        <f t="shared" si="541"/>
        <v>0</v>
      </c>
      <c r="AF560" s="36">
        <f t="shared" si="542"/>
        <v>0</v>
      </c>
      <c r="AG560" s="36">
        <f t="shared" si="543"/>
        <v>0</v>
      </c>
      <c r="AH560" s="36">
        <f t="shared" si="544"/>
        <v>0</v>
      </c>
      <c r="AI560" s="35" t="s">
        <v>2894</v>
      </c>
      <c r="AJ560" s="20">
        <f t="shared" si="545"/>
        <v>0</v>
      </c>
      <c r="AK560" s="20">
        <f t="shared" si="546"/>
        <v>0</v>
      </c>
      <c r="AL560" s="20">
        <f t="shared" si="547"/>
        <v>0</v>
      </c>
      <c r="AN560" s="36">
        <v>21</v>
      </c>
      <c r="AO560" s="36">
        <f t="shared" si="548"/>
        <v>0</v>
      </c>
      <c r="AP560" s="36">
        <f t="shared" si="549"/>
        <v>0</v>
      </c>
      <c r="AQ560" s="37" t="s">
        <v>13</v>
      </c>
      <c r="AV560" s="36">
        <f t="shared" si="550"/>
        <v>0</v>
      </c>
      <c r="AW560" s="36">
        <f t="shared" si="551"/>
        <v>0</v>
      </c>
      <c r="AX560" s="36">
        <f t="shared" si="552"/>
        <v>0</v>
      </c>
      <c r="AY560" s="39" t="s">
        <v>2933</v>
      </c>
      <c r="AZ560" s="39" t="s">
        <v>2956</v>
      </c>
      <c r="BA560" s="35" t="s">
        <v>2967</v>
      </c>
      <c r="BC560" s="36">
        <f t="shared" si="553"/>
        <v>0</v>
      </c>
      <c r="BD560" s="36">
        <f t="shared" si="554"/>
        <v>0</v>
      </c>
      <c r="BE560" s="36">
        <v>0</v>
      </c>
      <c r="BF560" s="36">
        <f>560</f>
        <v>560</v>
      </c>
      <c r="BH560" s="20">
        <f t="shared" si="555"/>
        <v>0</v>
      </c>
      <c r="BI560" s="20">
        <f t="shared" si="556"/>
        <v>0</v>
      </c>
      <c r="BJ560" s="20">
        <f t="shared" si="557"/>
        <v>0</v>
      </c>
      <c r="BK560" s="20" t="s">
        <v>2978</v>
      </c>
      <c r="BL560" s="36">
        <v>767</v>
      </c>
    </row>
    <row r="561" spans="1:64" x14ac:dyDescent="0.2">
      <c r="A561" s="4" t="s">
        <v>453</v>
      </c>
      <c r="B561" s="13" t="s">
        <v>1380</v>
      </c>
      <c r="C561" s="174" t="s">
        <v>2374</v>
      </c>
      <c r="D561" s="175"/>
      <c r="E561" s="175"/>
      <c r="F561" s="175"/>
      <c r="G561" s="13" t="s">
        <v>2852</v>
      </c>
      <c r="H561" s="82">
        <v>1</v>
      </c>
      <c r="I561" s="109">
        <v>0</v>
      </c>
      <c r="J561" s="20">
        <f t="shared" si="534"/>
        <v>0</v>
      </c>
      <c r="K561" s="20">
        <f t="shared" si="535"/>
        <v>0</v>
      </c>
      <c r="L561" s="20">
        <f t="shared" si="536"/>
        <v>0</v>
      </c>
      <c r="M561" s="31" t="s">
        <v>2884</v>
      </c>
      <c r="N561" s="5"/>
      <c r="Z561" s="36">
        <f t="shared" si="537"/>
        <v>0</v>
      </c>
      <c r="AB561" s="36">
        <f t="shared" si="538"/>
        <v>0</v>
      </c>
      <c r="AC561" s="36">
        <f t="shared" si="539"/>
        <v>0</v>
      </c>
      <c r="AD561" s="36">
        <f t="shared" si="540"/>
        <v>0</v>
      </c>
      <c r="AE561" s="36">
        <f t="shared" si="541"/>
        <v>0</v>
      </c>
      <c r="AF561" s="36">
        <f t="shared" si="542"/>
        <v>0</v>
      </c>
      <c r="AG561" s="36">
        <f t="shared" si="543"/>
        <v>0</v>
      </c>
      <c r="AH561" s="36">
        <f t="shared" si="544"/>
        <v>0</v>
      </c>
      <c r="AI561" s="35" t="s">
        <v>2894</v>
      </c>
      <c r="AJ561" s="20">
        <f t="shared" si="545"/>
        <v>0</v>
      </c>
      <c r="AK561" s="20">
        <f t="shared" si="546"/>
        <v>0</v>
      </c>
      <c r="AL561" s="20">
        <f t="shared" si="547"/>
        <v>0</v>
      </c>
      <c r="AN561" s="36">
        <v>21</v>
      </c>
      <c r="AO561" s="36">
        <f t="shared" si="548"/>
        <v>0</v>
      </c>
      <c r="AP561" s="36">
        <f t="shared" si="549"/>
        <v>0</v>
      </c>
      <c r="AQ561" s="37" t="s">
        <v>13</v>
      </c>
      <c r="AV561" s="36">
        <f t="shared" si="550"/>
        <v>0</v>
      </c>
      <c r="AW561" s="36">
        <f t="shared" si="551"/>
        <v>0</v>
      </c>
      <c r="AX561" s="36">
        <f t="shared" si="552"/>
        <v>0</v>
      </c>
      <c r="AY561" s="39" t="s">
        <v>2933</v>
      </c>
      <c r="AZ561" s="39" t="s">
        <v>2956</v>
      </c>
      <c r="BA561" s="35" t="s">
        <v>2967</v>
      </c>
      <c r="BC561" s="36">
        <f t="shared" si="553"/>
        <v>0</v>
      </c>
      <c r="BD561" s="36">
        <f t="shared" si="554"/>
        <v>0</v>
      </c>
      <c r="BE561" s="36">
        <v>0</v>
      </c>
      <c r="BF561" s="36">
        <f>561</f>
        <v>561</v>
      </c>
      <c r="BH561" s="20">
        <f t="shared" si="555"/>
        <v>0</v>
      </c>
      <c r="BI561" s="20">
        <f t="shared" si="556"/>
        <v>0</v>
      </c>
      <c r="BJ561" s="20">
        <f t="shared" si="557"/>
        <v>0</v>
      </c>
      <c r="BK561" s="20" t="s">
        <v>2978</v>
      </c>
      <c r="BL561" s="36">
        <v>767</v>
      </c>
    </row>
    <row r="562" spans="1:64" x14ac:dyDescent="0.2">
      <c r="A562" s="4" t="s">
        <v>454</v>
      </c>
      <c r="B562" s="13" t="s">
        <v>1381</v>
      </c>
      <c r="C562" s="174" t="s">
        <v>2375</v>
      </c>
      <c r="D562" s="175"/>
      <c r="E562" s="175"/>
      <c r="F562" s="175"/>
      <c r="G562" s="13" t="s">
        <v>2858</v>
      </c>
      <c r="H562" s="82">
        <v>1470</v>
      </c>
      <c r="I562" s="109">
        <v>0</v>
      </c>
      <c r="J562" s="20">
        <f t="shared" si="534"/>
        <v>0</v>
      </c>
      <c r="K562" s="20">
        <f t="shared" si="535"/>
        <v>0</v>
      </c>
      <c r="L562" s="20">
        <f t="shared" si="536"/>
        <v>0</v>
      </c>
      <c r="M562" s="31" t="s">
        <v>2884</v>
      </c>
      <c r="N562" s="5"/>
      <c r="Z562" s="36">
        <f t="shared" si="537"/>
        <v>0</v>
      </c>
      <c r="AB562" s="36">
        <f t="shared" si="538"/>
        <v>0</v>
      </c>
      <c r="AC562" s="36">
        <f t="shared" si="539"/>
        <v>0</v>
      </c>
      <c r="AD562" s="36">
        <f t="shared" si="540"/>
        <v>0</v>
      </c>
      <c r="AE562" s="36">
        <f t="shared" si="541"/>
        <v>0</v>
      </c>
      <c r="AF562" s="36">
        <f t="shared" si="542"/>
        <v>0</v>
      </c>
      <c r="AG562" s="36">
        <f t="shared" si="543"/>
        <v>0</v>
      </c>
      <c r="AH562" s="36">
        <f t="shared" si="544"/>
        <v>0</v>
      </c>
      <c r="AI562" s="35" t="s">
        <v>2894</v>
      </c>
      <c r="AJ562" s="20">
        <f t="shared" si="545"/>
        <v>0</v>
      </c>
      <c r="AK562" s="20">
        <f t="shared" si="546"/>
        <v>0</v>
      </c>
      <c r="AL562" s="20">
        <f t="shared" si="547"/>
        <v>0</v>
      </c>
      <c r="AN562" s="36">
        <v>21</v>
      </c>
      <c r="AO562" s="36">
        <f t="shared" si="548"/>
        <v>0</v>
      </c>
      <c r="AP562" s="36">
        <f t="shared" si="549"/>
        <v>0</v>
      </c>
      <c r="AQ562" s="37" t="s">
        <v>13</v>
      </c>
      <c r="AV562" s="36">
        <f t="shared" si="550"/>
        <v>0</v>
      </c>
      <c r="AW562" s="36">
        <f t="shared" si="551"/>
        <v>0</v>
      </c>
      <c r="AX562" s="36">
        <f t="shared" si="552"/>
        <v>0</v>
      </c>
      <c r="AY562" s="39" t="s">
        <v>2933</v>
      </c>
      <c r="AZ562" s="39" t="s">
        <v>2956</v>
      </c>
      <c r="BA562" s="35" t="s">
        <v>2967</v>
      </c>
      <c r="BC562" s="36">
        <f t="shared" si="553"/>
        <v>0</v>
      </c>
      <c r="BD562" s="36">
        <f t="shared" si="554"/>
        <v>0</v>
      </c>
      <c r="BE562" s="36">
        <v>0</v>
      </c>
      <c r="BF562" s="36">
        <f>562</f>
        <v>562</v>
      </c>
      <c r="BH562" s="20">
        <f t="shared" si="555"/>
        <v>0</v>
      </c>
      <c r="BI562" s="20">
        <f t="shared" si="556"/>
        <v>0</v>
      </c>
      <c r="BJ562" s="20">
        <f t="shared" si="557"/>
        <v>0</v>
      </c>
      <c r="BK562" s="20" t="s">
        <v>2978</v>
      </c>
      <c r="BL562" s="36">
        <v>767</v>
      </c>
    </row>
    <row r="563" spans="1:64" x14ac:dyDescent="0.2">
      <c r="A563" s="4" t="s">
        <v>455</v>
      </c>
      <c r="B563" s="13" t="s">
        <v>1382</v>
      </c>
      <c r="C563" s="174" t="s">
        <v>2376</v>
      </c>
      <c r="D563" s="175"/>
      <c r="E563" s="175"/>
      <c r="F563" s="175"/>
      <c r="G563" s="13" t="s">
        <v>2855</v>
      </c>
      <c r="H563" s="82">
        <v>8.6</v>
      </c>
      <c r="I563" s="109">
        <v>0</v>
      </c>
      <c r="J563" s="20">
        <f t="shared" si="534"/>
        <v>0</v>
      </c>
      <c r="K563" s="20">
        <f t="shared" si="535"/>
        <v>0</v>
      </c>
      <c r="L563" s="20">
        <f t="shared" si="536"/>
        <v>0</v>
      </c>
      <c r="M563" s="31" t="s">
        <v>2884</v>
      </c>
      <c r="N563" s="5"/>
      <c r="Z563" s="36">
        <f t="shared" si="537"/>
        <v>0</v>
      </c>
      <c r="AB563" s="36">
        <f t="shared" si="538"/>
        <v>0</v>
      </c>
      <c r="AC563" s="36">
        <f t="shared" si="539"/>
        <v>0</v>
      </c>
      <c r="AD563" s="36">
        <f t="shared" si="540"/>
        <v>0</v>
      </c>
      <c r="AE563" s="36">
        <f t="shared" si="541"/>
        <v>0</v>
      </c>
      <c r="AF563" s="36">
        <f t="shared" si="542"/>
        <v>0</v>
      </c>
      <c r="AG563" s="36">
        <f t="shared" si="543"/>
        <v>0</v>
      </c>
      <c r="AH563" s="36">
        <f t="shared" si="544"/>
        <v>0</v>
      </c>
      <c r="AI563" s="35" t="s">
        <v>2894</v>
      </c>
      <c r="AJ563" s="20">
        <f t="shared" si="545"/>
        <v>0</v>
      </c>
      <c r="AK563" s="20">
        <f t="shared" si="546"/>
        <v>0</v>
      </c>
      <c r="AL563" s="20">
        <f t="shared" si="547"/>
        <v>0</v>
      </c>
      <c r="AN563" s="36">
        <v>21</v>
      </c>
      <c r="AO563" s="36">
        <f t="shared" si="548"/>
        <v>0</v>
      </c>
      <c r="AP563" s="36">
        <f t="shared" si="549"/>
        <v>0</v>
      </c>
      <c r="AQ563" s="37" t="s">
        <v>13</v>
      </c>
      <c r="AV563" s="36">
        <f t="shared" si="550"/>
        <v>0</v>
      </c>
      <c r="AW563" s="36">
        <f t="shared" si="551"/>
        <v>0</v>
      </c>
      <c r="AX563" s="36">
        <f t="shared" si="552"/>
        <v>0</v>
      </c>
      <c r="AY563" s="39" t="s">
        <v>2933</v>
      </c>
      <c r="AZ563" s="39" t="s">
        <v>2956</v>
      </c>
      <c r="BA563" s="35" t="s">
        <v>2967</v>
      </c>
      <c r="BC563" s="36">
        <f t="shared" si="553"/>
        <v>0</v>
      </c>
      <c r="BD563" s="36">
        <f t="shared" si="554"/>
        <v>0</v>
      </c>
      <c r="BE563" s="36">
        <v>0</v>
      </c>
      <c r="BF563" s="36">
        <f>563</f>
        <v>563</v>
      </c>
      <c r="BH563" s="20">
        <f t="shared" si="555"/>
        <v>0</v>
      </c>
      <c r="BI563" s="20">
        <f t="shared" si="556"/>
        <v>0</v>
      </c>
      <c r="BJ563" s="20">
        <f t="shared" si="557"/>
        <v>0</v>
      </c>
      <c r="BK563" s="20" t="s">
        <v>2978</v>
      </c>
      <c r="BL563" s="36">
        <v>767</v>
      </c>
    </row>
    <row r="564" spans="1:64" x14ac:dyDescent="0.2">
      <c r="A564" s="4" t="s">
        <v>456</v>
      </c>
      <c r="B564" s="13" t="s">
        <v>1383</v>
      </c>
      <c r="C564" s="174" t="s">
        <v>2377</v>
      </c>
      <c r="D564" s="175"/>
      <c r="E564" s="175"/>
      <c r="F564" s="175"/>
      <c r="G564" s="13" t="s">
        <v>2852</v>
      </c>
      <c r="H564" s="82">
        <v>1</v>
      </c>
      <c r="I564" s="109">
        <v>0</v>
      </c>
      <c r="J564" s="20">
        <f t="shared" si="534"/>
        <v>0</v>
      </c>
      <c r="K564" s="20">
        <f t="shared" si="535"/>
        <v>0</v>
      </c>
      <c r="L564" s="20">
        <f t="shared" si="536"/>
        <v>0</v>
      </c>
      <c r="M564" s="31" t="s">
        <v>2884</v>
      </c>
      <c r="N564" s="5"/>
      <c r="Z564" s="36">
        <f t="shared" si="537"/>
        <v>0</v>
      </c>
      <c r="AB564" s="36">
        <f t="shared" si="538"/>
        <v>0</v>
      </c>
      <c r="AC564" s="36">
        <f t="shared" si="539"/>
        <v>0</v>
      </c>
      <c r="AD564" s="36">
        <f t="shared" si="540"/>
        <v>0</v>
      </c>
      <c r="AE564" s="36">
        <f t="shared" si="541"/>
        <v>0</v>
      </c>
      <c r="AF564" s="36">
        <f t="shared" si="542"/>
        <v>0</v>
      </c>
      <c r="AG564" s="36">
        <f t="shared" si="543"/>
        <v>0</v>
      </c>
      <c r="AH564" s="36">
        <f t="shared" si="544"/>
        <v>0</v>
      </c>
      <c r="AI564" s="35" t="s">
        <v>2894</v>
      </c>
      <c r="AJ564" s="20">
        <f t="shared" si="545"/>
        <v>0</v>
      </c>
      <c r="AK564" s="20">
        <f t="shared" si="546"/>
        <v>0</v>
      </c>
      <c r="AL564" s="20">
        <f t="shared" si="547"/>
        <v>0</v>
      </c>
      <c r="AN564" s="36">
        <v>21</v>
      </c>
      <c r="AO564" s="36">
        <f t="shared" si="548"/>
        <v>0</v>
      </c>
      <c r="AP564" s="36">
        <f t="shared" si="549"/>
        <v>0</v>
      </c>
      <c r="AQ564" s="37" t="s">
        <v>13</v>
      </c>
      <c r="AV564" s="36">
        <f t="shared" si="550"/>
        <v>0</v>
      </c>
      <c r="AW564" s="36">
        <f t="shared" si="551"/>
        <v>0</v>
      </c>
      <c r="AX564" s="36">
        <f t="shared" si="552"/>
        <v>0</v>
      </c>
      <c r="AY564" s="39" t="s">
        <v>2933</v>
      </c>
      <c r="AZ564" s="39" t="s">
        <v>2956</v>
      </c>
      <c r="BA564" s="35" t="s">
        <v>2967</v>
      </c>
      <c r="BC564" s="36">
        <f t="shared" si="553"/>
        <v>0</v>
      </c>
      <c r="BD564" s="36">
        <f t="shared" si="554"/>
        <v>0</v>
      </c>
      <c r="BE564" s="36">
        <v>0</v>
      </c>
      <c r="BF564" s="36">
        <f>564</f>
        <v>564</v>
      </c>
      <c r="BH564" s="20">
        <f t="shared" si="555"/>
        <v>0</v>
      </c>
      <c r="BI564" s="20">
        <f t="shared" si="556"/>
        <v>0</v>
      </c>
      <c r="BJ564" s="20">
        <f t="shared" si="557"/>
        <v>0</v>
      </c>
      <c r="BK564" s="20" t="s">
        <v>2978</v>
      </c>
      <c r="BL564" s="36">
        <v>767</v>
      </c>
    </row>
    <row r="565" spans="1:64" x14ac:dyDescent="0.2">
      <c r="A565" s="4" t="s">
        <v>457</v>
      </c>
      <c r="B565" s="13" t="s">
        <v>1384</v>
      </c>
      <c r="C565" s="174" t="s">
        <v>2378</v>
      </c>
      <c r="D565" s="175"/>
      <c r="E565" s="175"/>
      <c r="F565" s="175"/>
      <c r="G565" s="13" t="s">
        <v>2852</v>
      </c>
      <c r="H565" s="82">
        <v>1</v>
      </c>
      <c r="I565" s="109">
        <v>0</v>
      </c>
      <c r="J565" s="20">
        <f t="shared" si="534"/>
        <v>0</v>
      </c>
      <c r="K565" s="20">
        <f t="shared" si="535"/>
        <v>0</v>
      </c>
      <c r="L565" s="20">
        <f t="shared" si="536"/>
        <v>0</v>
      </c>
      <c r="M565" s="31" t="s">
        <v>2884</v>
      </c>
      <c r="N565" s="5"/>
      <c r="Z565" s="36">
        <f t="shared" si="537"/>
        <v>0</v>
      </c>
      <c r="AB565" s="36">
        <f t="shared" si="538"/>
        <v>0</v>
      </c>
      <c r="AC565" s="36">
        <f t="shared" si="539"/>
        <v>0</v>
      </c>
      <c r="AD565" s="36">
        <f t="shared" si="540"/>
        <v>0</v>
      </c>
      <c r="AE565" s="36">
        <f t="shared" si="541"/>
        <v>0</v>
      </c>
      <c r="AF565" s="36">
        <f t="shared" si="542"/>
        <v>0</v>
      </c>
      <c r="AG565" s="36">
        <f t="shared" si="543"/>
        <v>0</v>
      </c>
      <c r="AH565" s="36">
        <f t="shared" si="544"/>
        <v>0</v>
      </c>
      <c r="AI565" s="35" t="s">
        <v>2894</v>
      </c>
      <c r="AJ565" s="20">
        <f t="shared" si="545"/>
        <v>0</v>
      </c>
      <c r="AK565" s="20">
        <f t="shared" si="546"/>
        <v>0</v>
      </c>
      <c r="AL565" s="20">
        <f t="shared" si="547"/>
        <v>0</v>
      </c>
      <c r="AN565" s="36">
        <v>21</v>
      </c>
      <c r="AO565" s="36">
        <f t="shared" si="548"/>
        <v>0</v>
      </c>
      <c r="AP565" s="36">
        <f t="shared" si="549"/>
        <v>0</v>
      </c>
      <c r="AQ565" s="37" t="s">
        <v>13</v>
      </c>
      <c r="AV565" s="36">
        <f t="shared" si="550"/>
        <v>0</v>
      </c>
      <c r="AW565" s="36">
        <f t="shared" si="551"/>
        <v>0</v>
      </c>
      <c r="AX565" s="36">
        <f t="shared" si="552"/>
        <v>0</v>
      </c>
      <c r="AY565" s="39" t="s">
        <v>2933</v>
      </c>
      <c r="AZ565" s="39" t="s">
        <v>2956</v>
      </c>
      <c r="BA565" s="35" t="s">
        <v>2967</v>
      </c>
      <c r="BC565" s="36">
        <f t="shared" si="553"/>
        <v>0</v>
      </c>
      <c r="BD565" s="36">
        <f t="shared" si="554"/>
        <v>0</v>
      </c>
      <c r="BE565" s="36">
        <v>0</v>
      </c>
      <c r="BF565" s="36">
        <f>565</f>
        <v>565</v>
      </c>
      <c r="BH565" s="20">
        <f t="shared" si="555"/>
        <v>0</v>
      </c>
      <c r="BI565" s="20">
        <f t="shared" si="556"/>
        <v>0</v>
      </c>
      <c r="BJ565" s="20">
        <f t="shared" si="557"/>
        <v>0</v>
      </c>
      <c r="BK565" s="20" t="s">
        <v>2978</v>
      </c>
      <c r="BL565" s="36">
        <v>767</v>
      </c>
    </row>
    <row r="566" spans="1:64" x14ac:dyDescent="0.2">
      <c r="A566" s="4" t="s">
        <v>458</v>
      </c>
      <c r="B566" s="13" t="s">
        <v>1385</v>
      </c>
      <c r="C566" s="174" t="s">
        <v>2379</v>
      </c>
      <c r="D566" s="175"/>
      <c r="E566" s="175"/>
      <c r="F566" s="175"/>
      <c r="G566" s="13" t="s">
        <v>2852</v>
      </c>
      <c r="H566" s="82">
        <v>5</v>
      </c>
      <c r="I566" s="109">
        <v>0</v>
      </c>
      <c r="J566" s="20">
        <f t="shared" si="534"/>
        <v>0</v>
      </c>
      <c r="K566" s="20">
        <f t="shared" si="535"/>
        <v>0</v>
      </c>
      <c r="L566" s="20">
        <f t="shared" si="536"/>
        <v>0</v>
      </c>
      <c r="M566" s="31" t="s">
        <v>2884</v>
      </c>
      <c r="N566" s="5"/>
      <c r="Z566" s="36">
        <f t="shared" si="537"/>
        <v>0</v>
      </c>
      <c r="AB566" s="36">
        <f t="shared" si="538"/>
        <v>0</v>
      </c>
      <c r="AC566" s="36">
        <f t="shared" si="539"/>
        <v>0</v>
      </c>
      <c r="AD566" s="36">
        <f t="shared" si="540"/>
        <v>0</v>
      </c>
      <c r="AE566" s="36">
        <f t="shared" si="541"/>
        <v>0</v>
      </c>
      <c r="AF566" s="36">
        <f t="shared" si="542"/>
        <v>0</v>
      </c>
      <c r="AG566" s="36">
        <f t="shared" si="543"/>
        <v>0</v>
      </c>
      <c r="AH566" s="36">
        <f t="shared" si="544"/>
        <v>0</v>
      </c>
      <c r="AI566" s="35" t="s">
        <v>2894</v>
      </c>
      <c r="AJ566" s="20">
        <f t="shared" si="545"/>
        <v>0</v>
      </c>
      <c r="AK566" s="20">
        <f t="shared" si="546"/>
        <v>0</v>
      </c>
      <c r="AL566" s="20">
        <f t="shared" si="547"/>
        <v>0</v>
      </c>
      <c r="AN566" s="36">
        <v>21</v>
      </c>
      <c r="AO566" s="36">
        <f t="shared" si="548"/>
        <v>0</v>
      </c>
      <c r="AP566" s="36">
        <f t="shared" si="549"/>
        <v>0</v>
      </c>
      <c r="AQ566" s="37" t="s">
        <v>13</v>
      </c>
      <c r="AV566" s="36">
        <f t="shared" si="550"/>
        <v>0</v>
      </c>
      <c r="AW566" s="36">
        <f t="shared" si="551"/>
        <v>0</v>
      </c>
      <c r="AX566" s="36">
        <f t="shared" si="552"/>
        <v>0</v>
      </c>
      <c r="AY566" s="39" t="s">
        <v>2933</v>
      </c>
      <c r="AZ566" s="39" t="s">
        <v>2956</v>
      </c>
      <c r="BA566" s="35" t="s">
        <v>2967</v>
      </c>
      <c r="BC566" s="36">
        <f t="shared" si="553"/>
        <v>0</v>
      </c>
      <c r="BD566" s="36">
        <f t="shared" si="554"/>
        <v>0</v>
      </c>
      <c r="BE566" s="36">
        <v>0</v>
      </c>
      <c r="BF566" s="36">
        <f>566</f>
        <v>566</v>
      </c>
      <c r="BH566" s="20">
        <f t="shared" si="555"/>
        <v>0</v>
      </c>
      <c r="BI566" s="20">
        <f t="shared" si="556"/>
        <v>0</v>
      </c>
      <c r="BJ566" s="20">
        <f t="shared" si="557"/>
        <v>0</v>
      </c>
      <c r="BK566" s="20" t="s">
        <v>2978</v>
      </c>
      <c r="BL566" s="36">
        <v>767</v>
      </c>
    </row>
    <row r="567" spans="1:64" x14ac:dyDescent="0.2">
      <c r="A567" s="4" t="s">
        <v>459</v>
      </c>
      <c r="B567" s="13" t="s">
        <v>1386</v>
      </c>
      <c r="C567" s="174" t="s">
        <v>2380</v>
      </c>
      <c r="D567" s="175"/>
      <c r="E567" s="175"/>
      <c r="F567" s="175"/>
      <c r="G567" s="13" t="s">
        <v>2852</v>
      </c>
      <c r="H567" s="82">
        <v>1</v>
      </c>
      <c r="I567" s="109">
        <v>0</v>
      </c>
      <c r="J567" s="20">
        <f t="shared" si="534"/>
        <v>0</v>
      </c>
      <c r="K567" s="20">
        <f t="shared" si="535"/>
        <v>0</v>
      </c>
      <c r="L567" s="20">
        <f t="shared" si="536"/>
        <v>0</v>
      </c>
      <c r="M567" s="31" t="s">
        <v>2884</v>
      </c>
      <c r="N567" s="5"/>
      <c r="Z567" s="36">
        <f t="shared" si="537"/>
        <v>0</v>
      </c>
      <c r="AB567" s="36">
        <f t="shared" si="538"/>
        <v>0</v>
      </c>
      <c r="AC567" s="36">
        <f t="shared" si="539"/>
        <v>0</v>
      </c>
      <c r="AD567" s="36">
        <f t="shared" si="540"/>
        <v>0</v>
      </c>
      <c r="AE567" s="36">
        <f t="shared" si="541"/>
        <v>0</v>
      </c>
      <c r="AF567" s="36">
        <f t="shared" si="542"/>
        <v>0</v>
      </c>
      <c r="AG567" s="36">
        <f t="shared" si="543"/>
        <v>0</v>
      </c>
      <c r="AH567" s="36">
        <f t="shared" si="544"/>
        <v>0</v>
      </c>
      <c r="AI567" s="35" t="s">
        <v>2894</v>
      </c>
      <c r="AJ567" s="20">
        <f t="shared" si="545"/>
        <v>0</v>
      </c>
      <c r="AK567" s="20">
        <f t="shared" si="546"/>
        <v>0</v>
      </c>
      <c r="AL567" s="20">
        <f t="shared" si="547"/>
        <v>0</v>
      </c>
      <c r="AN567" s="36">
        <v>21</v>
      </c>
      <c r="AO567" s="36">
        <f t="shared" si="548"/>
        <v>0</v>
      </c>
      <c r="AP567" s="36">
        <f t="shared" si="549"/>
        <v>0</v>
      </c>
      <c r="AQ567" s="37" t="s">
        <v>13</v>
      </c>
      <c r="AV567" s="36">
        <f t="shared" si="550"/>
        <v>0</v>
      </c>
      <c r="AW567" s="36">
        <f t="shared" si="551"/>
        <v>0</v>
      </c>
      <c r="AX567" s="36">
        <f t="shared" si="552"/>
        <v>0</v>
      </c>
      <c r="AY567" s="39" t="s">
        <v>2933</v>
      </c>
      <c r="AZ567" s="39" t="s">
        <v>2956</v>
      </c>
      <c r="BA567" s="35" t="s">
        <v>2967</v>
      </c>
      <c r="BC567" s="36">
        <f t="shared" si="553"/>
        <v>0</v>
      </c>
      <c r="BD567" s="36">
        <f t="shared" si="554"/>
        <v>0</v>
      </c>
      <c r="BE567" s="36">
        <v>0</v>
      </c>
      <c r="BF567" s="36">
        <f>567</f>
        <v>567</v>
      </c>
      <c r="BH567" s="20">
        <f t="shared" si="555"/>
        <v>0</v>
      </c>
      <c r="BI567" s="20">
        <f t="shared" si="556"/>
        <v>0</v>
      </c>
      <c r="BJ567" s="20">
        <f t="shared" si="557"/>
        <v>0</v>
      </c>
      <c r="BK567" s="20" t="s">
        <v>2978</v>
      </c>
      <c r="BL567" s="36">
        <v>767</v>
      </c>
    </row>
    <row r="568" spans="1:64" x14ac:dyDescent="0.2">
      <c r="A568" s="4" t="s">
        <v>460</v>
      </c>
      <c r="B568" s="13" t="s">
        <v>1387</v>
      </c>
      <c r="C568" s="174" t="s">
        <v>2381</v>
      </c>
      <c r="D568" s="175"/>
      <c r="E568" s="175"/>
      <c r="F568" s="175"/>
      <c r="G568" s="13" t="s">
        <v>2852</v>
      </c>
      <c r="H568" s="82">
        <v>2</v>
      </c>
      <c r="I568" s="109">
        <v>0</v>
      </c>
      <c r="J568" s="20">
        <f t="shared" si="534"/>
        <v>0</v>
      </c>
      <c r="K568" s="20">
        <f t="shared" si="535"/>
        <v>0</v>
      </c>
      <c r="L568" s="20">
        <f t="shared" si="536"/>
        <v>0</v>
      </c>
      <c r="M568" s="31" t="s">
        <v>2884</v>
      </c>
      <c r="N568" s="5"/>
      <c r="Z568" s="36">
        <f t="shared" si="537"/>
        <v>0</v>
      </c>
      <c r="AB568" s="36">
        <f t="shared" si="538"/>
        <v>0</v>
      </c>
      <c r="AC568" s="36">
        <f t="shared" si="539"/>
        <v>0</v>
      </c>
      <c r="AD568" s="36">
        <f t="shared" si="540"/>
        <v>0</v>
      </c>
      <c r="AE568" s="36">
        <f t="shared" si="541"/>
        <v>0</v>
      </c>
      <c r="AF568" s="36">
        <f t="shared" si="542"/>
        <v>0</v>
      </c>
      <c r="AG568" s="36">
        <f t="shared" si="543"/>
        <v>0</v>
      </c>
      <c r="AH568" s="36">
        <f t="shared" si="544"/>
        <v>0</v>
      </c>
      <c r="AI568" s="35" t="s">
        <v>2894</v>
      </c>
      <c r="AJ568" s="20">
        <f t="shared" si="545"/>
        <v>0</v>
      </c>
      <c r="AK568" s="20">
        <f t="shared" si="546"/>
        <v>0</v>
      </c>
      <c r="AL568" s="20">
        <f t="shared" si="547"/>
        <v>0</v>
      </c>
      <c r="AN568" s="36">
        <v>21</v>
      </c>
      <c r="AO568" s="36">
        <f t="shared" si="548"/>
        <v>0</v>
      </c>
      <c r="AP568" s="36">
        <f t="shared" si="549"/>
        <v>0</v>
      </c>
      <c r="AQ568" s="37" t="s">
        <v>13</v>
      </c>
      <c r="AV568" s="36">
        <f t="shared" si="550"/>
        <v>0</v>
      </c>
      <c r="AW568" s="36">
        <f t="shared" si="551"/>
        <v>0</v>
      </c>
      <c r="AX568" s="36">
        <f t="shared" si="552"/>
        <v>0</v>
      </c>
      <c r="AY568" s="39" t="s">
        <v>2933</v>
      </c>
      <c r="AZ568" s="39" t="s">
        <v>2956</v>
      </c>
      <c r="BA568" s="35" t="s">
        <v>2967</v>
      </c>
      <c r="BC568" s="36">
        <f t="shared" si="553"/>
        <v>0</v>
      </c>
      <c r="BD568" s="36">
        <f t="shared" si="554"/>
        <v>0</v>
      </c>
      <c r="BE568" s="36">
        <v>0</v>
      </c>
      <c r="BF568" s="36">
        <f>568</f>
        <v>568</v>
      </c>
      <c r="BH568" s="20">
        <f t="shared" si="555"/>
        <v>0</v>
      </c>
      <c r="BI568" s="20">
        <f t="shared" si="556"/>
        <v>0</v>
      </c>
      <c r="BJ568" s="20">
        <f t="shared" si="557"/>
        <v>0</v>
      </c>
      <c r="BK568" s="20" t="s">
        <v>2978</v>
      </c>
      <c r="BL568" s="36">
        <v>767</v>
      </c>
    </row>
    <row r="569" spans="1:64" x14ac:dyDescent="0.2">
      <c r="A569" s="4" t="s">
        <v>461</v>
      </c>
      <c r="B569" s="13" t="s">
        <v>1388</v>
      </c>
      <c r="C569" s="174" t="s">
        <v>2382</v>
      </c>
      <c r="D569" s="175"/>
      <c r="E569" s="175"/>
      <c r="F569" s="175"/>
      <c r="G569" s="13" t="s">
        <v>2859</v>
      </c>
      <c r="H569" s="82">
        <v>2</v>
      </c>
      <c r="I569" s="109">
        <v>0</v>
      </c>
      <c r="J569" s="20">
        <f t="shared" si="534"/>
        <v>0</v>
      </c>
      <c r="K569" s="20">
        <f t="shared" si="535"/>
        <v>0</v>
      </c>
      <c r="L569" s="20">
        <f t="shared" si="536"/>
        <v>0</v>
      </c>
      <c r="M569" s="31" t="s">
        <v>2884</v>
      </c>
      <c r="N569" s="5"/>
      <c r="Z569" s="36">
        <f t="shared" si="537"/>
        <v>0</v>
      </c>
      <c r="AB569" s="36">
        <f t="shared" si="538"/>
        <v>0</v>
      </c>
      <c r="AC569" s="36">
        <f t="shared" si="539"/>
        <v>0</v>
      </c>
      <c r="AD569" s="36">
        <f t="shared" si="540"/>
        <v>0</v>
      </c>
      <c r="AE569" s="36">
        <f t="shared" si="541"/>
        <v>0</v>
      </c>
      <c r="AF569" s="36">
        <f t="shared" si="542"/>
        <v>0</v>
      </c>
      <c r="AG569" s="36">
        <f t="shared" si="543"/>
        <v>0</v>
      </c>
      <c r="AH569" s="36">
        <f t="shared" si="544"/>
        <v>0</v>
      </c>
      <c r="AI569" s="35" t="s">
        <v>2894</v>
      </c>
      <c r="AJ569" s="20">
        <f t="shared" si="545"/>
        <v>0</v>
      </c>
      <c r="AK569" s="20">
        <f t="shared" si="546"/>
        <v>0</v>
      </c>
      <c r="AL569" s="20">
        <f t="shared" si="547"/>
        <v>0</v>
      </c>
      <c r="AN569" s="36">
        <v>21</v>
      </c>
      <c r="AO569" s="36">
        <f t="shared" si="548"/>
        <v>0</v>
      </c>
      <c r="AP569" s="36">
        <f t="shared" si="549"/>
        <v>0</v>
      </c>
      <c r="AQ569" s="37" t="s">
        <v>13</v>
      </c>
      <c r="AV569" s="36">
        <f t="shared" si="550"/>
        <v>0</v>
      </c>
      <c r="AW569" s="36">
        <f t="shared" si="551"/>
        <v>0</v>
      </c>
      <c r="AX569" s="36">
        <f t="shared" si="552"/>
        <v>0</v>
      </c>
      <c r="AY569" s="39" t="s">
        <v>2933</v>
      </c>
      <c r="AZ569" s="39" t="s">
        <v>2956</v>
      </c>
      <c r="BA569" s="35" t="s">
        <v>2967</v>
      </c>
      <c r="BC569" s="36">
        <f t="shared" si="553"/>
        <v>0</v>
      </c>
      <c r="BD569" s="36">
        <f t="shared" si="554"/>
        <v>0</v>
      </c>
      <c r="BE569" s="36">
        <v>0</v>
      </c>
      <c r="BF569" s="36">
        <f>569</f>
        <v>569</v>
      </c>
      <c r="BH569" s="20">
        <f t="shared" si="555"/>
        <v>0</v>
      </c>
      <c r="BI569" s="20">
        <f t="shared" si="556"/>
        <v>0</v>
      </c>
      <c r="BJ569" s="20">
        <f t="shared" si="557"/>
        <v>0</v>
      </c>
      <c r="BK569" s="20" t="s">
        <v>2978</v>
      </c>
      <c r="BL569" s="36">
        <v>767</v>
      </c>
    </row>
    <row r="570" spans="1:64" x14ac:dyDescent="0.2">
      <c r="A570" s="4" t="s">
        <v>462</v>
      </c>
      <c r="B570" s="13" t="s">
        <v>1389</v>
      </c>
      <c r="C570" s="174" t="s">
        <v>2383</v>
      </c>
      <c r="D570" s="175"/>
      <c r="E570" s="175"/>
      <c r="F570" s="175"/>
      <c r="G570" s="13" t="s">
        <v>2859</v>
      </c>
      <c r="H570" s="82">
        <v>2</v>
      </c>
      <c r="I570" s="109">
        <v>0</v>
      </c>
      <c r="J570" s="20">
        <f t="shared" si="534"/>
        <v>0</v>
      </c>
      <c r="K570" s="20">
        <f t="shared" si="535"/>
        <v>0</v>
      </c>
      <c r="L570" s="20">
        <f t="shared" si="536"/>
        <v>0</v>
      </c>
      <c r="M570" s="31" t="s">
        <v>2884</v>
      </c>
      <c r="N570" s="5"/>
      <c r="Z570" s="36">
        <f t="shared" si="537"/>
        <v>0</v>
      </c>
      <c r="AB570" s="36">
        <f t="shared" si="538"/>
        <v>0</v>
      </c>
      <c r="AC570" s="36">
        <f t="shared" si="539"/>
        <v>0</v>
      </c>
      <c r="AD570" s="36">
        <f t="shared" si="540"/>
        <v>0</v>
      </c>
      <c r="AE570" s="36">
        <f t="shared" si="541"/>
        <v>0</v>
      </c>
      <c r="AF570" s="36">
        <f t="shared" si="542"/>
        <v>0</v>
      </c>
      <c r="AG570" s="36">
        <f t="shared" si="543"/>
        <v>0</v>
      </c>
      <c r="AH570" s="36">
        <f t="shared" si="544"/>
        <v>0</v>
      </c>
      <c r="AI570" s="35" t="s">
        <v>2894</v>
      </c>
      <c r="AJ570" s="20">
        <f t="shared" si="545"/>
        <v>0</v>
      </c>
      <c r="AK570" s="20">
        <f t="shared" si="546"/>
        <v>0</v>
      </c>
      <c r="AL570" s="20">
        <f t="shared" si="547"/>
        <v>0</v>
      </c>
      <c r="AN570" s="36">
        <v>21</v>
      </c>
      <c r="AO570" s="36">
        <f t="shared" si="548"/>
        <v>0</v>
      </c>
      <c r="AP570" s="36">
        <f t="shared" si="549"/>
        <v>0</v>
      </c>
      <c r="AQ570" s="37" t="s">
        <v>13</v>
      </c>
      <c r="AV570" s="36">
        <f t="shared" si="550"/>
        <v>0</v>
      </c>
      <c r="AW570" s="36">
        <f t="shared" si="551"/>
        <v>0</v>
      </c>
      <c r="AX570" s="36">
        <f t="shared" si="552"/>
        <v>0</v>
      </c>
      <c r="AY570" s="39" t="s">
        <v>2933</v>
      </c>
      <c r="AZ570" s="39" t="s">
        <v>2956</v>
      </c>
      <c r="BA570" s="35" t="s">
        <v>2967</v>
      </c>
      <c r="BC570" s="36">
        <f t="shared" si="553"/>
        <v>0</v>
      </c>
      <c r="BD570" s="36">
        <f t="shared" si="554"/>
        <v>0</v>
      </c>
      <c r="BE570" s="36">
        <v>0</v>
      </c>
      <c r="BF570" s="36">
        <f>570</f>
        <v>570</v>
      </c>
      <c r="BH570" s="20">
        <f t="shared" si="555"/>
        <v>0</v>
      </c>
      <c r="BI570" s="20">
        <f t="shared" si="556"/>
        <v>0</v>
      </c>
      <c r="BJ570" s="20">
        <f t="shared" si="557"/>
        <v>0</v>
      </c>
      <c r="BK570" s="20" t="s">
        <v>2978</v>
      </c>
      <c r="BL570" s="36">
        <v>767</v>
      </c>
    </row>
    <row r="571" spans="1:64" x14ac:dyDescent="0.2">
      <c r="A571" s="4" t="s">
        <v>463</v>
      </c>
      <c r="B571" s="13" t="s">
        <v>1390</v>
      </c>
      <c r="C571" s="174" t="s">
        <v>2384</v>
      </c>
      <c r="D571" s="175"/>
      <c r="E571" s="175"/>
      <c r="F571" s="175"/>
      <c r="G571" s="13" t="s">
        <v>2852</v>
      </c>
      <c r="H571" s="82">
        <v>1</v>
      </c>
      <c r="I571" s="109">
        <v>0</v>
      </c>
      <c r="J571" s="20">
        <f t="shared" si="534"/>
        <v>0</v>
      </c>
      <c r="K571" s="20">
        <f t="shared" si="535"/>
        <v>0</v>
      </c>
      <c r="L571" s="20">
        <f t="shared" si="536"/>
        <v>0</v>
      </c>
      <c r="M571" s="31" t="s">
        <v>2884</v>
      </c>
      <c r="N571" s="5"/>
      <c r="Z571" s="36">
        <f t="shared" si="537"/>
        <v>0</v>
      </c>
      <c r="AB571" s="36">
        <f t="shared" si="538"/>
        <v>0</v>
      </c>
      <c r="AC571" s="36">
        <f t="shared" si="539"/>
        <v>0</v>
      </c>
      <c r="AD571" s="36">
        <f t="shared" si="540"/>
        <v>0</v>
      </c>
      <c r="AE571" s="36">
        <f t="shared" si="541"/>
        <v>0</v>
      </c>
      <c r="AF571" s="36">
        <f t="shared" si="542"/>
        <v>0</v>
      </c>
      <c r="AG571" s="36">
        <f t="shared" si="543"/>
        <v>0</v>
      </c>
      <c r="AH571" s="36">
        <f t="shared" si="544"/>
        <v>0</v>
      </c>
      <c r="AI571" s="35" t="s">
        <v>2894</v>
      </c>
      <c r="AJ571" s="20">
        <f t="shared" si="545"/>
        <v>0</v>
      </c>
      <c r="AK571" s="20">
        <f t="shared" si="546"/>
        <v>0</v>
      </c>
      <c r="AL571" s="20">
        <f t="shared" si="547"/>
        <v>0</v>
      </c>
      <c r="AN571" s="36">
        <v>21</v>
      </c>
      <c r="AO571" s="36">
        <f t="shared" si="548"/>
        <v>0</v>
      </c>
      <c r="AP571" s="36">
        <f t="shared" si="549"/>
        <v>0</v>
      </c>
      <c r="AQ571" s="37" t="s">
        <v>13</v>
      </c>
      <c r="AV571" s="36">
        <f t="shared" si="550"/>
        <v>0</v>
      </c>
      <c r="AW571" s="36">
        <f t="shared" si="551"/>
        <v>0</v>
      </c>
      <c r="AX571" s="36">
        <f t="shared" si="552"/>
        <v>0</v>
      </c>
      <c r="AY571" s="39" t="s">
        <v>2933</v>
      </c>
      <c r="AZ571" s="39" t="s">
        <v>2956</v>
      </c>
      <c r="BA571" s="35" t="s">
        <v>2967</v>
      </c>
      <c r="BC571" s="36">
        <f t="shared" si="553"/>
        <v>0</v>
      </c>
      <c r="BD571" s="36">
        <f t="shared" si="554"/>
        <v>0</v>
      </c>
      <c r="BE571" s="36">
        <v>0</v>
      </c>
      <c r="BF571" s="36">
        <f>571</f>
        <v>571</v>
      </c>
      <c r="BH571" s="20">
        <f t="shared" si="555"/>
        <v>0</v>
      </c>
      <c r="BI571" s="20">
        <f t="shared" si="556"/>
        <v>0</v>
      </c>
      <c r="BJ571" s="20">
        <f t="shared" si="557"/>
        <v>0</v>
      </c>
      <c r="BK571" s="20" t="s">
        <v>2978</v>
      </c>
      <c r="BL571" s="36">
        <v>767</v>
      </c>
    </row>
    <row r="572" spans="1:64" x14ac:dyDescent="0.2">
      <c r="A572" s="4" t="s">
        <v>464</v>
      </c>
      <c r="B572" s="13" t="s">
        <v>1391</v>
      </c>
      <c r="C572" s="174" t="s">
        <v>2385</v>
      </c>
      <c r="D572" s="175"/>
      <c r="E572" s="175"/>
      <c r="F572" s="175"/>
      <c r="G572" s="13" t="s">
        <v>2852</v>
      </c>
      <c r="H572" s="82">
        <v>7</v>
      </c>
      <c r="I572" s="109">
        <v>0</v>
      </c>
      <c r="J572" s="20">
        <f t="shared" si="534"/>
        <v>0</v>
      </c>
      <c r="K572" s="20">
        <f t="shared" si="535"/>
        <v>0</v>
      </c>
      <c r="L572" s="20">
        <f t="shared" si="536"/>
        <v>0</v>
      </c>
      <c r="M572" s="31" t="s">
        <v>2884</v>
      </c>
      <c r="N572" s="5"/>
      <c r="Z572" s="36">
        <f t="shared" si="537"/>
        <v>0</v>
      </c>
      <c r="AB572" s="36">
        <f t="shared" si="538"/>
        <v>0</v>
      </c>
      <c r="AC572" s="36">
        <f t="shared" si="539"/>
        <v>0</v>
      </c>
      <c r="AD572" s="36">
        <f t="shared" si="540"/>
        <v>0</v>
      </c>
      <c r="AE572" s="36">
        <f t="shared" si="541"/>
        <v>0</v>
      </c>
      <c r="AF572" s="36">
        <f t="shared" si="542"/>
        <v>0</v>
      </c>
      <c r="AG572" s="36">
        <f t="shared" si="543"/>
        <v>0</v>
      </c>
      <c r="AH572" s="36">
        <f t="shared" si="544"/>
        <v>0</v>
      </c>
      <c r="AI572" s="35" t="s">
        <v>2894</v>
      </c>
      <c r="AJ572" s="20">
        <f t="shared" si="545"/>
        <v>0</v>
      </c>
      <c r="AK572" s="20">
        <f t="shared" si="546"/>
        <v>0</v>
      </c>
      <c r="AL572" s="20">
        <f t="shared" si="547"/>
        <v>0</v>
      </c>
      <c r="AN572" s="36">
        <v>21</v>
      </c>
      <c r="AO572" s="36">
        <f t="shared" si="548"/>
        <v>0</v>
      </c>
      <c r="AP572" s="36">
        <f t="shared" si="549"/>
        <v>0</v>
      </c>
      <c r="AQ572" s="37" t="s">
        <v>13</v>
      </c>
      <c r="AV572" s="36">
        <f t="shared" si="550"/>
        <v>0</v>
      </c>
      <c r="AW572" s="36">
        <f t="shared" si="551"/>
        <v>0</v>
      </c>
      <c r="AX572" s="36">
        <f t="shared" si="552"/>
        <v>0</v>
      </c>
      <c r="AY572" s="39" t="s">
        <v>2933</v>
      </c>
      <c r="AZ572" s="39" t="s">
        <v>2956</v>
      </c>
      <c r="BA572" s="35" t="s">
        <v>2967</v>
      </c>
      <c r="BC572" s="36">
        <f t="shared" si="553"/>
        <v>0</v>
      </c>
      <c r="BD572" s="36">
        <f t="shared" si="554"/>
        <v>0</v>
      </c>
      <c r="BE572" s="36">
        <v>0</v>
      </c>
      <c r="BF572" s="36">
        <f>572</f>
        <v>572</v>
      </c>
      <c r="BH572" s="20">
        <f t="shared" si="555"/>
        <v>0</v>
      </c>
      <c r="BI572" s="20">
        <f t="shared" si="556"/>
        <v>0</v>
      </c>
      <c r="BJ572" s="20">
        <f t="shared" si="557"/>
        <v>0</v>
      </c>
      <c r="BK572" s="20" t="s">
        <v>2978</v>
      </c>
      <c r="BL572" s="36">
        <v>767</v>
      </c>
    </row>
    <row r="573" spans="1:64" x14ac:dyDescent="0.2">
      <c r="A573" s="4" t="s">
        <v>465</v>
      </c>
      <c r="B573" s="13" t="s">
        <v>1392</v>
      </c>
      <c r="C573" s="174" t="s">
        <v>2386</v>
      </c>
      <c r="D573" s="175"/>
      <c r="E573" s="175"/>
      <c r="F573" s="175"/>
      <c r="G573" s="13" t="s">
        <v>2852</v>
      </c>
      <c r="H573" s="82">
        <v>22</v>
      </c>
      <c r="I573" s="109">
        <v>0</v>
      </c>
      <c r="J573" s="20">
        <f t="shared" si="534"/>
        <v>0</v>
      </c>
      <c r="K573" s="20">
        <f t="shared" si="535"/>
        <v>0</v>
      </c>
      <c r="L573" s="20">
        <f t="shared" si="536"/>
        <v>0</v>
      </c>
      <c r="M573" s="31" t="s">
        <v>2884</v>
      </c>
      <c r="N573" s="5"/>
      <c r="Z573" s="36">
        <f t="shared" si="537"/>
        <v>0</v>
      </c>
      <c r="AB573" s="36">
        <f t="shared" si="538"/>
        <v>0</v>
      </c>
      <c r="AC573" s="36">
        <f t="shared" si="539"/>
        <v>0</v>
      </c>
      <c r="AD573" s="36">
        <f t="shared" si="540"/>
        <v>0</v>
      </c>
      <c r="AE573" s="36">
        <f t="shared" si="541"/>
        <v>0</v>
      </c>
      <c r="AF573" s="36">
        <f t="shared" si="542"/>
        <v>0</v>
      </c>
      <c r="AG573" s="36">
        <f t="shared" si="543"/>
        <v>0</v>
      </c>
      <c r="AH573" s="36">
        <f t="shared" si="544"/>
        <v>0</v>
      </c>
      <c r="AI573" s="35" t="s">
        <v>2894</v>
      </c>
      <c r="AJ573" s="20">
        <f t="shared" si="545"/>
        <v>0</v>
      </c>
      <c r="AK573" s="20">
        <f t="shared" si="546"/>
        <v>0</v>
      </c>
      <c r="AL573" s="20">
        <f t="shared" si="547"/>
        <v>0</v>
      </c>
      <c r="AN573" s="36">
        <v>21</v>
      </c>
      <c r="AO573" s="36">
        <f t="shared" si="548"/>
        <v>0</v>
      </c>
      <c r="AP573" s="36">
        <f t="shared" si="549"/>
        <v>0</v>
      </c>
      <c r="AQ573" s="37" t="s">
        <v>13</v>
      </c>
      <c r="AV573" s="36">
        <f t="shared" si="550"/>
        <v>0</v>
      </c>
      <c r="AW573" s="36">
        <f t="shared" si="551"/>
        <v>0</v>
      </c>
      <c r="AX573" s="36">
        <f t="shared" si="552"/>
        <v>0</v>
      </c>
      <c r="AY573" s="39" t="s">
        <v>2933</v>
      </c>
      <c r="AZ573" s="39" t="s">
        <v>2956</v>
      </c>
      <c r="BA573" s="35" t="s">
        <v>2967</v>
      </c>
      <c r="BC573" s="36">
        <f t="shared" si="553"/>
        <v>0</v>
      </c>
      <c r="BD573" s="36">
        <f t="shared" si="554"/>
        <v>0</v>
      </c>
      <c r="BE573" s="36">
        <v>0</v>
      </c>
      <c r="BF573" s="36">
        <f>573</f>
        <v>573</v>
      </c>
      <c r="BH573" s="20">
        <f t="shared" si="555"/>
        <v>0</v>
      </c>
      <c r="BI573" s="20">
        <f t="shared" si="556"/>
        <v>0</v>
      </c>
      <c r="BJ573" s="20">
        <f t="shared" si="557"/>
        <v>0</v>
      </c>
      <c r="BK573" s="20" t="s">
        <v>2978</v>
      </c>
      <c r="BL573" s="36">
        <v>767</v>
      </c>
    </row>
    <row r="574" spans="1:64" x14ac:dyDescent="0.2">
      <c r="A574" s="4" t="s">
        <v>466</v>
      </c>
      <c r="B574" s="13" t="s">
        <v>1393</v>
      </c>
      <c r="C574" s="174" t="s">
        <v>2387</v>
      </c>
      <c r="D574" s="175"/>
      <c r="E574" s="175"/>
      <c r="F574" s="175"/>
      <c r="G574" s="13" t="s">
        <v>2852</v>
      </c>
      <c r="H574" s="82">
        <v>2</v>
      </c>
      <c r="I574" s="109">
        <v>0</v>
      </c>
      <c r="J574" s="20">
        <f t="shared" si="534"/>
        <v>0</v>
      </c>
      <c r="K574" s="20">
        <f t="shared" si="535"/>
        <v>0</v>
      </c>
      <c r="L574" s="20">
        <f t="shared" si="536"/>
        <v>0</v>
      </c>
      <c r="M574" s="31" t="s">
        <v>2884</v>
      </c>
      <c r="N574" s="5"/>
      <c r="Z574" s="36">
        <f t="shared" si="537"/>
        <v>0</v>
      </c>
      <c r="AB574" s="36">
        <f t="shared" si="538"/>
        <v>0</v>
      </c>
      <c r="AC574" s="36">
        <f t="shared" si="539"/>
        <v>0</v>
      </c>
      <c r="AD574" s="36">
        <f t="shared" si="540"/>
        <v>0</v>
      </c>
      <c r="AE574" s="36">
        <f t="shared" si="541"/>
        <v>0</v>
      </c>
      <c r="AF574" s="36">
        <f t="shared" si="542"/>
        <v>0</v>
      </c>
      <c r="AG574" s="36">
        <f t="shared" si="543"/>
        <v>0</v>
      </c>
      <c r="AH574" s="36">
        <f t="shared" si="544"/>
        <v>0</v>
      </c>
      <c r="AI574" s="35" t="s">
        <v>2894</v>
      </c>
      <c r="AJ574" s="20">
        <f t="shared" si="545"/>
        <v>0</v>
      </c>
      <c r="AK574" s="20">
        <f t="shared" si="546"/>
        <v>0</v>
      </c>
      <c r="AL574" s="20">
        <f t="shared" si="547"/>
        <v>0</v>
      </c>
      <c r="AN574" s="36">
        <v>21</v>
      </c>
      <c r="AO574" s="36">
        <f t="shared" si="548"/>
        <v>0</v>
      </c>
      <c r="AP574" s="36">
        <f t="shared" si="549"/>
        <v>0</v>
      </c>
      <c r="AQ574" s="37" t="s">
        <v>13</v>
      </c>
      <c r="AV574" s="36">
        <f t="shared" si="550"/>
        <v>0</v>
      </c>
      <c r="AW574" s="36">
        <f t="shared" si="551"/>
        <v>0</v>
      </c>
      <c r="AX574" s="36">
        <f t="shared" si="552"/>
        <v>0</v>
      </c>
      <c r="AY574" s="39" t="s">
        <v>2933</v>
      </c>
      <c r="AZ574" s="39" t="s">
        <v>2956</v>
      </c>
      <c r="BA574" s="35" t="s">
        <v>2967</v>
      </c>
      <c r="BC574" s="36">
        <f t="shared" si="553"/>
        <v>0</v>
      </c>
      <c r="BD574" s="36">
        <f t="shared" si="554"/>
        <v>0</v>
      </c>
      <c r="BE574" s="36">
        <v>0</v>
      </c>
      <c r="BF574" s="36">
        <f>574</f>
        <v>574</v>
      </c>
      <c r="BH574" s="20">
        <f t="shared" si="555"/>
        <v>0</v>
      </c>
      <c r="BI574" s="20">
        <f t="shared" si="556"/>
        <v>0</v>
      </c>
      <c r="BJ574" s="20">
        <f t="shared" si="557"/>
        <v>0</v>
      </c>
      <c r="BK574" s="20" t="s">
        <v>2978</v>
      </c>
      <c r="BL574" s="36">
        <v>767</v>
      </c>
    </row>
    <row r="575" spans="1:64" x14ac:dyDescent="0.2">
      <c r="A575" s="4" t="s">
        <v>467</v>
      </c>
      <c r="B575" s="13" t="s">
        <v>1394</v>
      </c>
      <c r="C575" s="174" t="s">
        <v>2388</v>
      </c>
      <c r="D575" s="175"/>
      <c r="E575" s="175"/>
      <c r="F575" s="175"/>
      <c r="G575" s="13" t="s">
        <v>2852</v>
      </c>
      <c r="H575" s="82">
        <v>3</v>
      </c>
      <c r="I575" s="109">
        <v>0</v>
      </c>
      <c r="J575" s="20">
        <f t="shared" si="534"/>
        <v>0</v>
      </c>
      <c r="K575" s="20">
        <f t="shared" si="535"/>
        <v>0</v>
      </c>
      <c r="L575" s="20">
        <f t="shared" si="536"/>
        <v>0</v>
      </c>
      <c r="M575" s="31" t="s">
        <v>2884</v>
      </c>
      <c r="N575" s="5"/>
      <c r="Z575" s="36">
        <f t="shared" si="537"/>
        <v>0</v>
      </c>
      <c r="AB575" s="36">
        <f t="shared" si="538"/>
        <v>0</v>
      </c>
      <c r="AC575" s="36">
        <f t="shared" si="539"/>
        <v>0</v>
      </c>
      <c r="AD575" s="36">
        <f t="shared" si="540"/>
        <v>0</v>
      </c>
      <c r="AE575" s="36">
        <f t="shared" si="541"/>
        <v>0</v>
      </c>
      <c r="AF575" s="36">
        <f t="shared" si="542"/>
        <v>0</v>
      </c>
      <c r="AG575" s="36">
        <f t="shared" si="543"/>
        <v>0</v>
      </c>
      <c r="AH575" s="36">
        <f t="shared" si="544"/>
        <v>0</v>
      </c>
      <c r="AI575" s="35" t="s">
        <v>2894</v>
      </c>
      <c r="AJ575" s="20">
        <f t="shared" si="545"/>
        <v>0</v>
      </c>
      <c r="AK575" s="20">
        <f t="shared" si="546"/>
        <v>0</v>
      </c>
      <c r="AL575" s="20">
        <f t="shared" si="547"/>
        <v>0</v>
      </c>
      <c r="AN575" s="36">
        <v>21</v>
      </c>
      <c r="AO575" s="36">
        <f t="shared" si="548"/>
        <v>0</v>
      </c>
      <c r="AP575" s="36">
        <f t="shared" si="549"/>
        <v>0</v>
      </c>
      <c r="AQ575" s="37" t="s">
        <v>13</v>
      </c>
      <c r="AV575" s="36">
        <f t="shared" si="550"/>
        <v>0</v>
      </c>
      <c r="AW575" s="36">
        <f t="shared" si="551"/>
        <v>0</v>
      </c>
      <c r="AX575" s="36">
        <f t="shared" si="552"/>
        <v>0</v>
      </c>
      <c r="AY575" s="39" t="s">
        <v>2933</v>
      </c>
      <c r="AZ575" s="39" t="s">
        <v>2956</v>
      </c>
      <c r="BA575" s="35" t="s">
        <v>2967</v>
      </c>
      <c r="BC575" s="36">
        <f t="shared" si="553"/>
        <v>0</v>
      </c>
      <c r="BD575" s="36">
        <f t="shared" si="554"/>
        <v>0</v>
      </c>
      <c r="BE575" s="36">
        <v>0</v>
      </c>
      <c r="BF575" s="36">
        <f>575</f>
        <v>575</v>
      </c>
      <c r="BH575" s="20">
        <f t="shared" si="555"/>
        <v>0</v>
      </c>
      <c r="BI575" s="20">
        <f t="shared" si="556"/>
        <v>0</v>
      </c>
      <c r="BJ575" s="20">
        <f t="shared" si="557"/>
        <v>0</v>
      </c>
      <c r="BK575" s="20" t="s">
        <v>2978</v>
      </c>
      <c r="BL575" s="36">
        <v>767</v>
      </c>
    </row>
    <row r="576" spans="1:64" x14ac:dyDescent="0.2">
      <c r="A576" s="4" t="s">
        <v>468</v>
      </c>
      <c r="B576" s="13" t="s">
        <v>1395</v>
      </c>
      <c r="C576" s="174" t="s">
        <v>2389</v>
      </c>
      <c r="D576" s="175"/>
      <c r="E576" s="175"/>
      <c r="F576" s="175"/>
      <c r="G576" s="13" t="s">
        <v>2856</v>
      </c>
      <c r="H576" s="82">
        <v>3.875</v>
      </c>
      <c r="I576" s="109">
        <v>0</v>
      </c>
      <c r="J576" s="20">
        <f t="shared" si="534"/>
        <v>0</v>
      </c>
      <c r="K576" s="20">
        <f t="shared" si="535"/>
        <v>0</v>
      </c>
      <c r="L576" s="20">
        <f t="shared" si="536"/>
        <v>0</v>
      </c>
      <c r="M576" s="31" t="s">
        <v>2884</v>
      </c>
      <c r="N576" s="5"/>
      <c r="Z576" s="36">
        <f t="shared" si="537"/>
        <v>0</v>
      </c>
      <c r="AB576" s="36">
        <f t="shared" si="538"/>
        <v>0</v>
      </c>
      <c r="AC576" s="36">
        <f t="shared" si="539"/>
        <v>0</v>
      </c>
      <c r="AD576" s="36">
        <f t="shared" si="540"/>
        <v>0</v>
      </c>
      <c r="AE576" s="36">
        <f t="shared" si="541"/>
        <v>0</v>
      </c>
      <c r="AF576" s="36">
        <f t="shared" si="542"/>
        <v>0</v>
      </c>
      <c r="AG576" s="36">
        <f t="shared" si="543"/>
        <v>0</v>
      </c>
      <c r="AH576" s="36">
        <f t="shared" si="544"/>
        <v>0</v>
      </c>
      <c r="AI576" s="35" t="s">
        <v>2894</v>
      </c>
      <c r="AJ576" s="20">
        <f t="shared" si="545"/>
        <v>0</v>
      </c>
      <c r="AK576" s="20">
        <f t="shared" si="546"/>
        <v>0</v>
      </c>
      <c r="AL576" s="20">
        <f t="shared" si="547"/>
        <v>0</v>
      </c>
      <c r="AN576" s="36">
        <v>21</v>
      </c>
      <c r="AO576" s="36">
        <f>I576*0</f>
        <v>0</v>
      </c>
      <c r="AP576" s="36">
        <f>I576*(1-0)</f>
        <v>0</v>
      </c>
      <c r="AQ576" s="37" t="s">
        <v>11</v>
      </c>
      <c r="AV576" s="36">
        <f t="shared" si="550"/>
        <v>0</v>
      </c>
      <c r="AW576" s="36">
        <f t="shared" si="551"/>
        <v>0</v>
      </c>
      <c r="AX576" s="36">
        <f t="shared" si="552"/>
        <v>0</v>
      </c>
      <c r="AY576" s="39" t="s">
        <v>2933</v>
      </c>
      <c r="AZ576" s="39" t="s">
        <v>2956</v>
      </c>
      <c r="BA576" s="35" t="s">
        <v>2967</v>
      </c>
      <c r="BC576" s="36">
        <f t="shared" si="553"/>
        <v>0</v>
      </c>
      <c r="BD576" s="36">
        <f t="shared" si="554"/>
        <v>0</v>
      </c>
      <c r="BE576" s="36">
        <v>0</v>
      </c>
      <c r="BF576" s="36">
        <f>576</f>
        <v>576</v>
      </c>
      <c r="BH576" s="20">
        <f t="shared" si="555"/>
        <v>0</v>
      </c>
      <c r="BI576" s="20">
        <f t="shared" si="556"/>
        <v>0</v>
      </c>
      <c r="BJ576" s="20">
        <f t="shared" si="557"/>
        <v>0</v>
      </c>
      <c r="BK576" s="20" t="s">
        <v>2978</v>
      </c>
      <c r="BL576" s="36">
        <v>767</v>
      </c>
    </row>
    <row r="577" spans="1:64" x14ac:dyDescent="0.2">
      <c r="A577" s="3"/>
      <c r="B577" s="12" t="s">
        <v>777</v>
      </c>
      <c r="C577" s="172" t="s">
        <v>2390</v>
      </c>
      <c r="D577" s="173"/>
      <c r="E577" s="173"/>
      <c r="F577" s="173"/>
      <c r="G577" s="18" t="s">
        <v>6</v>
      </c>
      <c r="H577" s="18" t="s">
        <v>6</v>
      </c>
      <c r="I577" s="18" t="s">
        <v>6</v>
      </c>
      <c r="J577" s="41">
        <f>SUM(J578:J589)</f>
        <v>0</v>
      </c>
      <c r="K577" s="41">
        <f>SUM(K578:K589)</f>
        <v>0</v>
      </c>
      <c r="L577" s="41">
        <f>SUM(L578:L589)</f>
        <v>0</v>
      </c>
      <c r="M577" s="30"/>
      <c r="N577" s="5"/>
      <c r="AI577" s="35" t="s">
        <v>2894</v>
      </c>
      <c r="AS577" s="41">
        <f>SUM(AJ578:AJ589)</f>
        <v>0</v>
      </c>
      <c r="AT577" s="41">
        <f>SUM(AK578:AK589)</f>
        <v>0</v>
      </c>
      <c r="AU577" s="41">
        <f>SUM(AL578:AL589)</f>
        <v>0</v>
      </c>
    </row>
    <row r="578" spans="1:64" x14ac:dyDescent="0.2">
      <c r="A578" s="4" t="s">
        <v>469</v>
      </c>
      <c r="B578" s="13" t="s">
        <v>1396</v>
      </c>
      <c r="C578" s="174" t="s">
        <v>2391</v>
      </c>
      <c r="D578" s="175"/>
      <c r="E578" s="175"/>
      <c r="F578" s="175"/>
      <c r="G578" s="13" t="s">
        <v>2854</v>
      </c>
      <c r="H578" s="82">
        <v>177.5</v>
      </c>
      <c r="I578" s="109">
        <v>0</v>
      </c>
      <c r="J578" s="20">
        <f t="shared" ref="J578:J589" si="558">H578*AO578</f>
        <v>0</v>
      </c>
      <c r="K578" s="20">
        <f t="shared" ref="K578:K589" si="559">H578*AP578</f>
        <v>0</v>
      </c>
      <c r="L578" s="20">
        <f t="shared" ref="L578:L589" si="560">H578*I578</f>
        <v>0</v>
      </c>
      <c r="M578" s="31" t="s">
        <v>2884</v>
      </c>
      <c r="N578" s="5"/>
      <c r="Z578" s="36">
        <f t="shared" ref="Z578:Z589" si="561">IF(AQ578="5",BJ578,0)</f>
        <v>0</v>
      </c>
      <c r="AB578" s="36">
        <f t="shared" ref="AB578:AB589" si="562">IF(AQ578="1",BH578,0)</f>
        <v>0</v>
      </c>
      <c r="AC578" s="36">
        <f t="shared" ref="AC578:AC589" si="563">IF(AQ578="1",BI578,0)</f>
        <v>0</v>
      </c>
      <c r="AD578" s="36">
        <f t="shared" ref="AD578:AD589" si="564">IF(AQ578="7",BH578,0)</f>
        <v>0</v>
      </c>
      <c r="AE578" s="36">
        <f t="shared" ref="AE578:AE589" si="565">IF(AQ578="7",BI578,0)</f>
        <v>0</v>
      </c>
      <c r="AF578" s="36">
        <f t="shared" ref="AF578:AF589" si="566">IF(AQ578="2",BH578,0)</f>
        <v>0</v>
      </c>
      <c r="AG578" s="36">
        <f t="shared" ref="AG578:AG589" si="567">IF(AQ578="2",BI578,0)</f>
        <v>0</v>
      </c>
      <c r="AH578" s="36">
        <f t="shared" ref="AH578:AH589" si="568">IF(AQ578="0",BJ578,0)</f>
        <v>0</v>
      </c>
      <c r="AI578" s="35" t="s">
        <v>2894</v>
      </c>
      <c r="AJ578" s="20">
        <f t="shared" ref="AJ578:AJ589" si="569">IF(AN578=0,L578,0)</f>
        <v>0</v>
      </c>
      <c r="AK578" s="20">
        <f t="shared" ref="AK578:AK589" si="570">IF(AN578=15,L578,0)</f>
        <v>0</v>
      </c>
      <c r="AL578" s="20">
        <f t="shared" ref="AL578:AL589" si="571">IF(AN578=21,L578,0)</f>
        <v>0</v>
      </c>
      <c r="AN578" s="36">
        <v>21</v>
      </c>
      <c r="AO578" s="36">
        <f>I578*0</f>
        <v>0</v>
      </c>
      <c r="AP578" s="36">
        <f>I578*(1-0)</f>
        <v>0</v>
      </c>
      <c r="AQ578" s="37" t="s">
        <v>13</v>
      </c>
      <c r="AV578" s="36">
        <f t="shared" ref="AV578:AV589" si="572">AW578+AX578</f>
        <v>0</v>
      </c>
      <c r="AW578" s="36">
        <f t="shared" ref="AW578:AW589" si="573">H578*AO578</f>
        <v>0</v>
      </c>
      <c r="AX578" s="36">
        <f t="shared" ref="AX578:AX589" si="574">H578*AP578</f>
        <v>0</v>
      </c>
      <c r="AY578" s="39" t="s">
        <v>2934</v>
      </c>
      <c r="AZ578" s="39" t="s">
        <v>2957</v>
      </c>
      <c r="BA578" s="35" t="s">
        <v>2967</v>
      </c>
      <c r="BC578" s="36">
        <f t="shared" ref="BC578:BC589" si="575">AW578+AX578</f>
        <v>0</v>
      </c>
      <c r="BD578" s="36">
        <f t="shared" ref="BD578:BD589" si="576">I578/(100-BE578)*100</f>
        <v>0</v>
      </c>
      <c r="BE578" s="36">
        <v>0</v>
      </c>
      <c r="BF578" s="36">
        <f>578</f>
        <v>578</v>
      </c>
      <c r="BH578" s="20">
        <f t="shared" ref="BH578:BH589" si="577">H578*AO578</f>
        <v>0</v>
      </c>
      <c r="BI578" s="20">
        <f t="shared" ref="BI578:BI589" si="578">H578*AP578</f>
        <v>0</v>
      </c>
      <c r="BJ578" s="20">
        <f t="shared" ref="BJ578:BJ589" si="579">H578*I578</f>
        <v>0</v>
      </c>
      <c r="BK578" s="20" t="s">
        <v>2978</v>
      </c>
      <c r="BL578" s="36">
        <v>771</v>
      </c>
    </row>
    <row r="579" spans="1:64" x14ac:dyDescent="0.2">
      <c r="A579" s="4" t="s">
        <v>470</v>
      </c>
      <c r="B579" s="13" t="s">
        <v>1397</v>
      </c>
      <c r="C579" s="174" t="s">
        <v>2392</v>
      </c>
      <c r="D579" s="175"/>
      <c r="E579" s="175"/>
      <c r="F579" s="175"/>
      <c r="G579" s="13" t="s">
        <v>2854</v>
      </c>
      <c r="H579" s="82">
        <v>51.890999999999998</v>
      </c>
      <c r="I579" s="109">
        <v>0</v>
      </c>
      <c r="J579" s="20">
        <f t="shared" si="558"/>
        <v>0</v>
      </c>
      <c r="K579" s="20">
        <f t="shared" si="559"/>
        <v>0</v>
      </c>
      <c r="L579" s="20">
        <f t="shared" si="560"/>
        <v>0</v>
      </c>
      <c r="M579" s="31" t="s">
        <v>2884</v>
      </c>
      <c r="N579" s="5"/>
      <c r="Z579" s="36">
        <f t="shared" si="561"/>
        <v>0</v>
      </c>
      <c r="AB579" s="36">
        <f t="shared" si="562"/>
        <v>0</v>
      </c>
      <c r="AC579" s="36">
        <f t="shared" si="563"/>
        <v>0</v>
      </c>
      <c r="AD579" s="36">
        <f t="shared" si="564"/>
        <v>0</v>
      </c>
      <c r="AE579" s="36">
        <f t="shared" si="565"/>
        <v>0</v>
      </c>
      <c r="AF579" s="36">
        <f t="shared" si="566"/>
        <v>0</v>
      </c>
      <c r="AG579" s="36">
        <f t="shared" si="567"/>
        <v>0</v>
      </c>
      <c r="AH579" s="36">
        <f t="shared" si="568"/>
        <v>0</v>
      </c>
      <c r="AI579" s="35" t="s">
        <v>2894</v>
      </c>
      <c r="AJ579" s="20">
        <f t="shared" si="569"/>
        <v>0</v>
      </c>
      <c r="AK579" s="20">
        <f t="shared" si="570"/>
        <v>0</v>
      </c>
      <c r="AL579" s="20">
        <f t="shared" si="571"/>
        <v>0</v>
      </c>
      <c r="AN579" s="36">
        <v>21</v>
      </c>
      <c r="AO579" s="36">
        <f>I579*0</f>
        <v>0</v>
      </c>
      <c r="AP579" s="36">
        <f>I579*(1-0)</f>
        <v>0</v>
      </c>
      <c r="AQ579" s="37" t="s">
        <v>13</v>
      </c>
      <c r="AV579" s="36">
        <f t="shared" si="572"/>
        <v>0</v>
      </c>
      <c r="AW579" s="36">
        <f t="shared" si="573"/>
        <v>0</v>
      </c>
      <c r="AX579" s="36">
        <f t="shared" si="574"/>
        <v>0</v>
      </c>
      <c r="AY579" s="39" t="s">
        <v>2934</v>
      </c>
      <c r="AZ579" s="39" t="s">
        <v>2957</v>
      </c>
      <c r="BA579" s="35" t="s">
        <v>2967</v>
      </c>
      <c r="BC579" s="36">
        <f t="shared" si="575"/>
        <v>0</v>
      </c>
      <c r="BD579" s="36">
        <f t="shared" si="576"/>
        <v>0</v>
      </c>
      <c r="BE579" s="36">
        <v>0</v>
      </c>
      <c r="BF579" s="36">
        <f>579</f>
        <v>579</v>
      </c>
      <c r="BH579" s="20">
        <f t="shared" si="577"/>
        <v>0</v>
      </c>
      <c r="BI579" s="20">
        <f t="shared" si="578"/>
        <v>0</v>
      </c>
      <c r="BJ579" s="20">
        <f t="shared" si="579"/>
        <v>0</v>
      </c>
      <c r="BK579" s="20" t="s">
        <v>2978</v>
      </c>
      <c r="BL579" s="36">
        <v>771</v>
      </c>
    </row>
    <row r="580" spans="1:64" x14ac:dyDescent="0.2">
      <c r="A580" s="4" t="s">
        <v>471</v>
      </c>
      <c r="B580" s="13" t="s">
        <v>1398</v>
      </c>
      <c r="C580" s="174" t="s">
        <v>2393</v>
      </c>
      <c r="D580" s="175"/>
      <c r="E580" s="175"/>
      <c r="F580" s="175"/>
      <c r="G580" s="13" t="s">
        <v>2855</v>
      </c>
      <c r="H580" s="82">
        <v>15.3</v>
      </c>
      <c r="I580" s="109">
        <v>0</v>
      </c>
      <c r="J580" s="20">
        <f t="shared" si="558"/>
        <v>0</v>
      </c>
      <c r="K580" s="20">
        <f t="shared" si="559"/>
        <v>0</v>
      </c>
      <c r="L580" s="20">
        <f t="shared" si="560"/>
        <v>0</v>
      </c>
      <c r="M580" s="31" t="s">
        <v>2884</v>
      </c>
      <c r="N580" s="5"/>
      <c r="Z580" s="36">
        <f t="shared" si="561"/>
        <v>0</v>
      </c>
      <c r="AB580" s="36">
        <f t="shared" si="562"/>
        <v>0</v>
      </c>
      <c r="AC580" s="36">
        <f t="shared" si="563"/>
        <v>0</v>
      </c>
      <c r="AD580" s="36">
        <f t="shared" si="564"/>
        <v>0</v>
      </c>
      <c r="AE580" s="36">
        <f t="shared" si="565"/>
        <v>0</v>
      </c>
      <c r="AF580" s="36">
        <f t="shared" si="566"/>
        <v>0</v>
      </c>
      <c r="AG580" s="36">
        <f t="shared" si="567"/>
        <v>0</v>
      </c>
      <c r="AH580" s="36">
        <f t="shared" si="568"/>
        <v>0</v>
      </c>
      <c r="AI580" s="35" t="s">
        <v>2894</v>
      </c>
      <c r="AJ580" s="20">
        <f t="shared" si="569"/>
        <v>0</v>
      </c>
      <c r="AK580" s="20">
        <f t="shared" si="570"/>
        <v>0</v>
      </c>
      <c r="AL580" s="20">
        <f t="shared" si="571"/>
        <v>0</v>
      </c>
      <c r="AN580" s="36">
        <v>21</v>
      </c>
      <c r="AO580" s="36">
        <f>I580*0</f>
        <v>0</v>
      </c>
      <c r="AP580" s="36">
        <f>I580*(1-0)</f>
        <v>0</v>
      </c>
      <c r="AQ580" s="37" t="s">
        <v>13</v>
      </c>
      <c r="AV580" s="36">
        <f t="shared" si="572"/>
        <v>0</v>
      </c>
      <c r="AW580" s="36">
        <f t="shared" si="573"/>
        <v>0</v>
      </c>
      <c r="AX580" s="36">
        <f t="shared" si="574"/>
        <v>0</v>
      </c>
      <c r="AY580" s="39" t="s">
        <v>2934</v>
      </c>
      <c r="AZ580" s="39" t="s">
        <v>2957</v>
      </c>
      <c r="BA580" s="35" t="s">
        <v>2967</v>
      </c>
      <c r="BC580" s="36">
        <f t="shared" si="575"/>
        <v>0</v>
      </c>
      <c r="BD580" s="36">
        <f t="shared" si="576"/>
        <v>0</v>
      </c>
      <c r="BE580" s="36">
        <v>0</v>
      </c>
      <c r="BF580" s="36">
        <f>580</f>
        <v>580</v>
      </c>
      <c r="BH580" s="20">
        <f t="shared" si="577"/>
        <v>0</v>
      </c>
      <c r="BI580" s="20">
        <f t="shared" si="578"/>
        <v>0</v>
      </c>
      <c r="BJ580" s="20">
        <f t="shared" si="579"/>
        <v>0</v>
      </c>
      <c r="BK580" s="20" t="s">
        <v>2978</v>
      </c>
      <c r="BL580" s="36">
        <v>771</v>
      </c>
    </row>
    <row r="581" spans="1:64" x14ac:dyDescent="0.2">
      <c r="A581" s="6" t="s">
        <v>472</v>
      </c>
      <c r="B581" s="15" t="s">
        <v>1399</v>
      </c>
      <c r="C581" s="182" t="s">
        <v>2394</v>
      </c>
      <c r="D581" s="183"/>
      <c r="E581" s="183"/>
      <c r="F581" s="183"/>
      <c r="G581" s="15" t="s">
        <v>2855</v>
      </c>
      <c r="H581" s="84">
        <v>16.829999999999998</v>
      </c>
      <c r="I581" s="110">
        <v>0</v>
      </c>
      <c r="J581" s="21">
        <f t="shared" si="558"/>
        <v>0</v>
      </c>
      <c r="K581" s="21">
        <f t="shared" si="559"/>
        <v>0</v>
      </c>
      <c r="L581" s="21">
        <f t="shared" si="560"/>
        <v>0</v>
      </c>
      <c r="M581" s="32" t="s">
        <v>2884</v>
      </c>
      <c r="N581" s="5"/>
      <c r="Z581" s="36">
        <f t="shared" si="561"/>
        <v>0</v>
      </c>
      <c r="AB581" s="36">
        <f t="shared" si="562"/>
        <v>0</v>
      </c>
      <c r="AC581" s="36">
        <f t="shared" si="563"/>
        <v>0</v>
      </c>
      <c r="AD581" s="36">
        <f t="shared" si="564"/>
        <v>0</v>
      </c>
      <c r="AE581" s="36">
        <f t="shared" si="565"/>
        <v>0</v>
      </c>
      <c r="AF581" s="36">
        <f t="shared" si="566"/>
        <v>0</v>
      </c>
      <c r="AG581" s="36">
        <f t="shared" si="567"/>
        <v>0</v>
      </c>
      <c r="AH581" s="36">
        <f t="shared" si="568"/>
        <v>0</v>
      </c>
      <c r="AI581" s="35" t="s">
        <v>2894</v>
      </c>
      <c r="AJ581" s="21">
        <f t="shared" si="569"/>
        <v>0</v>
      </c>
      <c r="AK581" s="21">
        <f t="shared" si="570"/>
        <v>0</v>
      </c>
      <c r="AL581" s="21">
        <f t="shared" si="571"/>
        <v>0</v>
      </c>
      <c r="AN581" s="36">
        <v>21</v>
      </c>
      <c r="AO581" s="36">
        <f>I581*1</f>
        <v>0</v>
      </c>
      <c r="AP581" s="36">
        <f>I581*(1-1)</f>
        <v>0</v>
      </c>
      <c r="AQ581" s="38" t="s">
        <v>13</v>
      </c>
      <c r="AV581" s="36">
        <f t="shared" si="572"/>
        <v>0</v>
      </c>
      <c r="AW581" s="36">
        <f t="shared" si="573"/>
        <v>0</v>
      </c>
      <c r="AX581" s="36">
        <f t="shared" si="574"/>
        <v>0</v>
      </c>
      <c r="AY581" s="39" t="s">
        <v>2934</v>
      </c>
      <c r="AZ581" s="39" t="s">
        <v>2957</v>
      </c>
      <c r="BA581" s="35" t="s">
        <v>2967</v>
      </c>
      <c r="BC581" s="36">
        <f t="shared" si="575"/>
        <v>0</v>
      </c>
      <c r="BD581" s="36">
        <f t="shared" si="576"/>
        <v>0</v>
      </c>
      <c r="BE581" s="36">
        <v>0</v>
      </c>
      <c r="BF581" s="36">
        <f>581</f>
        <v>581</v>
      </c>
      <c r="BH581" s="21">
        <f t="shared" si="577"/>
        <v>0</v>
      </c>
      <c r="BI581" s="21">
        <f t="shared" si="578"/>
        <v>0</v>
      </c>
      <c r="BJ581" s="21">
        <f t="shared" si="579"/>
        <v>0</v>
      </c>
      <c r="BK581" s="21" t="s">
        <v>2979</v>
      </c>
      <c r="BL581" s="36">
        <v>771</v>
      </c>
    </row>
    <row r="582" spans="1:64" x14ac:dyDescent="0.2">
      <c r="A582" s="4" t="s">
        <v>473</v>
      </c>
      <c r="B582" s="13" t="s">
        <v>1400</v>
      </c>
      <c r="C582" s="174" t="s">
        <v>2395</v>
      </c>
      <c r="D582" s="175"/>
      <c r="E582" s="175"/>
      <c r="F582" s="175"/>
      <c r="G582" s="13" t="s">
        <v>2855</v>
      </c>
      <c r="H582" s="82">
        <v>108.108</v>
      </c>
      <c r="I582" s="109">
        <v>0</v>
      </c>
      <c r="J582" s="20">
        <f t="shared" si="558"/>
        <v>0</v>
      </c>
      <c r="K582" s="20">
        <f t="shared" si="559"/>
        <v>0</v>
      </c>
      <c r="L582" s="20">
        <f t="shared" si="560"/>
        <v>0</v>
      </c>
      <c r="M582" s="31" t="s">
        <v>2884</v>
      </c>
      <c r="N582" s="5"/>
      <c r="Z582" s="36">
        <f t="shared" si="561"/>
        <v>0</v>
      </c>
      <c r="AB582" s="36">
        <f t="shared" si="562"/>
        <v>0</v>
      </c>
      <c r="AC582" s="36">
        <f t="shared" si="563"/>
        <v>0</v>
      </c>
      <c r="AD582" s="36">
        <f t="shared" si="564"/>
        <v>0</v>
      </c>
      <c r="AE582" s="36">
        <f t="shared" si="565"/>
        <v>0</v>
      </c>
      <c r="AF582" s="36">
        <f t="shared" si="566"/>
        <v>0</v>
      </c>
      <c r="AG582" s="36">
        <f t="shared" si="567"/>
        <v>0</v>
      </c>
      <c r="AH582" s="36">
        <f t="shared" si="568"/>
        <v>0</v>
      </c>
      <c r="AI582" s="35" t="s">
        <v>2894</v>
      </c>
      <c r="AJ582" s="20">
        <f t="shared" si="569"/>
        <v>0</v>
      </c>
      <c r="AK582" s="20">
        <f t="shared" si="570"/>
        <v>0</v>
      </c>
      <c r="AL582" s="20">
        <f t="shared" si="571"/>
        <v>0</v>
      </c>
      <c r="AN582" s="36">
        <v>21</v>
      </c>
      <c r="AO582" s="36">
        <f>I582*0</f>
        <v>0</v>
      </c>
      <c r="AP582" s="36">
        <f>I582*(1-0)</f>
        <v>0</v>
      </c>
      <c r="AQ582" s="37" t="s">
        <v>13</v>
      </c>
      <c r="AV582" s="36">
        <f t="shared" si="572"/>
        <v>0</v>
      </c>
      <c r="AW582" s="36">
        <f t="shared" si="573"/>
        <v>0</v>
      </c>
      <c r="AX582" s="36">
        <f t="shared" si="574"/>
        <v>0</v>
      </c>
      <c r="AY582" s="39" t="s">
        <v>2934</v>
      </c>
      <c r="AZ582" s="39" t="s">
        <v>2957</v>
      </c>
      <c r="BA582" s="35" t="s">
        <v>2967</v>
      </c>
      <c r="BC582" s="36">
        <f t="shared" si="575"/>
        <v>0</v>
      </c>
      <c r="BD582" s="36">
        <f t="shared" si="576"/>
        <v>0</v>
      </c>
      <c r="BE582" s="36">
        <v>0</v>
      </c>
      <c r="BF582" s="36">
        <f>582</f>
        <v>582</v>
      </c>
      <c r="BH582" s="20">
        <f t="shared" si="577"/>
        <v>0</v>
      </c>
      <c r="BI582" s="20">
        <f t="shared" si="578"/>
        <v>0</v>
      </c>
      <c r="BJ582" s="20">
        <f t="shared" si="579"/>
        <v>0</v>
      </c>
      <c r="BK582" s="20" t="s">
        <v>2978</v>
      </c>
      <c r="BL582" s="36">
        <v>771</v>
      </c>
    </row>
    <row r="583" spans="1:64" x14ac:dyDescent="0.2">
      <c r="A583" s="6" t="s">
        <v>474</v>
      </c>
      <c r="B583" s="15" t="s">
        <v>1401</v>
      </c>
      <c r="C583" s="182" t="s">
        <v>2396</v>
      </c>
      <c r="D583" s="183"/>
      <c r="E583" s="183"/>
      <c r="F583" s="183"/>
      <c r="G583" s="15" t="s">
        <v>2852</v>
      </c>
      <c r="H583" s="84">
        <v>378</v>
      </c>
      <c r="I583" s="110">
        <v>0</v>
      </c>
      <c r="J583" s="21">
        <f t="shared" si="558"/>
        <v>0</v>
      </c>
      <c r="K583" s="21">
        <f t="shared" si="559"/>
        <v>0</v>
      </c>
      <c r="L583" s="21">
        <f t="shared" si="560"/>
        <v>0</v>
      </c>
      <c r="M583" s="32" t="s">
        <v>2884</v>
      </c>
      <c r="N583" s="5"/>
      <c r="Z583" s="36">
        <f t="shared" si="561"/>
        <v>0</v>
      </c>
      <c r="AB583" s="36">
        <f t="shared" si="562"/>
        <v>0</v>
      </c>
      <c r="AC583" s="36">
        <f t="shared" si="563"/>
        <v>0</v>
      </c>
      <c r="AD583" s="36">
        <f t="shared" si="564"/>
        <v>0</v>
      </c>
      <c r="AE583" s="36">
        <f t="shared" si="565"/>
        <v>0</v>
      </c>
      <c r="AF583" s="36">
        <f t="shared" si="566"/>
        <v>0</v>
      </c>
      <c r="AG583" s="36">
        <f t="shared" si="567"/>
        <v>0</v>
      </c>
      <c r="AH583" s="36">
        <f t="shared" si="568"/>
        <v>0</v>
      </c>
      <c r="AI583" s="35" t="s">
        <v>2894</v>
      </c>
      <c r="AJ583" s="21">
        <f t="shared" si="569"/>
        <v>0</v>
      </c>
      <c r="AK583" s="21">
        <f t="shared" si="570"/>
        <v>0</v>
      </c>
      <c r="AL583" s="21">
        <f t="shared" si="571"/>
        <v>0</v>
      </c>
      <c r="AN583" s="36">
        <v>21</v>
      </c>
      <c r="AO583" s="36">
        <f>I583*1</f>
        <v>0</v>
      </c>
      <c r="AP583" s="36">
        <f>I583*(1-1)</f>
        <v>0</v>
      </c>
      <c r="AQ583" s="38" t="s">
        <v>13</v>
      </c>
      <c r="AV583" s="36">
        <f t="shared" si="572"/>
        <v>0</v>
      </c>
      <c r="AW583" s="36">
        <f t="shared" si="573"/>
        <v>0</v>
      </c>
      <c r="AX583" s="36">
        <f t="shared" si="574"/>
        <v>0</v>
      </c>
      <c r="AY583" s="39" t="s">
        <v>2934</v>
      </c>
      <c r="AZ583" s="39" t="s">
        <v>2957</v>
      </c>
      <c r="BA583" s="35" t="s">
        <v>2967</v>
      </c>
      <c r="BC583" s="36">
        <f t="shared" si="575"/>
        <v>0</v>
      </c>
      <c r="BD583" s="36">
        <f t="shared" si="576"/>
        <v>0</v>
      </c>
      <c r="BE583" s="36">
        <v>0</v>
      </c>
      <c r="BF583" s="36">
        <f>583</f>
        <v>583</v>
      </c>
      <c r="BH583" s="21">
        <f t="shared" si="577"/>
        <v>0</v>
      </c>
      <c r="BI583" s="21">
        <f t="shared" si="578"/>
        <v>0</v>
      </c>
      <c r="BJ583" s="21">
        <f t="shared" si="579"/>
        <v>0</v>
      </c>
      <c r="BK583" s="21" t="s">
        <v>2979</v>
      </c>
      <c r="BL583" s="36">
        <v>771</v>
      </c>
    </row>
    <row r="584" spans="1:64" x14ac:dyDescent="0.2">
      <c r="A584" s="4" t="s">
        <v>475</v>
      </c>
      <c r="B584" s="13" t="s">
        <v>1402</v>
      </c>
      <c r="C584" s="174" t="s">
        <v>2397</v>
      </c>
      <c r="D584" s="175"/>
      <c r="E584" s="175"/>
      <c r="F584" s="175"/>
      <c r="G584" s="13" t="s">
        <v>2854</v>
      </c>
      <c r="H584" s="82">
        <v>50.7</v>
      </c>
      <c r="I584" s="109">
        <v>0</v>
      </c>
      <c r="J584" s="20">
        <f t="shared" si="558"/>
        <v>0</v>
      </c>
      <c r="K584" s="20">
        <f t="shared" si="559"/>
        <v>0</v>
      </c>
      <c r="L584" s="20">
        <f t="shared" si="560"/>
        <v>0</v>
      </c>
      <c r="M584" s="31" t="s">
        <v>2884</v>
      </c>
      <c r="N584" s="5"/>
      <c r="Z584" s="36">
        <f t="shared" si="561"/>
        <v>0</v>
      </c>
      <c r="AB584" s="36">
        <f t="shared" si="562"/>
        <v>0</v>
      </c>
      <c r="AC584" s="36">
        <f t="shared" si="563"/>
        <v>0</v>
      </c>
      <c r="AD584" s="36">
        <f t="shared" si="564"/>
        <v>0</v>
      </c>
      <c r="AE584" s="36">
        <f t="shared" si="565"/>
        <v>0</v>
      </c>
      <c r="AF584" s="36">
        <f t="shared" si="566"/>
        <v>0</v>
      </c>
      <c r="AG584" s="36">
        <f t="shared" si="567"/>
        <v>0</v>
      </c>
      <c r="AH584" s="36">
        <f t="shared" si="568"/>
        <v>0</v>
      </c>
      <c r="AI584" s="35" t="s">
        <v>2894</v>
      </c>
      <c r="AJ584" s="20">
        <f t="shared" si="569"/>
        <v>0</v>
      </c>
      <c r="AK584" s="20">
        <f t="shared" si="570"/>
        <v>0</v>
      </c>
      <c r="AL584" s="20">
        <f t="shared" si="571"/>
        <v>0</v>
      </c>
      <c r="AN584" s="36">
        <v>21</v>
      </c>
      <c r="AO584" s="36">
        <f>I584*0.208796147672552</f>
        <v>0</v>
      </c>
      <c r="AP584" s="36">
        <f>I584*(1-0.208796147672552)</f>
        <v>0</v>
      </c>
      <c r="AQ584" s="37" t="s">
        <v>13</v>
      </c>
      <c r="AV584" s="36">
        <f t="shared" si="572"/>
        <v>0</v>
      </c>
      <c r="AW584" s="36">
        <f t="shared" si="573"/>
        <v>0</v>
      </c>
      <c r="AX584" s="36">
        <f t="shared" si="574"/>
        <v>0</v>
      </c>
      <c r="AY584" s="39" t="s">
        <v>2934</v>
      </c>
      <c r="AZ584" s="39" t="s">
        <v>2957</v>
      </c>
      <c r="BA584" s="35" t="s">
        <v>2967</v>
      </c>
      <c r="BC584" s="36">
        <f t="shared" si="575"/>
        <v>0</v>
      </c>
      <c r="BD584" s="36">
        <f t="shared" si="576"/>
        <v>0</v>
      </c>
      <c r="BE584" s="36">
        <v>0</v>
      </c>
      <c r="BF584" s="36">
        <f>584</f>
        <v>584</v>
      </c>
      <c r="BH584" s="20">
        <f t="shared" si="577"/>
        <v>0</v>
      </c>
      <c r="BI584" s="20">
        <f t="shared" si="578"/>
        <v>0</v>
      </c>
      <c r="BJ584" s="20">
        <f t="shared" si="579"/>
        <v>0</v>
      </c>
      <c r="BK584" s="20" t="s">
        <v>2978</v>
      </c>
      <c r="BL584" s="36">
        <v>771</v>
      </c>
    </row>
    <row r="585" spans="1:64" x14ac:dyDescent="0.2">
      <c r="A585" s="6" t="s">
        <v>476</v>
      </c>
      <c r="B585" s="15" t="s">
        <v>1403</v>
      </c>
      <c r="C585" s="182" t="s">
        <v>2398</v>
      </c>
      <c r="D585" s="183"/>
      <c r="E585" s="183"/>
      <c r="F585" s="183"/>
      <c r="G585" s="15" t="s">
        <v>2854</v>
      </c>
      <c r="H585" s="84">
        <v>41.055</v>
      </c>
      <c r="I585" s="110">
        <v>0</v>
      </c>
      <c r="J585" s="21">
        <f t="shared" si="558"/>
        <v>0</v>
      </c>
      <c r="K585" s="21">
        <f t="shared" si="559"/>
        <v>0</v>
      </c>
      <c r="L585" s="21">
        <f t="shared" si="560"/>
        <v>0</v>
      </c>
      <c r="M585" s="32" t="s">
        <v>2884</v>
      </c>
      <c r="N585" s="5"/>
      <c r="Z585" s="36">
        <f t="shared" si="561"/>
        <v>0</v>
      </c>
      <c r="AB585" s="36">
        <f t="shared" si="562"/>
        <v>0</v>
      </c>
      <c r="AC585" s="36">
        <f t="shared" si="563"/>
        <v>0</v>
      </c>
      <c r="AD585" s="36">
        <f t="shared" si="564"/>
        <v>0</v>
      </c>
      <c r="AE585" s="36">
        <f t="shared" si="565"/>
        <v>0</v>
      </c>
      <c r="AF585" s="36">
        <f t="shared" si="566"/>
        <v>0</v>
      </c>
      <c r="AG585" s="36">
        <f t="shared" si="567"/>
        <v>0</v>
      </c>
      <c r="AH585" s="36">
        <f t="shared" si="568"/>
        <v>0</v>
      </c>
      <c r="AI585" s="35" t="s">
        <v>2894</v>
      </c>
      <c r="AJ585" s="21">
        <f t="shared" si="569"/>
        <v>0</v>
      </c>
      <c r="AK585" s="21">
        <f t="shared" si="570"/>
        <v>0</v>
      </c>
      <c r="AL585" s="21">
        <f t="shared" si="571"/>
        <v>0</v>
      </c>
      <c r="AN585" s="36">
        <v>21</v>
      </c>
      <c r="AO585" s="36">
        <f>I585*1</f>
        <v>0</v>
      </c>
      <c r="AP585" s="36">
        <f>I585*(1-1)</f>
        <v>0</v>
      </c>
      <c r="AQ585" s="38" t="s">
        <v>13</v>
      </c>
      <c r="AV585" s="36">
        <f t="shared" si="572"/>
        <v>0</v>
      </c>
      <c r="AW585" s="36">
        <f t="shared" si="573"/>
        <v>0</v>
      </c>
      <c r="AX585" s="36">
        <f t="shared" si="574"/>
        <v>0</v>
      </c>
      <c r="AY585" s="39" t="s">
        <v>2934</v>
      </c>
      <c r="AZ585" s="39" t="s">
        <v>2957</v>
      </c>
      <c r="BA585" s="35" t="s">
        <v>2967</v>
      </c>
      <c r="BC585" s="36">
        <f t="shared" si="575"/>
        <v>0</v>
      </c>
      <c r="BD585" s="36">
        <f t="shared" si="576"/>
        <v>0</v>
      </c>
      <c r="BE585" s="36">
        <v>0</v>
      </c>
      <c r="BF585" s="36">
        <f>585</f>
        <v>585</v>
      </c>
      <c r="BH585" s="21">
        <f t="shared" si="577"/>
        <v>0</v>
      </c>
      <c r="BI585" s="21">
        <f t="shared" si="578"/>
        <v>0</v>
      </c>
      <c r="BJ585" s="21">
        <f t="shared" si="579"/>
        <v>0</v>
      </c>
      <c r="BK585" s="21" t="s">
        <v>2979</v>
      </c>
      <c r="BL585" s="36">
        <v>771</v>
      </c>
    </row>
    <row r="586" spans="1:64" x14ac:dyDescent="0.2">
      <c r="A586" s="4" t="s">
        <v>477</v>
      </c>
      <c r="B586" s="13" t="s">
        <v>1402</v>
      </c>
      <c r="C586" s="174" t="s">
        <v>2399</v>
      </c>
      <c r="D586" s="175"/>
      <c r="E586" s="175"/>
      <c r="F586" s="175"/>
      <c r="G586" s="13" t="s">
        <v>2854</v>
      </c>
      <c r="H586" s="82">
        <v>126.8</v>
      </c>
      <c r="I586" s="109">
        <v>0</v>
      </c>
      <c r="J586" s="20">
        <f t="shared" si="558"/>
        <v>0</v>
      </c>
      <c r="K586" s="20">
        <f t="shared" si="559"/>
        <v>0</v>
      </c>
      <c r="L586" s="20">
        <f t="shared" si="560"/>
        <v>0</v>
      </c>
      <c r="M586" s="31" t="s">
        <v>2884</v>
      </c>
      <c r="N586" s="5"/>
      <c r="Z586" s="36">
        <f t="shared" si="561"/>
        <v>0</v>
      </c>
      <c r="AB586" s="36">
        <f t="shared" si="562"/>
        <v>0</v>
      </c>
      <c r="AC586" s="36">
        <f t="shared" si="563"/>
        <v>0</v>
      </c>
      <c r="AD586" s="36">
        <f t="shared" si="564"/>
        <v>0</v>
      </c>
      <c r="AE586" s="36">
        <f t="shared" si="565"/>
        <v>0</v>
      </c>
      <c r="AF586" s="36">
        <f t="shared" si="566"/>
        <v>0</v>
      </c>
      <c r="AG586" s="36">
        <f t="shared" si="567"/>
        <v>0</v>
      </c>
      <c r="AH586" s="36">
        <f t="shared" si="568"/>
        <v>0</v>
      </c>
      <c r="AI586" s="35" t="s">
        <v>2894</v>
      </c>
      <c r="AJ586" s="20">
        <f t="shared" si="569"/>
        <v>0</v>
      </c>
      <c r="AK586" s="20">
        <f t="shared" si="570"/>
        <v>0</v>
      </c>
      <c r="AL586" s="20">
        <f t="shared" si="571"/>
        <v>0</v>
      </c>
      <c r="AN586" s="36">
        <v>21</v>
      </c>
      <c r="AO586" s="36">
        <f>I586*0.208796147672552</f>
        <v>0</v>
      </c>
      <c r="AP586" s="36">
        <f>I586*(1-0.208796147672552)</f>
        <v>0</v>
      </c>
      <c r="AQ586" s="37" t="s">
        <v>13</v>
      </c>
      <c r="AV586" s="36">
        <f t="shared" si="572"/>
        <v>0</v>
      </c>
      <c r="AW586" s="36">
        <f t="shared" si="573"/>
        <v>0</v>
      </c>
      <c r="AX586" s="36">
        <f t="shared" si="574"/>
        <v>0</v>
      </c>
      <c r="AY586" s="39" t="s">
        <v>2934</v>
      </c>
      <c r="AZ586" s="39" t="s">
        <v>2957</v>
      </c>
      <c r="BA586" s="35" t="s">
        <v>2967</v>
      </c>
      <c r="BC586" s="36">
        <f t="shared" si="575"/>
        <v>0</v>
      </c>
      <c r="BD586" s="36">
        <f t="shared" si="576"/>
        <v>0</v>
      </c>
      <c r="BE586" s="36">
        <v>0</v>
      </c>
      <c r="BF586" s="36">
        <f>586</f>
        <v>586</v>
      </c>
      <c r="BH586" s="20">
        <f t="shared" si="577"/>
        <v>0</v>
      </c>
      <c r="BI586" s="20">
        <f t="shared" si="578"/>
        <v>0</v>
      </c>
      <c r="BJ586" s="20">
        <f t="shared" si="579"/>
        <v>0</v>
      </c>
      <c r="BK586" s="20" t="s">
        <v>2978</v>
      </c>
      <c r="BL586" s="36">
        <v>771</v>
      </c>
    </row>
    <row r="587" spans="1:64" x14ac:dyDescent="0.2">
      <c r="A587" s="6" t="s">
        <v>478</v>
      </c>
      <c r="B587" s="15" t="s">
        <v>1403</v>
      </c>
      <c r="C587" s="182" t="s">
        <v>2398</v>
      </c>
      <c r="D587" s="183"/>
      <c r="E587" s="183"/>
      <c r="F587" s="183"/>
      <c r="G587" s="15" t="s">
        <v>2854</v>
      </c>
      <c r="H587" s="84">
        <v>133.13999999999999</v>
      </c>
      <c r="I587" s="110">
        <v>0</v>
      </c>
      <c r="J587" s="21">
        <f t="shared" si="558"/>
        <v>0</v>
      </c>
      <c r="K587" s="21">
        <f t="shared" si="559"/>
        <v>0</v>
      </c>
      <c r="L587" s="21">
        <f t="shared" si="560"/>
        <v>0</v>
      </c>
      <c r="M587" s="32" t="s">
        <v>2884</v>
      </c>
      <c r="N587" s="5"/>
      <c r="Z587" s="36">
        <f t="shared" si="561"/>
        <v>0</v>
      </c>
      <c r="AB587" s="36">
        <f t="shared" si="562"/>
        <v>0</v>
      </c>
      <c r="AC587" s="36">
        <f t="shared" si="563"/>
        <v>0</v>
      </c>
      <c r="AD587" s="36">
        <f t="shared" si="564"/>
        <v>0</v>
      </c>
      <c r="AE587" s="36">
        <f t="shared" si="565"/>
        <v>0</v>
      </c>
      <c r="AF587" s="36">
        <f t="shared" si="566"/>
        <v>0</v>
      </c>
      <c r="AG587" s="36">
        <f t="shared" si="567"/>
        <v>0</v>
      </c>
      <c r="AH587" s="36">
        <f t="shared" si="568"/>
        <v>0</v>
      </c>
      <c r="AI587" s="35" t="s">
        <v>2894</v>
      </c>
      <c r="AJ587" s="21">
        <f t="shared" si="569"/>
        <v>0</v>
      </c>
      <c r="AK587" s="21">
        <f t="shared" si="570"/>
        <v>0</v>
      </c>
      <c r="AL587" s="21">
        <f t="shared" si="571"/>
        <v>0</v>
      </c>
      <c r="AN587" s="36">
        <v>21</v>
      </c>
      <c r="AO587" s="36">
        <f>I587*1</f>
        <v>0</v>
      </c>
      <c r="AP587" s="36">
        <f>I587*(1-1)</f>
        <v>0</v>
      </c>
      <c r="AQ587" s="38" t="s">
        <v>13</v>
      </c>
      <c r="AV587" s="36">
        <f t="shared" si="572"/>
        <v>0</v>
      </c>
      <c r="AW587" s="36">
        <f t="shared" si="573"/>
        <v>0</v>
      </c>
      <c r="AX587" s="36">
        <f t="shared" si="574"/>
        <v>0</v>
      </c>
      <c r="AY587" s="39" t="s">
        <v>2934</v>
      </c>
      <c r="AZ587" s="39" t="s">
        <v>2957</v>
      </c>
      <c r="BA587" s="35" t="s">
        <v>2967</v>
      </c>
      <c r="BC587" s="36">
        <f t="shared" si="575"/>
        <v>0</v>
      </c>
      <c r="BD587" s="36">
        <f t="shared" si="576"/>
        <v>0</v>
      </c>
      <c r="BE587" s="36">
        <v>0</v>
      </c>
      <c r="BF587" s="36">
        <f>587</f>
        <v>587</v>
      </c>
      <c r="BH587" s="21">
        <f t="shared" si="577"/>
        <v>0</v>
      </c>
      <c r="BI587" s="21">
        <f t="shared" si="578"/>
        <v>0</v>
      </c>
      <c r="BJ587" s="21">
        <f t="shared" si="579"/>
        <v>0</v>
      </c>
      <c r="BK587" s="21" t="s">
        <v>2979</v>
      </c>
      <c r="BL587" s="36">
        <v>771</v>
      </c>
    </row>
    <row r="588" spans="1:64" x14ac:dyDescent="0.2">
      <c r="A588" s="4" t="s">
        <v>479</v>
      </c>
      <c r="B588" s="13" t="s">
        <v>1404</v>
      </c>
      <c r="C588" s="174" t="s">
        <v>2400</v>
      </c>
      <c r="D588" s="175"/>
      <c r="E588" s="175"/>
      <c r="F588" s="175"/>
      <c r="G588" s="13" t="s">
        <v>2854</v>
      </c>
      <c r="H588" s="82">
        <v>177.5</v>
      </c>
      <c r="I588" s="109">
        <v>0</v>
      </c>
      <c r="J588" s="20">
        <f t="shared" si="558"/>
        <v>0</v>
      </c>
      <c r="K588" s="20">
        <f t="shared" si="559"/>
        <v>0</v>
      </c>
      <c r="L588" s="20">
        <f t="shared" si="560"/>
        <v>0</v>
      </c>
      <c r="M588" s="31" t="s">
        <v>2884</v>
      </c>
      <c r="N588" s="5"/>
      <c r="Z588" s="36">
        <f t="shared" si="561"/>
        <v>0</v>
      </c>
      <c r="AB588" s="36">
        <f t="shared" si="562"/>
        <v>0</v>
      </c>
      <c r="AC588" s="36">
        <f t="shared" si="563"/>
        <v>0</v>
      </c>
      <c r="AD588" s="36">
        <f t="shared" si="564"/>
        <v>0</v>
      </c>
      <c r="AE588" s="36">
        <f t="shared" si="565"/>
        <v>0</v>
      </c>
      <c r="AF588" s="36">
        <f t="shared" si="566"/>
        <v>0</v>
      </c>
      <c r="AG588" s="36">
        <f t="shared" si="567"/>
        <v>0</v>
      </c>
      <c r="AH588" s="36">
        <f t="shared" si="568"/>
        <v>0</v>
      </c>
      <c r="AI588" s="35" t="s">
        <v>2894</v>
      </c>
      <c r="AJ588" s="20">
        <f t="shared" si="569"/>
        <v>0</v>
      </c>
      <c r="AK588" s="20">
        <f t="shared" si="570"/>
        <v>0</v>
      </c>
      <c r="AL588" s="20">
        <f t="shared" si="571"/>
        <v>0</v>
      </c>
      <c r="AN588" s="36">
        <v>21</v>
      </c>
      <c r="AO588" s="36">
        <f>I588*1</f>
        <v>0</v>
      </c>
      <c r="AP588" s="36">
        <f>I588*(1-1)</f>
        <v>0</v>
      </c>
      <c r="AQ588" s="37" t="s">
        <v>13</v>
      </c>
      <c r="AV588" s="36">
        <f t="shared" si="572"/>
        <v>0</v>
      </c>
      <c r="AW588" s="36">
        <f t="shared" si="573"/>
        <v>0</v>
      </c>
      <c r="AX588" s="36">
        <f t="shared" si="574"/>
        <v>0</v>
      </c>
      <c r="AY588" s="39" t="s">
        <v>2934</v>
      </c>
      <c r="AZ588" s="39" t="s">
        <v>2957</v>
      </c>
      <c r="BA588" s="35" t="s">
        <v>2967</v>
      </c>
      <c r="BC588" s="36">
        <f t="shared" si="575"/>
        <v>0</v>
      </c>
      <c r="BD588" s="36">
        <f t="shared" si="576"/>
        <v>0</v>
      </c>
      <c r="BE588" s="36">
        <v>0</v>
      </c>
      <c r="BF588" s="36">
        <f>588</f>
        <v>588</v>
      </c>
      <c r="BH588" s="20">
        <f t="shared" si="577"/>
        <v>0</v>
      </c>
      <c r="BI588" s="20">
        <f t="shared" si="578"/>
        <v>0</v>
      </c>
      <c r="BJ588" s="20">
        <f t="shared" si="579"/>
        <v>0</v>
      </c>
      <c r="BK588" s="20" t="s">
        <v>2978</v>
      </c>
      <c r="BL588" s="36">
        <v>771</v>
      </c>
    </row>
    <row r="589" spans="1:64" x14ac:dyDescent="0.2">
      <c r="A589" s="4" t="s">
        <v>480</v>
      </c>
      <c r="B589" s="13" t="s">
        <v>1405</v>
      </c>
      <c r="C589" s="174" t="s">
        <v>2401</v>
      </c>
      <c r="D589" s="175"/>
      <c r="E589" s="175"/>
      <c r="F589" s="175"/>
      <c r="G589" s="13" t="s">
        <v>2856</v>
      </c>
      <c r="H589" s="82">
        <v>5.149</v>
      </c>
      <c r="I589" s="109">
        <v>0</v>
      </c>
      <c r="J589" s="20">
        <f t="shared" si="558"/>
        <v>0</v>
      </c>
      <c r="K589" s="20">
        <f t="shared" si="559"/>
        <v>0</v>
      </c>
      <c r="L589" s="20">
        <f t="shared" si="560"/>
        <v>0</v>
      </c>
      <c r="M589" s="31" t="s">
        <v>2884</v>
      </c>
      <c r="N589" s="5"/>
      <c r="Z589" s="36">
        <f t="shared" si="561"/>
        <v>0</v>
      </c>
      <c r="AB589" s="36">
        <f t="shared" si="562"/>
        <v>0</v>
      </c>
      <c r="AC589" s="36">
        <f t="shared" si="563"/>
        <v>0</v>
      </c>
      <c r="AD589" s="36">
        <f t="shared" si="564"/>
        <v>0</v>
      </c>
      <c r="AE589" s="36">
        <f t="shared" si="565"/>
        <v>0</v>
      </c>
      <c r="AF589" s="36">
        <f t="shared" si="566"/>
        <v>0</v>
      </c>
      <c r="AG589" s="36">
        <f t="shared" si="567"/>
        <v>0</v>
      </c>
      <c r="AH589" s="36">
        <f t="shared" si="568"/>
        <v>0</v>
      </c>
      <c r="AI589" s="35" t="s">
        <v>2894</v>
      </c>
      <c r="AJ589" s="20">
        <f t="shared" si="569"/>
        <v>0</v>
      </c>
      <c r="AK589" s="20">
        <f t="shared" si="570"/>
        <v>0</v>
      </c>
      <c r="AL589" s="20">
        <f t="shared" si="571"/>
        <v>0</v>
      </c>
      <c r="AN589" s="36">
        <v>21</v>
      </c>
      <c r="AO589" s="36">
        <f>I589*0</f>
        <v>0</v>
      </c>
      <c r="AP589" s="36">
        <f>I589*(1-0)</f>
        <v>0</v>
      </c>
      <c r="AQ589" s="37" t="s">
        <v>11</v>
      </c>
      <c r="AV589" s="36">
        <f t="shared" si="572"/>
        <v>0</v>
      </c>
      <c r="AW589" s="36">
        <f t="shared" si="573"/>
        <v>0</v>
      </c>
      <c r="AX589" s="36">
        <f t="shared" si="574"/>
        <v>0</v>
      </c>
      <c r="AY589" s="39" t="s">
        <v>2934</v>
      </c>
      <c r="AZ589" s="39" t="s">
        <v>2957</v>
      </c>
      <c r="BA589" s="35" t="s">
        <v>2967</v>
      </c>
      <c r="BC589" s="36">
        <f t="shared" si="575"/>
        <v>0</v>
      </c>
      <c r="BD589" s="36">
        <f t="shared" si="576"/>
        <v>0</v>
      </c>
      <c r="BE589" s="36">
        <v>0</v>
      </c>
      <c r="BF589" s="36">
        <f>589</f>
        <v>589</v>
      </c>
      <c r="BH589" s="20">
        <f t="shared" si="577"/>
        <v>0</v>
      </c>
      <c r="BI589" s="20">
        <f t="shared" si="578"/>
        <v>0</v>
      </c>
      <c r="BJ589" s="20">
        <f t="shared" si="579"/>
        <v>0</v>
      </c>
      <c r="BK589" s="20" t="s">
        <v>2978</v>
      </c>
      <c r="BL589" s="36">
        <v>771</v>
      </c>
    </row>
    <row r="590" spans="1:64" x14ac:dyDescent="0.2">
      <c r="A590" s="3"/>
      <c r="B590" s="12" t="s">
        <v>782</v>
      </c>
      <c r="C590" s="172" t="s">
        <v>2402</v>
      </c>
      <c r="D590" s="173"/>
      <c r="E590" s="173"/>
      <c r="F590" s="173"/>
      <c r="G590" s="18" t="s">
        <v>6</v>
      </c>
      <c r="H590" s="18" t="s">
        <v>6</v>
      </c>
      <c r="I590" s="18" t="s">
        <v>6</v>
      </c>
      <c r="J590" s="41">
        <f>SUM(J591:J597)</f>
        <v>0</v>
      </c>
      <c r="K590" s="41">
        <f>SUM(K591:K597)</f>
        <v>0</v>
      </c>
      <c r="L590" s="41">
        <f>SUM(L591:L597)</f>
        <v>0</v>
      </c>
      <c r="M590" s="30"/>
      <c r="N590" s="5"/>
      <c r="AI590" s="35" t="s">
        <v>2894</v>
      </c>
      <c r="AS590" s="41">
        <f>SUM(AJ591:AJ597)</f>
        <v>0</v>
      </c>
      <c r="AT590" s="41">
        <f>SUM(AK591:AK597)</f>
        <v>0</v>
      </c>
      <c r="AU590" s="41">
        <f>SUM(AL591:AL597)</f>
        <v>0</v>
      </c>
    </row>
    <row r="591" spans="1:64" x14ac:dyDescent="0.2">
      <c r="A591" s="4" t="s">
        <v>481</v>
      </c>
      <c r="B591" s="13" t="s">
        <v>1406</v>
      </c>
      <c r="C591" s="174" t="s">
        <v>2403</v>
      </c>
      <c r="D591" s="175"/>
      <c r="E591" s="175"/>
      <c r="F591" s="175"/>
      <c r="G591" s="13" t="s">
        <v>2854</v>
      </c>
      <c r="H591" s="82">
        <v>322.7</v>
      </c>
      <c r="I591" s="109">
        <v>0</v>
      </c>
      <c r="J591" s="20">
        <f t="shared" ref="J591:J597" si="580">H591*AO591</f>
        <v>0</v>
      </c>
      <c r="K591" s="20">
        <f t="shared" ref="K591:K597" si="581">H591*AP591</f>
        <v>0</v>
      </c>
      <c r="L591" s="20">
        <f t="shared" ref="L591:L597" si="582">H591*I591</f>
        <v>0</v>
      </c>
      <c r="M591" s="31" t="s">
        <v>2884</v>
      </c>
      <c r="N591" s="5"/>
      <c r="Z591" s="36">
        <f t="shared" ref="Z591:Z597" si="583">IF(AQ591="5",BJ591,0)</f>
        <v>0</v>
      </c>
      <c r="AB591" s="36">
        <f t="shared" ref="AB591:AB597" si="584">IF(AQ591="1",BH591,0)</f>
        <v>0</v>
      </c>
      <c r="AC591" s="36">
        <f t="shared" ref="AC591:AC597" si="585">IF(AQ591="1",BI591,0)</f>
        <v>0</v>
      </c>
      <c r="AD591" s="36">
        <f t="shared" ref="AD591:AD597" si="586">IF(AQ591="7",BH591,0)</f>
        <v>0</v>
      </c>
      <c r="AE591" s="36">
        <f t="shared" ref="AE591:AE597" si="587">IF(AQ591="7",BI591,0)</f>
        <v>0</v>
      </c>
      <c r="AF591" s="36">
        <f t="shared" ref="AF591:AF597" si="588">IF(AQ591="2",BH591,0)</f>
        <v>0</v>
      </c>
      <c r="AG591" s="36">
        <f t="shared" ref="AG591:AG597" si="589">IF(AQ591="2",BI591,0)</f>
        <v>0</v>
      </c>
      <c r="AH591" s="36">
        <f t="shared" ref="AH591:AH597" si="590">IF(AQ591="0",BJ591,0)</f>
        <v>0</v>
      </c>
      <c r="AI591" s="35" t="s">
        <v>2894</v>
      </c>
      <c r="AJ591" s="20">
        <f t="shared" ref="AJ591:AJ597" si="591">IF(AN591=0,L591,0)</f>
        <v>0</v>
      </c>
      <c r="AK591" s="20">
        <f t="shared" ref="AK591:AK597" si="592">IF(AN591=15,L591,0)</f>
        <v>0</v>
      </c>
      <c r="AL591" s="20">
        <f t="shared" ref="AL591:AL597" si="593">IF(AN591=21,L591,0)</f>
        <v>0</v>
      </c>
      <c r="AN591" s="36">
        <v>21</v>
      </c>
      <c r="AO591" s="36">
        <f>I591*0</f>
        <v>0</v>
      </c>
      <c r="AP591" s="36">
        <f>I591*(1-0)</f>
        <v>0</v>
      </c>
      <c r="AQ591" s="37" t="s">
        <v>13</v>
      </c>
      <c r="AV591" s="36">
        <f t="shared" ref="AV591:AV597" si="594">AW591+AX591</f>
        <v>0</v>
      </c>
      <c r="AW591" s="36">
        <f t="shared" ref="AW591:AW597" si="595">H591*AO591</f>
        <v>0</v>
      </c>
      <c r="AX591" s="36">
        <f t="shared" ref="AX591:AX597" si="596">H591*AP591</f>
        <v>0</v>
      </c>
      <c r="AY591" s="39" t="s">
        <v>2935</v>
      </c>
      <c r="AZ591" s="39" t="s">
        <v>2957</v>
      </c>
      <c r="BA591" s="35" t="s">
        <v>2967</v>
      </c>
      <c r="BC591" s="36">
        <f t="shared" ref="BC591:BC597" si="597">AW591+AX591</f>
        <v>0</v>
      </c>
      <c r="BD591" s="36">
        <f t="shared" ref="BD591:BD597" si="598">I591/(100-BE591)*100</f>
        <v>0</v>
      </c>
      <c r="BE591" s="36">
        <v>0</v>
      </c>
      <c r="BF591" s="36">
        <f>591</f>
        <v>591</v>
      </c>
      <c r="BH591" s="20">
        <f t="shared" ref="BH591:BH597" si="599">H591*AO591</f>
        <v>0</v>
      </c>
      <c r="BI591" s="20">
        <f t="shared" ref="BI591:BI597" si="600">H591*AP591</f>
        <v>0</v>
      </c>
      <c r="BJ591" s="20">
        <f t="shared" ref="BJ591:BJ597" si="601">H591*I591</f>
        <v>0</v>
      </c>
      <c r="BK591" s="20" t="s">
        <v>2978</v>
      </c>
      <c r="BL591" s="36">
        <v>776</v>
      </c>
    </row>
    <row r="592" spans="1:64" x14ac:dyDescent="0.2">
      <c r="A592" s="4" t="s">
        <v>482</v>
      </c>
      <c r="B592" s="13" t="s">
        <v>1407</v>
      </c>
      <c r="C592" s="174" t="s">
        <v>2404</v>
      </c>
      <c r="D592" s="175"/>
      <c r="E592" s="175"/>
      <c r="F592" s="175"/>
      <c r="G592" s="13" t="s">
        <v>2854</v>
      </c>
      <c r="H592" s="82">
        <v>322.7</v>
      </c>
      <c r="I592" s="109">
        <v>0</v>
      </c>
      <c r="J592" s="20">
        <f t="shared" si="580"/>
        <v>0</v>
      </c>
      <c r="K592" s="20">
        <f t="shared" si="581"/>
        <v>0</v>
      </c>
      <c r="L592" s="20">
        <f t="shared" si="582"/>
        <v>0</v>
      </c>
      <c r="M592" s="31" t="s">
        <v>2884</v>
      </c>
      <c r="N592" s="5"/>
      <c r="Z592" s="36">
        <f t="shared" si="583"/>
        <v>0</v>
      </c>
      <c r="AB592" s="36">
        <f t="shared" si="584"/>
        <v>0</v>
      </c>
      <c r="AC592" s="36">
        <f t="shared" si="585"/>
        <v>0</v>
      </c>
      <c r="AD592" s="36">
        <f t="shared" si="586"/>
        <v>0</v>
      </c>
      <c r="AE592" s="36">
        <f t="shared" si="587"/>
        <v>0</v>
      </c>
      <c r="AF592" s="36">
        <f t="shared" si="588"/>
        <v>0</v>
      </c>
      <c r="AG592" s="36">
        <f t="shared" si="589"/>
        <v>0</v>
      </c>
      <c r="AH592" s="36">
        <f t="shared" si="590"/>
        <v>0</v>
      </c>
      <c r="AI592" s="35" t="s">
        <v>2894</v>
      </c>
      <c r="AJ592" s="20">
        <f t="shared" si="591"/>
        <v>0</v>
      </c>
      <c r="AK592" s="20">
        <f t="shared" si="592"/>
        <v>0</v>
      </c>
      <c r="AL592" s="20">
        <f t="shared" si="593"/>
        <v>0</v>
      </c>
      <c r="AN592" s="36">
        <v>21</v>
      </c>
      <c r="AO592" s="36">
        <f>I592*0</f>
        <v>0</v>
      </c>
      <c r="AP592" s="36">
        <f>I592*(1-0)</f>
        <v>0</v>
      </c>
      <c r="AQ592" s="37" t="s">
        <v>13</v>
      </c>
      <c r="AV592" s="36">
        <f t="shared" si="594"/>
        <v>0</v>
      </c>
      <c r="AW592" s="36">
        <f t="shared" si="595"/>
        <v>0</v>
      </c>
      <c r="AX592" s="36">
        <f t="shared" si="596"/>
        <v>0</v>
      </c>
      <c r="AY592" s="39" t="s">
        <v>2935</v>
      </c>
      <c r="AZ592" s="39" t="s">
        <v>2957</v>
      </c>
      <c r="BA592" s="35" t="s">
        <v>2967</v>
      </c>
      <c r="BC592" s="36">
        <f t="shared" si="597"/>
        <v>0</v>
      </c>
      <c r="BD592" s="36">
        <f t="shared" si="598"/>
        <v>0</v>
      </c>
      <c r="BE592" s="36">
        <v>0</v>
      </c>
      <c r="BF592" s="36">
        <f>592</f>
        <v>592</v>
      </c>
      <c r="BH592" s="20">
        <f t="shared" si="599"/>
        <v>0</v>
      </c>
      <c r="BI592" s="20">
        <f t="shared" si="600"/>
        <v>0</v>
      </c>
      <c r="BJ592" s="20">
        <f t="shared" si="601"/>
        <v>0</v>
      </c>
      <c r="BK592" s="20" t="s">
        <v>2978</v>
      </c>
      <c r="BL592" s="36">
        <v>776</v>
      </c>
    </row>
    <row r="593" spans="1:64" x14ac:dyDescent="0.2">
      <c r="A593" s="4" t="s">
        <v>483</v>
      </c>
      <c r="B593" s="13" t="s">
        <v>1408</v>
      </c>
      <c r="C593" s="174" t="s">
        <v>2405</v>
      </c>
      <c r="D593" s="175"/>
      <c r="E593" s="175"/>
      <c r="F593" s="175"/>
      <c r="G593" s="13" t="s">
        <v>2855</v>
      </c>
      <c r="H593" s="82">
        <v>182.39</v>
      </c>
      <c r="I593" s="109">
        <v>0</v>
      </c>
      <c r="J593" s="20">
        <f t="shared" si="580"/>
        <v>0</v>
      </c>
      <c r="K593" s="20">
        <f t="shared" si="581"/>
        <v>0</v>
      </c>
      <c r="L593" s="20">
        <f t="shared" si="582"/>
        <v>0</v>
      </c>
      <c r="M593" s="31" t="s">
        <v>2884</v>
      </c>
      <c r="N593" s="5"/>
      <c r="Z593" s="36">
        <f t="shared" si="583"/>
        <v>0</v>
      </c>
      <c r="AB593" s="36">
        <f t="shared" si="584"/>
        <v>0</v>
      </c>
      <c r="AC593" s="36">
        <f t="shared" si="585"/>
        <v>0</v>
      </c>
      <c r="AD593" s="36">
        <f t="shared" si="586"/>
        <v>0</v>
      </c>
      <c r="AE593" s="36">
        <f t="shared" si="587"/>
        <v>0</v>
      </c>
      <c r="AF593" s="36">
        <f t="shared" si="588"/>
        <v>0</v>
      </c>
      <c r="AG593" s="36">
        <f t="shared" si="589"/>
        <v>0</v>
      </c>
      <c r="AH593" s="36">
        <f t="shared" si="590"/>
        <v>0</v>
      </c>
      <c r="AI593" s="35" t="s">
        <v>2894</v>
      </c>
      <c r="AJ593" s="20">
        <f t="shared" si="591"/>
        <v>0</v>
      </c>
      <c r="AK593" s="20">
        <f t="shared" si="592"/>
        <v>0</v>
      </c>
      <c r="AL593" s="20">
        <f t="shared" si="593"/>
        <v>0</v>
      </c>
      <c r="AN593" s="36">
        <v>21</v>
      </c>
      <c r="AO593" s="36">
        <f>I593*0.117842111151512</f>
        <v>0</v>
      </c>
      <c r="AP593" s="36">
        <f>I593*(1-0.117842111151512)</f>
        <v>0</v>
      </c>
      <c r="AQ593" s="37" t="s">
        <v>13</v>
      </c>
      <c r="AV593" s="36">
        <f t="shared" si="594"/>
        <v>0</v>
      </c>
      <c r="AW593" s="36">
        <f t="shared" si="595"/>
        <v>0</v>
      </c>
      <c r="AX593" s="36">
        <f t="shared" si="596"/>
        <v>0</v>
      </c>
      <c r="AY593" s="39" t="s">
        <v>2935</v>
      </c>
      <c r="AZ593" s="39" t="s">
        <v>2957</v>
      </c>
      <c r="BA593" s="35" t="s">
        <v>2967</v>
      </c>
      <c r="BC593" s="36">
        <f t="shared" si="597"/>
        <v>0</v>
      </c>
      <c r="BD593" s="36">
        <f t="shared" si="598"/>
        <v>0</v>
      </c>
      <c r="BE593" s="36">
        <v>0</v>
      </c>
      <c r="BF593" s="36">
        <f>593</f>
        <v>593</v>
      </c>
      <c r="BH593" s="20">
        <f t="shared" si="599"/>
        <v>0</v>
      </c>
      <c r="BI593" s="20">
        <f t="shared" si="600"/>
        <v>0</v>
      </c>
      <c r="BJ593" s="20">
        <f t="shared" si="601"/>
        <v>0</v>
      </c>
      <c r="BK593" s="20" t="s">
        <v>2978</v>
      </c>
      <c r="BL593" s="36">
        <v>776</v>
      </c>
    </row>
    <row r="594" spans="1:64" x14ac:dyDescent="0.2">
      <c r="A594" s="6" t="s">
        <v>484</v>
      </c>
      <c r="B594" s="15" t="s">
        <v>1409</v>
      </c>
      <c r="C594" s="182" t="s">
        <v>2406</v>
      </c>
      <c r="D594" s="183"/>
      <c r="E594" s="183"/>
      <c r="F594" s="183"/>
      <c r="G594" s="15" t="s">
        <v>2855</v>
      </c>
      <c r="H594" s="84">
        <v>191.51</v>
      </c>
      <c r="I594" s="110">
        <v>0</v>
      </c>
      <c r="J594" s="21">
        <f t="shared" si="580"/>
        <v>0</v>
      </c>
      <c r="K594" s="21">
        <f t="shared" si="581"/>
        <v>0</v>
      </c>
      <c r="L594" s="21">
        <f t="shared" si="582"/>
        <v>0</v>
      </c>
      <c r="M594" s="32" t="s">
        <v>2884</v>
      </c>
      <c r="N594" s="5"/>
      <c r="Z594" s="36">
        <f t="shared" si="583"/>
        <v>0</v>
      </c>
      <c r="AB594" s="36">
        <f t="shared" si="584"/>
        <v>0</v>
      </c>
      <c r="AC594" s="36">
        <f t="shared" si="585"/>
        <v>0</v>
      </c>
      <c r="AD594" s="36">
        <f t="shared" si="586"/>
        <v>0</v>
      </c>
      <c r="AE594" s="36">
        <f t="shared" si="587"/>
        <v>0</v>
      </c>
      <c r="AF594" s="36">
        <f t="shared" si="588"/>
        <v>0</v>
      </c>
      <c r="AG594" s="36">
        <f t="shared" si="589"/>
        <v>0</v>
      </c>
      <c r="AH594" s="36">
        <f t="shared" si="590"/>
        <v>0</v>
      </c>
      <c r="AI594" s="35" t="s">
        <v>2894</v>
      </c>
      <c r="AJ594" s="21">
        <f t="shared" si="591"/>
        <v>0</v>
      </c>
      <c r="AK594" s="21">
        <f t="shared" si="592"/>
        <v>0</v>
      </c>
      <c r="AL594" s="21">
        <f t="shared" si="593"/>
        <v>0</v>
      </c>
      <c r="AN594" s="36">
        <v>21</v>
      </c>
      <c r="AO594" s="36">
        <f>I594*1</f>
        <v>0</v>
      </c>
      <c r="AP594" s="36">
        <f>I594*(1-1)</f>
        <v>0</v>
      </c>
      <c r="AQ594" s="38" t="s">
        <v>13</v>
      </c>
      <c r="AV594" s="36">
        <f t="shared" si="594"/>
        <v>0</v>
      </c>
      <c r="AW594" s="36">
        <f t="shared" si="595"/>
        <v>0</v>
      </c>
      <c r="AX594" s="36">
        <f t="shared" si="596"/>
        <v>0</v>
      </c>
      <c r="AY594" s="39" t="s">
        <v>2935</v>
      </c>
      <c r="AZ594" s="39" t="s">
        <v>2957</v>
      </c>
      <c r="BA594" s="35" t="s">
        <v>2967</v>
      </c>
      <c r="BC594" s="36">
        <f t="shared" si="597"/>
        <v>0</v>
      </c>
      <c r="BD594" s="36">
        <f t="shared" si="598"/>
        <v>0</v>
      </c>
      <c r="BE594" s="36">
        <v>0</v>
      </c>
      <c r="BF594" s="36">
        <f>594</f>
        <v>594</v>
      </c>
      <c r="BH594" s="21">
        <f t="shared" si="599"/>
        <v>0</v>
      </c>
      <c r="BI594" s="21">
        <f t="shared" si="600"/>
        <v>0</v>
      </c>
      <c r="BJ594" s="21">
        <f t="shared" si="601"/>
        <v>0</v>
      </c>
      <c r="BK594" s="21" t="s">
        <v>2979</v>
      </c>
      <c r="BL594" s="36">
        <v>776</v>
      </c>
    </row>
    <row r="595" spans="1:64" x14ac:dyDescent="0.2">
      <c r="A595" s="4" t="s">
        <v>485</v>
      </c>
      <c r="B595" s="13" t="s">
        <v>1410</v>
      </c>
      <c r="C595" s="174" t="s">
        <v>2407</v>
      </c>
      <c r="D595" s="175"/>
      <c r="E595" s="175"/>
      <c r="F595" s="175"/>
      <c r="G595" s="13" t="s">
        <v>2854</v>
      </c>
      <c r="H595" s="82">
        <v>322.7</v>
      </c>
      <c r="I595" s="109">
        <v>0</v>
      </c>
      <c r="J595" s="20">
        <f t="shared" si="580"/>
        <v>0</v>
      </c>
      <c r="K595" s="20">
        <f t="shared" si="581"/>
        <v>0</v>
      </c>
      <c r="L595" s="20">
        <f t="shared" si="582"/>
        <v>0</v>
      </c>
      <c r="M595" s="31" t="s">
        <v>2884</v>
      </c>
      <c r="N595" s="5"/>
      <c r="Z595" s="36">
        <f t="shared" si="583"/>
        <v>0</v>
      </c>
      <c r="AB595" s="36">
        <f t="shared" si="584"/>
        <v>0</v>
      </c>
      <c r="AC595" s="36">
        <f t="shared" si="585"/>
        <v>0</v>
      </c>
      <c r="AD595" s="36">
        <f t="shared" si="586"/>
        <v>0</v>
      </c>
      <c r="AE595" s="36">
        <f t="shared" si="587"/>
        <v>0</v>
      </c>
      <c r="AF595" s="36">
        <f t="shared" si="588"/>
        <v>0</v>
      </c>
      <c r="AG595" s="36">
        <f t="shared" si="589"/>
        <v>0</v>
      </c>
      <c r="AH595" s="36">
        <f t="shared" si="590"/>
        <v>0</v>
      </c>
      <c r="AI595" s="35" t="s">
        <v>2894</v>
      </c>
      <c r="AJ595" s="20">
        <f t="shared" si="591"/>
        <v>0</v>
      </c>
      <c r="AK595" s="20">
        <f t="shared" si="592"/>
        <v>0</v>
      </c>
      <c r="AL595" s="20">
        <f t="shared" si="593"/>
        <v>0</v>
      </c>
      <c r="AN595" s="36">
        <v>21</v>
      </c>
      <c r="AO595" s="36">
        <f>I595*0.169898917868348</f>
        <v>0</v>
      </c>
      <c r="AP595" s="36">
        <f>I595*(1-0.169898917868348)</f>
        <v>0</v>
      </c>
      <c r="AQ595" s="37" t="s">
        <v>13</v>
      </c>
      <c r="AV595" s="36">
        <f t="shared" si="594"/>
        <v>0</v>
      </c>
      <c r="AW595" s="36">
        <f t="shared" si="595"/>
        <v>0</v>
      </c>
      <c r="AX595" s="36">
        <f t="shared" si="596"/>
        <v>0</v>
      </c>
      <c r="AY595" s="39" t="s">
        <v>2935</v>
      </c>
      <c r="AZ595" s="39" t="s">
        <v>2957</v>
      </c>
      <c r="BA595" s="35" t="s">
        <v>2967</v>
      </c>
      <c r="BC595" s="36">
        <f t="shared" si="597"/>
        <v>0</v>
      </c>
      <c r="BD595" s="36">
        <f t="shared" si="598"/>
        <v>0</v>
      </c>
      <c r="BE595" s="36">
        <v>0</v>
      </c>
      <c r="BF595" s="36">
        <f>595</f>
        <v>595</v>
      </c>
      <c r="BH595" s="20">
        <f t="shared" si="599"/>
        <v>0</v>
      </c>
      <c r="BI595" s="20">
        <f t="shared" si="600"/>
        <v>0</v>
      </c>
      <c r="BJ595" s="20">
        <f t="shared" si="601"/>
        <v>0</v>
      </c>
      <c r="BK595" s="20" t="s">
        <v>2978</v>
      </c>
      <c r="BL595" s="36">
        <v>776</v>
      </c>
    </row>
    <row r="596" spans="1:64" x14ac:dyDescent="0.2">
      <c r="A596" s="6" t="s">
        <v>486</v>
      </c>
      <c r="B596" s="15" t="s">
        <v>1411</v>
      </c>
      <c r="C596" s="182" t="s">
        <v>2408</v>
      </c>
      <c r="D596" s="183"/>
      <c r="E596" s="183"/>
      <c r="F596" s="183"/>
      <c r="G596" s="15" t="s">
        <v>2854</v>
      </c>
      <c r="H596" s="84">
        <v>354.97</v>
      </c>
      <c r="I596" s="110">
        <v>0</v>
      </c>
      <c r="J596" s="21">
        <f t="shared" si="580"/>
        <v>0</v>
      </c>
      <c r="K596" s="21">
        <f t="shared" si="581"/>
        <v>0</v>
      </c>
      <c r="L596" s="21">
        <f t="shared" si="582"/>
        <v>0</v>
      </c>
      <c r="M596" s="32" t="s">
        <v>2884</v>
      </c>
      <c r="N596" s="5"/>
      <c r="Z596" s="36">
        <f t="shared" si="583"/>
        <v>0</v>
      </c>
      <c r="AB596" s="36">
        <f t="shared" si="584"/>
        <v>0</v>
      </c>
      <c r="AC596" s="36">
        <f t="shared" si="585"/>
        <v>0</v>
      </c>
      <c r="AD596" s="36">
        <f t="shared" si="586"/>
        <v>0</v>
      </c>
      <c r="AE596" s="36">
        <f t="shared" si="587"/>
        <v>0</v>
      </c>
      <c r="AF596" s="36">
        <f t="shared" si="588"/>
        <v>0</v>
      </c>
      <c r="AG596" s="36">
        <f t="shared" si="589"/>
        <v>0</v>
      </c>
      <c r="AH596" s="36">
        <f t="shared" si="590"/>
        <v>0</v>
      </c>
      <c r="AI596" s="35" t="s">
        <v>2894</v>
      </c>
      <c r="AJ596" s="21">
        <f t="shared" si="591"/>
        <v>0</v>
      </c>
      <c r="AK596" s="21">
        <f t="shared" si="592"/>
        <v>0</v>
      </c>
      <c r="AL596" s="21">
        <f t="shared" si="593"/>
        <v>0</v>
      </c>
      <c r="AN596" s="36">
        <v>21</v>
      </c>
      <c r="AO596" s="36">
        <f>I596*1</f>
        <v>0</v>
      </c>
      <c r="AP596" s="36">
        <f>I596*(1-1)</f>
        <v>0</v>
      </c>
      <c r="AQ596" s="38" t="s">
        <v>13</v>
      </c>
      <c r="AV596" s="36">
        <f t="shared" si="594"/>
        <v>0</v>
      </c>
      <c r="AW596" s="36">
        <f t="shared" si="595"/>
        <v>0</v>
      </c>
      <c r="AX596" s="36">
        <f t="shared" si="596"/>
        <v>0</v>
      </c>
      <c r="AY596" s="39" t="s">
        <v>2935</v>
      </c>
      <c r="AZ596" s="39" t="s">
        <v>2957</v>
      </c>
      <c r="BA596" s="35" t="s">
        <v>2967</v>
      </c>
      <c r="BC596" s="36">
        <f t="shared" si="597"/>
        <v>0</v>
      </c>
      <c r="BD596" s="36">
        <f t="shared" si="598"/>
        <v>0</v>
      </c>
      <c r="BE596" s="36">
        <v>0</v>
      </c>
      <c r="BF596" s="36">
        <f>596</f>
        <v>596</v>
      </c>
      <c r="BH596" s="21">
        <f t="shared" si="599"/>
        <v>0</v>
      </c>
      <c r="BI596" s="21">
        <f t="shared" si="600"/>
        <v>0</v>
      </c>
      <c r="BJ596" s="21">
        <f t="shared" si="601"/>
        <v>0</v>
      </c>
      <c r="BK596" s="21" t="s">
        <v>2979</v>
      </c>
      <c r="BL596" s="36">
        <v>776</v>
      </c>
    </row>
    <row r="597" spans="1:64" x14ac:dyDescent="0.2">
      <c r="A597" s="4" t="s">
        <v>487</v>
      </c>
      <c r="B597" s="13" t="s">
        <v>1412</v>
      </c>
      <c r="C597" s="174" t="s">
        <v>2409</v>
      </c>
      <c r="D597" s="175"/>
      <c r="E597" s="175"/>
      <c r="F597" s="175"/>
      <c r="G597" s="13" t="s">
        <v>2856</v>
      </c>
      <c r="H597" s="82">
        <v>1.3169999999999999</v>
      </c>
      <c r="I597" s="109">
        <v>0</v>
      </c>
      <c r="J597" s="20">
        <f t="shared" si="580"/>
        <v>0</v>
      </c>
      <c r="K597" s="20">
        <f t="shared" si="581"/>
        <v>0</v>
      </c>
      <c r="L597" s="20">
        <f t="shared" si="582"/>
        <v>0</v>
      </c>
      <c r="M597" s="31" t="s">
        <v>2884</v>
      </c>
      <c r="N597" s="5"/>
      <c r="Z597" s="36">
        <f t="shared" si="583"/>
        <v>0</v>
      </c>
      <c r="AB597" s="36">
        <f t="shared" si="584"/>
        <v>0</v>
      </c>
      <c r="AC597" s="36">
        <f t="shared" si="585"/>
        <v>0</v>
      </c>
      <c r="AD597" s="36">
        <f t="shared" si="586"/>
        <v>0</v>
      </c>
      <c r="AE597" s="36">
        <f t="shared" si="587"/>
        <v>0</v>
      </c>
      <c r="AF597" s="36">
        <f t="shared" si="588"/>
        <v>0</v>
      </c>
      <c r="AG597" s="36">
        <f t="shared" si="589"/>
        <v>0</v>
      </c>
      <c r="AH597" s="36">
        <f t="shared" si="590"/>
        <v>0</v>
      </c>
      <c r="AI597" s="35" t="s">
        <v>2894</v>
      </c>
      <c r="AJ597" s="20">
        <f t="shared" si="591"/>
        <v>0</v>
      </c>
      <c r="AK597" s="20">
        <f t="shared" si="592"/>
        <v>0</v>
      </c>
      <c r="AL597" s="20">
        <f t="shared" si="593"/>
        <v>0</v>
      </c>
      <c r="AN597" s="36">
        <v>21</v>
      </c>
      <c r="AO597" s="36">
        <f>I597*0</f>
        <v>0</v>
      </c>
      <c r="AP597" s="36">
        <f>I597*(1-0)</f>
        <v>0</v>
      </c>
      <c r="AQ597" s="37" t="s">
        <v>11</v>
      </c>
      <c r="AV597" s="36">
        <f t="shared" si="594"/>
        <v>0</v>
      </c>
      <c r="AW597" s="36">
        <f t="shared" si="595"/>
        <v>0</v>
      </c>
      <c r="AX597" s="36">
        <f t="shared" si="596"/>
        <v>0</v>
      </c>
      <c r="AY597" s="39" t="s">
        <v>2935</v>
      </c>
      <c r="AZ597" s="39" t="s">
        <v>2957</v>
      </c>
      <c r="BA597" s="35" t="s">
        <v>2967</v>
      </c>
      <c r="BC597" s="36">
        <f t="shared" si="597"/>
        <v>0</v>
      </c>
      <c r="BD597" s="36">
        <f t="shared" si="598"/>
        <v>0</v>
      </c>
      <c r="BE597" s="36">
        <v>0</v>
      </c>
      <c r="BF597" s="36">
        <f>597</f>
        <v>597</v>
      </c>
      <c r="BH597" s="20">
        <f t="shared" si="599"/>
        <v>0</v>
      </c>
      <c r="BI597" s="20">
        <f t="shared" si="600"/>
        <v>0</v>
      </c>
      <c r="BJ597" s="20">
        <f t="shared" si="601"/>
        <v>0</v>
      </c>
      <c r="BK597" s="20" t="s">
        <v>2978</v>
      </c>
      <c r="BL597" s="36">
        <v>776</v>
      </c>
    </row>
    <row r="598" spans="1:64" x14ac:dyDescent="0.2">
      <c r="A598" s="3"/>
      <c r="B598" s="12" t="s">
        <v>787</v>
      </c>
      <c r="C598" s="172" t="s">
        <v>2410</v>
      </c>
      <c r="D598" s="173"/>
      <c r="E598" s="173"/>
      <c r="F598" s="173"/>
      <c r="G598" s="18" t="s">
        <v>6</v>
      </c>
      <c r="H598" s="18" t="s">
        <v>6</v>
      </c>
      <c r="I598" s="18" t="s">
        <v>6</v>
      </c>
      <c r="J598" s="41">
        <f>SUM(J599:J620)</f>
        <v>0</v>
      </c>
      <c r="K598" s="41">
        <f>SUM(K599:K620)</f>
        <v>0</v>
      </c>
      <c r="L598" s="41">
        <f>SUM(L599:L620)</f>
        <v>0</v>
      </c>
      <c r="M598" s="30"/>
      <c r="N598" s="5"/>
      <c r="AI598" s="35" t="s">
        <v>2894</v>
      </c>
      <c r="AS598" s="41">
        <f>SUM(AJ599:AJ620)</f>
        <v>0</v>
      </c>
      <c r="AT598" s="41">
        <f>SUM(AK599:AK620)</f>
        <v>0</v>
      </c>
      <c r="AU598" s="41">
        <f>SUM(AL599:AL620)</f>
        <v>0</v>
      </c>
    </row>
    <row r="599" spans="1:64" x14ac:dyDescent="0.2">
      <c r="A599" s="4" t="s">
        <v>488</v>
      </c>
      <c r="B599" s="13" t="s">
        <v>1413</v>
      </c>
      <c r="C599" s="174" t="s">
        <v>2411</v>
      </c>
      <c r="D599" s="175"/>
      <c r="E599" s="175"/>
      <c r="F599" s="175"/>
      <c r="G599" s="13" t="s">
        <v>2854</v>
      </c>
      <c r="H599" s="82">
        <v>144.55600000000001</v>
      </c>
      <c r="I599" s="109">
        <v>0</v>
      </c>
      <c r="J599" s="20">
        <f t="shared" ref="J599:J620" si="602">H599*AO599</f>
        <v>0</v>
      </c>
      <c r="K599" s="20">
        <f t="shared" ref="K599:K620" si="603">H599*AP599</f>
        <v>0</v>
      </c>
      <c r="L599" s="20">
        <f t="shared" ref="L599:L620" si="604">H599*I599</f>
        <v>0</v>
      </c>
      <c r="M599" s="31" t="s">
        <v>2884</v>
      </c>
      <c r="N599" s="5"/>
      <c r="Z599" s="36">
        <f t="shared" ref="Z599:Z620" si="605">IF(AQ599="5",BJ599,0)</f>
        <v>0</v>
      </c>
      <c r="AB599" s="36">
        <f t="shared" ref="AB599:AB620" si="606">IF(AQ599="1",BH599,0)</f>
        <v>0</v>
      </c>
      <c r="AC599" s="36">
        <f t="shared" ref="AC599:AC620" si="607">IF(AQ599="1",BI599,0)</f>
        <v>0</v>
      </c>
      <c r="AD599" s="36">
        <f t="shared" ref="AD599:AD620" si="608">IF(AQ599="7",BH599,0)</f>
        <v>0</v>
      </c>
      <c r="AE599" s="36">
        <f t="shared" ref="AE599:AE620" si="609">IF(AQ599="7",BI599,0)</f>
        <v>0</v>
      </c>
      <c r="AF599" s="36">
        <f t="shared" ref="AF599:AF620" si="610">IF(AQ599="2",BH599,0)</f>
        <v>0</v>
      </c>
      <c r="AG599" s="36">
        <f t="shared" ref="AG599:AG620" si="611">IF(AQ599="2",BI599,0)</f>
        <v>0</v>
      </c>
      <c r="AH599" s="36">
        <f t="shared" ref="AH599:AH620" si="612">IF(AQ599="0",BJ599,0)</f>
        <v>0</v>
      </c>
      <c r="AI599" s="35" t="s">
        <v>2894</v>
      </c>
      <c r="AJ599" s="20">
        <f t="shared" ref="AJ599:AJ620" si="613">IF(AN599=0,L599,0)</f>
        <v>0</v>
      </c>
      <c r="AK599" s="20">
        <f t="shared" ref="AK599:AK620" si="614">IF(AN599=15,L599,0)</f>
        <v>0</v>
      </c>
      <c r="AL599" s="20">
        <f t="shared" ref="AL599:AL620" si="615">IF(AN599=21,L599,0)</f>
        <v>0</v>
      </c>
      <c r="AN599" s="36">
        <v>21</v>
      </c>
      <c r="AO599" s="36">
        <f>I599*0.425837511190689</f>
        <v>0</v>
      </c>
      <c r="AP599" s="36">
        <f>I599*(1-0.425837511190689)</f>
        <v>0</v>
      </c>
      <c r="AQ599" s="37" t="s">
        <v>13</v>
      </c>
      <c r="AV599" s="36">
        <f t="shared" ref="AV599:AV620" si="616">AW599+AX599</f>
        <v>0</v>
      </c>
      <c r="AW599" s="36">
        <f t="shared" ref="AW599:AW620" si="617">H599*AO599</f>
        <v>0</v>
      </c>
      <c r="AX599" s="36">
        <f t="shared" ref="AX599:AX620" si="618">H599*AP599</f>
        <v>0</v>
      </c>
      <c r="AY599" s="39" t="s">
        <v>2936</v>
      </c>
      <c r="AZ599" s="39" t="s">
        <v>2958</v>
      </c>
      <c r="BA599" s="35" t="s">
        <v>2967</v>
      </c>
      <c r="BC599" s="36">
        <f t="shared" ref="BC599:BC620" si="619">AW599+AX599</f>
        <v>0</v>
      </c>
      <c r="BD599" s="36">
        <f t="shared" ref="BD599:BD620" si="620">I599/(100-BE599)*100</f>
        <v>0</v>
      </c>
      <c r="BE599" s="36">
        <v>0</v>
      </c>
      <c r="BF599" s="36">
        <f>599</f>
        <v>599</v>
      </c>
      <c r="BH599" s="20">
        <f t="shared" ref="BH599:BH620" si="621">H599*AO599</f>
        <v>0</v>
      </c>
      <c r="BI599" s="20">
        <f t="shared" ref="BI599:BI620" si="622">H599*AP599</f>
        <v>0</v>
      </c>
      <c r="BJ599" s="20">
        <f t="shared" ref="BJ599:BJ620" si="623">H599*I599</f>
        <v>0</v>
      </c>
      <c r="BK599" s="20" t="s">
        <v>2978</v>
      </c>
      <c r="BL599" s="36">
        <v>781</v>
      </c>
    </row>
    <row r="600" spans="1:64" x14ac:dyDescent="0.2">
      <c r="A600" s="4" t="s">
        <v>489</v>
      </c>
      <c r="B600" s="13" t="s">
        <v>1414</v>
      </c>
      <c r="C600" s="174" t="s">
        <v>2412</v>
      </c>
      <c r="D600" s="175"/>
      <c r="E600" s="175"/>
      <c r="F600" s="175"/>
      <c r="G600" s="13" t="s">
        <v>2855</v>
      </c>
      <c r="H600" s="82">
        <v>67.06</v>
      </c>
      <c r="I600" s="109">
        <v>0</v>
      </c>
      <c r="J600" s="20">
        <f t="shared" si="602"/>
        <v>0</v>
      </c>
      <c r="K600" s="20">
        <f t="shared" si="603"/>
        <v>0</v>
      </c>
      <c r="L600" s="20">
        <f t="shared" si="604"/>
        <v>0</v>
      </c>
      <c r="M600" s="31" t="s">
        <v>2884</v>
      </c>
      <c r="N600" s="5"/>
      <c r="Z600" s="36">
        <f t="shared" si="605"/>
        <v>0</v>
      </c>
      <c r="AB600" s="36">
        <f t="shared" si="606"/>
        <v>0</v>
      </c>
      <c r="AC600" s="36">
        <f t="shared" si="607"/>
        <v>0</v>
      </c>
      <c r="AD600" s="36">
        <f t="shared" si="608"/>
        <v>0</v>
      </c>
      <c r="AE600" s="36">
        <f t="shared" si="609"/>
        <v>0</v>
      </c>
      <c r="AF600" s="36">
        <f t="shared" si="610"/>
        <v>0</v>
      </c>
      <c r="AG600" s="36">
        <f t="shared" si="611"/>
        <v>0</v>
      </c>
      <c r="AH600" s="36">
        <f t="shared" si="612"/>
        <v>0</v>
      </c>
      <c r="AI600" s="35" t="s">
        <v>2894</v>
      </c>
      <c r="AJ600" s="20">
        <f t="shared" si="613"/>
        <v>0</v>
      </c>
      <c r="AK600" s="20">
        <f t="shared" si="614"/>
        <v>0</v>
      </c>
      <c r="AL600" s="20">
        <f t="shared" si="615"/>
        <v>0</v>
      </c>
      <c r="AN600" s="36">
        <v>21</v>
      </c>
      <c r="AO600" s="36">
        <f>I600*0.0575921483373528</f>
        <v>0</v>
      </c>
      <c r="AP600" s="36">
        <f>I600*(1-0.0575921483373528)</f>
        <v>0</v>
      </c>
      <c r="AQ600" s="37" t="s">
        <v>13</v>
      </c>
      <c r="AV600" s="36">
        <f t="shared" si="616"/>
        <v>0</v>
      </c>
      <c r="AW600" s="36">
        <f t="shared" si="617"/>
        <v>0</v>
      </c>
      <c r="AX600" s="36">
        <f t="shared" si="618"/>
        <v>0</v>
      </c>
      <c r="AY600" s="39" t="s">
        <v>2936</v>
      </c>
      <c r="AZ600" s="39" t="s">
        <v>2958</v>
      </c>
      <c r="BA600" s="35" t="s">
        <v>2967</v>
      </c>
      <c r="BC600" s="36">
        <f t="shared" si="619"/>
        <v>0</v>
      </c>
      <c r="BD600" s="36">
        <f t="shared" si="620"/>
        <v>0</v>
      </c>
      <c r="BE600" s="36">
        <v>0</v>
      </c>
      <c r="BF600" s="36">
        <f>600</f>
        <v>600</v>
      </c>
      <c r="BH600" s="20">
        <f t="shared" si="621"/>
        <v>0</v>
      </c>
      <c r="BI600" s="20">
        <f t="shared" si="622"/>
        <v>0</v>
      </c>
      <c r="BJ600" s="20">
        <f t="shared" si="623"/>
        <v>0</v>
      </c>
      <c r="BK600" s="20" t="s">
        <v>2978</v>
      </c>
      <c r="BL600" s="36">
        <v>781</v>
      </c>
    </row>
    <row r="601" spans="1:64" x14ac:dyDescent="0.2">
      <c r="A601" s="4" t="s">
        <v>490</v>
      </c>
      <c r="B601" s="13" t="s">
        <v>1415</v>
      </c>
      <c r="C601" s="174" t="s">
        <v>2413</v>
      </c>
      <c r="D601" s="175"/>
      <c r="E601" s="175"/>
      <c r="F601" s="175"/>
      <c r="G601" s="13" t="s">
        <v>2855</v>
      </c>
      <c r="H601" s="82">
        <v>59.21</v>
      </c>
      <c r="I601" s="109">
        <v>0</v>
      </c>
      <c r="J601" s="20">
        <f t="shared" si="602"/>
        <v>0</v>
      </c>
      <c r="K601" s="20">
        <f t="shared" si="603"/>
        <v>0</v>
      </c>
      <c r="L601" s="20">
        <f t="shared" si="604"/>
        <v>0</v>
      </c>
      <c r="M601" s="31" t="s">
        <v>2884</v>
      </c>
      <c r="N601" s="5"/>
      <c r="Z601" s="36">
        <f t="shared" si="605"/>
        <v>0</v>
      </c>
      <c r="AB601" s="36">
        <f t="shared" si="606"/>
        <v>0</v>
      </c>
      <c r="AC601" s="36">
        <f t="shared" si="607"/>
        <v>0</v>
      </c>
      <c r="AD601" s="36">
        <f t="shared" si="608"/>
        <v>0</v>
      </c>
      <c r="AE601" s="36">
        <f t="shared" si="609"/>
        <v>0</v>
      </c>
      <c r="AF601" s="36">
        <f t="shared" si="610"/>
        <v>0</v>
      </c>
      <c r="AG601" s="36">
        <f t="shared" si="611"/>
        <v>0</v>
      </c>
      <c r="AH601" s="36">
        <f t="shared" si="612"/>
        <v>0</v>
      </c>
      <c r="AI601" s="35" t="s">
        <v>2894</v>
      </c>
      <c r="AJ601" s="20">
        <f t="shared" si="613"/>
        <v>0</v>
      </c>
      <c r="AK601" s="20">
        <f t="shared" si="614"/>
        <v>0</v>
      </c>
      <c r="AL601" s="20">
        <f t="shared" si="615"/>
        <v>0</v>
      </c>
      <c r="AN601" s="36">
        <v>21</v>
      </c>
      <c r="AO601" s="36">
        <f>I601*0</f>
        <v>0</v>
      </c>
      <c r="AP601" s="36">
        <f>I601*(1-0)</f>
        <v>0</v>
      </c>
      <c r="AQ601" s="37" t="s">
        <v>13</v>
      </c>
      <c r="AV601" s="36">
        <f t="shared" si="616"/>
        <v>0</v>
      </c>
      <c r="AW601" s="36">
        <f t="shared" si="617"/>
        <v>0</v>
      </c>
      <c r="AX601" s="36">
        <f t="shared" si="618"/>
        <v>0</v>
      </c>
      <c r="AY601" s="39" t="s">
        <v>2936</v>
      </c>
      <c r="AZ601" s="39" t="s">
        <v>2958</v>
      </c>
      <c r="BA601" s="35" t="s">
        <v>2967</v>
      </c>
      <c r="BC601" s="36">
        <f t="shared" si="619"/>
        <v>0</v>
      </c>
      <c r="BD601" s="36">
        <f t="shared" si="620"/>
        <v>0</v>
      </c>
      <c r="BE601" s="36">
        <v>0</v>
      </c>
      <c r="BF601" s="36">
        <f>601</f>
        <v>601</v>
      </c>
      <c r="BH601" s="20">
        <f t="shared" si="621"/>
        <v>0</v>
      </c>
      <c r="BI601" s="20">
        <f t="shared" si="622"/>
        <v>0</v>
      </c>
      <c r="BJ601" s="20">
        <f t="shared" si="623"/>
        <v>0</v>
      </c>
      <c r="BK601" s="20" t="s">
        <v>2978</v>
      </c>
      <c r="BL601" s="36">
        <v>781</v>
      </c>
    </row>
    <row r="602" spans="1:64" x14ac:dyDescent="0.2">
      <c r="A602" s="6" t="s">
        <v>491</v>
      </c>
      <c r="B602" s="15" t="s">
        <v>1416</v>
      </c>
      <c r="C602" s="182" t="s">
        <v>2414</v>
      </c>
      <c r="D602" s="183"/>
      <c r="E602" s="183"/>
      <c r="F602" s="183"/>
      <c r="G602" s="15" t="s">
        <v>2855</v>
      </c>
      <c r="H602" s="84">
        <v>62.170999999999999</v>
      </c>
      <c r="I602" s="110">
        <v>0</v>
      </c>
      <c r="J602" s="21">
        <f t="shared" si="602"/>
        <v>0</v>
      </c>
      <c r="K602" s="21">
        <f t="shared" si="603"/>
        <v>0</v>
      </c>
      <c r="L602" s="21">
        <f t="shared" si="604"/>
        <v>0</v>
      </c>
      <c r="M602" s="32" t="s">
        <v>2884</v>
      </c>
      <c r="N602" s="5"/>
      <c r="Z602" s="36">
        <f t="shared" si="605"/>
        <v>0</v>
      </c>
      <c r="AB602" s="36">
        <f t="shared" si="606"/>
        <v>0</v>
      </c>
      <c r="AC602" s="36">
        <f t="shared" si="607"/>
        <v>0</v>
      </c>
      <c r="AD602" s="36">
        <f t="shared" si="608"/>
        <v>0</v>
      </c>
      <c r="AE602" s="36">
        <f t="shared" si="609"/>
        <v>0</v>
      </c>
      <c r="AF602" s="36">
        <f t="shared" si="610"/>
        <v>0</v>
      </c>
      <c r="AG602" s="36">
        <f t="shared" si="611"/>
        <v>0</v>
      </c>
      <c r="AH602" s="36">
        <f t="shared" si="612"/>
        <v>0</v>
      </c>
      <c r="AI602" s="35" t="s">
        <v>2894</v>
      </c>
      <c r="AJ602" s="21">
        <f t="shared" si="613"/>
        <v>0</v>
      </c>
      <c r="AK602" s="21">
        <f t="shared" si="614"/>
        <v>0</v>
      </c>
      <c r="AL602" s="21">
        <f t="shared" si="615"/>
        <v>0</v>
      </c>
      <c r="AN602" s="36">
        <v>21</v>
      </c>
      <c r="AO602" s="36">
        <f>I602*1</f>
        <v>0</v>
      </c>
      <c r="AP602" s="36">
        <f>I602*(1-1)</f>
        <v>0</v>
      </c>
      <c r="AQ602" s="38" t="s">
        <v>13</v>
      </c>
      <c r="AV602" s="36">
        <f t="shared" si="616"/>
        <v>0</v>
      </c>
      <c r="AW602" s="36">
        <f t="shared" si="617"/>
        <v>0</v>
      </c>
      <c r="AX602" s="36">
        <f t="shared" si="618"/>
        <v>0</v>
      </c>
      <c r="AY602" s="39" t="s">
        <v>2936</v>
      </c>
      <c r="AZ602" s="39" t="s">
        <v>2958</v>
      </c>
      <c r="BA602" s="35" t="s">
        <v>2967</v>
      </c>
      <c r="BC602" s="36">
        <f t="shared" si="619"/>
        <v>0</v>
      </c>
      <c r="BD602" s="36">
        <f t="shared" si="620"/>
        <v>0</v>
      </c>
      <c r="BE602" s="36">
        <v>0</v>
      </c>
      <c r="BF602" s="36">
        <f>602</f>
        <v>602</v>
      </c>
      <c r="BH602" s="21">
        <f t="shared" si="621"/>
        <v>0</v>
      </c>
      <c r="BI602" s="21">
        <f t="shared" si="622"/>
        <v>0</v>
      </c>
      <c r="BJ602" s="21">
        <f t="shared" si="623"/>
        <v>0</v>
      </c>
      <c r="BK602" s="21" t="s">
        <v>2979</v>
      </c>
      <c r="BL602" s="36">
        <v>781</v>
      </c>
    </row>
    <row r="603" spans="1:64" x14ac:dyDescent="0.2">
      <c r="A603" s="4" t="s">
        <v>492</v>
      </c>
      <c r="B603" s="13" t="s">
        <v>1417</v>
      </c>
      <c r="C603" s="174" t="s">
        <v>2415</v>
      </c>
      <c r="D603" s="175"/>
      <c r="E603" s="175"/>
      <c r="F603" s="175"/>
      <c r="G603" s="13" t="s">
        <v>2854</v>
      </c>
      <c r="H603" s="82">
        <v>7.2</v>
      </c>
      <c r="I603" s="109">
        <v>0</v>
      </c>
      <c r="J603" s="20">
        <f t="shared" si="602"/>
        <v>0</v>
      </c>
      <c r="K603" s="20">
        <f t="shared" si="603"/>
        <v>0</v>
      </c>
      <c r="L603" s="20">
        <f t="shared" si="604"/>
        <v>0</v>
      </c>
      <c r="M603" s="31" t="s">
        <v>2884</v>
      </c>
      <c r="N603" s="5"/>
      <c r="Z603" s="36">
        <f t="shared" si="605"/>
        <v>0</v>
      </c>
      <c r="AB603" s="36">
        <f t="shared" si="606"/>
        <v>0</v>
      </c>
      <c r="AC603" s="36">
        <f t="shared" si="607"/>
        <v>0</v>
      </c>
      <c r="AD603" s="36">
        <f t="shared" si="608"/>
        <v>0</v>
      </c>
      <c r="AE603" s="36">
        <f t="shared" si="609"/>
        <v>0</v>
      </c>
      <c r="AF603" s="36">
        <f t="shared" si="610"/>
        <v>0</v>
      </c>
      <c r="AG603" s="36">
        <f t="shared" si="611"/>
        <v>0</v>
      </c>
      <c r="AH603" s="36">
        <f t="shared" si="612"/>
        <v>0</v>
      </c>
      <c r="AI603" s="35" t="s">
        <v>2894</v>
      </c>
      <c r="AJ603" s="20">
        <f t="shared" si="613"/>
        <v>0</v>
      </c>
      <c r="AK603" s="20">
        <f t="shared" si="614"/>
        <v>0</v>
      </c>
      <c r="AL603" s="20">
        <f t="shared" si="615"/>
        <v>0</v>
      </c>
      <c r="AN603" s="36">
        <v>21</v>
      </c>
      <c r="AO603" s="36">
        <f>I603*0</f>
        <v>0</v>
      </c>
      <c r="AP603" s="36">
        <f>I603*(1-0)</f>
        <v>0</v>
      </c>
      <c r="AQ603" s="37" t="s">
        <v>13</v>
      </c>
      <c r="AV603" s="36">
        <f t="shared" si="616"/>
        <v>0</v>
      </c>
      <c r="AW603" s="36">
        <f t="shared" si="617"/>
        <v>0</v>
      </c>
      <c r="AX603" s="36">
        <f t="shared" si="618"/>
        <v>0</v>
      </c>
      <c r="AY603" s="39" t="s">
        <v>2936</v>
      </c>
      <c r="AZ603" s="39" t="s">
        <v>2958</v>
      </c>
      <c r="BA603" s="35" t="s">
        <v>2967</v>
      </c>
      <c r="BC603" s="36">
        <f t="shared" si="619"/>
        <v>0</v>
      </c>
      <c r="BD603" s="36">
        <f t="shared" si="620"/>
        <v>0</v>
      </c>
      <c r="BE603" s="36">
        <v>0</v>
      </c>
      <c r="BF603" s="36">
        <f>603</f>
        <v>603</v>
      </c>
      <c r="BH603" s="20">
        <f t="shared" si="621"/>
        <v>0</v>
      </c>
      <c r="BI603" s="20">
        <f t="shared" si="622"/>
        <v>0</v>
      </c>
      <c r="BJ603" s="20">
        <f t="shared" si="623"/>
        <v>0</v>
      </c>
      <c r="BK603" s="20" t="s">
        <v>2978</v>
      </c>
      <c r="BL603" s="36">
        <v>781</v>
      </c>
    </row>
    <row r="604" spans="1:64" x14ac:dyDescent="0.2">
      <c r="A604" s="6" t="s">
        <v>493</v>
      </c>
      <c r="B604" s="15" t="s">
        <v>1418</v>
      </c>
      <c r="C604" s="182" t="s">
        <v>2416</v>
      </c>
      <c r="D604" s="183"/>
      <c r="E604" s="183"/>
      <c r="F604" s="183"/>
      <c r="G604" s="15" t="s">
        <v>2854</v>
      </c>
      <c r="H604" s="84">
        <v>8.19</v>
      </c>
      <c r="I604" s="110">
        <v>0</v>
      </c>
      <c r="J604" s="21">
        <f t="shared" si="602"/>
        <v>0</v>
      </c>
      <c r="K604" s="21">
        <f t="shared" si="603"/>
        <v>0</v>
      </c>
      <c r="L604" s="21">
        <f t="shared" si="604"/>
        <v>0</v>
      </c>
      <c r="M604" s="32" t="s">
        <v>2884</v>
      </c>
      <c r="N604" s="5"/>
      <c r="Z604" s="36">
        <f t="shared" si="605"/>
        <v>0</v>
      </c>
      <c r="AB604" s="36">
        <f t="shared" si="606"/>
        <v>0</v>
      </c>
      <c r="AC604" s="36">
        <f t="shared" si="607"/>
        <v>0</v>
      </c>
      <c r="AD604" s="36">
        <f t="shared" si="608"/>
        <v>0</v>
      </c>
      <c r="AE604" s="36">
        <f t="shared" si="609"/>
        <v>0</v>
      </c>
      <c r="AF604" s="36">
        <f t="shared" si="610"/>
        <v>0</v>
      </c>
      <c r="AG604" s="36">
        <f t="shared" si="611"/>
        <v>0</v>
      </c>
      <c r="AH604" s="36">
        <f t="shared" si="612"/>
        <v>0</v>
      </c>
      <c r="AI604" s="35" t="s">
        <v>2894</v>
      </c>
      <c r="AJ604" s="21">
        <f t="shared" si="613"/>
        <v>0</v>
      </c>
      <c r="AK604" s="21">
        <f t="shared" si="614"/>
        <v>0</v>
      </c>
      <c r="AL604" s="21">
        <f t="shared" si="615"/>
        <v>0</v>
      </c>
      <c r="AN604" s="36">
        <v>21</v>
      </c>
      <c r="AO604" s="36">
        <f>I604*1</f>
        <v>0</v>
      </c>
      <c r="AP604" s="36">
        <f>I604*(1-1)</f>
        <v>0</v>
      </c>
      <c r="AQ604" s="38" t="s">
        <v>13</v>
      </c>
      <c r="AV604" s="36">
        <f t="shared" si="616"/>
        <v>0</v>
      </c>
      <c r="AW604" s="36">
        <f t="shared" si="617"/>
        <v>0</v>
      </c>
      <c r="AX604" s="36">
        <f t="shared" si="618"/>
        <v>0</v>
      </c>
      <c r="AY604" s="39" t="s">
        <v>2936</v>
      </c>
      <c r="AZ604" s="39" t="s">
        <v>2958</v>
      </c>
      <c r="BA604" s="35" t="s">
        <v>2967</v>
      </c>
      <c r="BC604" s="36">
        <f t="shared" si="619"/>
        <v>0</v>
      </c>
      <c r="BD604" s="36">
        <f t="shared" si="620"/>
        <v>0</v>
      </c>
      <c r="BE604" s="36">
        <v>0</v>
      </c>
      <c r="BF604" s="36">
        <f>604</f>
        <v>604</v>
      </c>
      <c r="BH604" s="21">
        <f t="shared" si="621"/>
        <v>0</v>
      </c>
      <c r="BI604" s="21">
        <f t="shared" si="622"/>
        <v>0</v>
      </c>
      <c r="BJ604" s="21">
        <f t="shared" si="623"/>
        <v>0</v>
      </c>
      <c r="BK604" s="21" t="s">
        <v>2979</v>
      </c>
      <c r="BL604" s="36">
        <v>781</v>
      </c>
    </row>
    <row r="605" spans="1:64" x14ac:dyDescent="0.2">
      <c r="A605" s="4" t="s">
        <v>494</v>
      </c>
      <c r="B605" s="13" t="s">
        <v>1419</v>
      </c>
      <c r="C605" s="174" t="s">
        <v>2417</v>
      </c>
      <c r="D605" s="175"/>
      <c r="E605" s="175"/>
      <c r="F605" s="175"/>
      <c r="G605" s="13" t="s">
        <v>2854</v>
      </c>
      <c r="H605" s="82">
        <v>1.2</v>
      </c>
      <c r="I605" s="109">
        <v>0</v>
      </c>
      <c r="J605" s="20">
        <f t="shared" si="602"/>
        <v>0</v>
      </c>
      <c r="K605" s="20">
        <f t="shared" si="603"/>
        <v>0</v>
      </c>
      <c r="L605" s="20">
        <f t="shared" si="604"/>
        <v>0</v>
      </c>
      <c r="M605" s="31" t="s">
        <v>2884</v>
      </c>
      <c r="N605" s="5"/>
      <c r="Z605" s="36">
        <f t="shared" si="605"/>
        <v>0</v>
      </c>
      <c r="AB605" s="36">
        <f t="shared" si="606"/>
        <v>0</v>
      </c>
      <c r="AC605" s="36">
        <f t="shared" si="607"/>
        <v>0</v>
      </c>
      <c r="AD605" s="36">
        <f t="shared" si="608"/>
        <v>0</v>
      </c>
      <c r="AE605" s="36">
        <f t="shared" si="609"/>
        <v>0</v>
      </c>
      <c r="AF605" s="36">
        <f t="shared" si="610"/>
        <v>0</v>
      </c>
      <c r="AG605" s="36">
        <f t="shared" si="611"/>
        <v>0</v>
      </c>
      <c r="AH605" s="36">
        <f t="shared" si="612"/>
        <v>0</v>
      </c>
      <c r="AI605" s="35" t="s">
        <v>2894</v>
      </c>
      <c r="AJ605" s="20">
        <f t="shared" si="613"/>
        <v>0</v>
      </c>
      <c r="AK605" s="20">
        <f t="shared" si="614"/>
        <v>0</v>
      </c>
      <c r="AL605" s="20">
        <f t="shared" si="615"/>
        <v>0</v>
      </c>
      <c r="AN605" s="36">
        <v>21</v>
      </c>
      <c r="AO605" s="36">
        <f>I605*0</f>
        <v>0</v>
      </c>
      <c r="AP605" s="36">
        <f>I605*(1-0)</f>
        <v>0</v>
      </c>
      <c r="AQ605" s="37" t="s">
        <v>13</v>
      </c>
      <c r="AV605" s="36">
        <f t="shared" si="616"/>
        <v>0</v>
      </c>
      <c r="AW605" s="36">
        <f t="shared" si="617"/>
        <v>0</v>
      </c>
      <c r="AX605" s="36">
        <f t="shared" si="618"/>
        <v>0</v>
      </c>
      <c r="AY605" s="39" t="s">
        <v>2936</v>
      </c>
      <c r="AZ605" s="39" t="s">
        <v>2958</v>
      </c>
      <c r="BA605" s="35" t="s">
        <v>2967</v>
      </c>
      <c r="BC605" s="36">
        <f t="shared" si="619"/>
        <v>0</v>
      </c>
      <c r="BD605" s="36">
        <f t="shared" si="620"/>
        <v>0</v>
      </c>
      <c r="BE605" s="36">
        <v>0</v>
      </c>
      <c r="BF605" s="36">
        <f>605</f>
        <v>605</v>
      </c>
      <c r="BH605" s="20">
        <f t="shared" si="621"/>
        <v>0</v>
      </c>
      <c r="BI605" s="20">
        <f t="shared" si="622"/>
        <v>0</v>
      </c>
      <c r="BJ605" s="20">
        <f t="shared" si="623"/>
        <v>0</v>
      </c>
      <c r="BK605" s="20" t="s">
        <v>2978</v>
      </c>
      <c r="BL605" s="36">
        <v>781</v>
      </c>
    </row>
    <row r="606" spans="1:64" x14ac:dyDescent="0.2">
      <c r="A606" s="6" t="s">
        <v>495</v>
      </c>
      <c r="B606" s="15" t="s">
        <v>1420</v>
      </c>
      <c r="C606" s="182" t="s">
        <v>2418</v>
      </c>
      <c r="D606" s="183"/>
      <c r="E606" s="183"/>
      <c r="F606" s="183"/>
      <c r="G606" s="15" t="s">
        <v>2854</v>
      </c>
      <c r="H606" s="84">
        <v>1.38</v>
      </c>
      <c r="I606" s="110">
        <v>0</v>
      </c>
      <c r="J606" s="21">
        <f t="shared" si="602"/>
        <v>0</v>
      </c>
      <c r="K606" s="21">
        <f t="shared" si="603"/>
        <v>0</v>
      </c>
      <c r="L606" s="21">
        <f t="shared" si="604"/>
        <v>0</v>
      </c>
      <c r="M606" s="32" t="s">
        <v>2884</v>
      </c>
      <c r="N606" s="5"/>
      <c r="Z606" s="36">
        <f t="shared" si="605"/>
        <v>0</v>
      </c>
      <c r="AB606" s="36">
        <f t="shared" si="606"/>
        <v>0</v>
      </c>
      <c r="AC606" s="36">
        <f t="shared" si="607"/>
        <v>0</v>
      </c>
      <c r="AD606" s="36">
        <f t="shared" si="608"/>
        <v>0</v>
      </c>
      <c r="AE606" s="36">
        <f t="shared" si="609"/>
        <v>0</v>
      </c>
      <c r="AF606" s="36">
        <f t="shared" si="610"/>
        <v>0</v>
      </c>
      <c r="AG606" s="36">
        <f t="shared" si="611"/>
        <v>0</v>
      </c>
      <c r="AH606" s="36">
        <f t="shared" si="612"/>
        <v>0</v>
      </c>
      <c r="AI606" s="35" t="s">
        <v>2894</v>
      </c>
      <c r="AJ606" s="21">
        <f t="shared" si="613"/>
        <v>0</v>
      </c>
      <c r="AK606" s="21">
        <f t="shared" si="614"/>
        <v>0</v>
      </c>
      <c r="AL606" s="21">
        <f t="shared" si="615"/>
        <v>0</v>
      </c>
      <c r="AN606" s="36">
        <v>21</v>
      </c>
      <c r="AO606" s="36">
        <f>I606*1</f>
        <v>0</v>
      </c>
      <c r="AP606" s="36">
        <f>I606*(1-1)</f>
        <v>0</v>
      </c>
      <c r="AQ606" s="38" t="s">
        <v>13</v>
      </c>
      <c r="AV606" s="36">
        <f t="shared" si="616"/>
        <v>0</v>
      </c>
      <c r="AW606" s="36">
        <f t="shared" si="617"/>
        <v>0</v>
      </c>
      <c r="AX606" s="36">
        <f t="shared" si="618"/>
        <v>0</v>
      </c>
      <c r="AY606" s="39" t="s">
        <v>2936</v>
      </c>
      <c r="AZ606" s="39" t="s">
        <v>2958</v>
      </c>
      <c r="BA606" s="35" t="s">
        <v>2967</v>
      </c>
      <c r="BC606" s="36">
        <f t="shared" si="619"/>
        <v>0</v>
      </c>
      <c r="BD606" s="36">
        <f t="shared" si="620"/>
        <v>0</v>
      </c>
      <c r="BE606" s="36">
        <v>0</v>
      </c>
      <c r="BF606" s="36">
        <f>606</f>
        <v>606</v>
      </c>
      <c r="BH606" s="21">
        <f t="shared" si="621"/>
        <v>0</v>
      </c>
      <c r="BI606" s="21">
        <f t="shared" si="622"/>
        <v>0</v>
      </c>
      <c r="BJ606" s="21">
        <f t="shared" si="623"/>
        <v>0</v>
      </c>
      <c r="BK606" s="21" t="s">
        <v>2979</v>
      </c>
      <c r="BL606" s="36">
        <v>781</v>
      </c>
    </row>
    <row r="607" spans="1:64" x14ac:dyDescent="0.2">
      <c r="A607" s="4" t="s">
        <v>496</v>
      </c>
      <c r="B607" s="13" t="s">
        <v>1421</v>
      </c>
      <c r="C607" s="174" t="s">
        <v>2419</v>
      </c>
      <c r="D607" s="175"/>
      <c r="E607" s="175"/>
      <c r="F607" s="175"/>
      <c r="G607" s="13" t="s">
        <v>2854</v>
      </c>
      <c r="H607" s="82">
        <v>0.75</v>
      </c>
      <c r="I607" s="109">
        <v>0</v>
      </c>
      <c r="J607" s="20">
        <f t="shared" si="602"/>
        <v>0</v>
      </c>
      <c r="K607" s="20">
        <f t="shared" si="603"/>
        <v>0</v>
      </c>
      <c r="L607" s="20">
        <f t="shared" si="604"/>
        <v>0</v>
      </c>
      <c r="M607" s="31" t="s">
        <v>2884</v>
      </c>
      <c r="N607" s="5"/>
      <c r="Z607" s="36">
        <f t="shared" si="605"/>
        <v>0</v>
      </c>
      <c r="AB607" s="36">
        <f t="shared" si="606"/>
        <v>0</v>
      </c>
      <c r="AC607" s="36">
        <f t="shared" si="607"/>
        <v>0</v>
      </c>
      <c r="AD607" s="36">
        <f t="shared" si="608"/>
        <v>0</v>
      </c>
      <c r="AE607" s="36">
        <f t="shared" si="609"/>
        <v>0</v>
      </c>
      <c r="AF607" s="36">
        <f t="shared" si="610"/>
        <v>0</v>
      </c>
      <c r="AG607" s="36">
        <f t="shared" si="611"/>
        <v>0</v>
      </c>
      <c r="AH607" s="36">
        <f t="shared" si="612"/>
        <v>0</v>
      </c>
      <c r="AI607" s="35" t="s">
        <v>2894</v>
      </c>
      <c r="AJ607" s="20">
        <f t="shared" si="613"/>
        <v>0</v>
      </c>
      <c r="AK607" s="20">
        <f t="shared" si="614"/>
        <v>0</v>
      </c>
      <c r="AL607" s="20">
        <f t="shared" si="615"/>
        <v>0</v>
      </c>
      <c r="AN607" s="36">
        <v>21</v>
      </c>
      <c r="AO607" s="36">
        <f>I607*0</f>
        <v>0</v>
      </c>
      <c r="AP607" s="36">
        <f>I607*(1-0)</f>
        <v>0</v>
      </c>
      <c r="AQ607" s="37" t="s">
        <v>13</v>
      </c>
      <c r="AV607" s="36">
        <f t="shared" si="616"/>
        <v>0</v>
      </c>
      <c r="AW607" s="36">
        <f t="shared" si="617"/>
        <v>0</v>
      </c>
      <c r="AX607" s="36">
        <f t="shared" si="618"/>
        <v>0</v>
      </c>
      <c r="AY607" s="39" t="s">
        <v>2936</v>
      </c>
      <c r="AZ607" s="39" t="s">
        <v>2958</v>
      </c>
      <c r="BA607" s="35" t="s">
        <v>2967</v>
      </c>
      <c r="BC607" s="36">
        <f t="shared" si="619"/>
        <v>0</v>
      </c>
      <c r="BD607" s="36">
        <f t="shared" si="620"/>
        <v>0</v>
      </c>
      <c r="BE607" s="36">
        <v>0</v>
      </c>
      <c r="BF607" s="36">
        <f>607</f>
        <v>607</v>
      </c>
      <c r="BH607" s="20">
        <f t="shared" si="621"/>
        <v>0</v>
      </c>
      <c r="BI607" s="20">
        <f t="shared" si="622"/>
        <v>0</v>
      </c>
      <c r="BJ607" s="20">
        <f t="shared" si="623"/>
        <v>0</v>
      </c>
      <c r="BK607" s="20" t="s">
        <v>2978</v>
      </c>
      <c r="BL607" s="36">
        <v>781</v>
      </c>
    </row>
    <row r="608" spans="1:64" x14ac:dyDescent="0.2">
      <c r="A608" s="6" t="s">
        <v>497</v>
      </c>
      <c r="B608" s="15" t="s">
        <v>1420</v>
      </c>
      <c r="C608" s="182" t="s">
        <v>2418</v>
      </c>
      <c r="D608" s="183"/>
      <c r="E608" s="183"/>
      <c r="F608" s="183"/>
      <c r="G608" s="15" t="s">
        <v>2854</v>
      </c>
      <c r="H608" s="84">
        <v>0.86299999999999999</v>
      </c>
      <c r="I608" s="110">
        <v>0</v>
      </c>
      <c r="J608" s="21">
        <f t="shared" si="602"/>
        <v>0</v>
      </c>
      <c r="K608" s="21">
        <f t="shared" si="603"/>
        <v>0</v>
      </c>
      <c r="L608" s="21">
        <f t="shared" si="604"/>
        <v>0</v>
      </c>
      <c r="M608" s="32" t="s">
        <v>2884</v>
      </c>
      <c r="N608" s="5"/>
      <c r="Z608" s="36">
        <f t="shared" si="605"/>
        <v>0</v>
      </c>
      <c r="AB608" s="36">
        <f t="shared" si="606"/>
        <v>0</v>
      </c>
      <c r="AC608" s="36">
        <f t="shared" si="607"/>
        <v>0</v>
      </c>
      <c r="AD608" s="36">
        <f t="shared" si="608"/>
        <v>0</v>
      </c>
      <c r="AE608" s="36">
        <f t="shared" si="609"/>
        <v>0</v>
      </c>
      <c r="AF608" s="36">
        <f t="shared" si="610"/>
        <v>0</v>
      </c>
      <c r="AG608" s="36">
        <f t="shared" si="611"/>
        <v>0</v>
      </c>
      <c r="AH608" s="36">
        <f t="shared" si="612"/>
        <v>0</v>
      </c>
      <c r="AI608" s="35" t="s">
        <v>2894</v>
      </c>
      <c r="AJ608" s="21">
        <f t="shared" si="613"/>
        <v>0</v>
      </c>
      <c r="AK608" s="21">
        <f t="shared" si="614"/>
        <v>0</v>
      </c>
      <c r="AL608" s="21">
        <f t="shared" si="615"/>
        <v>0</v>
      </c>
      <c r="AN608" s="36">
        <v>21</v>
      </c>
      <c r="AO608" s="36">
        <f>I608*1</f>
        <v>0</v>
      </c>
      <c r="AP608" s="36">
        <f>I608*(1-1)</f>
        <v>0</v>
      </c>
      <c r="AQ608" s="38" t="s">
        <v>13</v>
      </c>
      <c r="AV608" s="36">
        <f t="shared" si="616"/>
        <v>0</v>
      </c>
      <c r="AW608" s="36">
        <f t="shared" si="617"/>
        <v>0</v>
      </c>
      <c r="AX608" s="36">
        <f t="shared" si="618"/>
        <v>0</v>
      </c>
      <c r="AY608" s="39" t="s">
        <v>2936</v>
      </c>
      <c r="AZ608" s="39" t="s">
        <v>2958</v>
      </c>
      <c r="BA608" s="35" t="s">
        <v>2967</v>
      </c>
      <c r="BC608" s="36">
        <f t="shared" si="619"/>
        <v>0</v>
      </c>
      <c r="BD608" s="36">
        <f t="shared" si="620"/>
        <v>0</v>
      </c>
      <c r="BE608" s="36">
        <v>0</v>
      </c>
      <c r="BF608" s="36">
        <f>608</f>
        <v>608</v>
      </c>
      <c r="BH608" s="21">
        <f t="shared" si="621"/>
        <v>0</v>
      </c>
      <c r="BI608" s="21">
        <f t="shared" si="622"/>
        <v>0</v>
      </c>
      <c r="BJ608" s="21">
        <f t="shared" si="623"/>
        <v>0</v>
      </c>
      <c r="BK608" s="21" t="s">
        <v>2979</v>
      </c>
      <c r="BL608" s="36">
        <v>781</v>
      </c>
    </row>
    <row r="609" spans="1:64" x14ac:dyDescent="0.2">
      <c r="A609" s="4" t="s">
        <v>498</v>
      </c>
      <c r="B609" s="13" t="s">
        <v>1422</v>
      </c>
      <c r="C609" s="174" t="s">
        <v>2420</v>
      </c>
      <c r="D609" s="175"/>
      <c r="E609" s="175"/>
      <c r="F609" s="175"/>
      <c r="G609" s="13" t="s">
        <v>2854</v>
      </c>
      <c r="H609" s="82">
        <v>144.55600000000001</v>
      </c>
      <c r="I609" s="109">
        <v>0</v>
      </c>
      <c r="J609" s="20">
        <f t="shared" si="602"/>
        <v>0</v>
      </c>
      <c r="K609" s="20">
        <f t="shared" si="603"/>
        <v>0</v>
      </c>
      <c r="L609" s="20">
        <f t="shared" si="604"/>
        <v>0</v>
      </c>
      <c r="M609" s="31" t="s">
        <v>2884</v>
      </c>
      <c r="N609" s="5"/>
      <c r="Z609" s="36">
        <f t="shared" si="605"/>
        <v>0</v>
      </c>
      <c r="AB609" s="36">
        <f t="shared" si="606"/>
        <v>0</v>
      </c>
      <c r="AC609" s="36">
        <f t="shared" si="607"/>
        <v>0</v>
      </c>
      <c r="AD609" s="36">
        <f t="shared" si="608"/>
        <v>0</v>
      </c>
      <c r="AE609" s="36">
        <f t="shared" si="609"/>
        <v>0</v>
      </c>
      <c r="AF609" s="36">
        <f t="shared" si="610"/>
        <v>0</v>
      </c>
      <c r="AG609" s="36">
        <f t="shared" si="611"/>
        <v>0</v>
      </c>
      <c r="AH609" s="36">
        <f t="shared" si="612"/>
        <v>0</v>
      </c>
      <c r="AI609" s="35" t="s">
        <v>2894</v>
      </c>
      <c r="AJ609" s="20">
        <f t="shared" si="613"/>
        <v>0</v>
      </c>
      <c r="AK609" s="20">
        <f t="shared" si="614"/>
        <v>0</v>
      </c>
      <c r="AL609" s="20">
        <f t="shared" si="615"/>
        <v>0</v>
      </c>
      <c r="AN609" s="36">
        <v>21</v>
      </c>
      <c r="AO609" s="36">
        <f>I609*0.999999929230345</f>
        <v>0</v>
      </c>
      <c r="AP609" s="36">
        <f>I609*(1-0.999999929230345)</f>
        <v>0</v>
      </c>
      <c r="AQ609" s="37" t="s">
        <v>13</v>
      </c>
      <c r="AV609" s="36">
        <f t="shared" si="616"/>
        <v>0</v>
      </c>
      <c r="AW609" s="36">
        <f t="shared" si="617"/>
        <v>0</v>
      </c>
      <c r="AX609" s="36">
        <f t="shared" si="618"/>
        <v>0</v>
      </c>
      <c r="AY609" s="39" t="s">
        <v>2936</v>
      </c>
      <c r="AZ609" s="39" t="s">
        <v>2958</v>
      </c>
      <c r="BA609" s="35" t="s">
        <v>2967</v>
      </c>
      <c r="BC609" s="36">
        <f t="shared" si="619"/>
        <v>0</v>
      </c>
      <c r="BD609" s="36">
        <f t="shared" si="620"/>
        <v>0</v>
      </c>
      <c r="BE609" s="36">
        <v>0</v>
      </c>
      <c r="BF609" s="36">
        <f>609</f>
        <v>609</v>
      </c>
      <c r="BH609" s="20">
        <f t="shared" si="621"/>
        <v>0</v>
      </c>
      <c r="BI609" s="20">
        <f t="shared" si="622"/>
        <v>0</v>
      </c>
      <c r="BJ609" s="20">
        <f t="shared" si="623"/>
        <v>0</v>
      </c>
      <c r="BK609" s="20" t="s">
        <v>2978</v>
      </c>
      <c r="BL609" s="36">
        <v>781</v>
      </c>
    </row>
    <row r="610" spans="1:64" x14ac:dyDescent="0.2">
      <c r="A610" s="4" t="s">
        <v>499</v>
      </c>
      <c r="B610" s="13" t="s">
        <v>1423</v>
      </c>
      <c r="C610" s="174" t="s">
        <v>2421</v>
      </c>
      <c r="D610" s="175"/>
      <c r="E610" s="175"/>
      <c r="F610" s="175"/>
      <c r="G610" s="13" t="s">
        <v>2854</v>
      </c>
      <c r="H610" s="82">
        <v>135.40600000000001</v>
      </c>
      <c r="I610" s="109">
        <v>0</v>
      </c>
      <c r="J610" s="20">
        <f t="shared" si="602"/>
        <v>0</v>
      </c>
      <c r="K610" s="20">
        <f t="shared" si="603"/>
        <v>0</v>
      </c>
      <c r="L610" s="20">
        <f t="shared" si="604"/>
        <v>0</v>
      </c>
      <c r="M610" s="31" t="s">
        <v>2884</v>
      </c>
      <c r="N610" s="5"/>
      <c r="Z610" s="36">
        <f t="shared" si="605"/>
        <v>0</v>
      </c>
      <c r="AB610" s="36">
        <f t="shared" si="606"/>
        <v>0</v>
      </c>
      <c r="AC610" s="36">
        <f t="shared" si="607"/>
        <v>0</v>
      </c>
      <c r="AD610" s="36">
        <f t="shared" si="608"/>
        <v>0</v>
      </c>
      <c r="AE610" s="36">
        <f t="shared" si="609"/>
        <v>0</v>
      </c>
      <c r="AF610" s="36">
        <f t="shared" si="610"/>
        <v>0</v>
      </c>
      <c r="AG610" s="36">
        <f t="shared" si="611"/>
        <v>0</v>
      </c>
      <c r="AH610" s="36">
        <f t="shared" si="612"/>
        <v>0</v>
      </c>
      <c r="AI610" s="35" t="s">
        <v>2894</v>
      </c>
      <c r="AJ610" s="20">
        <f t="shared" si="613"/>
        <v>0</v>
      </c>
      <c r="AK610" s="20">
        <f t="shared" si="614"/>
        <v>0</v>
      </c>
      <c r="AL610" s="20">
        <f t="shared" si="615"/>
        <v>0</v>
      </c>
      <c r="AN610" s="36">
        <v>21</v>
      </c>
      <c r="AO610" s="36">
        <f>I610*0.157565363279906</f>
        <v>0</v>
      </c>
      <c r="AP610" s="36">
        <f>I610*(1-0.157565363279906)</f>
        <v>0</v>
      </c>
      <c r="AQ610" s="37" t="s">
        <v>13</v>
      </c>
      <c r="AV610" s="36">
        <f t="shared" si="616"/>
        <v>0</v>
      </c>
      <c r="AW610" s="36">
        <f t="shared" si="617"/>
        <v>0</v>
      </c>
      <c r="AX610" s="36">
        <f t="shared" si="618"/>
        <v>0</v>
      </c>
      <c r="AY610" s="39" t="s">
        <v>2936</v>
      </c>
      <c r="AZ610" s="39" t="s">
        <v>2958</v>
      </c>
      <c r="BA610" s="35" t="s">
        <v>2967</v>
      </c>
      <c r="BC610" s="36">
        <f t="shared" si="619"/>
        <v>0</v>
      </c>
      <c r="BD610" s="36">
        <f t="shared" si="620"/>
        <v>0</v>
      </c>
      <c r="BE610" s="36">
        <v>0</v>
      </c>
      <c r="BF610" s="36">
        <f>610</f>
        <v>610</v>
      </c>
      <c r="BH610" s="20">
        <f t="shared" si="621"/>
        <v>0</v>
      </c>
      <c r="BI610" s="20">
        <f t="shared" si="622"/>
        <v>0</v>
      </c>
      <c r="BJ610" s="20">
        <f t="shared" si="623"/>
        <v>0</v>
      </c>
      <c r="BK610" s="20" t="s">
        <v>2978</v>
      </c>
      <c r="BL610" s="36">
        <v>781</v>
      </c>
    </row>
    <row r="611" spans="1:64" x14ac:dyDescent="0.2">
      <c r="A611" s="6" t="s">
        <v>500</v>
      </c>
      <c r="B611" s="15" t="s">
        <v>1420</v>
      </c>
      <c r="C611" s="182" t="s">
        <v>2418</v>
      </c>
      <c r="D611" s="183"/>
      <c r="E611" s="183"/>
      <c r="F611" s="183"/>
      <c r="G611" s="15" t="s">
        <v>2854</v>
      </c>
      <c r="H611" s="84">
        <v>142.17599999999999</v>
      </c>
      <c r="I611" s="110">
        <v>0</v>
      </c>
      <c r="J611" s="21">
        <f t="shared" si="602"/>
        <v>0</v>
      </c>
      <c r="K611" s="21">
        <f t="shared" si="603"/>
        <v>0</v>
      </c>
      <c r="L611" s="21">
        <f t="shared" si="604"/>
        <v>0</v>
      </c>
      <c r="M611" s="32" t="s">
        <v>2884</v>
      </c>
      <c r="N611" s="5"/>
      <c r="Z611" s="36">
        <f t="shared" si="605"/>
        <v>0</v>
      </c>
      <c r="AB611" s="36">
        <f t="shared" si="606"/>
        <v>0</v>
      </c>
      <c r="AC611" s="36">
        <f t="shared" si="607"/>
        <v>0</v>
      </c>
      <c r="AD611" s="36">
        <f t="shared" si="608"/>
        <v>0</v>
      </c>
      <c r="AE611" s="36">
        <f t="shared" si="609"/>
        <v>0</v>
      </c>
      <c r="AF611" s="36">
        <f t="shared" si="610"/>
        <v>0</v>
      </c>
      <c r="AG611" s="36">
        <f t="shared" si="611"/>
        <v>0</v>
      </c>
      <c r="AH611" s="36">
        <f t="shared" si="612"/>
        <v>0</v>
      </c>
      <c r="AI611" s="35" t="s">
        <v>2894</v>
      </c>
      <c r="AJ611" s="21">
        <f t="shared" si="613"/>
        <v>0</v>
      </c>
      <c r="AK611" s="21">
        <f t="shared" si="614"/>
        <v>0</v>
      </c>
      <c r="AL611" s="21">
        <f t="shared" si="615"/>
        <v>0</v>
      </c>
      <c r="AN611" s="36">
        <v>21</v>
      </c>
      <c r="AO611" s="36">
        <f>I611*1</f>
        <v>0</v>
      </c>
      <c r="AP611" s="36">
        <f>I611*(1-1)</f>
        <v>0</v>
      </c>
      <c r="AQ611" s="38" t="s">
        <v>13</v>
      </c>
      <c r="AV611" s="36">
        <f t="shared" si="616"/>
        <v>0</v>
      </c>
      <c r="AW611" s="36">
        <f t="shared" si="617"/>
        <v>0</v>
      </c>
      <c r="AX611" s="36">
        <f t="shared" si="618"/>
        <v>0</v>
      </c>
      <c r="AY611" s="39" t="s">
        <v>2936</v>
      </c>
      <c r="AZ611" s="39" t="s">
        <v>2958</v>
      </c>
      <c r="BA611" s="35" t="s">
        <v>2967</v>
      </c>
      <c r="BC611" s="36">
        <f t="shared" si="619"/>
        <v>0</v>
      </c>
      <c r="BD611" s="36">
        <f t="shared" si="620"/>
        <v>0</v>
      </c>
      <c r="BE611" s="36">
        <v>0</v>
      </c>
      <c r="BF611" s="36">
        <f>611</f>
        <v>611</v>
      </c>
      <c r="BH611" s="21">
        <f t="shared" si="621"/>
        <v>0</v>
      </c>
      <c r="BI611" s="21">
        <f t="shared" si="622"/>
        <v>0</v>
      </c>
      <c r="BJ611" s="21">
        <f t="shared" si="623"/>
        <v>0</v>
      </c>
      <c r="BK611" s="21" t="s">
        <v>2979</v>
      </c>
      <c r="BL611" s="36">
        <v>781</v>
      </c>
    </row>
    <row r="612" spans="1:64" x14ac:dyDescent="0.2">
      <c r="A612" s="4" t="s">
        <v>501</v>
      </c>
      <c r="B612" s="13" t="s">
        <v>1424</v>
      </c>
      <c r="C612" s="174" t="s">
        <v>2422</v>
      </c>
      <c r="D612" s="175"/>
      <c r="E612" s="175"/>
      <c r="F612" s="175"/>
      <c r="G612" s="13" t="s">
        <v>2854</v>
      </c>
      <c r="H612" s="82">
        <v>144.55600000000001</v>
      </c>
      <c r="I612" s="109">
        <v>0</v>
      </c>
      <c r="J612" s="20">
        <f t="shared" si="602"/>
        <v>0</v>
      </c>
      <c r="K612" s="20">
        <f t="shared" si="603"/>
        <v>0</v>
      </c>
      <c r="L612" s="20">
        <f t="shared" si="604"/>
        <v>0</v>
      </c>
      <c r="M612" s="31" t="s">
        <v>2884</v>
      </c>
      <c r="N612" s="5"/>
      <c r="Z612" s="36">
        <f t="shared" si="605"/>
        <v>0</v>
      </c>
      <c r="AB612" s="36">
        <f t="shared" si="606"/>
        <v>0</v>
      </c>
      <c r="AC612" s="36">
        <f t="shared" si="607"/>
        <v>0</v>
      </c>
      <c r="AD612" s="36">
        <f t="shared" si="608"/>
        <v>0</v>
      </c>
      <c r="AE612" s="36">
        <f t="shared" si="609"/>
        <v>0</v>
      </c>
      <c r="AF612" s="36">
        <f t="shared" si="610"/>
        <v>0</v>
      </c>
      <c r="AG612" s="36">
        <f t="shared" si="611"/>
        <v>0</v>
      </c>
      <c r="AH612" s="36">
        <f t="shared" si="612"/>
        <v>0</v>
      </c>
      <c r="AI612" s="35" t="s">
        <v>2894</v>
      </c>
      <c r="AJ612" s="20">
        <f t="shared" si="613"/>
        <v>0</v>
      </c>
      <c r="AK612" s="20">
        <f t="shared" si="614"/>
        <v>0</v>
      </c>
      <c r="AL612" s="20">
        <f t="shared" si="615"/>
        <v>0</v>
      </c>
      <c r="AN612" s="36">
        <v>21</v>
      </c>
      <c r="AO612" s="36">
        <f>I612*0.999999379178076</f>
        <v>0</v>
      </c>
      <c r="AP612" s="36">
        <f>I612*(1-0.999999379178076)</f>
        <v>0</v>
      </c>
      <c r="AQ612" s="37" t="s">
        <v>13</v>
      </c>
      <c r="AV612" s="36">
        <f t="shared" si="616"/>
        <v>0</v>
      </c>
      <c r="AW612" s="36">
        <f t="shared" si="617"/>
        <v>0</v>
      </c>
      <c r="AX612" s="36">
        <f t="shared" si="618"/>
        <v>0</v>
      </c>
      <c r="AY612" s="39" t="s">
        <v>2936</v>
      </c>
      <c r="AZ612" s="39" t="s">
        <v>2958</v>
      </c>
      <c r="BA612" s="35" t="s">
        <v>2967</v>
      </c>
      <c r="BC612" s="36">
        <f t="shared" si="619"/>
        <v>0</v>
      </c>
      <c r="BD612" s="36">
        <f t="shared" si="620"/>
        <v>0</v>
      </c>
      <c r="BE612" s="36">
        <v>0</v>
      </c>
      <c r="BF612" s="36">
        <f>612</f>
        <v>612</v>
      </c>
      <c r="BH612" s="20">
        <f t="shared" si="621"/>
        <v>0</v>
      </c>
      <c r="BI612" s="20">
        <f t="shared" si="622"/>
        <v>0</v>
      </c>
      <c r="BJ612" s="20">
        <f t="shared" si="623"/>
        <v>0</v>
      </c>
      <c r="BK612" s="20" t="s">
        <v>2978</v>
      </c>
      <c r="BL612" s="36">
        <v>781</v>
      </c>
    </row>
    <row r="613" spans="1:64" x14ac:dyDescent="0.2">
      <c r="A613" s="4" t="s">
        <v>502</v>
      </c>
      <c r="B613" s="13" t="s">
        <v>1425</v>
      </c>
      <c r="C613" s="174" t="s">
        <v>2423</v>
      </c>
      <c r="D613" s="175"/>
      <c r="E613" s="175"/>
      <c r="F613" s="175"/>
      <c r="G613" s="13" t="s">
        <v>2855</v>
      </c>
      <c r="H613" s="82">
        <v>67.06</v>
      </c>
      <c r="I613" s="109">
        <v>0</v>
      </c>
      <c r="J613" s="20">
        <f t="shared" si="602"/>
        <v>0</v>
      </c>
      <c r="K613" s="20">
        <f t="shared" si="603"/>
        <v>0</v>
      </c>
      <c r="L613" s="20">
        <f t="shared" si="604"/>
        <v>0</v>
      </c>
      <c r="M613" s="31" t="s">
        <v>2884</v>
      </c>
      <c r="N613" s="5"/>
      <c r="Z613" s="36">
        <f t="shared" si="605"/>
        <v>0</v>
      </c>
      <c r="AB613" s="36">
        <f t="shared" si="606"/>
        <v>0</v>
      </c>
      <c r="AC613" s="36">
        <f t="shared" si="607"/>
        <v>0</v>
      </c>
      <c r="AD613" s="36">
        <f t="shared" si="608"/>
        <v>0</v>
      </c>
      <c r="AE613" s="36">
        <f t="shared" si="609"/>
        <v>0</v>
      </c>
      <c r="AF613" s="36">
        <f t="shared" si="610"/>
        <v>0</v>
      </c>
      <c r="AG613" s="36">
        <f t="shared" si="611"/>
        <v>0</v>
      </c>
      <c r="AH613" s="36">
        <f t="shared" si="612"/>
        <v>0</v>
      </c>
      <c r="AI613" s="35" t="s">
        <v>2894</v>
      </c>
      <c r="AJ613" s="20">
        <f t="shared" si="613"/>
        <v>0</v>
      </c>
      <c r="AK613" s="20">
        <f t="shared" si="614"/>
        <v>0</v>
      </c>
      <c r="AL613" s="20">
        <f t="shared" si="615"/>
        <v>0</v>
      </c>
      <c r="AN613" s="36">
        <v>21</v>
      </c>
      <c r="AO613" s="36">
        <f>I613*0.658315680371062</f>
        <v>0</v>
      </c>
      <c r="AP613" s="36">
        <f>I613*(1-0.658315680371062)</f>
        <v>0</v>
      </c>
      <c r="AQ613" s="37" t="s">
        <v>13</v>
      </c>
      <c r="AV613" s="36">
        <f t="shared" si="616"/>
        <v>0</v>
      </c>
      <c r="AW613" s="36">
        <f t="shared" si="617"/>
        <v>0</v>
      </c>
      <c r="AX613" s="36">
        <f t="shared" si="618"/>
        <v>0</v>
      </c>
      <c r="AY613" s="39" t="s">
        <v>2936</v>
      </c>
      <c r="AZ613" s="39" t="s">
        <v>2958</v>
      </c>
      <c r="BA613" s="35" t="s">
        <v>2967</v>
      </c>
      <c r="BC613" s="36">
        <f t="shared" si="619"/>
        <v>0</v>
      </c>
      <c r="BD613" s="36">
        <f t="shared" si="620"/>
        <v>0</v>
      </c>
      <c r="BE613" s="36">
        <v>0</v>
      </c>
      <c r="BF613" s="36">
        <f>613</f>
        <v>613</v>
      </c>
      <c r="BH613" s="20">
        <f t="shared" si="621"/>
        <v>0</v>
      </c>
      <c r="BI613" s="20">
        <f t="shared" si="622"/>
        <v>0</v>
      </c>
      <c r="BJ613" s="20">
        <f t="shared" si="623"/>
        <v>0</v>
      </c>
      <c r="BK613" s="20" t="s">
        <v>2978</v>
      </c>
      <c r="BL613" s="36">
        <v>781</v>
      </c>
    </row>
    <row r="614" spans="1:64" x14ac:dyDescent="0.2">
      <c r="A614" s="4" t="s">
        <v>503</v>
      </c>
      <c r="B614" s="13" t="s">
        <v>1426</v>
      </c>
      <c r="C614" s="174" t="s">
        <v>2424</v>
      </c>
      <c r="D614" s="175"/>
      <c r="E614" s="175"/>
      <c r="F614" s="175"/>
      <c r="G614" s="13" t="s">
        <v>2855</v>
      </c>
      <c r="H614" s="82">
        <v>64.209999999999994</v>
      </c>
      <c r="I614" s="109">
        <v>0</v>
      </c>
      <c r="J614" s="20">
        <f t="shared" si="602"/>
        <v>0</v>
      </c>
      <c r="K614" s="20">
        <f t="shared" si="603"/>
        <v>0</v>
      </c>
      <c r="L614" s="20">
        <f t="shared" si="604"/>
        <v>0</v>
      </c>
      <c r="M614" s="31" t="s">
        <v>2884</v>
      </c>
      <c r="N614" s="5"/>
      <c r="Z614" s="36">
        <f t="shared" si="605"/>
        <v>0</v>
      </c>
      <c r="AB614" s="36">
        <f t="shared" si="606"/>
        <v>0</v>
      </c>
      <c r="AC614" s="36">
        <f t="shared" si="607"/>
        <v>0</v>
      </c>
      <c r="AD614" s="36">
        <f t="shared" si="608"/>
        <v>0</v>
      </c>
      <c r="AE614" s="36">
        <f t="shared" si="609"/>
        <v>0</v>
      </c>
      <c r="AF614" s="36">
        <f t="shared" si="610"/>
        <v>0</v>
      </c>
      <c r="AG614" s="36">
        <f t="shared" si="611"/>
        <v>0</v>
      </c>
      <c r="AH614" s="36">
        <f t="shared" si="612"/>
        <v>0</v>
      </c>
      <c r="AI614" s="35" t="s">
        <v>2894</v>
      </c>
      <c r="AJ614" s="20">
        <f t="shared" si="613"/>
        <v>0</v>
      </c>
      <c r="AK614" s="20">
        <f t="shared" si="614"/>
        <v>0</v>
      </c>
      <c r="AL614" s="20">
        <f t="shared" si="615"/>
        <v>0</v>
      </c>
      <c r="AN614" s="36">
        <v>21</v>
      </c>
      <c r="AO614" s="36">
        <f>I614*0</f>
        <v>0</v>
      </c>
      <c r="AP614" s="36">
        <f>I614*(1-0)</f>
        <v>0</v>
      </c>
      <c r="AQ614" s="37" t="s">
        <v>13</v>
      </c>
      <c r="AV614" s="36">
        <f t="shared" si="616"/>
        <v>0</v>
      </c>
      <c r="AW614" s="36">
        <f t="shared" si="617"/>
        <v>0</v>
      </c>
      <c r="AX614" s="36">
        <f t="shared" si="618"/>
        <v>0</v>
      </c>
      <c r="AY614" s="39" t="s">
        <v>2936</v>
      </c>
      <c r="AZ614" s="39" t="s">
        <v>2958</v>
      </c>
      <c r="BA614" s="35" t="s">
        <v>2967</v>
      </c>
      <c r="BC614" s="36">
        <f t="shared" si="619"/>
        <v>0</v>
      </c>
      <c r="BD614" s="36">
        <f t="shared" si="620"/>
        <v>0</v>
      </c>
      <c r="BE614" s="36">
        <v>0</v>
      </c>
      <c r="BF614" s="36">
        <f>614</f>
        <v>614</v>
      </c>
      <c r="BH614" s="20">
        <f t="shared" si="621"/>
        <v>0</v>
      </c>
      <c r="BI614" s="20">
        <f t="shared" si="622"/>
        <v>0</v>
      </c>
      <c r="BJ614" s="20">
        <f t="shared" si="623"/>
        <v>0</v>
      </c>
      <c r="BK614" s="20" t="s">
        <v>2978</v>
      </c>
      <c r="BL614" s="36">
        <v>781</v>
      </c>
    </row>
    <row r="615" spans="1:64" x14ac:dyDescent="0.2">
      <c r="A615" s="6" t="s">
        <v>504</v>
      </c>
      <c r="B615" s="15" t="s">
        <v>1427</v>
      </c>
      <c r="C615" s="182" t="s">
        <v>2425</v>
      </c>
      <c r="D615" s="183"/>
      <c r="E615" s="183"/>
      <c r="F615" s="183"/>
      <c r="G615" s="15" t="s">
        <v>2855</v>
      </c>
      <c r="H615" s="84">
        <v>67.421000000000006</v>
      </c>
      <c r="I615" s="110">
        <v>0</v>
      </c>
      <c r="J615" s="21">
        <f t="shared" si="602"/>
        <v>0</v>
      </c>
      <c r="K615" s="21">
        <f t="shared" si="603"/>
        <v>0</v>
      </c>
      <c r="L615" s="21">
        <f t="shared" si="604"/>
        <v>0</v>
      </c>
      <c r="M615" s="32" t="s">
        <v>2884</v>
      </c>
      <c r="N615" s="5"/>
      <c r="Z615" s="36">
        <f t="shared" si="605"/>
        <v>0</v>
      </c>
      <c r="AB615" s="36">
        <f t="shared" si="606"/>
        <v>0</v>
      </c>
      <c r="AC615" s="36">
        <f t="shared" si="607"/>
        <v>0</v>
      </c>
      <c r="AD615" s="36">
        <f t="shared" si="608"/>
        <v>0</v>
      </c>
      <c r="AE615" s="36">
        <f t="shared" si="609"/>
        <v>0</v>
      </c>
      <c r="AF615" s="36">
        <f t="shared" si="610"/>
        <v>0</v>
      </c>
      <c r="AG615" s="36">
        <f t="shared" si="611"/>
        <v>0</v>
      </c>
      <c r="AH615" s="36">
        <f t="shared" si="612"/>
        <v>0</v>
      </c>
      <c r="AI615" s="35" t="s">
        <v>2894</v>
      </c>
      <c r="AJ615" s="21">
        <f t="shared" si="613"/>
        <v>0</v>
      </c>
      <c r="AK615" s="21">
        <f t="shared" si="614"/>
        <v>0</v>
      </c>
      <c r="AL615" s="21">
        <f t="shared" si="615"/>
        <v>0</v>
      </c>
      <c r="AN615" s="36">
        <v>21</v>
      </c>
      <c r="AO615" s="36">
        <f>I615*1</f>
        <v>0</v>
      </c>
      <c r="AP615" s="36">
        <f>I615*(1-1)</f>
        <v>0</v>
      </c>
      <c r="AQ615" s="38" t="s">
        <v>13</v>
      </c>
      <c r="AV615" s="36">
        <f t="shared" si="616"/>
        <v>0</v>
      </c>
      <c r="AW615" s="36">
        <f t="shared" si="617"/>
        <v>0</v>
      </c>
      <c r="AX615" s="36">
        <f t="shared" si="618"/>
        <v>0</v>
      </c>
      <c r="AY615" s="39" t="s">
        <v>2936</v>
      </c>
      <c r="AZ615" s="39" t="s">
        <v>2958</v>
      </c>
      <c r="BA615" s="35" t="s">
        <v>2967</v>
      </c>
      <c r="BC615" s="36">
        <f t="shared" si="619"/>
        <v>0</v>
      </c>
      <c r="BD615" s="36">
        <f t="shared" si="620"/>
        <v>0</v>
      </c>
      <c r="BE615" s="36">
        <v>0</v>
      </c>
      <c r="BF615" s="36">
        <f>615</f>
        <v>615</v>
      </c>
      <c r="BH615" s="21">
        <f t="shared" si="621"/>
        <v>0</v>
      </c>
      <c r="BI615" s="21">
        <f t="shared" si="622"/>
        <v>0</v>
      </c>
      <c r="BJ615" s="21">
        <f t="shared" si="623"/>
        <v>0</v>
      </c>
      <c r="BK615" s="21" t="s">
        <v>2979</v>
      </c>
      <c r="BL615" s="36">
        <v>781</v>
      </c>
    </row>
    <row r="616" spans="1:64" x14ac:dyDescent="0.2">
      <c r="A616" s="4" t="s">
        <v>505</v>
      </c>
      <c r="B616" s="13" t="s">
        <v>1426</v>
      </c>
      <c r="C616" s="174" t="s">
        <v>2426</v>
      </c>
      <c r="D616" s="175"/>
      <c r="E616" s="175"/>
      <c r="F616" s="175"/>
      <c r="G616" s="13" t="s">
        <v>2855</v>
      </c>
      <c r="H616" s="82">
        <v>20.399999999999999</v>
      </c>
      <c r="I616" s="109">
        <v>0</v>
      </c>
      <c r="J616" s="20">
        <f t="shared" si="602"/>
        <v>0</v>
      </c>
      <c r="K616" s="20">
        <f t="shared" si="603"/>
        <v>0</v>
      </c>
      <c r="L616" s="20">
        <f t="shared" si="604"/>
        <v>0</v>
      </c>
      <c r="M616" s="31" t="s">
        <v>2884</v>
      </c>
      <c r="N616" s="5"/>
      <c r="Z616" s="36">
        <f t="shared" si="605"/>
        <v>0</v>
      </c>
      <c r="AB616" s="36">
        <f t="shared" si="606"/>
        <v>0</v>
      </c>
      <c r="AC616" s="36">
        <f t="shared" si="607"/>
        <v>0</v>
      </c>
      <c r="AD616" s="36">
        <f t="shared" si="608"/>
        <v>0</v>
      </c>
      <c r="AE616" s="36">
        <f t="shared" si="609"/>
        <v>0</v>
      </c>
      <c r="AF616" s="36">
        <f t="shared" si="610"/>
        <v>0</v>
      </c>
      <c r="AG616" s="36">
        <f t="shared" si="611"/>
        <v>0</v>
      </c>
      <c r="AH616" s="36">
        <f t="shared" si="612"/>
        <v>0</v>
      </c>
      <c r="AI616" s="35" t="s">
        <v>2894</v>
      </c>
      <c r="AJ616" s="20">
        <f t="shared" si="613"/>
        <v>0</v>
      </c>
      <c r="AK616" s="20">
        <f t="shared" si="614"/>
        <v>0</v>
      </c>
      <c r="AL616" s="20">
        <f t="shared" si="615"/>
        <v>0</v>
      </c>
      <c r="AN616" s="36">
        <v>21</v>
      </c>
      <c r="AO616" s="36">
        <f>I616*0</f>
        <v>0</v>
      </c>
      <c r="AP616" s="36">
        <f>I616*(1-0)</f>
        <v>0</v>
      </c>
      <c r="AQ616" s="37" t="s">
        <v>13</v>
      </c>
      <c r="AV616" s="36">
        <f t="shared" si="616"/>
        <v>0</v>
      </c>
      <c r="AW616" s="36">
        <f t="shared" si="617"/>
        <v>0</v>
      </c>
      <c r="AX616" s="36">
        <f t="shared" si="618"/>
        <v>0</v>
      </c>
      <c r="AY616" s="39" t="s">
        <v>2936</v>
      </c>
      <c r="AZ616" s="39" t="s">
        <v>2958</v>
      </c>
      <c r="BA616" s="35" t="s">
        <v>2967</v>
      </c>
      <c r="BC616" s="36">
        <f t="shared" si="619"/>
        <v>0</v>
      </c>
      <c r="BD616" s="36">
        <f t="shared" si="620"/>
        <v>0</v>
      </c>
      <c r="BE616" s="36">
        <v>0</v>
      </c>
      <c r="BF616" s="36">
        <f>616</f>
        <v>616</v>
      </c>
      <c r="BH616" s="20">
        <f t="shared" si="621"/>
        <v>0</v>
      </c>
      <c r="BI616" s="20">
        <f t="shared" si="622"/>
        <v>0</v>
      </c>
      <c r="BJ616" s="20">
        <f t="shared" si="623"/>
        <v>0</v>
      </c>
      <c r="BK616" s="20" t="s">
        <v>2978</v>
      </c>
      <c r="BL616" s="36">
        <v>781</v>
      </c>
    </row>
    <row r="617" spans="1:64" x14ac:dyDescent="0.2">
      <c r="A617" s="6" t="s">
        <v>506</v>
      </c>
      <c r="B617" s="15" t="s">
        <v>1428</v>
      </c>
      <c r="C617" s="182" t="s">
        <v>2427</v>
      </c>
      <c r="D617" s="183"/>
      <c r="E617" s="183"/>
      <c r="F617" s="183"/>
      <c r="G617" s="15" t="s">
        <v>2855</v>
      </c>
      <c r="H617" s="84">
        <v>21.42</v>
      </c>
      <c r="I617" s="110">
        <v>0</v>
      </c>
      <c r="J617" s="21">
        <f t="shared" si="602"/>
        <v>0</v>
      </c>
      <c r="K617" s="21">
        <f t="shared" si="603"/>
        <v>0</v>
      </c>
      <c r="L617" s="21">
        <f t="shared" si="604"/>
        <v>0</v>
      </c>
      <c r="M617" s="32" t="s">
        <v>2884</v>
      </c>
      <c r="N617" s="5"/>
      <c r="Z617" s="36">
        <f t="shared" si="605"/>
        <v>0</v>
      </c>
      <c r="AB617" s="36">
        <f t="shared" si="606"/>
        <v>0</v>
      </c>
      <c r="AC617" s="36">
        <f t="shared" si="607"/>
        <v>0</v>
      </c>
      <c r="AD617" s="36">
        <f t="shared" si="608"/>
        <v>0</v>
      </c>
      <c r="AE617" s="36">
        <f t="shared" si="609"/>
        <v>0</v>
      </c>
      <c r="AF617" s="36">
        <f t="shared" si="610"/>
        <v>0</v>
      </c>
      <c r="AG617" s="36">
        <f t="shared" si="611"/>
        <v>0</v>
      </c>
      <c r="AH617" s="36">
        <f t="shared" si="612"/>
        <v>0</v>
      </c>
      <c r="AI617" s="35" t="s">
        <v>2894</v>
      </c>
      <c r="AJ617" s="21">
        <f t="shared" si="613"/>
        <v>0</v>
      </c>
      <c r="AK617" s="21">
        <f t="shared" si="614"/>
        <v>0</v>
      </c>
      <c r="AL617" s="21">
        <f t="shared" si="615"/>
        <v>0</v>
      </c>
      <c r="AN617" s="36">
        <v>21</v>
      </c>
      <c r="AO617" s="36">
        <f>I617*1</f>
        <v>0</v>
      </c>
      <c r="AP617" s="36">
        <f>I617*(1-1)</f>
        <v>0</v>
      </c>
      <c r="AQ617" s="38" t="s">
        <v>13</v>
      </c>
      <c r="AV617" s="36">
        <f t="shared" si="616"/>
        <v>0</v>
      </c>
      <c r="AW617" s="36">
        <f t="shared" si="617"/>
        <v>0</v>
      </c>
      <c r="AX617" s="36">
        <f t="shared" si="618"/>
        <v>0</v>
      </c>
      <c r="AY617" s="39" t="s">
        <v>2936</v>
      </c>
      <c r="AZ617" s="39" t="s">
        <v>2958</v>
      </c>
      <c r="BA617" s="35" t="s">
        <v>2967</v>
      </c>
      <c r="BC617" s="36">
        <f t="shared" si="619"/>
        <v>0</v>
      </c>
      <c r="BD617" s="36">
        <f t="shared" si="620"/>
        <v>0</v>
      </c>
      <c r="BE617" s="36">
        <v>0</v>
      </c>
      <c r="BF617" s="36">
        <f>617</f>
        <v>617</v>
      </c>
      <c r="BH617" s="21">
        <f t="shared" si="621"/>
        <v>0</v>
      </c>
      <c r="BI617" s="21">
        <f t="shared" si="622"/>
        <v>0</v>
      </c>
      <c r="BJ617" s="21">
        <f t="shared" si="623"/>
        <v>0</v>
      </c>
      <c r="BK617" s="21" t="s">
        <v>2979</v>
      </c>
      <c r="BL617" s="36">
        <v>781</v>
      </c>
    </row>
    <row r="618" spans="1:64" x14ac:dyDescent="0.2">
      <c r="A618" s="4" t="s">
        <v>507</v>
      </c>
      <c r="B618" s="13" t="s">
        <v>1426</v>
      </c>
      <c r="C618" s="174" t="s">
        <v>2428</v>
      </c>
      <c r="D618" s="175"/>
      <c r="E618" s="175"/>
      <c r="F618" s="175"/>
      <c r="G618" s="13" t="s">
        <v>2855</v>
      </c>
      <c r="H618" s="82">
        <v>82.8</v>
      </c>
      <c r="I618" s="109">
        <v>0</v>
      </c>
      <c r="J618" s="20">
        <f t="shared" si="602"/>
        <v>0</v>
      </c>
      <c r="K618" s="20">
        <f t="shared" si="603"/>
        <v>0</v>
      </c>
      <c r="L618" s="20">
        <f t="shared" si="604"/>
        <v>0</v>
      </c>
      <c r="M618" s="31" t="s">
        <v>2884</v>
      </c>
      <c r="N618" s="5"/>
      <c r="Z618" s="36">
        <f t="shared" si="605"/>
        <v>0</v>
      </c>
      <c r="AB618" s="36">
        <f t="shared" si="606"/>
        <v>0</v>
      </c>
      <c r="AC618" s="36">
        <f t="shared" si="607"/>
        <v>0</v>
      </c>
      <c r="AD618" s="36">
        <f t="shared" si="608"/>
        <v>0</v>
      </c>
      <c r="AE618" s="36">
        <f t="shared" si="609"/>
        <v>0</v>
      </c>
      <c r="AF618" s="36">
        <f t="shared" si="610"/>
        <v>0</v>
      </c>
      <c r="AG618" s="36">
        <f t="shared" si="611"/>
        <v>0</v>
      </c>
      <c r="AH618" s="36">
        <f t="shared" si="612"/>
        <v>0</v>
      </c>
      <c r="AI618" s="35" t="s">
        <v>2894</v>
      </c>
      <c r="AJ618" s="20">
        <f t="shared" si="613"/>
        <v>0</v>
      </c>
      <c r="AK618" s="20">
        <f t="shared" si="614"/>
        <v>0</v>
      </c>
      <c r="AL618" s="20">
        <f t="shared" si="615"/>
        <v>0</v>
      </c>
      <c r="AN618" s="36">
        <v>21</v>
      </c>
      <c r="AO618" s="36">
        <f>I618*0</f>
        <v>0</v>
      </c>
      <c r="AP618" s="36">
        <f>I618*(1-0)</f>
        <v>0</v>
      </c>
      <c r="AQ618" s="37" t="s">
        <v>13</v>
      </c>
      <c r="AV618" s="36">
        <f t="shared" si="616"/>
        <v>0</v>
      </c>
      <c r="AW618" s="36">
        <f t="shared" si="617"/>
        <v>0</v>
      </c>
      <c r="AX618" s="36">
        <f t="shared" si="618"/>
        <v>0</v>
      </c>
      <c r="AY618" s="39" t="s">
        <v>2936</v>
      </c>
      <c r="AZ618" s="39" t="s">
        <v>2958</v>
      </c>
      <c r="BA618" s="35" t="s">
        <v>2967</v>
      </c>
      <c r="BC618" s="36">
        <f t="shared" si="619"/>
        <v>0</v>
      </c>
      <c r="BD618" s="36">
        <f t="shared" si="620"/>
        <v>0</v>
      </c>
      <c r="BE618" s="36">
        <v>0</v>
      </c>
      <c r="BF618" s="36">
        <f>618</f>
        <v>618</v>
      </c>
      <c r="BH618" s="20">
        <f t="shared" si="621"/>
        <v>0</v>
      </c>
      <c r="BI618" s="20">
        <f t="shared" si="622"/>
        <v>0</v>
      </c>
      <c r="BJ618" s="20">
        <f t="shared" si="623"/>
        <v>0</v>
      </c>
      <c r="BK618" s="20" t="s">
        <v>2978</v>
      </c>
      <c r="BL618" s="36">
        <v>781</v>
      </c>
    </row>
    <row r="619" spans="1:64" x14ac:dyDescent="0.2">
      <c r="A619" s="6" t="s">
        <v>508</v>
      </c>
      <c r="B619" s="15" t="s">
        <v>1429</v>
      </c>
      <c r="C619" s="182" t="s">
        <v>2429</v>
      </c>
      <c r="D619" s="183"/>
      <c r="E619" s="183"/>
      <c r="F619" s="183"/>
      <c r="G619" s="15" t="s">
        <v>2855</v>
      </c>
      <c r="H619" s="84">
        <v>86.94</v>
      </c>
      <c r="I619" s="110">
        <v>0</v>
      </c>
      <c r="J619" s="21">
        <f t="shared" si="602"/>
        <v>0</v>
      </c>
      <c r="K619" s="21">
        <f t="shared" si="603"/>
        <v>0</v>
      </c>
      <c r="L619" s="21">
        <f t="shared" si="604"/>
        <v>0</v>
      </c>
      <c r="M619" s="32" t="s">
        <v>2884</v>
      </c>
      <c r="N619" s="5"/>
      <c r="Z619" s="36">
        <f t="shared" si="605"/>
        <v>0</v>
      </c>
      <c r="AB619" s="36">
        <f t="shared" si="606"/>
        <v>0</v>
      </c>
      <c r="AC619" s="36">
        <f t="shared" si="607"/>
        <v>0</v>
      </c>
      <c r="AD619" s="36">
        <f t="shared" si="608"/>
        <v>0</v>
      </c>
      <c r="AE619" s="36">
        <f t="shared" si="609"/>
        <v>0</v>
      </c>
      <c r="AF619" s="36">
        <f t="shared" si="610"/>
        <v>0</v>
      </c>
      <c r="AG619" s="36">
        <f t="shared" si="611"/>
        <v>0</v>
      </c>
      <c r="AH619" s="36">
        <f t="shared" si="612"/>
        <v>0</v>
      </c>
      <c r="AI619" s="35" t="s">
        <v>2894</v>
      </c>
      <c r="AJ619" s="21">
        <f t="shared" si="613"/>
        <v>0</v>
      </c>
      <c r="AK619" s="21">
        <f t="shared" si="614"/>
        <v>0</v>
      </c>
      <c r="AL619" s="21">
        <f t="shared" si="615"/>
        <v>0</v>
      </c>
      <c r="AN619" s="36">
        <v>21</v>
      </c>
      <c r="AO619" s="36">
        <f>I619*1</f>
        <v>0</v>
      </c>
      <c r="AP619" s="36">
        <f>I619*(1-1)</f>
        <v>0</v>
      </c>
      <c r="AQ619" s="38" t="s">
        <v>13</v>
      </c>
      <c r="AV619" s="36">
        <f t="shared" si="616"/>
        <v>0</v>
      </c>
      <c r="AW619" s="36">
        <f t="shared" si="617"/>
        <v>0</v>
      </c>
      <c r="AX619" s="36">
        <f t="shared" si="618"/>
        <v>0</v>
      </c>
      <c r="AY619" s="39" t="s">
        <v>2936</v>
      </c>
      <c r="AZ619" s="39" t="s">
        <v>2958</v>
      </c>
      <c r="BA619" s="35" t="s">
        <v>2967</v>
      </c>
      <c r="BC619" s="36">
        <f t="shared" si="619"/>
        <v>0</v>
      </c>
      <c r="BD619" s="36">
        <f t="shared" si="620"/>
        <v>0</v>
      </c>
      <c r="BE619" s="36">
        <v>0</v>
      </c>
      <c r="BF619" s="36">
        <f>619</f>
        <v>619</v>
      </c>
      <c r="BH619" s="21">
        <f t="shared" si="621"/>
        <v>0</v>
      </c>
      <c r="BI619" s="21">
        <f t="shared" si="622"/>
        <v>0</v>
      </c>
      <c r="BJ619" s="21">
        <f t="shared" si="623"/>
        <v>0</v>
      </c>
      <c r="BK619" s="21" t="s">
        <v>2979</v>
      </c>
      <c r="BL619" s="36">
        <v>781</v>
      </c>
    </row>
    <row r="620" spans="1:64" x14ac:dyDescent="0.2">
      <c r="A620" s="4" t="s">
        <v>509</v>
      </c>
      <c r="B620" s="13" t="s">
        <v>1430</v>
      </c>
      <c r="C620" s="174" t="s">
        <v>2430</v>
      </c>
      <c r="D620" s="175"/>
      <c r="E620" s="175"/>
      <c r="F620" s="175"/>
      <c r="G620" s="13" t="s">
        <v>2856</v>
      </c>
      <c r="H620" s="82">
        <v>2.996</v>
      </c>
      <c r="I620" s="109">
        <v>0</v>
      </c>
      <c r="J620" s="20">
        <f t="shared" si="602"/>
        <v>0</v>
      </c>
      <c r="K620" s="20">
        <f t="shared" si="603"/>
        <v>0</v>
      </c>
      <c r="L620" s="20">
        <f t="shared" si="604"/>
        <v>0</v>
      </c>
      <c r="M620" s="31" t="s">
        <v>2884</v>
      </c>
      <c r="N620" s="5"/>
      <c r="Z620" s="36">
        <f t="shared" si="605"/>
        <v>0</v>
      </c>
      <c r="AB620" s="36">
        <f t="shared" si="606"/>
        <v>0</v>
      </c>
      <c r="AC620" s="36">
        <f t="shared" si="607"/>
        <v>0</v>
      </c>
      <c r="AD620" s="36">
        <f t="shared" si="608"/>
        <v>0</v>
      </c>
      <c r="AE620" s="36">
        <f t="shared" si="609"/>
        <v>0</v>
      </c>
      <c r="AF620" s="36">
        <f t="shared" si="610"/>
        <v>0</v>
      </c>
      <c r="AG620" s="36">
        <f t="shared" si="611"/>
        <v>0</v>
      </c>
      <c r="AH620" s="36">
        <f t="shared" si="612"/>
        <v>0</v>
      </c>
      <c r="AI620" s="35" t="s">
        <v>2894</v>
      </c>
      <c r="AJ620" s="20">
        <f t="shared" si="613"/>
        <v>0</v>
      </c>
      <c r="AK620" s="20">
        <f t="shared" si="614"/>
        <v>0</v>
      </c>
      <c r="AL620" s="20">
        <f t="shared" si="615"/>
        <v>0</v>
      </c>
      <c r="AN620" s="36">
        <v>21</v>
      </c>
      <c r="AO620" s="36">
        <f>I620*0</f>
        <v>0</v>
      </c>
      <c r="AP620" s="36">
        <f>I620*(1-0)</f>
        <v>0</v>
      </c>
      <c r="AQ620" s="37" t="s">
        <v>11</v>
      </c>
      <c r="AV620" s="36">
        <f t="shared" si="616"/>
        <v>0</v>
      </c>
      <c r="AW620" s="36">
        <f t="shared" si="617"/>
        <v>0</v>
      </c>
      <c r="AX620" s="36">
        <f t="shared" si="618"/>
        <v>0</v>
      </c>
      <c r="AY620" s="39" t="s">
        <v>2936</v>
      </c>
      <c r="AZ620" s="39" t="s">
        <v>2958</v>
      </c>
      <c r="BA620" s="35" t="s">
        <v>2967</v>
      </c>
      <c r="BC620" s="36">
        <f t="shared" si="619"/>
        <v>0</v>
      </c>
      <c r="BD620" s="36">
        <f t="shared" si="620"/>
        <v>0</v>
      </c>
      <c r="BE620" s="36">
        <v>0</v>
      </c>
      <c r="BF620" s="36">
        <f>620</f>
        <v>620</v>
      </c>
      <c r="BH620" s="20">
        <f t="shared" si="621"/>
        <v>0</v>
      </c>
      <c r="BI620" s="20">
        <f t="shared" si="622"/>
        <v>0</v>
      </c>
      <c r="BJ620" s="20">
        <f t="shared" si="623"/>
        <v>0</v>
      </c>
      <c r="BK620" s="20" t="s">
        <v>2978</v>
      </c>
      <c r="BL620" s="36">
        <v>781</v>
      </c>
    </row>
    <row r="621" spans="1:64" x14ac:dyDescent="0.2">
      <c r="A621" s="3"/>
      <c r="B621" s="12" t="s">
        <v>790</v>
      </c>
      <c r="C621" s="172" t="s">
        <v>2431</v>
      </c>
      <c r="D621" s="173"/>
      <c r="E621" s="173"/>
      <c r="F621" s="173"/>
      <c r="G621" s="18" t="s">
        <v>6</v>
      </c>
      <c r="H621" s="18" t="s">
        <v>6</v>
      </c>
      <c r="I621" s="18" t="s">
        <v>6</v>
      </c>
      <c r="J621" s="41">
        <f>SUM(J622:J626)</f>
        <v>0</v>
      </c>
      <c r="K621" s="41">
        <f>SUM(K622:K626)</f>
        <v>0</v>
      </c>
      <c r="L621" s="41">
        <f>SUM(L622:L626)</f>
        <v>0</v>
      </c>
      <c r="M621" s="30"/>
      <c r="N621" s="5"/>
      <c r="AI621" s="35" t="s">
        <v>2894</v>
      </c>
      <c r="AS621" s="41">
        <f>SUM(AJ622:AJ626)</f>
        <v>0</v>
      </c>
      <c r="AT621" s="41">
        <f>SUM(AK622:AK626)</f>
        <v>0</v>
      </c>
      <c r="AU621" s="41">
        <f>SUM(AL622:AL626)</f>
        <v>0</v>
      </c>
    </row>
    <row r="622" spans="1:64" x14ac:dyDescent="0.2">
      <c r="A622" s="4" t="s">
        <v>510</v>
      </c>
      <c r="B622" s="13" t="s">
        <v>1431</v>
      </c>
      <c r="C622" s="174" t="s">
        <v>2432</v>
      </c>
      <c r="D622" s="175"/>
      <c r="E622" s="175"/>
      <c r="F622" s="175"/>
      <c r="G622" s="13" t="s">
        <v>2854</v>
      </c>
      <c r="H622" s="82">
        <v>823.71199999999999</v>
      </c>
      <c r="I622" s="109">
        <v>0</v>
      </c>
      <c r="J622" s="20">
        <f>H622*AO622</f>
        <v>0</v>
      </c>
      <c r="K622" s="20">
        <f>H622*AP622</f>
        <v>0</v>
      </c>
      <c r="L622" s="20">
        <f>H622*I622</f>
        <v>0</v>
      </c>
      <c r="M622" s="31" t="s">
        <v>2884</v>
      </c>
      <c r="N622" s="5"/>
      <c r="Z622" s="36">
        <f>IF(AQ622="5",BJ622,0)</f>
        <v>0</v>
      </c>
      <c r="AB622" s="36">
        <f>IF(AQ622="1",BH622,0)</f>
        <v>0</v>
      </c>
      <c r="AC622" s="36">
        <f>IF(AQ622="1",BI622,0)</f>
        <v>0</v>
      </c>
      <c r="AD622" s="36">
        <f>IF(AQ622="7",BH622,0)</f>
        <v>0</v>
      </c>
      <c r="AE622" s="36">
        <f>IF(AQ622="7",BI622,0)</f>
        <v>0</v>
      </c>
      <c r="AF622" s="36">
        <f>IF(AQ622="2",BH622,0)</f>
        <v>0</v>
      </c>
      <c r="AG622" s="36">
        <f>IF(AQ622="2",BI622,0)</f>
        <v>0</v>
      </c>
      <c r="AH622" s="36">
        <f>IF(AQ622="0",BJ622,0)</f>
        <v>0</v>
      </c>
      <c r="AI622" s="35" t="s">
        <v>2894</v>
      </c>
      <c r="AJ622" s="20">
        <f>IF(AN622=0,L622,0)</f>
        <v>0</v>
      </c>
      <c r="AK622" s="20">
        <f>IF(AN622=15,L622,0)</f>
        <v>0</v>
      </c>
      <c r="AL622" s="20">
        <f>IF(AN622=21,L622,0)</f>
        <v>0</v>
      </c>
      <c r="AN622" s="36">
        <v>21</v>
      </c>
      <c r="AO622" s="36">
        <f>I622*0</f>
        <v>0</v>
      </c>
      <c r="AP622" s="36">
        <f>I622*(1-0)</f>
        <v>0</v>
      </c>
      <c r="AQ622" s="37" t="s">
        <v>13</v>
      </c>
      <c r="AV622" s="36">
        <f>AW622+AX622</f>
        <v>0</v>
      </c>
      <c r="AW622" s="36">
        <f>H622*AO622</f>
        <v>0</v>
      </c>
      <c r="AX622" s="36">
        <f>H622*AP622</f>
        <v>0</v>
      </c>
      <c r="AY622" s="39" t="s">
        <v>2937</v>
      </c>
      <c r="AZ622" s="39" t="s">
        <v>2958</v>
      </c>
      <c r="BA622" s="35" t="s">
        <v>2967</v>
      </c>
      <c r="BC622" s="36">
        <f>AW622+AX622</f>
        <v>0</v>
      </c>
      <c r="BD622" s="36">
        <f>I622/(100-BE622)*100</f>
        <v>0</v>
      </c>
      <c r="BE622" s="36">
        <v>0</v>
      </c>
      <c r="BF622" s="36">
        <f>622</f>
        <v>622</v>
      </c>
      <c r="BH622" s="20">
        <f>H622*AO622</f>
        <v>0</v>
      </c>
      <c r="BI622" s="20">
        <f>H622*AP622</f>
        <v>0</v>
      </c>
      <c r="BJ622" s="20">
        <f>H622*I622</f>
        <v>0</v>
      </c>
      <c r="BK622" s="20" t="s">
        <v>2978</v>
      </c>
      <c r="BL622" s="36">
        <v>784</v>
      </c>
    </row>
    <row r="623" spans="1:64" x14ac:dyDescent="0.2">
      <c r="A623" s="4" t="s">
        <v>511</v>
      </c>
      <c r="B623" s="13" t="s">
        <v>1432</v>
      </c>
      <c r="C623" s="174" t="s">
        <v>2433</v>
      </c>
      <c r="D623" s="175"/>
      <c r="E623" s="175"/>
      <c r="F623" s="175"/>
      <c r="G623" s="13" t="s">
        <v>2854</v>
      </c>
      <c r="H623" s="82">
        <v>823.71199999999999</v>
      </c>
      <c r="I623" s="109">
        <v>0</v>
      </c>
      <c r="J623" s="20">
        <f>H623*AO623</f>
        <v>0</v>
      </c>
      <c r="K623" s="20">
        <f>H623*AP623</f>
        <v>0</v>
      </c>
      <c r="L623" s="20">
        <f>H623*I623</f>
        <v>0</v>
      </c>
      <c r="M623" s="31" t="s">
        <v>2884</v>
      </c>
      <c r="N623" s="5"/>
      <c r="Z623" s="36">
        <f>IF(AQ623="5",BJ623,0)</f>
        <v>0</v>
      </c>
      <c r="AB623" s="36">
        <f>IF(AQ623="1",BH623,0)</f>
        <v>0</v>
      </c>
      <c r="AC623" s="36">
        <f>IF(AQ623="1",BI623,0)</f>
        <v>0</v>
      </c>
      <c r="AD623" s="36">
        <f>IF(AQ623="7",BH623,0)</f>
        <v>0</v>
      </c>
      <c r="AE623" s="36">
        <f>IF(AQ623="7",BI623,0)</f>
        <v>0</v>
      </c>
      <c r="AF623" s="36">
        <f>IF(AQ623="2",BH623,0)</f>
        <v>0</v>
      </c>
      <c r="AG623" s="36">
        <f>IF(AQ623="2",BI623,0)</f>
        <v>0</v>
      </c>
      <c r="AH623" s="36">
        <f>IF(AQ623="0",BJ623,0)</f>
        <v>0</v>
      </c>
      <c r="AI623" s="35" t="s">
        <v>2894</v>
      </c>
      <c r="AJ623" s="20">
        <f>IF(AN623=0,L623,0)</f>
        <v>0</v>
      </c>
      <c r="AK623" s="20">
        <f>IF(AN623=15,L623,0)</f>
        <v>0</v>
      </c>
      <c r="AL623" s="20">
        <f>IF(AN623=21,L623,0)</f>
        <v>0</v>
      </c>
      <c r="AN623" s="36">
        <v>21</v>
      </c>
      <c r="AO623" s="36">
        <f>I623*0</f>
        <v>0</v>
      </c>
      <c r="AP623" s="36">
        <f>I623*(1-0)</f>
        <v>0</v>
      </c>
      <c r="AQ623" s="37" t="s">
        <v>13</v>
      </c>
      <c r="AV623" s="36">
        <f>AW623+AX623</f>
        <v>0</v>
      </c>
      <c r="AW623" s="36">
        <f>H623*AO623</f>
        <v>0</v>
      </c>
      <c r="AX623" s="36">
        <f>H623*AP623</f>
        <v>0</v>
      </c>
      <c r="AY623" s="39" t="s">
        <v>2937</v>
      </c>
      <c r="AZ623" s="39" t="s">
        <v>2958</v>
      </c>
      <c r="BA623" s="35" t="s">
        <v>2967</v>
      </c>
      <c r="BC623" s="36">
        <f>AW623+AX623</f>
        <v>0</v>
      </c>
      <c r="BD623" s="36">
        <f>I623/(100-BE623)*100</f>
        <v>0</v>
      </c>
      <c r="BE623" s="36">
        <v>0</v>
      </c>
      <c r="BF623" s="36">
        <f>623</f>
        <v>623</v>
      </c>
      <c r="BH623" s="20">
        <f>H623*AO623</f>
        <v>0</v>
      </c>
      <c r="BI623" s="20">
        <f>H623*AP623</f>
        <v>0</v>
      </c>
      <c r="BJ623" s="20">
        <f>H623*I623</f>
        <v>0</v>
      </c>
      <c r="BK623" s="20" t="s">
        <v>2978</v>
      </c>
      <c r="BL623" s="36">
        <v>784</v>
      </c>
    </row>
    <row r="624" spans="1:64" x14ac:dyDescent="0.2">
      <c r="A624" s="4" t="s">
        <v>512</v>
      </c>
      <c r="B624" s="13" t="s">
        <v>1433</v>
      </c>
      <c r="C624" s="174" t="s">
        <v>2434</v>
      </c>
      <c r="D624" s="175"/>
      <c r="E624" s="175"/>
      <c r="F624" s="175"/>
      <c r="G624" s="13" t="s">
        <v>2854</v>
      </c>
      <c r="H624" s="82">
        <v>432.2</v>
      </c>
      <c r="I624" s="109">
        <v>0</v>
      </c>
      <c r="J624" s="20">
        <f>H624*AO624</f>
        <v>0</v>
      </c>
      <c r="K624" s="20">
        <f>H624*AP624</f>
        <v>0</v>
      </c>
      <c r="L624" s="20">
        <f>H624*I624</f>
        <v>0</v>
      </c>
      <c r="M624" s="31" t="s">
        <v>2884</v>
      </c>
      <c r="N624" s="5"/>
      <c r="Z624" s="36">
        <f>IF(AQ624="5",BJ624,0)</f>
        <v>0</v>
      </c>
      <c r="AB624" s="36">
        <f>IF(AQ624="1",BH624,0)</f>
        <v>0</v>
      </c>
      <c r="AC624" s="36">
        <f>IF(AQ624="1",BI624,0)</f>
        <v>0</v>
      </c>
      <c r="AD624" s="36">
        <f>IF(AQ624="7",BH624,0)</f>
        <v>0</v>
      </c>
      <c r="AE624" s="36">
        <f>IF(AQ624="7",BI624,0)</f>
        <v>0</v>
      </c>
      <c r="AF624" s="36">
        <f>IF(AQ624="2",BH624,0)</f>
        <v>0</v>
      </c>
      <c r="AG624" s="36">
        <f>IF(AQ624="2",BI624,0)</f>
        <v>0</v>
      </c>
      <c r="AH624" s="36">
        <f>IF(AQ624="0",BJ624,0)</f>
        <v>0</v>
      </c>
      <c r="AI624" s="35" t="s">
        <v>2894</v>
      </c>
      <c r="AJ624" s="20">
        <f>IF(AN624=0,L624,0)</f>
        <v>0</v>
      </c>
      <c r="AK624" s="20">
        <f>IF(AN624=15,L624,0)</f>
        <v>0</v>
      </c>
      <c r="AL624" s="20">
        <f>IF(AN624=21,L624,0)</f>
        <v>0</v>
      </c>
      <c r="AN624" s="36">
        <v>21</v>
      </c>
      <c r="AO624" s="36">
        <f>I624*0.598170731707317</f>
        <v>0</v>
      </c>
      <c r="AP624" s="36">
        <f>I624*(1-0.598170731707317)</f>
        <v>0</v>
      </c>
      <c r="AQ624" s="37" t="s">
        <v>13</v>
      </c>
      <c r="AV624" s="36">
        <f>AW624+AX624</f>
        <v>0</v>
      </c>
      <c r="AW624" s="36">
        <f>H624*AO624</f>
        <v>0</v>
      </c>
      <c r="AX624" s="36">
        <f>H624*AP624</f>
        <v>0</v>
      </c>
      <c r="AY624" s="39" t="s">
        <v>2937</v>
      </c>
      <c r="AZ624" s="39" t="s">
        <v>2958</v>
      </c>
      <c r="BA624" s="35" t="s">
        <v>2967</v>
      </c>
      <c r="BC624" s="36">
        <f>AW624+AX624</f>
        <v>0</v>
      </c>
      <c r="BD624" s="36">
        <f>I624/(100-BE624)*100</f>
        <v>0</v>
      </c>
      <c r="BE624" s="36">
        <v>0</v>
      </c>
      <c r="BF624" s="36">
        <f>624</f>
        <v>624</v>
      </c>
      <c r="BH624" s="20">
        <f>H624*AO624</f>
        <v>0</v>
      </c>
      <c r="BI624" s="20">
        <f>H624*AP624</f>
        <v>0</v>
      </c>
      <c r="BJ624" s="20">
        <f>H624*I624</f>
        <v>0</v>
      </c>
      <c r="BK624" s="20" t="s">
        <v>2978</v>
      </c>
      <c r="BL624" s="36">
        <v>784</v>
      </c>
    </row>
    <row r="625" spans="1:64" x14ac:dyDescent="0.2">
      <c r="A625" s="4" t="s">
        <v>513</v>
      </c>
      <c r="B625" s="13" t="s">
        <v>1434</v>
      </c>
      <c r="C625" s="174" t="s">
        <v>2435</v>
      </c>
      <c r="D625" s="175"/>
      <c r="E625" s="175"/>
      <c r="F625" s="175"/>
      <c r="G625" s="13" t="s">
        <v>2854</v>
      </c>
      <c r="H625" s="82">
        <v>823.71199999999999</v>
      </c>
      <c r="I625" s="109">
        <v>0</v>
      </c>
      <c r="J625" s="20">
        <f>H625*AO625</f>
        <v>0</v>
      </c>
      <c r="K625" s="20">
        <f>H625*AP625</f>
        <v>0</v>
      </c>
      <c r="L625" s="20">
        <f>H625*I625</f>
        <v>0</v>
      </c>
      <c r="M625" s="31" t="s">
        <v>2884</v>
      </c>
      <c r="N625" s="5"/>
      <c r="Z625" s="36">
        <f>IF(AQ625="5",BJ625,0)</f>
        <v>0</v>
      </c>
      <c r="AB625" s="36">
        <f>IF(AQ625="1",BH625,0)</f>
        <v>0</v>
      </c>
      <c r="AC625" s="36">
        <f>IF(AQ625="1",BI625,0)</f>
        <v>0</v>
      </c>
      <c r="AD625" s="36">
        <f>IF(AQ625="7",BH625,0)</f>
        <v>0</v>
      </c>
      <c r="AE625" s="36">
        <f>IF(AQ625="7",BI625,0)</f>
        <v>0</v>
      </c>
      <c r="AF625" s="36">
        <f>IF(AQ625="2",BH625,0)</f>
        <v>0</v>
      </c>
      <c r="AG625" s="36">
        <f>IF(AQ625="2",BI625,0)</f>
        <v>0</v>
      </c>
      <c r="AH625" s="36">
        <f>IF(AQ625="0",BJ625,0)</f>
        <v>0</v>
      </c>
      <c r="AI625" s="35" t="s">
        <v>2894</v>
      </c>
      <c r="AJ625" s="20">
        <f>IF(AN625=0,L625,0)</f>
        <v>0</v>
      </c>
      <c r="AK625" s="20">
        <f>IF(AN625=15,L625,0)</f>
        <v>0</v>
      </c>
      <c r="AL625" s="20">
        <f>IF(AN625=21,L625,0)</f>
        <v>0</v>
      </c>
      <c r="AN625" s="36">
        <v>21</v>
      </c>
      <c r="AO625" s="36">
        <f>I625*0.240349053539367</f>
        <v>0</v>
      </c>
      <c r="AP625" s="36">
        <f>I625*(1-0.240349053539367)</f>
        <v>0</v>
      </c>
      <c r="AQ625" s="37" t="s">
        <v>13</v>
      </c>
      <c r="AV625" s="36">
        <f>AW625+AX625</f>
        <v>0</v>
      </c>
      <c r="AW625" s="36">
        <f>H625*AO625</f>
        <v>0</v>
      </c>
      <c r="AX625" s="36">
        <f>H625*AP625</f>
        <v>0</v>
      </c>
      <c r="AY625" s="39" t="s">
        <v>2937</v>
      </c>
      <c r="AZ625" s="39" t="s">
        <v>2958</v>
      </c>
      <c r="BA625" s="35" t="s">
        <v>2967</v>
      </c>
      <c r="BC625" s="36">
        <f>AW625+AX625</f>
        <v>0</v>
      </c>
      <c r="BD625" s="36">
        <f>I625/(100-BE625)*100</f>
        <v>0</v>
      </c>
      <c r="BE625" s="36">
        <v>0</v>
      </c>
      <c r="BF625" s="36">
        <f>625</f>
        <v>625</v>
      </c>
      <c r="BH625" s="20">
        <f>H625*AO625</f>
        <v>0</v>
      </c>
      <c r="BI625" s="20">
        <f>H625*AP625</f>
        <v>0</v>
      </c>
      <c r="BJ625" s="20">
        <f>H625*I625</f>
        <v>0</v>
      </c>
      <c r="BK625" s="20" t="s">
        <v>2978</v>
      </c>
      <c r="BL625" s="36">
        <v>784</v>
      </c>
    </row>
    <row r="626" spans="1:64" x14ac:dyDescent="0.2">
      <c r="A626" s="4" t="s">
        <v>514</v>
      </c>
      <c r="B626" s="13" t="s">
        <v>1435</v>
      </c>
      <c r="C626" s="174" t="s">
        <v>2436</v>
      </c>
      <c r="D626" s="175"/>
      <c r="E626" s="175"/>
      <c r="F626" s="175"/>
      <c r="G626" s="13" t="s">
        <v>2854</v>
      </c>
      <c r="H626" s="82">
        <v>823.71199999999999</v>
      </c>
      <c r="I626" s="109">
        <v>0</v>
      </c>
      <c r="J626" s="20">
        <f>H626*AO626</f>
        <v>0</v>
      </c>
      <c r="K626" s="20">
        <f>H626*AP626</f>
        <v>0</v>
      </c>
      <c r="L626" s="20">
        <f>H626*I626</f>
        <v>0</v>
      </c>
      <c r="M626" s="31" t="s">
        <v>2884</v>
      </c>
      <c r="N626" s="5"/>
      <c r="Z626" s="36">
        <f>IF(AQ626="5",BJ626,0)</f>
        <v>0</v>
      </c>
      <c r="AB626" s="36">
        <f>IF(AQ626="1",BH626,0)</f>
        <v>0</v>
      </c>
      <c r="AC626" s="36">
        <f>IF(AQ626="1",BI626,0)</f>
        <v>0</v>
      </c>
      <c r="AD626" s="36">
        <f>IF(AQ626="7",BH626,0)</f>
        <v>0</v>
      </c>
      <c r="AE626" s="36">
        <f>IF(AQ626="7",BI626,0)</f>
        <v>0</v>
      </c>
      <c r="AF626" s="36">
        <f>IF(AQ626="2",BH626,0)</f>
        <v>0</v>
      </c>
      <c r="AG626" s="36">
        <f>IF(AQ626="2",BI626,0)</f>
        <v>0</v>
      </c>
      <c r="AH626" s="36">
        <f>IF(AQ626="0",BJ626,0)</f>
        <v>0</v>
      </c>
      <c r="AI626" s="35" t="s">
        <v>2894</v>
      </c>
      <c r="AJ626" s="20">
        <f>IF(AN626=0,L626,0)</f>
        <v>0</v>
      </c>
      <c r="AK626" s="20">
        <f>IF(AN626=15,L626,0)</f>
        <v>0</v>
      </c>
      <c r="AL626" s="20">
        <f>IF(AN626=21,L626,0)</f>
        <v>0</v>
      </c>
      <c r="AN626" s="36">
        <v>21</v>
      </c>
      <c r="AO626" s="36">
        <f>I626*0.0748201229737283</f>
        <v>0</v>
      </c>
      <c r="AP626" s="36">
        <f>I626*(1-0.0748201229737283)</f>
        <v>0</v>
      </c>
      <c r="AQ626" s="37" t="s">
        <v>13</v>
      </c>
      <c r="AV626" s="36">
        <f>AW626+AX626</f>
        <v>0</v>
      </c>
      <c r="AW626" s="36">
        <f>H626*AO626</f>
        <v>0</v>
      </c>
      <c r="AX626" s="36">
        <f>H626*AP626</f>
        <v>0</v>
      </c>
      <c r="AY626" s="39" t="s">
        <v>2937</v>
      </c>
      <c r="AZ626" s="39" t="s">
        <v>2958</v>
      </c>
      <c r="BA626" s="35" t="s">
        <v>2967</v>
      </c>
      <c r="BC626" s="36">
        <f>AW626+AX626</f>
        <v>0</v>
      </c>
      <c r="BD626" s="36">
        <f>I626/(100-BE626)*100</f>
        <v>0</v>
      </c>
      <c r="BE626" s="36">
        <v>0</v>
      </c>
      <c r="BF626" s="36">
        <f>626</f>
        <v>626</v>
      </c>
      <c r="BH626" s="20">
        <f>H626*AO626</f>
        <v>0</v>
      </c>
      <c r="BI626" s="20">
        <f>H626*AP626</f>
        <v>0</v>
      </c>
      <c r="BJ626" s="20">
        <f>H626*I626</f>
        <v>0</v>
      </c>
      <c r="BK626" s="20" t="s">
        <v>2978</v>
      </c>
      <c r="BL626" s="36">
        <v>784</v>
      </c>
    </row>
    <row r="627" spans="1:64" x14ac:dyDescent="0.2">
      <c r="A627" s="3"/>
      <c r="B627" s="12" t="s">
        <v>792</v>
      </c>
      <c r="C627" s="172" t="s">
        <v>2437</v>
      </c>
      <c r="D627" s="173"/>
      <c r="E627" s="173"/>
      <c r="F627" s="173"/>
      <c r="G627" s="18" t="s">
        <v>6</v>
      </c>
      <c r="H627" s="18" t="s">
        <v>6</v>
      </c>
      <c r="I627" s="18" t="s">
        <v>6</v>
      </c>
      <c r="J627" s="41">
        <f>SUM(J628:J629)</f>
        <v>0</v>
      </c>
      <c r="K627" s="41">
        <f>SUM(K628:K629)</f>
        <v>0</v>
      </c>
      <c r="L627" s="41">
        <f>SUM(L628:L629)</f>
        <v>0</v>
      </c>
      <c r="M627" s="30"/>
      <c r="N627" s="5"/>
      <c r="AI627" s="35" t="s">
        <v>2894</v>
      </c>
      <c r="AS627" s="41">
        <f>SUM(AJ628:AJ629)</f>
        <v>0</v>
      </c>
      <c r="AT627" s="41">
        <f>SUM(AK628:AK629)</f>
        <v>0</v>
      </c>
      <c r="AU627" s="41">
        <f>SUM(AL628:AL629)</f>
        <v>0</v>
      </c>
    </row>
    <row r="628" spans="1:64" x14ac:dyDescent="0.2">
      <c r="A628" s="4" t="s">
        <v>515</v>
      </c>
      <c r="B628" s="13" t="s">
        <v>1436</v>
      </c>
      <c r="C628" s="174" t="s">
        <v>2438</v>
      </c>
      <c r="D628" s="175"/>
      <c r="E628" s="175"/>
      <c r="F628" s="175"/>
      <c r="G628" s="13" t="s">
        <v>2854</v>
      </c>
      <c r="H628" s="82">
        <v>90.25</v>
      </c>
      <c r="I628" s="109">
        <v>0</v>
      </c>
      <c r="J628" s="20">
        <f>H628*AO628</f>
        <v>0</v>
      </c>
      <c r="K628" s="20">
        <f>H628*AP628</f>
        <v>0</v>
      </c>
      <c r="L628" s="20">
        <f>H628*I628</f>
        <v>0</v>
      </c>
      <c r="M628" s="31" t="s">
        <v>2884</v>
      </c>
      <c r="N628" s="5"/>
      <c r="Z628" s="36">
        <f>IF(AQ628="5",BJ628,0)</f>
        <v>0</v>
      </c>
      <c r="AB628" s="36">
        <f>IF(AQ628="1",BH628,0)</f>
        <v>0</v>
      </c>
      <c r="AC628" s="36">
        <f>IF(AQ628="1",BI628,0)</f>
        <v>0</v>
      </c>
      <c r="AD628" s="36">
        <f>IF(AQ628="7",BH628,0)</f>
        <v>0</v>
      </c>
      <c r="AE628" s="36">
        <f>IF(AQ628="7",BI628,0)</f>
        <v>0</v>
      </c>
      <c r="AF628" s="36">
        <f>IF(AQ628="2",BH628,0)</f>
        <v>0</v>
      </c>
      <c r="AG628" s="36">
        <f>IF(AQ628="2",BI628,0)</f>
        <v>0</v>
      </c>
      <c r="AH628" s="36">
        <f>IF(AQ628="0",BJ628,0)</f>
        <v>0</v>
      </c>
      <c r="AI628" s="35" t="s">
        <v>2894</v>
      </c>
      <c r="AJ628" s="20">
        <f>IF(AN628=0,L628,0)</f>
        <v>0</v>
      </c>
      <c r="AK628" s="20">
        <f>IF(AN628=15,L628,0)</f>
        <v>0</v>
      </c>
      <c r="AL628" s="20">
        <f>IF(AN628=21,L628,0)</f>
        <v>0</v>
      </c>
      <c r="AN628" s="36">
        <v>21</v>
      </c>
      <c r="AO628" s="36">
        <f>I628*0.706385571340795</f>
        <v>0</v>
      </c>
      <c r="AP628" s="36">
        <f>I628*(1-0.706385571340795)</f>
        <v>0</v>
      </c>
      <c r="AQ628" s="37" t="s">
        <v>13</v>
      </c>
      <c r="AV628" s="36">
        <f>AW628+AX628</f>
        <v>0</v>
      </c>
      <c r="AW628" s="36">
        <f>H628*AO628</f>
        <v>0</v>
      </c>
      <c r="AX628" s="36">
        <f>H628*AP628</f>
        <v>0</v>
      </c>
      <c r="AY628" s="39" t="s">
        <v>2938</v>
      </c>
      <c r="AZ628" s="39" t="s">
        <v>2958</v>
      </c>
      <c r="BA628" s="35" t="s">
        <v>2967</v>
      </c>
      <c r="BC628" s="36">
        <f>AW628+AX628</f>
        <v>0</v>
      </c>
      <c r="BD628" s="36">
        <f>I628/(100-BE628)*100</f>
        <v>0</v>
      </c>
      <c r="BE628" s="36">
        <v>0</v>
      </c>
      <c r="BF628" s="36">
        <f>628</f>
        <v>628</v>
      </c>
      <c r="BH628" s="20">
        <f>H628*AO628</f>
        <v>0</v>
      </c>
      <c r="BI628" s="20">
        <f>H628*AP628</f>
        <v>0</v>
      </c>
      <c r="BJ628" s="20">
        <f>H628*I628</f>
        <v>0</v>
      </c>
      <c r="BK628" s="20" t="s">
        <v>2978</v>
      </c>
      <c r="BL628" s="36">
        <v>786</v>
      </c>
    </row>
    <row r="629" spans="1:64" x14ac:dyDescent="0.2">
      <c r="A629" s="4" t="s">
        <v>516</v>
      </c>
      <c r="B629" s="13" t="s">
        <v>1437</v>
      </c>
      <c r="C629" s="174" t="s">
        <v>2439</v>
      </c>
      <c r="D629" s="175"/>
      <c r="E629" s="175"/>
      <c r="F629" s="175"/>
      <c r="G629" s="13" t="s">
        <v>2856</v>
      </c>
      <c r="H629" s="82">
        <v>0.34499999999999997</v>
      </c>
      <c r="I629" s="109">
        <v>0</v>
      </c>
      <c r="J629" s="20">
        <f>H629*AO629</f>
        <v>0</v>
      </c>
      <c r="K629" s="20">
        <f>H629*AP629</f>
        <v>0</v>
      </c>
      <c r="L629" s="20">
        <f>H629*I629</f>
        <v>0</v>
      </c>
      <c r="M629" s="31" t="s">
        <v>2884</v>
      </c>
      <c r="N629" s="5"/>
      <c r="Z629" s="36">
        <f>IF(AQ629="5",BJ629,0)</f>
        <v>0</v>
      </c>
      <c r="AB629" s="36">
        <f>IF(AQ629="1",BH629,0)</f>
        <v>0</v>
      </c>
      <c r="AC629" s="36">
        <f>IF(AQ629="1",BI629,0)</f>
        <v>0</v>
      </c>
      <c r="AD629" s="36">
        <f>IF(AQ629="7",BH629,0)</f>
        <v>0</v>
      </c>
      <c r="AE629" s="36">
        <f>IF(AQ629="7",BI629,0)</f>
        <v>0</v>
      </c>
      <c r="AF629" s="36">
        <f>IF(AQ629="2",BH629,0)</f>
        <v>0</v>
      </c>
      <c r="AG629" s="36">
        <f>IF(AQ629="2",BI629,0)</f>
        <v>0</v>
      </c>
      <c r="AH629" s="36">
        <f>IF(AQ629="0",BJ629,0)</f>
        <v>0</v>
      </c>
      <c r="AI629" s="35" t="s">
        <v>2894</v>
      </c>
      <c r="AJ629" s="20">
        <f>IF(AN629=0,L629,0)</f>
        <v>0</v>
      </c>
      <c r="AK629" s="20">
        <f>IF(AN629=15,L629,0)</f>
        <v>0</v>
      </c>
      <c r="AL629" s="20">
        <f>IF(AN629=21,L629,0)</f>
        <v>0</v>
      </c>
      <c r="AN629" s="36">
        <v>21</v>
      </c>
      <c r="AO629" s="36">
        <f>I629*0</f>
        <v>0</v>
      </c>
      <c r="AP629" s="36">
        <f>I629*(1-0)</f>
        <v>0</v>
      </c>
      <c r="AQ629" s="37" t="s">
        <v>11</v>
      </c>
      <c r="AV629" s="36">
        <f>AW629+AX629</f>
        <v>0</v>
      </c>
      <c r="AW629" s="36">
        <f>H629*AO629</f>
        <v>0</v>
      </c>
      <c r="AX629" s="36">
        <f>H629*AP629</f>
        <v>0</v>
      </c>
      <c r="AY629" s="39" t="s">
        <v>2938</v>
      </c>
      <c r="AZ629" s="39" t="s">
        <v>2958</v>
      </c>
      <c r="BA629" s="35" t="s">
        <v>2967</v>
      </c>
      <c r="BC629" s="36">
        <f>AW629+AX629</f>
        <v>0</v>
      </c>
      <c r="BD629" s="36">
        <f>I629/(100-BE629)*100</f>
        <v>0</v>
      </c>
      <c r="BE629" s="36">
        <v>0</v>
      </c>
      <c r="BF629" s="36">
        <f>629</f>
        <v>629</v>
      </c>
      <c r="BH629" s="20">
        <f>H629*AO629</f>
        <v>0</v>
      </c>
      <c r="BI629" s="20">
        <f>H629*AP629</f>
        <v>0</v>
      </c>
      <c r="BJ629" s="20">
        <f>H629*I629</f>
        <v>0</v>
      </c>
      <c r="BK629" s="20" t="s">
        <v>2978</v>
      </c>
      <c r="BL629" s="36">
        <v>786</v>
      </c>
    </row>
    <row r="630" spans="1:64" x14ac:dyDescent="0.2">
      <c r="A630" s="3"/>
      <c r="B630" s="12" t="s">
        <v>797</v>
      </c>
      <c r="C630" s="172" t="s">
        <v>2440</v>
      </c>
      <c r="D630" s="173"/>
      <c r="E630" s="173"/>
      <c r="F630" s="173"/>
      <c r="G630" s="18" t="s">
        <v>6</v>
      </c>
      <c r="H630" s="18" t="s">
        <v>6</v>
      </c>
      <c r="I630" s="18" t="s">
        <v>6</v>
      </c>
      <c r="J630" s="41">
        <f>SUM(J631:J641)</f>
        <v>0</v>
      </c>
      <c r="K630" s="41">
        <f>SUM(K631:K641)</f>
        <v>0</v>
      </c>
      <c r="L630" s="41">
        <f>SUM(L631:L641)</f>
        <v>0</v>
      </c>
      <c r="M630" s="30"/>
      <c r="N630" s="5"/>
      <c r="AI630" s="35" t="s">
        <v>2894</v>
      </c>
      <c r="AS630" s="41">
        <f>SUM(AJ631:AJ641)</f>
        <v>0</v>
      </c>
      <c r="AT630" s="41">
        <f>SUM(AK631:AK641)</f>
        <v>0</v>
      </c>
      <c r="AU630" s="41">
        <f>SUM(AL631:AL641)</f>
        <v>0</v>
      </c>
    </row>
    <row r="631" spans="1:64" x14ac:dyDescent="0.2">
      <c r="A631" s="4" t="s">
        <v>517</v>
      </c>
      <c r="B631" s="13" t="s">
        <v>1438</v>
      </c>
      <c r="C631" s="174" t="s">
        <v>2441</v>
      </c>
      <c r="D631" s="175"/>
      <c r="E631" s="175"/>
      <c r="F631" s="175"/>
      <c r="G631" s="13" t="s">
        <v>2852</v>
      </c>
      <c r="H631" s="82">
        <v>1</v>
      </c>
      <c r="I631" s="109">
        <v>0</v>
      </c>
      <c r="J631" s="20">
        <f t="shared" ref="J631:J636" si="624">H631*AO631</f>
        <v>0</v>
      </c>
      <c r="K631" s="20">
        <f t="shared" ref="K631:K636" si="625">H631*AP631</f>
        <v>0</v>
      </c>
      <c r="L631" s="20">
        <f t="shared" ref="L631:L636" si="626">H631*I631</f>
        <v>0</v>
      </c>
      <c r="M631" s="31" t="s">
        <v>2884</v>
      </c>
      <c r="N631" s="5"/>
      <c r="Z631" s="36">
        <f t="shared" ref="Z631:Z636" si="627">IF(AQ631="5",BJ631,0)</f>
        <v>0</v>
      </c>
      <c r="AB631" s="36">
        <f t="shared" ref="AB631:AB636" si="628">IF(AQ631="1",BH631,0)</f>
        <v>0</v>
      </c>
      <c r="AC631" s="36">
        <f t="shared" ref="AC631:AC636" si="629">IF(AQ631="1",BI631,0)</f>
        <v>0</v>
      </c>
      <c r="AD631" s="36">
        <f t="shared" ref="AD631:AD636" si="630">IF(AQ631="7",BH631,0)</f>
        <v>0</v>
      </c>
      <c r="AE631" s="36">
        <f t="shared" ref="AE631:AE636" si="631">IF(AQ631="7",BI631,0)</f>
        <v>0</v>
      </c>
      <c r="AF631" s="36">
        <f t="shared" ref="AF631:AF636" si="632">IF(AQ631="2",BH631,0)</f>
        <v>0</v>
      </c>
      <c r="AG631" s="36">
        <f t="shared" ref="AG631:AG636" si="633">IF(AQ631="2",BI631,0)</f>
        <v>0</v>
      </c>
      <c r="AH631" s="36">
        <f t="shared" ref="AH631:AH636" si="634">IF(AQ631="0",BJ631,0)</f>
        <v>0</v>
      </c>
      <c r="AI631" s="35" t="s">
        <v>2894</v>
      </c>
      <c r="AJ631" s="20">
        <f t="shared" ref="AJ631:AJ636" si="635">IF(AN631=0,L631,0)</f>
        <v>0</v>
      </c>
      <c r="AK631" s="20">
        <f t="shared" ref="AK631:AK636" si="636">IF(AN631=15,L631,0)</f>
        <v>0</v>
      </c>
      <c r="AL631" s="20">
        <f t="shared" ref="AL631:AL636" si="637">IF(AN631=21,L631,0)</f>
        <v>0</v>
      </c>
      <c r="AN631" s="36">
        <v>21</v>
      </c>
      <c r="AO631" s="36">
        <f t="shared" ref="AO631:AO636" si="638">I631*0.51</f>
        <v>0</v>
      </c>
      <c r="AP631" s="36">
        <f t="shared" ref="AP631:AP636" si="639">I631*(1-0.51)</f>
        <v>0</v>
      </c>
      <c r="AQ631" s="37" t="s">
        <v>13</v>
      </c>
      <c r="AV631" s="36">
        <f t="shared" ref="AV631:AV636" si="640">AW631+AX631</f>
        <v>0</v>
      </c>
      <c r="AW631" s="36">
        <f t="shared" ref="AW631:AW636" si="641">H631*AO631</f>
        <v>0</v>
      </c>
      <c r="AX631" s="36">
        <f t="shared" ref="AX631:AX636" si="642">H631*AP631</f>
        <v>0</v>
      </c>
      <c r="AY631" s="39" t="s">
        <v>2939</v>
      </c>
      <c r="AZ631" s="39" t="s">
        <v>2959</v>
      </c>
      <c r="BA631" s="35" t="s">
        <v>2967</v>
      </c>
      <c r="BC631" s="36">
        <f t="shared" ref="BC631:BC636" si="643">AW631+AX631</f>
        <v>0</v>
      </c>
      <c r="BD631" s="36">
        <f t="shared" ref="BD631:BD636" si="644">I631/(100-BE631)*100</f>
        <v>0</v>
      </c>
      <c r="BE631" s="36">
        <v>0</v>
      </c>
      <c r="BF631" s="36">
        <f>631</f>
        <v>631</v>
      </c>
      <c r="BH631" s="20">
        <f t="shared" ref="BH631:BH636" si="645">H631*AO631</f>
        <v>0</v>
      </c>
      <c r="BI631" s="20">
        <f t="shared" ref="BI631:BI636" si="646">H631*AP631</f>
        <v>0</v>
      </c>
      <c r="BJ631" s="20">
        <f t="shared" ref="BJ631:BJ636" si="647">H631*I631</f>
        <v>0</v>
      </c>
      <c r="BK631" s="20" t="s">
        <v>2978</v>
      </c>
      <c r="BL631" s="36">
        <v>791</v>
      </c>
    </row>
    <row r="632" spans="1:64" x14ac:dyDescent="0.2">
      <c r="A632" s="4" t="s">
        <v>518</v>
      </c>
      <c r="B632" s="13" t="s">
        <v>1439</v>
      </c>
      <c r="C632" s="174" t="s">
        <v>2442</v>
      </c>
      <c r="D632" s="175"/>
      <c r="E632" s="175"/>
      <c r="F632" s="175"/>
      <c r="G632" s="13" t="s">
        <v>2852</v>
      </c>
      <c r="H632" s="82">
        <v>1</v>
      </c>
      <c r="I632" s="109">
        <v>0</v>
      </c>
      <c r="J632" s="20">
        <f t="shared" si="624"/>
        <v>0</v>
      </c>
      <c r="K632" s="20">
        <f t="shared" si="625"/>
        <v>0</v>
      </c>
      <c r="L632" s="20">
        <f t="shared" si="626"/>
        <v>0</v>
      </c>
      <c r="M632" s="31" t="s">
        <v>2884</v>
      </c>
      <c r="N632" s="5"/>
      <c r="Z632" s="36">
        <f t="shared" si="627"/>
        <v>0</v>
      </c>
      <c r="AB632" s="36">
        <f t="shared" si="628"/>
        <v>0</v>
      </c>
      <c r="AC632" s="36">
        <f t="shared" si="629"/>
        <v>0</v>
      </c>
      <c r="AD632" s="36">
        <f t="shared" si="630"/>
        <v>0</v>
      </c>
      <c r="AE632" s="36">
        <f t="shared" si="631"/>
        <v>0</v>
      </c>
      <c r="AF632" s="36">
        <f t="shared" si="632"/>
        <v>0</v>
      </c>
      <c r="AG632" s="36">
        <f t="shared" si="633"/>
        <v>0</v>
      </c>
      <c r="AH632" s="36">
        <f t="shared" si="634"/>
        <v>0</v>
      </c>
      <c r="AI632" s="35" t="s">
        <v>2894</v>
      </c>
      <c r="AJ632" s="20">
        <f t="shared" si="635"/>
        <v>0</v>
      </c>
      <c r="AK632" s="20">
        <f t="shared" si="636"/>
        <v>0</v>
      </c>
      <c r="AL632" s="20">
        <f t="shared" si="637"/>
        <v>0</v>
      </c>
      <c r="AN632" s="36">
        <v>21</v>
      </c>
      <c r="AO632" s="36">
        <f t="shared" si="638"/>
        <v>0</v>
      </c>
      <c r="AP632" s="36">
        <f t="shared" si="639"/>
        <v>0</v>
      </c>
      <c r="AQ632" s="37" t="s">
        <v>13</v>
      </c>
      <c r="AV632" s="36">
        <f t="shared" si="640"/>
        <v>0</v>
      </c>
      <c r="AW632" s="36">
        <f t="shared" si="641"/>
        <v>0</v>
      </c>
      <c r="AX632" s="36">
        <f t="shared" si="642"/>
        <v>0</v>
      </c>
      <c r="AY632" s="39" t="s">
        <v>2939</v>
      </c>
      <c r="AZ632" s="39" t="s">
        <v>2959</v>
      </c>
      <c r="BA632" s="35" t="s">
        <v>2967</v>
      </c>
      <c r="BC632" s="36">
        <f t="shared" si="643"/>
        <v>0</v>
      </c>
      <c r="BD632" s="36">
        <f t="shared" si="644"/>
        <v>0</v>
      </c>
      <c r="BE632" s="36">
        <v>0</v>
      </c>
      <c r="BF632" s="36">
        <f>632</f>
        <v>632</v>
      </c>
      <c r="BH632" s="20">
        <f t="shared" si="645"/>
        <v>0</v>
      </c>
      <c r="BI632" s="20">
        <f t="shared" si="646"/>
        <v>0</v>
      </c>
      <c r="BJ632" s="20">
        <f t="shared" si="647"/>
        <v>0</v>
      </c>
      <c r="BK632" s="20" t="s">
        <v>2978</v>
      </c>
      <c r="BL632" s="36">
        <v>791</v>
      </c>
    </row>
    <row r="633" spans="1:64" x14ac:dyDescent="0.2">
      <c r="A633" s="4" t="s">
        <v>519</v>
      </c>
      <c r="B633" s="13" t="s">
        <v>1440</v>
      </c>
      <c r="C633" s="174" t="s">
        <v>2443</v>
      </c>
      <c r="D633" s="175"/>
      <c r="E633" s="175"/>
      <c r="F633" s="175"/>
      <c r="G633" s="13" t="s">
        <v>2852</v>
      </c>
      <c r="H633" s="82">
        <v>1</v>
      </c>
      <c r="I633" s="109">
        <v>0</v>
      </c>
      <c r="J633" s="20">
        <f t="shared" si="624"/>
        <v>0</v>
      </c>
      <c r="K633" s="20">
        <f t="shared" si="625"/>
        <v>0</v>
      </c>
      <c r="L633" s="20">
        <f t="shared" si="626"/>
        <v>0</v>
      </c>
      <c r="M633" s="31" t="s">
        <v>2884</v>
      </c>
      <c r="N633" s="5"/>
      <c r="Z633" s="36">
        <f t="shared" si="627"/>
        <v>0</v>
      </c>
      <c r="AB633" s="36">
        <f t="shared" si="628"/>
        <v>0</v>
      </c>
      <c r="AC633" s="36">
        <f t="shared" si="629"/>
        <v>0</v>
      </c>
      <c r="AD633" s="36">
        <f t="shared" si="630"/>
        <v>0</v>
      </c>
      <c r="AE633" s="36">
        <f t="shared" si="631"/>
        <v>0</v>
      </c>
      <c r="AF633" s="36">
        <f t="shared" si="632"/>
        <v>0</v>
      </c>
      <c r="AG633" s="36">
        <f t="shared" si="633"/>
        <v>0</v>
      </c>
      <c r="AH633" s="36">
        <f t="shared" si="634"/>
        <v>0</v>
      </c>
      <c r="AI633" s="35" t="s">
        <v>2894</v>
      </c>
      <c r="AJ633" s="20">
        <f t="shared" si="635"/>
        <v>0</v>
      </c>
      <c r="AK633" s="20">
        <f t="shared" si="636"/>
        <v>0</v>
      </c>
      <c r="AL633" s="20">
        <f t="shared" si="637"/>
        <v>0</v>
      </c>
      <c r="AN633" s="36">
        <v>21</v>
      </c>
      <c r="AO633" s="36">
        <f t="shared" si="638"/>
        <v>0</v>
      </c>
      <c r="AP633" s="36">
        <f t="shared" si="639"/>
        <v>0</v>
      </c>
      <c r="AQ633" s="37" t="s">
        <v>13</v>
      </c>
      <c r="AV633" s="36">
        <f t="shared" si="640"/>
        <v>0</v>
      </c>
      <c r="AW633" s="36">
        <f t="shared" si="641"/>
        <v>0</v>
      </c>
      <c r="AX633" s="36">
        <f t="shared" si="642"/>
        <v>0</v>
      </c>
      <c r="AY633" s="39" t="s">
        <v>2939</v>
      </c>
      <c r="AZ633" s="39" t="s">
        <v>2959</v>
      </c>
      <c r="BA633" s="35" t="s">
        <v>2967</v>
      </c>
      <c r="BC633" s="36">
        <f t="shared" si="643"/>
        <v>0</v>
      </c>
      <c r="BD633" s="36">
        <f t="shared" si="644"/>
        <v>0</v>
      </c>
      <c r="BE633" s="36">
        <v>0</v>
      </c>
      <c r="BF633" s="36">
        <f>633</f>
        <v>633</v>
      </c>
      <c r="BH633" s="20">
        <f t="shared" si="645"/>
        <v>0</v>
      </c>
      <c r="BI633" s="20">
        <f t="shared" si="646"/>
        <v>0</v>
      </c>
      <c r="BJ633" s="20">
        <f t="shared" si="647"/>
        <v>0</v>
      </c>
      <c r="BK633" s="20" t="s">
        <v>2978</v>
      </c>
      <c r="BL633" s="36">
        <v>791</v>
      </c>
    </row>
    <row r="634" spans="1:64" x14ac:dyDescent="0.2">
      <c r="A634" s="4" t="s">
        <v>520</v>
      </c>
      <c r="B634" s="13" t="s">
        <v>1441</v>
      </c>
      <c r="C634" s="174" t="s">
        <v>2444</v>
      </c>
      <c r="D634" s="175"/>
      <c r="E634" s="175"/>
      <c r="F634" s="175"/>
      <c r="G634" s="13" t="s">
        <v>2852</v>
      </c>
      <c r="H634" s="82">
        <v>1</v>
      </c>
      <c r="I634" s="109">
        <v>0</v>
      </c>
      <c r="J634" s="20">
        <f t="shared" si="624"/>
        <v>0</v>
      </c>
      <c r="K634" s="20">
        <f t="shared" si="625"/>
        <v>0</v>
      </c>
      <c r="L634" s="20">
        <f t="shared" si="626"/>
        <v>0</v>
      </c>
      <c r="M634" s="31" t="s">
        <v>2884</v>
      </c>
      <c r="N634" s="5"/>
      <c r="Z634" s="36">
        <f t="shared" si="627"/>
        <v>0</v>
      </c>
      <c r="AB634" s="36">
        <f t="shared" si="628"/>
        <v>0</v>
      </c>
      <c r="AC634" s="36">
        <f t="shared" si="629"/>
        <v>0</v>
      </c>
      <c r="AD634" s="36">
        <f t="shared" si="630"/>
        <v>0</v>
      </c>
      <c r="AE634" s="36">
        <f t="shared" si="631"/>
        <v>0</v>
      </c>
      <c r="AF634" s="36">
        <f t="shared" si="632"/>
        <v>0</v>
      </c>
      <c r="AG634" s="36">
        <f t="shared" si="633"/>
        <v>0</v>
      </c>
      <c r="AH634" s="36">
        <f t="shared" si="634"/>
        <v>0</v>
      </c>
      <c r="AI634" s="35" t="s">
        <v>2894</v>
      </c>
      <c r="AJ634" s="20">
        <f t="shared" si="635"/>
        <v>0</v>
      </c>
      <c r="AK634" s="20">
        <f t="shared" si="636"/>
        <v>0</v>
      </c>
      <c r="AL634" s="20">
        <f t="shared" si="637"/>
        <v>0</v>
      </c>
      <c r="AN634" s="36">
        <v>21</v>
      </c>
      <c r="AO634" s="36">
        <f t="shared" si="638"/>
        <v>0</v>
      </c>
      <c r="AP634" s="36">
        <f t="shared" si="639"/>
        <v>0</v>
      </c>
      <c r="AQ634" s="37" t="s">
        <v>13</v>
      </c>
      <c r="AV634" s="36">
        <f t="shared" si="640"/>
        <v>0</v>
      </c>
      <c r="AW634" s="36">
        <f t="shared" si="641"/>
        <v>0</v>
      </c>
      <c r="AX634" s="36">
        <f t="shared" si="642"/>
        <v>0</v>
      </c>
      <c r="AY634" s="39" t="s">
        <v>2939</v>
      </c>
      <c r="AZ634" s="39" t="s">
        <v>2959</v>
      </c>
      <c r="BA634" s="35" t="s">
        <v>2967</v>
      </c>
      <c r="BC634" s="36">
        <f t="shared" si="643"/>
        <v>0</v>
      </c>
      <c r="BD634" s="36">
        <f t="shared" si="644"/>
        <v>0</v>
      </c>
      <c r="BE634" s="36">
        <v>0</v>
      </c>
      <c r="BF634" s="36">
        <f>634</f>
        <v>634</v>
      </c>
      <c r="BH634" s="20">
        <f t="shared" si="645"/>
        <v>0</v>
      </c>
      <c r="BI634" s="20">
        <f t="shared" si="646"/>
        <v>0</v>
      </c>
      <c r="BJ634" s="20">
        <f t="shared" si="647"/>
        <v>0</v>
      </c>
      <c r="BK634" s="20" t="s">
        <v>2978</v>
      </c>
      <c r="BL634" s="36">
        <v>791</v>
      </c>
    </row>
    <row r="635" spans="1:64" x14ac:dyDescent="0.2">
      <c r="A635" s="4" t="s">
        <v>521</v>
      </c>
      <c r="B635" s="13" t="s">
        <v>1442</v>
      </c>
      <c r="C635" s="174" t="s">
        <v>2445</v>
      </c>
      <c r="D635" s="175"/>
      <c r="E635" s="175"/>
      <c r="F635" s="175"/>
      <c r="G635" s="13" t="s">
        <v>2852</v>
      </c>
      <c r="H635" s="82">
        <v>1</v>
      </c>
      <c r="I635" s="109">
        <v>0</v>
      </c>
      <c r="J635" s="20">
        <f t="shared" si="624"/>
        <v>0</v>
      </c>
      <c r="K635" s="20">
        <f t="shared" si="625"/>
        <v>0</v>
      </c>
      <c r="L635" s="20">
        <f t="shared" si="626"/>
        <v>0</v>
      </c>
      <c r="M635" s="31" t="s">
        <v>2884</v>
      </c>
      <c r="N635" s="5"/>
      <c r="Z635" s="36">
        <f t="shared" si="627"/>
        <v>0</v>
      </c>
      <c r="AB635" s="36">
        <f t="shared" si="628"/>
        <v>0</v>
      </c>
      <c r="AC635" s="36">
        <f t="shared" si="629"/>
        <v>0</v>
      </c>
      <c r="AD635" s="36">
        <f t="shared" si="630"/>
        <v>0</v>
      </c>
      <c r="AE635" s="36">
        <f t="shared" si="631"/>
        <v>0</v>
      </c>
      <c r="AF635" s="36">
        <f t="shared" si="632"/>
        <v>0</v>
      </c>
      <c r="AG635" s="36">
        <f t="shared" si="633"/>
        <v>0</v>
      </c>
      <c r="AH635" s="36">
        <f t="shared" si="634"/>
        <v>0</v>
      </c>
      <c r="AI635" s="35" t="s">
        <v>2894</v>
      </c>
      <c r="AJ635" s="20">
        <f t="shared" si="635"/>
        <v>0</v>
      </c>
      <c r="AK635" s="20">
        <f t="shared" si="636"/>
        <v>0</v>
      </c>
      <c r="AL635" s="20">
        <f t="shared" si="637"/>
        <v>0</v>
      </c>
      <c r="AN635" s="36">
        <v>21</v>
      </c>
      <c r="AO635" s="36">
        <f t="shared" si="638"/>
        <v>0</v>
      </c>
      <c r="AP635" s="36">
        <f t="shared" si="639"/>
        <v>0</v>
      </c>
      <c r="AQ635" s="37" t="s">
        <v>13</v>
      </c>
      <c r="AV635" s="36">
        <f t="shared" si="640"/>
        <v>0</v>
      </c>
      <c r="AW635" s="36">
        <f t="shared" si="641"/>
        <v>0</v>
      </c>
      <c r="AX635" s="36">
        <f t="shared" si="642"/>
        <v>0</v>
      </c>
      <c r="AY635" s="39" t="s">
        <v>2939</v>
      </c>
      <c r="AZ635" s="39" t="s">
        <v>2959</v>
      </c>
      <c r="BA635" s="35" t="s">
        <v>2967</v>
      </c>
      <c r="BC635" s="36">
        <f t="shared" si="643"/>
        <v>0</v>
      </c>
      <c r="BD635" s="36">
        <f t="shared" si="644"/>
        <v>0</v>
      </c>
      <c r="BE635" s="36">
        <v>0</v>
      </c>
      <c r="BF635" s="36">
        <f>635</f>
        <v>635</v>
      </c>
      <c r="BH635" s="20">
        <f t="shared" si="645"/>
        <v>0</v>
      </c>
      <c r="BI635" s="20">
        <f t="shared" si="646"/>
        <v>0</v>
      </c>
      <c r="BJ635" s="20">
        <f t="shared" si="647"/>
        <v>0</v>
      </c>
      <c r="BK635" s="20" t="s">
        <v>2978</v>
      </c>
      <c r="BL635" s="36">
        <v>791</v>
      </c>
    </row>
    <row r="636" spans="1:64" x14ac:dyDescent="0.2">
      <c r="A636" s="4" t="s">
        <v>522</v>
      </c>
      <c r="B636" s="13" t="s">
        <v>1443</v>
      </c>
      <c r="C636" s="174" t="s">
        <v>2446</v>
      </c>
      <c r="D636" s="175"/>
      <c r="E636" s="175"/>
      <c r="F636" s="175"/>
      <c r="G636" s="13" t="s">
        <v>2852</v>
      </c>
      <c r="H636" s="82">
        <v>1</v>
      </c>
      <c r="I636" s="109">
        <v>0</v>
      </c>
      <c r="J636" s="20">
        <f t="shared" si="624"/>
        <v>0</v>
      </c>
      <c r="K636" s="20">
        <f t="shared" si="625"/>
        <v>0</v>
      </c>
      <c r="L636" s="20">
        <f t="shared" si="626"/>
        <v>0</v>
      </c>
      <c r="M636" s="31" t="s">
        <v>2884</v>
      </c>
      <c r="N636" s="5"/>
      <c r="Z636" s="36">
        <f t="shared" si="627"/>
        <v>0</v>
      </c>
      <c r="AB636" s="36">
        <f t="shared" si="628"/>
        <v>0</v>
      </c>
      <c r="AC636" s="36">
        <f t="shared" si="629"/>
        <v>0</v>
      </c>
      <c r="AD636" s="36">
        <f t="shared" si="630"/>
        <v>0</v>
      </c>
      <c r="AE636" s="36">
        <f t="shared" si="631"/>
        <v>0</v>
      </c>
      <c r="AF636" s="36">
        <f t="shared" si="632"/>
        <v>0</v>
      </c>
      <c r="AG636" s="36">
        <f t="shared" si="633"/>
        <v>0</v>
      </c>
      <c r="AH636" s="36">
        <f t="shared" si="634"/>
        <v>0</v>
      </c>
      <c r="AI636" s="35" t="s">
        <v>2894</v>
      </c>
      <c r="AJ636" s="20">
        <f t="shared" si="635"/>
        <v>0</v>
      </c>
      <c r="AK636" s="20">
        <f t="shared" si="636"/>
        <v>0</v>
      </c>
      <c r="AL636" s="20">
        <f t="shared" si="637"/>
        <v>0</v>
      </c>
      <c r="AN636" s="36">
        <v>21</v>
      </c>
      <c r="AO636" s="36">
        <f t="shared" si="638"/>
        <v>0</v>
      </c>
      <c r="AP636" s="36">
        <f t="shared" si="639"/>
        <v>0</v>
      </c>
      <c r="AQ636" s="37" t="s">
        <v>13</v>
      </c>
      <c r="AV636" s="36">
        <f t="shared" si="640"/>
        <v>0</v>
      </c>
      <c r="AW636" s="36">
        <f t="shared" si="641"/>
        <v>0</v>
      </c>
      <c r="AX636" s="36">
        <f t="shared" si="642"/>
        <v>0</v>
      </c>
      <c r="AY636" s="39" t="s">
        <v>2939</v>
      </c>
      <c r="AZ636" s="39" t="s">
        <v>2959</v>
      </c>
      <c r="BA636" s="35" t="s">
        <v>2967</v>
      </c>
      <c r="BC636" s="36">
        <f t="shared" si="643"/>
        <v>0</v>
      </c>
      <c r="BD636" s="36">
        <f t="shared" si="644"/>
        <v>0</v>
      </c>
      <c r="BE636" s="36">
        <v>0</v>
      </c>
      <c r="BF636" s="36">
        <f>636</f>
        <v>636</v>
      </c>
      <c r="BH636" s="20">
        <f t="shared" si="645"/>
        <v>0</v>
      </c>
      <c r="BI636" s="20">
        <f t="shared" si="646"/>
        <v>0</v>
      </c>
      <c r="BJ636" s="20">
        <f t="shared" si="647"/>
        <v>0</v>
      </c>
      <c r="BK636" s="20" t="s">
        <v>2978</v>
      </c>
      <c r="BL636" s="36">
        <v>791</v>
      </c>
    </row>
    <row r="637" spans="1:64" x14ac:dyDescent="0.2">
      <c r="A637" s="5"/>
      <c r="B637" s="14"/>
      <c r="C637" s="179" t="s">
        <v>2447</v>
      </c>
      <c r="D637" s="180"/>
      <c r="E637" s="180"/>
      <c r="F637" s="180"/>
      <c r="G637" s="180"/>
      <c r="H637" s="180"/>
      <c r="I637" s="180"/>
      <c r="J637" s="180"/>
      <c r="K637" s="180"/>
      <c r="L637" s="180"/>
      <c r="M637" s="181"/>
      <c r="N637" s="5"/>
    </row>
    <row r="638" spans="1:64" x14ac:dyDescent="0.2">
      <c r="A638" s="4" t="s">
        <v>523</v>
      </c>
      <c r="B638" s="13" t="s">
        <v>1444</v>
      </c>
      <c r="C638" s="174" t="s">
        <v>2448</v>
      </c>
      <c r="D638" s="175"/>
      <c r="E638" s="175"/>
      <c r="F638" s="175"/>
      <c r="G638" s="13" t="s">
        <v>2852</v>
      </c>
      <c r="H638" s="82">
        <v>1</v>
      </c>
      <c r="I638" s="109">
        <v>0</v>
      </c>
      <c r="J638" s="20">
        <f>H638*AO638</f>
        <v>0</v>
      </c>
      <c r="K638" s="20">
        <f>H638*AP638</f>
        <v>0</v>
      </c>
      <c r="L638" s="20">
        <f>H638*I638</f>
        <v>0</v>
      </c>
      <c r="M638" s="31" t="s">
        <v>2884</v>
      </c>
      <c r="N638" s="5"/>
      <c r="Z638" s="36">
        <f>IF(AQ638="5",BJ638,0)</f>
        <v>0</v>
      </c>
      <c r="AB638" s="36">
        <f>IF(AQ638="1",BH638,0)</f>
        <v>0</v>
      </c>
      <c r="AC638" s="36">
        <f>IF(AQ638="1",BI638,0)</f>
        <v>0</v>
      </c>
      <c r="AD638" s="36">
        <f>IF(AQ638="7",BH638,0)</f>
        <v>0</v>
      </c>
      <c r="AE638" s="36">
        <f>IF(AQ638="7",BI638,0)</f>
        <v>0</v>
      </c>
      <c r="AF638" s="36">
        <f>IF(AQ638="2",BH638,0)</f>
        <v>0</v>
      </c>
      <c r="AG638" s="36">
        <f>IF(AQ638="2",BI638,0)</f>
        <v>0</v>
      </c>
      <c r="AH638" s="36">
        <f>IF(AQ638="0",BJ638,0)</f>
        <v>0</v>
      </c>
      <c r="AI638" s="35" t="s">
        <v>2894</v>
      </c>
      <c r="AJ638" s="20">
        <f>IF(AN638=0,L638,0)</f>
        <v>0</v>
      </c>
      <c r="AK638" s="20">
        <f>IF(AN638=15,L638,0)</f>
        <v>0</v>
      </c>
      <c r="AL638" s="20">
        <f>IF(AN638=21,L638,0)</f>
        <v>0</v>
      </c>
      <c r="AN638" s="36">
        <v>21</v>
      </c>
      <c r="AO638" s="36">
        <f>I638*0.51</f>
        <v>0</v>
      </c>
      <c r="AP638" s="36">
        <f>I638*(1-0.51)</f>
        <v>0</v>
      </c>
      <c r="AQ638" s="37" t="s">
        <v>13</v>
      </c>
      <c r="AV638" s="36">
        <f>AW638+AX638</f>
        <v>0</v>
      </c>
      <c r="AW638" s="36">
        <f>H638*AO638</f>
        <v>0</v>
      </c>
      <c r="AX638" s="36">
        <f>H638*AP638</f>
        <v>0</v>
      </c>
      <c r="AY638" s="39" t="s">
        <v>2939</v>
      </c>
      <c r="AZ638" s="39" t="s">
        <v>2959</v>
      </c>
      <c r="BA638" s="35" t="s">
        <v>2967</v>
      </c>
      <c r="BC638" s="36">
        <f>AW638+AX638</f>
        <v>0</v>
      </c>
      <c r="BD638" s="36">
        <f>I638/(100-BE638)*100</f>
        <v>0</v>
      </c>
      <c r="BE638" s="36">
        <v>0</v>
      </c>
      <c r="BF638" s="36">
        <f>638</f>
        <v>638</v>
      </c>
      <c r="BH638" s="20">
        <f>H638*AO638</f>
        <v>0</v>
      </c>
      <c r="BI638" s="20">
        <f>H638*AP638</f>
        <v>0</v>
      </c>
      <c r="BJ638" s="20">
        <f>H638*I638</f>
        <v>0</v>
      </c>
      <c r="BK638" s="20" t="s">
        <v>2978</v>
      </c>
      <c r="BL638" s="36">
        <v>791</v>
      </c>
    </row>
    <row r="639" spans="1:64" x14ac:dyDescent="0.2">
      <c r="A639" s="4" t="s">
        <v>524</v>
      </c>
      <c r="B639" s="13" t="s">
        <v>1445</v>
      </c>
      <c r="C639" s="174" t="s">
        <v>2449</v>
      </c>
      <c r="D639" s="175"/>
      <c r="E639" s="175"/>
      <c r="F639" s="175"/>
      <c r="G639" s="13" t="s">
        <v>2852</v>
      </c>
      <c r="H639" s="82">
        <v>1</v>
      </c>
      <c r="I639" s="109">
        <v>0</v>
      </c>
      <c r="J639" s="20">
        <f>H639*AO639</f>
        <v>0</v>
      </c>
      <c r="K639" s="20">
        <f>H639*AP639</f>
        <v>0</v>
      </c>
      <c r="L639" s="20">
        <f>H639*I639</f>
        <v>0</v>
      </c>
      <c r="M639" s="31" t="s">
        <v>2884</v>
      </c>
      <c r="N639" s="5"/>
      <c r="Z639" s="36">
        <f>IF(AQ639="5",BJ639,0)</f>
        <v>0</v>
      </c>
      <c r="AB639" s="36">
        <f>IF(AQ639="1",BH639,0)</f>
        <v>0</v>
      </c>
      <c r="AC639" s="36">
        <f>IF(AQ639="1",BI639,0)</f>
        <v>0</v>
      </c>
      <c r="AD639" s="36">
        <f>IF(AQ639="7",BH639,0)</f>
        <v>0</v>
      </c>
      <c r="AE639" s="36">
        <f>IF(AQ639="7",BI639,0)</f>
        <v>0</v>
      </c>
      <c r="AF639" s="36">
        <f>IF(AQ639="2",BH639,0)</f>
        <v>0</v>
      </c>
      <c r="AG639" s="36">
        <f>IF(AQ639="2",BI639,0)</f>
        <v>0</v>
      </c>
      <c r="AH639" s="36">
        <f>IF(AQ639="0",BJ639,0)</f>
        <v>0</v>
      </c>
      <c r="AI639" s="35" t="s">
        <v>2894</v>
      </c>
      <c r="AJ639" s="20">
        <f>IF(AN639=0,L639,0)</f>
        <v>0</v>
      </c>
      <c r="AK639" s="20">
        <f>IF(AN639=15,L639,0)</f>
        <v>0</v>
      </c>
      <c r="AL639" s="20">
        <f>IF(AN639=21,L639,0)</f>
        <v>0</v>
      </c>
      <c r="AN639" s="36">
        <v>21</v>
      </c>
      <c r="AO639" s="36">
        <f>I639*0.51</f>
        <v>0</v>
      </c>
      <c r="AP639" s="36">
        <f>I639*(1-0.51)</f>
        <v>0</v>
      </c>
      <c r="AQ639" s="37" t="s">
        <v>13</v>
      </c>
      <c r="AV639" s="36">
        <f>AW639+AX639</f>
        <v>0</v>
      </c>
      <c r="AW639" s="36">
        <f>H639*AO639</f>
        <v>0</v>
      </c>
      <c r="AX639" s="36">
        <f>H639*AP639</f>
        <v>0</v>
      </c>
      <c r="AY639" s="39" t="s">
        <v>2939</v>
      </c>
      <c r="AZ639" s="39" t="s">
        <v>2959</v>
      </c>
      <c r="BA639" s="35" t="s">
        <v>2967</v>
      </c>
      <c r="BC639" s="36">
        <f>AW639+AX639</f>
        <v>0</v>
      </c>
      <c r="BD639" s="36">
        <f>I639/(100-BE639)*100</f>
        <v>0</v>
      </c>
      <c r="BE639" s="36">
        <v>0</v>
      </c>
      <c r="BF639" s="36">
        <f>639</f>
        <v>639</v>
      </c>
      <c r="BH639" s="20">
        <f>H639*AO639</f>
        <v>0</v>
      </c>
      <c r="BI639" s="20">
        <f>H639*AP639</f>
        <v>0</v>
      </c>
      <c r="BJ639" s="20">
        <f>H639*I639</f>
        <v>0</v>
      </c>
      <c r="BK639" s="20" t="s">
        <v>2978</v>
      </c>
      <c r="BL639" s="36">
        <v>791</v>
      </c>
    </row>
    <row r="640" spans="1:64" x14ac:dyDescent="0.2">
      <c r="A640" s="4" t="s">
        <v>525</v>
      </c>
      <c r="B640" s="13" t="s">
        <v>1446</v>
      </c>
      <c r="C640" s="174" t="s">
        <v>2450</v>
      </c>
      <c r="D640" s="175"/>
      <c r="E640" s="175"/>
      <c r="F640" s="175"/>
      <c r="G640" s="13" t="s">
        <v>2852</v>
      </c>
      <c r="H640" s="82">
        <v>1</v>
      </c>
      <c r="I640" s="109">
        <v>0</v>
      </c>
      <c r="J640" s="20">
        <f>H640*AO640</f>
        <v>0</v>
      </c>
      <c r="K640" s="20">
        <f>H640*AP640</f>
        <v>0</v>
      </c>
      <c r="L640" s="20">
        <f>H640*I640</f>
        <v>0</v>
      </c>
      <c r="M640" s="31" t="s">
        <v>2884</v>
      </c>
      <c r="N640" s="5"/>
      <c r="Z640" s="36">
        <f>IF(AQ640="5",BJ640,0)</f>
        <v>0</v>
      </c>
      <c r="AB640" s="36">
        <f>IF(AQ640="1",BH640,0)</f>
        <v>0</v>
      </c>
      <c r="AC640" s="36">
        <f>IF(AQ640="1",BI640,0)</f>
        <v>0</v>
      </c>
      <c r="AD640" s="36">
        <f>IF(AQ640="7",BH640,0)</f>
        <v>0</v>
      </c>
      <c r="AE640" s="36">
        <f>IF(AQ640="7",BI640,0)</f>
        <v>0</v>
      </c>
      <c r="AF640" s="36">
        <f>IF(AQ640="2",BH640,0)</f>
        <v>0</v>
      </c>
      <c r="AG640" s="36">
        <f>IF(AQ640="2",BI640,0)</f>
        <v>0</v>
      </c>
      <c r="AH640" s="36">
        <f>IF(AQ640="0",BJ640,0)</f>
        <v>0</v>
      </c>
      <c r="AI640" s="35" t="s">
        <v>2894</v>
      </c>
      <c r="AJ640" s="20">
        <f>IF(AN640=0,L640,0)</f>
        <v>0</v>
      </c>
      <c r="AK640" s="20">
        <f>IF(AN640=15,L640,0)</f>
        <v>0</v>
      </c>
      <c r="AL640" s="20">
        <f>IF(AN640=21,L640,0)</f>
        <v>0</v>
      </c>
      <c r="AN640" s="36">
        <v>21</v>
      </c>
      <c r="AO640" s="36">
        <f>I640*0.51</f>
        <v>0</v>
      </c>
      <c r="AP640" s="36">
        <f>I640*(1-0.51)</f>
        <v>0</v>
      </c>
      <c r="AQ640" s="37" t="s">
        <v>13</v>
      </c>
      <c r="AV640" s="36">
        <f>AW640+AX640</f>
        <v>0</v>
      </c>
      <c r="AW640" s="36">
        <f>H640*AO640</f>
        <v>0</v>
      </c>
      <c r="AX640" s="36">
        <f>H640*AP640</f>
        <v>0</v>
      </c>
      <c r="AY640" s="39" t="s">
        <v>2939</v>
      </c>
      <c r="AZ640" s="39" t="s">
        <v>2959</v>
      </c>
      <c r="BA640" s="35" t="s">
        <v>2967</v>
      </c>
      <c r="BC640" s="36">
        <f>AW640+AX640</f>
        <v>0</v>
      </c>
      <c r="BD640" s="36">
        <f>I640/(100-BE640)*100</f>
        <v>0</v>
      </c>
      <c r="BE640" s="36">
        <v>0</v>
      </c>
      <c r="BF640" s="36">
        <f>640</f>
        <v>640</v>
      </c>
      <c r="BH640" s="20">
        <f>H640*AO640</f>
        <v>0</v>
      </c>
      <c r="BI640" s="20">
        <f>H640*AP640</f>
        <v>0</v>
      </c>
      <c r="BJ640" s="20">
        <f>H640*I640</f>
        <v>0</v>
      </c>
      <c r="BK640" s="20" t="s">
        <v>2978</v>
      </c>
      <c r="BL640" s="36">
        <v>791</v>
      </c>
    </row>
    <row r="641" spans="1:64" x14ac:dyDescent="0.2">
      <c r="A641" s="4" t="s">
        <v>526</v>
      </c>
      <c r="B641" s="13" t="s">
        <v>1447</v>
      </c>
      <c r="C641" s="174" t="s">
        <v>2451</v>
      </c>
      <c r="D641" s="175"/>
      <c r="E641" s="175"/>
      <c r="F641" s="175"/>
      <c r="G641" s="13" t="s">
        <v>2852</v>
      </c>
      <c r="H641" s="82">
        <v>1</v>
      </c>
      <c r="I641" s="109">
        <v>0</v>
      </c>
      <c r="J641" s="20">
        <f>H641*AO641</f>
        <v>0</v>
      </c>
      <c r="K641" s="20">
        <f>H641*AP641</f>
        <v>0</v>
      </c>
      <c r="L641" s="20">
        <f>H641*I641</f>
        <v>0</v>
      </c>
      <c r="M641" s="31" t="s">
        <v>2884</v>
      </c>
      <c r="N641" s="5"/>
      <c r="Z641" s="36">
        <f>IF(AQ641="5",BJ641,0)</f>
        <v>0</v>
      </c>
      <c r="AB641" s="36">
        <f>IF(AQ641="1",BH641,0)</f>
        <v>0</v>
      </c>
      <c r="AC641" s="36">
        <f>IF(AQ641="1",BI641,0)</f>
        <v>0</v>
      </c>
      <c r="AD641" s="36">
        <f>IF(AQ641="7",BH641,0)</f>
        <v>0</v>
      </c>
      <c r="AE641" s="36">
        <f>IF(AQ641="7",BI641,0)</f>
        <v>0</v>
      </c>
      <c r="AF641" s="36">
        <f>IF(AQ641="2",BH641,0)</f>
        <v>0</v>
      </c>
      <c r="AG641" s="36">
        <f>IF(AQ641="2",BI641,0)</f>
        <v>0</v>
      </c>
      <c r="AH641" s="36">
        <f>IF(AQ641="0",BJ641,0)</f>
        <v>0</v>
      </c>
      <c r="AI641" s="35" t="s">
        <v>2894</v>
      </c>
      <c r="AJ641" s="20">
        <f>IF(AN641=0,L641,0)</f>
        <v>0</v>
      </c>
      <c r="AK641" s="20">
        <f>IF(AN641=15,L641,0)</f>
        <v>0</v>
      </c>
      <c r="AL641" s="20">
        <f>IF(AN641=21,L641,0)</f>
        <v>0</v>
      </c>
      <c r="AN641" s="36">
        <v>21</v>
      </c>
      <c r="AO641" s="36">
        <f>I641*0.51</f>
        <v>0</v>
      </c>
      <c r="AP641" s="36">
        <f>I641*(1-0.51)</f>
        <v>0</v>
      </c>
      <c r="AQ641" s="37" t="s">
        <v>13</v>
      </c>
      <c r="AV641" s="36">
        <f>AW641+AX641</f>
        <v>0</v>
      </c>
      <c r="AW641" s="36">
        <f>H641*AO641</f>
        <v>0</v>
      </c>
      <c r="AX641" s="36">
        <f>H641*AP641</f>
        <v>0</v>
      </c>
      <c r="AY641" s="39" t="s">
        <v>2939</v>
      </c>
      <c r="AZ641" s="39" t="s">
        <v>2959</v>
      </c>
      <c r="BA641" s="35" t="s">
        <v>2967</v>
      </c>
      <c r="BC641" s="36">
        <f>AW641+AX641</f>
        <v>0</v>
      </c>
      <c r="BD641" s="36">
        <f>I641/(100-BE641)*100</f>
        <v>0</v>
      </c>
      <c r="BE641" s="36">
        <v>0</v>
      </c>
      <c r="BF641" s="36">
        <f>641</f>
        <v>641</v>
      </c>
      <c r="BH641" s="20">
        <f>H641*AO641</f>
        <v>0</v>
      </c>
      <c r="BI641" s="20">
        <f>H641*AP641</f>
        <v>0</v>
      </c>
      <c r="BJ641" s="20">
        <f>H641*I641</f>
        <v>0</v>
      </c>
      <c r="BK641" s="20" t="s">
        <v>2978</v>
      </c>
      <c r="BL641" s="36">
        <v>791</v>
      </c>
    </row>
    <row r="642" spans="1:64" x14ac:dyDescent="0.2">
      <c r="A642" s="3"/>
      <c r="B642" s="12" t="s">
        <v>1448</v>
      </c>
      <c r="C642" s="172" t="s">
        <v>2452</v>
      </c>
      <c r="D642" s="173"/>
      <c r="E642" s="173"/>
      <c r="F642" s="173"/>
      <c r="G642" s="18" t="s">
        <v>6</v>
      </c>
      <c r="H642" s="18" t="s">
        <v>6</v>
      </c>
      <c r="I642" s="18" t="s">
        <v>6</v>
      </c>
      <c r="J642" s="41">
        <f>SUM(J643:J814)</f>
        <v>0</v>
      </c>
      <c r="K642" s="41">
        <f>SUM(K643:K814)</f>
        <v>0</v>
      </c>
      <c r="L642" s="41">
        <f>SUM(L643:L814)</f>
        <v>0</v>
      </c>
      <c r="M642" s="30"/>
      <c r="N642" s="5"/>
      <c r="AI642" s="35" t="s">
        <v>2894</v>
      </c>
      <c r="AS642" s="41">
        <f>SUM(AJ643:AJ814)</f>
        <v>0</v>
      </c>
      <c r="AT642" s="41">
        <f>SUM(AK643:AK814)</f>
        <v>0</v>
      </c>
      <c r="AU642" s="41">
        <f>SUM(AL643:AL814)</f>
        <v>0</v>
      </c>
    </row>
    <row r="643" spans="1:64" x14ac:dyDescent="0.2">
      <c r="A643" s="4" t="s">
        <v>527</v>
      </c>
      <c r="B643" s="13" t="s">
        <v>1449</v>
      </c>
      <c r="C643" s="174" t="s">
        <v>2453</v>
      </c>
      <c r="D643" s="175"/>
      <c r="E643" s="175"/>
      <c r="F643" s="175"/>
      <c r="G643" s="13" t="s">
        <v>2852</v>
      </c>
      <c r="H643" s="82">
        <v>54</v>
      </c>
      <c r="I643" s="109">
        <v>0</v>
      </c>
      <c r="J643" s="20">
        <f t="shared" ref="J643:J674" si="648">H643*AO643</f>
        <v>0</v>
      </c>
      <c r="K643" s="20">
        <f t="shared" ref="K643:K674" si="649">H643*AP643</f>
        <v>0</v>
      </c>
      <c r="L643" s="20">
        <f t="shared" ref="L643:L674" si="650">H643*I643</f>
        <v>0</v>
      </c>
      <c r="M643" s="31" t="s">
        <v>2884</v>
      </c>
      <c r="N643" s="5"/>
      <c r="Z643" s="36">
        <f t="shared" ref="Z643:Z674" si="651">IF(AQ643="5",BJ643,0)</f>
        <v>0</v>
      </c>
      <c r="AB643" s="36">
        <f t="shared" ref="AB643:AB674" si="652">IF(AQ643="1",BH643,0)</f>
        <v>0</v>
      </c>
      <c r="AC643" s="36">
        <f t="shared" ref="AC643:AC674" si="653">IF(AQ643="1",BI643,0)</f>
        <v>0</v>
      </c>
      <c r="AD643" s="36">
        <f t="shared" ref="AD643:AD674" si="654">IF(AQ643="7",BH643,0)</f>
        <v>0</v>
      </c>
      <c r="AE643" s="36">
        <f t="shared" ref="AE643:AE674" si="655">IF(AQ643="7",BI643,0)</f>
        <v>0</v>
      </c>
      <c r="AF643" s="36">
        <f t="shared" ref="AF643:AF674" si="656">IF(AQ643="2",BH643,0)</f>
        <v>0</v>
      </c>
      <c r="AG643" s="36">
        <f t="shared" ref="AG643:AG674" si="657">IF(AQ643="2",BI643,0)</f>
        <v>0</v>
      </c>
      <c r="AH643" s="36">
        <f t="shared" ref="AH643:AH674" si="658">IF(AQ643="0",BJ643,0)</f>
        <v>0</v>
      </c>
      <c r="AI643" s="35" t="s">
        <v>2894</v>
      </c>
      <c r="AJ643" s="20">
        <f t="shared" ref="AJ643:AJ674" si="659">IF(AN643=0,L643,0)</f>
        <v>0</v>
      </c>
      <c r="AK643" s="20">
        <f t="shared" ref="AK643:AK674" si="660">IF(AN643=15,L643,0)</f>
        <v>0</v>
      </c>
      <c r="AL643" s="20">
        <f t="shared" ref="AL643:AL674" si="661">IF(AN643=21,L643,0)</f>
        <v>0</v>
      </c>
      <c r="AN643" s="36">
        <v>21</v>
      </c>
      <c r="AO643" s="36">
        <f t="shared" ref="AO643:AO650" si="662">I643*0</f>
        <v>0</v>
      </c>
      <c r="AP643" s="36">
        <f t="shared" ref="AP643:AP650" si="663">I643*(1-0)</f>
        <v>0</v>
      </c>
      <c r="AQ643" s="37" t="s">
        <v>7</v>
      </c>
      <c r="AV643" s="36">
        <f t="shared" ref="AV643:AV674" si="664">AW643+AX643</f>
        <v>0</v>
      </c>
      <c r="AW643" s="36">
        <f t="shared" ref="AW643:AW674" si="665">H643*AO643</f>
        <v>0</v>
      </c>
      <c r="AX643" s="36">
        <f t="shared" ref="AX643:AX674" si="666">H643*AP643</f>
        <v>0</v>
      </c>
      <c r="AY643" s="39" t="s">
        <v>2940</v>
      </c>
      <c r="AZ643" s="39" t="s">
        <v>2952</v>
      </c>
      <c r="BA643" s="35" t="s">
        <v>2967</v>
      </c>
      <c r="BC643" s="36">
        <f t="shared" ref="BC643:BC674" si="667">AW643+AX643</f>
        <v>0</v>
      </c>
      <c r="BD643" s="36">
        <f t="shared" ref="BD643:BD674" si="668">I643/(100-BE643)*100</f>
        <v>0</v>
      </c>
      <c r="BE643" s="36">
        <v>0</v>
      </c>
      <c r="BF643" s="36">
        <f>643</f>
        <v>643</v>
      </c>
      <c r="BH643" s="20">
        <f t="shared" ref="BH643:BH674" si="669">H643*AO643</f>
        <v>0</v>
      </c>
      <c r="BI643" s="20">
        <f t="shared" ref="BI643:BI674" si="670">H643*AP643</f>
        <v>0</v>
      </c>
      <c r="BJ643" s="20">
        <f t="shared" ref="BJ643:BJ674" si="671">H643*I643</f>
        <v>0</v>
      </c>
      <c r="BK643" s="20" t="s">
        <v>2978</v>
      </c>
      <c r="BL643" s="36" t="s">
        <v>1448</v>
      </c>
    </row>
    <row r="644" spans="1:64" x14ac:dyDescent="0.2">
      <c r="A644" s="4" t="s">
        <v>528</v>
      </c>
      <c r="B644" s="13" t="s">
        <v>1450</v>
      </c>
      <c r="C644" s="174" t="s">
        <v>2454</v>
      </c>
      <c r="D644" s="175"/>
      <c r="E644" s="175"/>
      <c r="F644" s="175"/>
      <c r="G644" s="13" t="s">
        <v>2852</v>
      </c>
      <c r="H644" s="82">
        <v>38</v>
      </c>
      <c r="I644" s="109">
        <v>0</v>
      </c>
      <c r="J644" s="20">
        <f t="shared" si="648"/>
        <v>0</v>
      </c>
      <c r="K644" s="20">
        <f t="shared" si="649"/>
        <v>0</v>
      </c>
      <c r="L644" s="20">
        <f t="shared" si="650"/>
        <v>0</v>
      </c>
      <c r="M644" s="31" t="s">
        <v>2884</v>
      </c>
      <c r="N644" s="5"/>
      <c r="Z644" s="36">
        <f t="shared" si="651"/>
        <v>0</v>
      </c>
      <c r="AB644" s="36">
        <f t="shared" si="652"/>
        <v>0</v>
      </c>
      <c r="AC644" s="36">
        <f t="shared" si="653"/>
        <v>0</v>
      </c>
      <c r="AD644" s="36">
        <f t="shared" si="654"/>
        <v>0</v>
      </c>
      <c r="AE644" s="36">
        <f t="shared" si="655"/>
        <v>0</v>
      </c>
      <c r="AF644" s="36">
        <f t="shared" si="656"/>
        <v>0</v>
      </c>
      <c r="AG644" s="36">
        <f t="shared" si="657"/>
        <v>0</v>
      </c>
      <c r="AH644" s="36">
        <f t="shared" si="658"/>
        <v>0</v>
      </c>
      <c r="AI644" s="35" t="s">
        <v>2894</v>
      </c>
      <c r="AJ644" s="20">
        <f t="shared" si="659"/>
        <v>0</v>
      </c>
      <c r="AK644" s="20">
        <f t="shared" si="660"/>
        <v>0</v>
      </c>
      <c r="AL644" s="20">
        <f t="shared" si="661"/>
        <v>0</v>
      </c>
      <c r="AN644" s="36">
        <v>21</v>
      </c>
      <c r="AO644" s="36">
        <f t="shared" si="662"/>
        <v>0</v>
      </c>
      <c r="AP644" s="36">
        <f t="shared" si="663"/>
        <v>0</v>
      </c>
      <c r="AQ644" s="37" t="s">
        <v>7</v>
      </c>
      <c r="AV644" s="36">
        <f t="shared" si="664"/>
        <v>0</v>
      </c>
      <c r="AW644" s="36">
        <f t="shared" si="665"/>
        <v>0</v>
      </c>
      <c r="AX644" s="36">
        <f t="shared" si="666"/>
        <v>0</v>
      </c>
      <c r="AY644" s="39" t="s">
        <v>2940</v>
      </c>
      <c r="AZ644" s="39" t="s">
        <v>2952</v>
      </c>
      <c r="BA644" s="35" t="s">
        <v>2967</v>
      </c>
      <c r="BC644" s="36">
        <f t="shared" si="667"/>
        <v>0</v>
      </c>
      <c r="BD644" s="36">
        <f t="shared" si="668"/>
        <v>0</v>
      </c>
      <c r="BE644" s="36">
        <v>0</v>
      </c>
      <c r="BF644" s="36">
        <f>644</f>
        <v>644</v>
      </c>
      <c r="BH644" s="20">
        <f t="shared" si="669"/>
        <v>0</v>
      </c>
      <c r="BI644" s="20">
        <f t="shared" si="670"/>
        <v>0</v>
      </c>
      <c r="BJ644" s="20">
        <f t="shared" si="671"/>
        <v>0</v>
      </c>
      <c r="BK644" s="20" t="s">
        <v>2978</v>
      </c>
      <c r="BL644" s="36" t="s">
        <v>1448</v>
      </c>
    </row>
    <row r="645" spans="1:64" x14ac:dyDescent="0.2">
      <c r="A645" s="4" t="s">
        <v>529</v>
      </c>
      <c r="B645" s="13" t="s">
        <v>1451</v>
      </c>
      <c r="C645" s="174" t="s">
        <v>2455</v>
      </c>
      <c r="D645" s="175"/>
      <c r="E645" s="175"/>
      <c r="F645" s="175"/>
      <c r="G645" s="13" t="s">
        <v>2852</v>
      </c>
      <c r="H645" s="82">
        <v>86</v>
      </c>
      <c r="I645" s="109">
        <v>0</v>
      </c>
      <c r="J645" s="20">
        <f t="shared" si="648"/>
        <v>0</v>
      </c>
      <c r="K645" s="20">
        <f t="shared" si="649"/>
        <v>0</v>
      </c>
      <c r="L645" s="20">
        <f t="shared" si="650"/>
        <v>0</v>
      </c>
      <c r="M645" s="31" t="s">
        <v>2884</v>
      </c>
      <c r="N645" s="5"/>
      <c r="Z645" s="36">
        <f t="shared" si="651"/>
        <v>0</v>
      </c>
      <c r="AB645" s="36">
        <f t="shared" si="652"/>
        <v>0</v>
      </c>
      <c r="AC645" s="36">
        <f t="shared" si="653"/>
        <v>0</v>
      </c>
      <c r="AD645" s="36">
        <f t="shared" si="654"/>
        <v>0</v>
      </c>
      <c r="AE645" s="36">
        <f t="shared" si="655"/>
        <v>0</v>
      </c>
      <c r="AF645" s="36">
        <f t="shared" si="656"/>
        <v>0</v>
      </c>
      <c r="AG645" s="36">
        <f t="shared" si="657"/>
        <v>0</v>
      </c>
      <c r="AH645" s="36">
        <f t="shared" si="658"/>
        <v>0</v>
      </c>
      <c r="AI645" s="35" t="s">
        <v>2894</v>
      </c>
      <c r="AJ645" s="20">
        <f t="shared" si="659"/>
        <v>0</v>
      </c>
      <c r="AK645" s="20">
        <f t="shared" si="660"/>
        <v>0</v>
      </c>
      <c r="AL645" s="20">
        <f t="shared" si="661"/>
        <v>0</v>
      </c>
      <c r="AN645" s="36">
        <v>21</v>
      </c>
      <c r="AO645" s="36">
        <f t="shared" si="662"/>
        <v>0</v>
      </c>
      <c r="AP645" s="36">
        <f t="shared" si="663"/>
        <v>0</v>
      </c>
      <c r="AQ645" s="37" t="s">
        <v>7</v>
      </c>
      <c r="AV645" s="36">
        <f t="shared" si="664"/>
        <v>0</v>
      </c>
      <c r="AW645" s="36">
        <f t="shared" si="665"/>
        <v>0</v>
      </c>
      <c r="AX645" s="36">
        <f t="shared" si="666"/>
        <v>0</v>
      </c>
      <c r="AY645" s="39" t="s">
        <v>2940</v>
      </c>
      <c r="AZ645" s="39" t="s">
        <v>2952</v>
      </c>
      <c r="BA645" s="35" t="s">
        <v>2967</v>
      </c>
      <c r="BC645" s="36">
        <f t="shared" si="667"/>
        <v>0</v>
      </c>
      <c r="BD645" s="36">
        <f t="shared" si="668"/>
        <v>0</v>
      </c>
      <c r="BE645" s="36">
        <v>0</v>
      </c>
      <c r="BF645" s="36">
        <f>645</f>
        <v>645</v>
      </c>
      <c r="BH645" s="20">
        <f t="shared" si="669"/>
        <v>0</v>
      </c>
      <c r="BI645" s="20">
        <f t="shared" si="670"/>
        <v>0</v>
      </c>
      <c r="BJ645" s="20">
        <f t="shared" si="671"/>
        <v>0</v>
      </c>
      <c r="BK645" s="20" t="s">
        <v>2978</v>
      </c>
      <c r="BL645" s="36" t="s">
        <v>1448</v>
      </c>
    </row>
    <row r="646" spans="1:64" x14ac:dyDescent="0.2">
      <c r="A646" s="4" t="s">
        <v>530</v>
      </c>
      <c r="B646" s="13" t="s">
        <v>1452</v>
      </c>
      <c r="C646" s="174" t="s">
        <v>2456</v>
      </c>
      <c r="D646" s="175"/>
      <c r="E646" s="175"/>
      <c r="F646" s="175"/>
      <c r="G646" s="13" t="s">
        <v>2855</v>
      </c>
      <c r="H646" s="82">
        <v>980</v>
      </c>
      <c r="I646" s="109">
        <v>0</v>
      </c>
      <c r="J646" s="20">
        <f t="shared" si="648"/>
        <v>0</v>
      </c>
      <c r="K646" s="20">
        <f t="shared" si="649"/>
        <v>0</v>
      </c>
      <c r="L646" s="20">
        <f t="shared" si="650"/>
        <v>0</v>
      </c>
      <c r="M646" s="31" t="s">
        <v>2884</v>
      </c>
      <c r="N646" s="5"/>
      <c r="Z646" s="36">
        <f t="shared" si="651"/>
        <v>0</v>
      </c>
      <c r="AB646" s="36">
        <f t="shared" si="652"/>
        <v>0</v>
      </c>
      <c r="AC646" s="36">
        <f t="shared" si="653"/>
        <v>0</v>
      </c>
      <c r="AD646" s="36">
        <f t="shared" si="654"/>
        <v>0</v>
      </c>
      <c r="AE646" s="36">
        <f t="shared" si="655"/>
        <v>0</v>
      </c>
      <c r="AF646" s="36">
        <f t="shared" si="656"/>
        <v>0</v>
      </c>
      <c r="AG646" s="36">
        <f t="shared" si="657"/>
        <v>0</v>
      </c>
      <c r="AH646" s="36">
        <f t="shared" si="658"/>
        <v>0</v>
      </c>
      <c r="AI646" s="35" t="s">
        <v>2894</v>
      </c>
      <c r="AJ646" s="20">
        <f t="shared" si="659"/>
        <v>0</v>
      </c>
      <c r="AK646" s="20">
        <f t="shared" si="660"/>
        <v>0</v>
      </c>
      <c r="AL646" s="20">
        <f t="shared" si="661"/>
        <v>0</v>
      </c>
      <c r="AN646" s="36">
        <v>21</v>
      </c>
      <c r="AO646" s="36">
        <f t="shared" si="662"/>
        <v>0</v>
      </c>
      <c r="AP646" s="36">
        <f t="shared" si="663"/>
        <v>0</v>
      </c>
      <c r="AQ646" s="37" t="s">
        <v>7</v>
      </c>
      <c r="AV646" s="36">
        <f t="shared" si="664"/>
        <v>0</v>
      </c>
      <c r="AW646" s="36">
        <f t="shared" si="665"/>
        <v>0</v>
      </c>
      <c r="AX646" s="36">
        <f t="shared" si="666"/>
        <v>0</v>
      </c>
      <c r="AY646" s="39" t="s">
        <v>2940</v>
      </c>
      <c r="AZ646" s="39" t="s">
        <v>2952</v>
      </c>
      <c r="BA646" s="35" t="s">
        <v>2967</v>
      </c>
      <c r="BC646" s="36">
        <f t="shared" si="667"/>
        <v>0</v>
      </c>
      <c r="BD646" s="36">
        <f t="shared" si="668"/>
        <v>0</v>
      </c>
      <c r="BE646" s="36">
        <v>0</v>
      </c>
      <c r="BF646" s="36">
        <f>646</f>
        <v>646</v>
      </c>
      <c r="BH646" s="20">
        <f t="shared" si="669"/>
        <v>0</v>
      </c>
      <c r="BI646" s="20">
        <f t="shared" si="670"/>
        <v>0</v>
      </c>
      <c r="BJ646" s="20">
        <f t="shared" si="671"/>
        <v>0</v>
      </c>
      <c r="BK646" s="20" t="s">
        <v>2978</v>
      </c>
      <c r="BL646" s="36" t="s">
        <v>1448</v>
      </c>
    </row>
    <row r="647" spans="1:64" x14ac:dyDescent="0.2">
      <c r="A647" s="4" t="s">
        <v>531</v>
      </c>
      <c r="B647" s="13" t="s">
        <v>1453</v>
      </c>
      <c r="C647" s="174" t="s">
        <v>2457</v>
      </c>
      <c r="D647" s="175"/>
      <c r="E647" s="175"/>
      <c r="F647" s="175"/>
      <c r="G647" s="13" t="s">
        <v>2855</v>
      </c>
      <c r="H647" s="82">
        <v>68</v>
      </c>
      <c r="I647" s="109">
        <v>0</v>
      </c>
      <c r="J647" s="20">
        <f t="shared" si="648"/>
        <v>0</v>
      </c>
      <c r="K647" s="20">
        <f t="shared" si="649"/>
        <v>0</v>
      </c>
      <c r="L647" s="20">
        <f t="shared" si="650"/>
        <v>0</v>
      </c>
      <c r="M647" s="31" t="s">
        <v>2884</v>
      </c>
      <c r="N647" s="5"/>
      <c r="Z647" s="36">
        <f t="shared" si="651"/>
        <v>0</v>
      </c>
      <c r="AB647" s="36">
        <f t="shared" si="652"/>
        <v>0</v>
      </c>
      <c r="AC647" s="36">
        <f t="shared" si="653"/>
        <v>0</v>
      </c>
      <c r="AD647" s="36">
        <f t="shared" si="654"/>
        <v>0</v>
      </c>
      <c r="AE647" s="36">
        <f t="shared" si="655"/>
        <v>0</v>
      </c>
      <c r="AF647" s="36">
        <f t="shared" si="656"/>
        <v>0</v>
      </c>
      <c r="AG647" s="36">
        <f t="shared" si="657"/>
        <v>0</v>
      </c>
      <c r="AH647" s="36">
        <f t="shared" si="658"/>
        <v>0</v>
      </c>
      <c r="AI647" s="35" t="s">
        <v>2894</v>
      </c>
      <c r="AJ647" s="20">
        <f t="shared" si="659"/>
        <v>0</v>
      </c>
      <c r="AK647" s="20">
        <f t="shared" si="660"/>
        <v>0</v>
      </c>
      <c r="AL647" s="20">
        <f t="shared" si="661"/>
        <v>0</v>
      </c>
      <c r="AN647" s="36">
        <v>21</v>
      </c>
      <c r="AO647" s="36">
        <f t="shared" si="662"/>
        <v>0</v>
      </c>
      <c r="AP647" s="36">
        <f t="shared" si="663"/>
        <v>0</v>
      </c>
      <c r="AQ647" s="37" t="s">
        <v>7</v>
      </c>
      <c r="AV647" s="36">
        <f t="shared" si="664"/>
        <v>0</v>
      </c>
      <c r="AW647" s="36">
        <f t="shared" si="665"/>
        <v>0</v>
      </c>
      <c r="AX647" s="36">
        <f t="shared" si="666"/>
        <v>0</v>
      </c>
      <c r="AY647" s="39" t="s">
        <v>2940</v>
      </c>
      <c r="AZ647" s="39" t="s">
        <v>2952</v>
      </c>
      <c r="BA647" s="35" t="s">
        <v>2967</v>
      </c>
      <c r="BC647" s="36">
        <f t="shared" si="667"/>
        <v>0</v>
      </c>
      <c r="BD647" s="36">
        <f t="shared" si="668"/>
        <v>0</v>
      </c>
      <c r="BE647" s="36">
        <v>0</v>
      </c>
      <c r="BF647" s="36">
        <f>647</f>
        <v>647</v>
      </c>
      <c r="BH647" s="20">
        <f t="shared" si="669"/>
        <v>0</v>
      </c>
      <c r="BI647" s="20">
        <f t="shared" si="670"/>
        <v>0</v>
      </c>
      <c r="BJ647" s="20">
        <f t="shared" si="671"/>
        <v>0</v>
      </c>
      <c r="BK647" s="20" t="s">
        <v>2978</v>
      </c>
      <c r="BL647" s="36" t="s">
        <v>1448</v>
      </c>
    </row>
    <row r="648" spans="1:64" x14ac:dyDescent="0.2">
      <c r="A648" s="4" t="s">
        <v>532</v>
      </c>
      <c r="B648" s="13" t="s">
        <v>1454</v>
      </c>
      <c r="C648" s="174" t="s">
        <v>2458</v>
      </c>
      <c r="D648" s="175"/>
      <c r="E648" s="175"/>
      <c r="F648" s="175"/>
      <c r="G648" s="13" t="s">
        <v>2852</v>
      </c>
      <c r="H648" s="82">
        <v>1</v>
      </c>
      <c r="I648" s="109">
        <v>0</v>
      </c>
      <c r="J648" s="20">
        <f t="shared" si="648"/>
        <v>0</v>
      </c>
      <c r="K648" s="20">
        <f t="shared" si="649"/>
        <v>0</v>
      </c>
      <c r="L648" s="20">
        <f t="shared" si="650"/>
        <v>0</v>
      </c>
      <c r="M648" s="31" t="s">
        <v>2884</v>
      </c>
      <c r="N648" s="5"/>
      <c r="Z648" s="36">
        <f t="shared" si="651"/>
        <v>0</v>
      </c>
      <c r="AB648" s="36">
        <f t="shared" si="652"/>
        <v>0</v>
      </c>
      <c r="AC648" s="36">
        <f t="shared" si="653"/>
        <v>0</v>
      </c>
      <c r="AD648" s="36">
        <f t="shared" si="654"/>
        <v>0</v>
      </c>
      <c r="AE648" s="36">
        <f t="shared" si="655"/>
        <v>0</v>
      </c>
      <c r="AF648" s="36">
        <f t="shared" si="656"/>
        <v>0</v>
      </c>
      <c r="AG648" s="36">
        <f t="shared" si="657"/>
        <v>0</v>
      </c>
      <c r="AH648" s="36">
        <f t="shared" si="658"/>
        <v>0</v>
      </c>
      <c r="AI648" s="35" t="s">
        <v>2894</v>
      </c>
      <c r="AJ648" s="20">
        <f t="shared" si="659"/>
        <v>0</v>
      </c>
      <c r="AK648" s="20">
        <f t="shared" si="660"/>
        <v>0</v>
      </c>
      <c r="AL648" s="20">
        <f t="shared" si="661"/>
        <v>0</v>
      </c>
      <c r="AN648" s="36">
        <v>21</v>
      </c>
      <c r="AO648" s="36">
        <f t="shared" si="662"/>
        <v>0</v>
      </c>
      <c r="AP648" s="36">
        <f t="shared" si="663"/>
        <v>0</v>
      </c>
      <c r="AQ648" s="37" t="s">
        <v>7</v>
      </c>
      <c r="AV648" s="36">
        <f t="shared" si="664"/>
        <v>0</v>
      </c>
      <c r="AW648" s="36">
        <f t="shared" si="665"/>
        <v>0</v>
      </c>
      <c r="AX648" s="36">
        <f t="shared" si="666"/>
        <v>0</v>
      </c>
      <c r="AY648" s="39" t="s">
        <v>2940</v>
      </c>
      <c r="AZ648" s="39" t="s">
        <v>2952</v>
      </c>
      <c r="BA648" s="35" t="s">
        <v>2967</v>
      </c>
      <c r="BC648" s="36">
        <f t="shared" si="667"/>
        <v>0</v>
      </c>
      <c r="BD648" s="36">
        <f t="shared" si="668"/>
        <v>0</v>
      </c>
      <c r="BE648" s="36">
        <v>0</v>
      </c>
      <c r="BF648" s="36">
        <f>648</f>
        <v>648</v>
      </c>
      <c r="BH648" s="20">
        <f t="shared" si="669"/>
        <v>0</v>
      </c>
      <c r="BI648" s="20">
        <f t="shared" si="670"/>
        <v>0</v>
      </c>
      <c r="BJ648" s="20">
        <f t="shared" si="671"/>
        <v>0</v>
      </c>
      <c r="BK648" s="20" t="s">
        <v>2978</v>
      </c>
      <c r="BL648" s="36" t="s">
        <v>1448</v>
      </c>
    </row>
    <row r="649" spans="1:64" x14ac:dyDescent="0.2">
      <c r="A649" s="4" t="s">
        <v>533</v>
      </c>
      <c r="B649" s="13" t="s">
        <v>1455</v>
      </c>
      <c r="C649" s="174" t="s">
        <v>2459</v>
      </c>
      <c r="D649" s="175"/>
      <c r="E649" s="175"/>
      <c r="F649" s="175"/>
      <c r="G649" s="13" t="s">
        <v>2860</v>
      </c>
      <c r="H649" s="82">
        <v>3</v>
      </c>
      <c r="I649" s="109">
        <v>0</v>
      </c>
      <c r="J649" s="20">
        <f t="shared" si="648"/>
        <v>0</v>
      </c>
      <c r="K649" s="20">
        <f t="shared" si="649"/>
        <v>0</v>
      </c>
      <c r="L649" s="20">
        <f t="shared" si="650"/>
        <v>0</v>
      </c>
      <c r="M649" s="31" t="s">
        <v>2884</v>
      </c>
      <c r="N649" s="5"/>
      <c r="Z649" s="36">
        <f t="shared" si="651"/>
        <v>0</v>
      </c>
      <c r="AB649" s="36">
        <f t="shared" si="652"/>
        <v>0</v>
      </c>
      <c r="AC649" s="36">
        <f t="shared" si="653"/>
        <v>0</v>
      </c>
      <c r="AD649" s="36">
        <f t="shared" si="654"/>
        <v>0</v>
      </c>
      <c r="AE649" s="36">
        <f t="shared" si="655"/>
        <v>0</v>
      </c>
      <c r="AF649" s="36">
        <f t="shared" si="656"/>
        <v>0</v>
      </c>
      <c r="AG649" s="36">
        <f t="shared" si="657"/>
        <v>0</v>
      </c>
      <c r="AH649" s="36">
        <f t="shared" si="658"/>
        <v>0</v>
      </c>
      <c r="AI649" s="35" t="s">
        <v>2894</v>
      </c>
      <c r="AJ649" s="20">
        <f t="shared" si="659"/>
        <v>0</v>
      </c>
      <c r="AK649" s="20">
        <f t="shared" si="660"/>
        <v>0</v>
      </c>
      <c r="AL649" s="20">
        <f t="shared" si="661"/>
        <v>0</v>
      </c>
      <c r="AN649" s="36">
        <v>21</v>
      </c>
      <c r="AO649" s="36">
        <f t="shared" si="662"/>
        <v>0</v>
      </c>
      <c r="AP649" s="36">
        <f t="shared" si="663"/>
        <v>0</v>
      </c>
      <c r="AQ649" s="37" t="s">
        <v>7</v>
      </c>
      <c r="AV649" s="36">
        <f t="shared" si="664"/>
        <v>0</v>
      </c>
      <c r="AW649" s="36">
        <f t="shared" si="665"/>
        <v>0</v>
      </c>
      <c r="AX649" s="36">
        <f t="shared" si="666"/>
        <v>0</v>
      </c>
      <c r="AY649" s="39" t="s">
        <v>2940</v>
      </c>
      <c r="AZ649" s="39" t="s">
        <v>2952</v>
      </c>
      <c r="BA649" s="35" t="s">
        <v>2967</v>
      </c>
      <c r="BC649" s="36">
        <f t="shared" si="667"/>
        <v>0</v>
      </c>
      <c r="BD649" s="36">
        <f t="shared" si="668"/>
        <v>0</v>
      </c>
      <c r="BE649" s="36">
        <v>0</v>
      </c>
      <c r="BF649" s="36">
        <f>649</f>
        <v>649</v>
      </c>
      <c r="BH649" s="20">
        <f t="shared" si="669"/>
        <v>0</v>
      </c>
      <c r="BI649" s="20">
        <f t="shared" si="670"/>
        <v>0</v>
      </c>
      <c r="BJ649" s="20">
        <f t="shared" si="671"/>
        <v>0</v>
      </c>
      <c r="BK649" s="20" t="s">
        <v>2978</v>
      </c>
      <c r="BL649" s="36" t="s">
        <v>1448</v>
      </c>
    </row>
    <row r="650" spans="1:64" x14ac:dyDescent="0.2">
      <c r="A650" s="4" t="s">
        <v>534</v>
      </c>
      <c r="B650" s="13" t="s">
        <v>1456</v>
      </c>
      <c r="C650" s="174" t="s">
        <v>2460</v>
      </c>
      <c r="D650" s="175"/>
      <c r="E650" s="175"/>
      <c r="F650" s="175"/>
      <c r="G650" s="13" t="s">
        <v>2860</v>
      </c>
      <c r="H650" s="82">
        <v>3</v>
      </c>
      <c r="I650" s="109">
        <v>0</v>
      </c>
      <c r="J650" s="20">
        <f t="shared" si="648"/>
        <v>0</v>
      </c>
      <c r="K650" s="20">
        <f t="shared" si="649"/>
        <v>0</v>
      </c>
      <c r="L650" s="20">
        <f t="shared" si="650"/>
        <v>0</v>
      </c>
      <c r="M650" s="31" t="s">
        <v>2884</v>
      </c>
      <c r="N650" s="5"/>
      <c r="Z650" s="36">
        <f t="shared" si="651"/>
        <v>0</v>
      </c>
      <c r="AB650" s="36">
        <f t="shared" si="652"/>
        <v>0</v>
      </c>
      <c r="AC650" s="36">
        <f t="shared" si="653"/>
        <v>0</v>
      </c>
      <c r="AD650" s="36">
        <f t="shared" si="654"/>
        <v>0</v>
      </c>
      <c r="AE650" s="36">
        <f t="shared" si="655"/>
        <v>0</v>
      </c>
      <c r="AF650" s="36">
        <f t="shared" si="656"/>
        <v>0</v>
      </c>
      <c r="AG650" s="36">
        <f t="shared" si="657"/>
        <v>0</v>
      </c>
      <c r="AH650" s="36">
        <f t="shared" si="658"/>
        <v>0</v>
      </c>
      <c r="AI650" s="35" t="s">
        <v>2894</v>
      </c>
      <c r="AJ650" s="20">
        <f t="shared" si="659"/>
        <v>0</v>
      </c>
      <c r="AK650" s="20">
        <f t="shared" si="660"/>
        <v>0</v>
      </c>
      <c r="AL650" s="20">
        <f t="shared" si="661"/>
        <v>0</v>
      </c>
      <c r="AN650" s="36">
        <v>21</v>
      </c>
      <c r="AO650" s="36">
        <f t="shared" si="662"/>
        <v>0</v>
      </c>
      <c r="AP650" s="36">
        <f t="shared" si="663"/>
        <v>0</v>
      </c>
      <c r="AQ650" s="37" t="s">
        <v>7</v>
      </c>
      <c r="AV650" s="36">
        <f t="shared" si="664"/>
        <v>0</v>
      </c>
      <c r="AW650" s="36">
        <f t="shared" si="665"/>
        <v>0</v>
      </c>
      <c r="AX650" s="36">
        <f t="shared" si="666"/>
        <v>0</v>
      </c>
      <c r="AY650" s="39" t="s">
        <v>2940</v>
      </c>
      <c r="AZ650" s="39" t="s">
        <v>2952</v>
      </c>
      <c r="BA650" s="35" t="s">
        <v>2967</v>
      </c>
      <c r="BC650" s="36">
        <f t="shared" si="667"/>
        <v>0</v>
      </c>
      <c r="BD650" s="36">
        <f t="shared" si="668"/>
        <v>0</v>
      </c>
      <c r="BE650" s="36">
        <v>0</v>
      </c>
      <c r="BF650" s="36">
        <f>650</f>
        <v>650</v>
      </c>
      <c r="BH650" s="20">
        <f t="shared" si="669"/>
        <v>0</v>
      </c>
      <c r="BI650" s="20">
        <f t="shared" si="670"/>
        <v>0</v>
      </c>
      <c r="BJ650" s="20">
        <f t="shared" si="671"/>
        <v>0</v>
      </c>
      <c r="BK650" s="20" t="s">
        <v>2978</v>
      </c>
      <c r="BL650" s="36" t="s">
        <v>1448</v>
      </c>
    </row>
    <row r="651" spans="1:64" x14ac:dyDescent="0.2">
      <c r="A651" s="86" t="s">
        <v>535</v>
      </c>
      <c r="B651" s="87" t="s">
        <v>1457</v>
      </c>
      <c r="C651" s="184" t="s">
        <v>2461</v>
      </c>
      <c r="D651" s="175"/>
      <c r="E651" s="175"/>
      <c r="F651" s="175"/>
      <c r="G651" s="87" t="s">
        <v>2860</v>
      </c>
      <c r="H651" s="88">
        <v>1</v>
      </c>
      <c r="I651" s="111">
        <v>0</v>
      </c>
      <c r="J651" s="96">
        <f t="shared" si="648"/>
        <v>0</v>
      </c>
      <c r="K651" s="96">
        <f t="shared" si="649"/>
        <v>0</v>
      </c>
      <c r="L651" s="96">
        <f t="shared" si="650"/>
        <v>0</v>
      </c>
      <c r="M651" s="97" t="s">
        <v>2884</v>
      </c>
      <c r="N651" s="5"/>
      <c r="Z651" s="36">
        <f t="shared" si="651"/>
        <v>0</v>
      </c>
      <c r="AB651" s="36">
        <f t="shared" si="652"/>
        <v>0</v>
      </c>
      <c r="AC651" s="36">
        <f t="shared" si="653"/>
        <v>0</v>
      </c>
      <c r="AD651" s="36">
        <f t="shared" si="654"/>
        <v>0</v>
      </c>
      <c r="AE651" s="36">
        <f t="shared" si="655"/>
        <v>0</v>
      </c>
      <c r="AF651" s="36">
        <f t="shared" si="656"/>
        <v>0</v>
      </c>
      <c r="AG651" s="36">
        <f t="shared" si="657"/>
        <v>0</v>
      </c>
      <c r="AH651" s="36">
        <f t="shared" si="658"/>
        <v>0</v>
      </c>
      <c r="AI651" s="35" t="s">
        <v>2894</v>
      </c>
      <c r="AJ651" s="20">
        <f t="shared" si="659"/>
        <v>0</v>
      </c>
      <c r="AK651" s="20">
        <f t="shared" si="660"/>
        <v>0</v>
      </c>
      <c r="AL651" s="20">
        <f t="shared" si="661"/>
        <v>0</v>
      </c>
      <c r="AN651" s="36">
        <v>21</v>
      </c>
      <c r="AO651" s="36">
        <f>I651*1</f>
        <v>0</v>
      </c>
      <c r="AP651" s="36">
        <f>I651*(1-1)</f>
        <v>0</v>
      </c>
      <c r="AQ651" s="37" t="s">
        <v>7</v>
      </c>
      <c r="AV651" s="36">
        <f t="shared" si="664"/>
        <v>0</v>
      </c>
      <c r="AW651" s="36">
        <f t="shared" si="665"/>
        <v>0</v>
      </c>
      <c r="AX651" s="36">
        <f t="shared" si="666"/>
        <v>0</v>
      </c>
      <c r="AY651" s="39" t="s">
        <v>2940</v>
      </c>
      <c r="AZ651" s="39" t="s">
        <v>2952</v>
      </c>
      <c r="BA651" s="35" t="s">
        <v>2967</v>
      </c>
      <c r="BC651" s="36">
        <f t="shared" si="667"/>
        <v>0</v>
      </c>
      <c r="BD651" s="36">
        <f t="shared" si="668"/>
        <v>0</v>
      </c>
      <c r="BE651" s="36">
        <v>0</v>
      </c>
      <c r="BF651" s="36">
        <f>651</f>
        <v>651</v>
      </c>
      <c r="BH651" s="20">
        <f t="shared" si="669"/>
        <v>0</v>
      </c>
      <c r="BI651" s="20">
        <f t="shared" si="670"/>
        <v>0</v>
      </c>
      <c r="BJ651" s="20">
        <f t="shared" si="671"/>
        <v>0</v>
      </c>
      <c r="BK651" s="20" t="s">
        <v>2978</v>
      </c>
      <c r="BL651" s="36" t="s">
        <v>1448</v>
      </c>
    </row>
    <row r="652" spans="1:64" x14ac:dyDescent="0.2">
      <c r="A652" s="4" t="s">
        <v>536</v>
      </c>
      <c r="B652" s="13" t="s">
        <v>1458</v>
      </c>
      <c r="C652" s="174" t="s">
        <v>2462</v>
      </c>
      <c r="D652" s="175"/>
      <c r="E652" s="175"/>
      <c r="F652" s="175"/>
      <c r="G652" s="13" t="s">
        <v>2855</v>
      </c>
      <c r="H652" s="82">
        <v>480</v>
      </c>
      <c r="I652" s="109">
        <v>0</v>
      </c>
      <c r="J652" s="20">
        <f t="shared" si="648"/>
        <v>0</v>
      </c>
      <c r="K652" s="20">
        <f t="shared" si="649"/>
        <v>0</v>
      </c>
      <c r="L652" s="20">
        <f t="shared" si="650"/>
        <v>0</v>
      </c>
      <c r="M652" s="31" t="s">
        <v>2884</v>
      </c>
      <c r="N652" s="5"/>
      <c r="Z652" s="36">
        <f t="shared" si="651"/>
        <v>0</v>
      </c>
      <c r="AB652" s="36">
        <f t="shared" si="652"/>
        <v>0</v>
      </c>
      <c r="AC652" s="36">
        <f t="shared" si="653"/>
        <v>0</v>
      </c>
      <c r="AD652" s="36">
        <f t="shared" si="654"/>
        <v>0</v>
      </c>
      <c r="AE652" s="36">
        <f t="shared" si="655"/>
        <v>0</v>
      </c>
      <c r="AF652" s="36">
        <f t="shared" si="656"/>
        <v>0</v>
      </c>
      <c r="AG652" s="36">
        <f t="shared" si="657"/>
        <v>0</v>
      </c>
      <c r="AH652" s="36">
        <f t="shared" si="658"/>
        <v>0</v>
      </c>
      <c r="AI652" s="35" t="s">
        <v>2894</v>
      </c>
      <c r="AJ652" s="20">
        <f t="shared" si="659"/>
        <v>0</v>
      </c>
      <c r="AK652" s="20">
        <f t="shared" si="660"/>
        <v>0</v>
      </c>
      <c r="AL652" s="20">
        <f t="shared" si="661"/>
        <v>0</v>
      </c>
      <c r="AN652" s="36">
        <v>21</v>
      </c>
      <c r="AO652" s="36">
        <f>I652*0</f>
        <v>0</v>
      </c>
      <c r="AP652" s="36">
        <f>I652*(1-0)</f>
        <v>0</v>
      </c>
      <c r="AQ652" s="37" t="s">
        <v>7</v>
      </c>
      <c r="AV652" s="36">
        <f t="shared" si="664"/>
        <v>0</v>
      </c>
      <c r="AW652" s="36">
        <f t="shared" si="665"/>
        <v>0</v>
      </c>
      <c r="AX652" s="36">
        <f t="shared" si="666"/>
        <v>0</v>
      </c>
      <c r="AY652" s="39" t="s">
        <v>2940</v>
      </c>
      <c r="AZ652" s="39" t="s">
        <v>2952</v>
      </c>
      <c r="BA652" s="35" t="s">
        <v>2967</v>
      </c>
      <c r="BC652" s="36">
        <f t="shared" si="667"/>
        <v>0</v>
      </c>
      <c r="BD652" s="36">
        <f t="shared" si="668"/>
        <v>0</v>
      </c>
      <c r="BE652" s="36">
        <v>0</v>
      </c>
      <c r="BF652" s="36">
        <f>652</f>
        <v>652</v>
      </c>
      <c r="BH652" s="20">
        <f t="shared" si="669"/>
        <v>0</v>
      </c>
      <c r="BI652" s="20">
        <f t="shared" si="670"/>
        <v>0</v>
      </c>
      <c r="BJ652" s="20">
        <f t="shared" si="671"/>
        <v>0</v>
      </c>
      <c r="BK652" s="20" t="s">
        <v>2978</v>
      </c>
      <c r="BL652" s="36" t="s">
        <v>1448</v>
      </c>
    </row>
    <row r="653" spans="1:64" x14ac:dyDescent="0.2">
      <c r="A653" s="86" t="s">
        <v>537</v>
      </c>
      <c r="B653" s="87" t="s">
        <v>1459</v>
      </c>
      <c r="C653" s="184" t="s">
        <v>2463</v>
      </c>
      <c r="D653" s="175"/>
      <c r="E653" s="175"/>
      <c r="F653" s="175"/>
      <c r="G653" s="87" t="s">
        <v>2855</v>
      </c>
      <c r="H653" s="88">
        <v>480</v>
      </c>
      <c r="I653" s="111">
        <v>0</v>
      </c>
      <c r="J653" s="96">
        <f t="shared" si="648"/>
        <v>0</v>
      </c>
      <c r="K653" s="96">
        <f t="shared" si="649"/>
        <v>0</v>
      </c>
      <c r="L653" s="96">
        <f t="shared" si="650"/>
        <v>0</v>
      </c>
      <c r="M653" s="97" t="s">
        <v>2884</v>
      </c>
      <c r="N653" s="5"/>
      <c r="Z653" s="36">
        <f t="shared" si="651"/>
        <v>0</v>
      </c>
      <c r="AB653" s="36">
        <f t="shared" si="652"/>
        <v>0</v>
      </c>
      <c r="AC653" s="36">
        <f t="shared" si="653"/>
        <v>0</v>
      </c>
      <c r="AD653" s="36">
        <f t="shared" si="654"/>
        <v>0</v>
      </c>
      <c r="AE653" s="36">
        <f t="shared" si="655"/>
        <v>0</v>
      </c>
      <c r="AF653" s="36">
        <f t="shared" si="656"/>
        <v>0</v>
      </c>
      <c r="AG653" s="36">
        <f t="shared" si="657"/>
        <v>0</v>
      </c>
      <c r="AH653" s="36">
        <f t="shared" si="658"/>
        <v>0</v>
      </c>
      <c r="AI653" s="35" t="s">
        <v>2894</v>
      </c>
      <c r="AJ653" s="20">
        <f t="shared" si="659"/>
        <v>0</v>
      </c>
      <c r="AK653" s="20">
        <f t="shared" si="660"/>
        <v>0</v>
      </c>
      <c r="AL653" s="20">
        <f t="shared" si="661"/>
        <v>0</v>
      </c>
      <c r="AN653" s="36">
        <v>21</v>
      </c>
      <c r="AO653" s="36">
        <f>I653*1</f>
        <v>0</v>
      </c>
      <c r="AP653" s="36">
        <f>I653*(1-1)</f>
        <v>0</v>
      </c>
      <c r="AQ653" s="37" t="s">
        <v>7</v>
      </c>
      <c r="AV653" s="36">
        <f t="shared" si="664"/>
        <v>0</v>
      </c>
      <c r="AW653" s="36">
        <f t="shared" si="665"/>
        <v>0</v>
      </c>
      <c r="AX653" s="36">
        <f t="shared" si="666"/>
        <v>0</v>
      </c>
      <c r="AY653" s="39" t="s">
        <v>2940</v>
      </c>
      <c r="AZ653" s="39" t="s">
        <v>2952</v>
      </c>
      <c r="BA653" s="35" t="s">
        <v>2967</v>
      </c>
      <c r="BC653" s="36">
        <f t="shared" si="667"/>
        <v>0</v>
      </c>
      <c r="BD653" s="36">
        <f t="shared" si="668"/>
        <v>0</v>
      </c>
      <c r="BE653" s="36">
        <v>0</v>
      </c>
      <c r="BF653" s="36">
        <f>653</f>
        <v>653</v>
      </c>
      <c r="BH653" s="20">
        <f t="shared" si="669"/>
        <v>0</v>
      </c>
      <c r="BI653" s="20">
        <f t="shared" si="670"/>
        <v>0</v>
      </c>
      <c r="BJ653" s="20">
        <f t="shared" si="671"/>
        <v>0</v>
      </c>
      <c r="BK653" s="20" t="s">
        <v>2978</v>
      </c>
      <c r="BL653" s="36" t="s">
        <v>1448</v>
      </c>
    </row>
    <row r="654" spans="1:64" x14ac:dyDescent="0.2">
      <c r="A654" s="4" t="s">
        <v>538</v>
      </c>
      <c r="B654" s="13" t="s">
        <v>1460</v>
      </c>
      <c r="C654" s="174" t="s">
        <v>2464</v>
      </c>
      <c r="D654" s="175"/>
      <c r="E654" s="175"/>
      <c r="F654" s="175"/>
      <c r="G654" s="13" t="s">
        <v>2855</v>
      </c>
      <c r="H654" s="82">
        <v>90</v>
      </c>
      <c r="I654" s="109">
        <v>0</v>
      </c>
      <c r="J654" s="20">
        <f t="shared" si="648"/>
        <v>0</v>
      </c>
      <c r="K654" s="20">
        <f t="shared" si="649"/>
        <v>0</v>
      </c>
      <c r="L654" s="20">
        <f t="shared" si="650"/>
        <v>0</v>
      </c>
      <c r="M654" s="31" t="s">
        <v>2884</v>
      </c>
      <c r="N654" s="5"/>
      <c r="Z654" s="36">
        <f t="shared" si="651"/>
        <v>0</v>
      </c>
      <c r="AB654" s="36">
        <f t="shared" si="652"/>
        <v>0</v>
      </c>
      <c r="AC654" s="36">
        <f t="shared" si="653"/>
        <v>0</v>
      </c>
      <c r="AD654" s="36">
        <f t="shared" si="654"/>
        <v>0</v>
      </c>
      <c r="AE654" s="36">
        <f t="shared" si="655"/>
        <v>0</v>
      </c>
      <c r="AF654" s="36">
        <f t="shared" si="656"/>
        <v>0</v>
      </c>
      <c r="AG654" s="36">
        <f t="shared" si="657"/>
        <v>0</v>
      </c>
      <c r="AH654" s="36">
        <f t="shared" si="658"/>
        <v>0</v>
      </c>
      <c r="AI654" s="35" t="s">
        <v>2894</v>
      </c>
      <c r="AJ654" s="20">
        <f t="shared" si="659"/>
        <v>0</v>
      </c>
      <c r="AK654" s="20">
        <f t="shared" si="660"/>
        <v>0</v>
      </c>
      <c r="AL654" s="20">
        <f t="shared" si="661"/>
        <v>0</v>
      </c>
      <c r="AN654" s="36">
        <v>21</v>
      </c>
      <c r="AO654" s="36">
        <f>I654*0</f>
        <v>0</v>
      </c>
      <c r="AP654" s="36">
        <f>I654*(1-0)</f>
        <v>0</v>
      </c>
      <c r="AQ654" s="37" t="s">
        <v>7</v>
      </c>
      <c r="AV654" s="36">
        <f t="shared" si="664"/>
        <v>0</v>
      </c>
      <c r="AW654" s="36">
        <f t="shared" si="665"/>
        <v>0</v>
      </c>
      <c r="AX654" s="36">
        <f t="shared" si="666"/>
        <v>0</v>
      </c>
      <c r="AY654" s="39" t="s">
        <v>2940</v>
      </c>
      <c r="AZ654" s="39" t="s">
        <v>2952</v>
      </c>
      <c r="BA654" s="35" t="s">
        <v>2967</v>
      </c>
      <c r="BC654" s="36">
        <f t="shared" si="667"/>
        <v>0</v>
      </c>
      <c r="BD654" s="36">
        <f t="shared" si="668"/>
        <v>0</v>
      </c>
      <c r="BE654" s="36">
        <v>0</v>
      </c>
      <c r="BF654" s="36">
        <f>654</f>
        <v>654</v>
      </c>
      <c r="BH654" s="20">
        <f t="shared" si="669"/>
        <v>0</v>
      </c>
      <c r="BI654" s="20">
        <f t="shared" si="670"/>
        <v>0</v>
      </c>
      <c r="BJ654" s="20">
        <f t="shared" si="671"/>
        <v>0</v>
      </c>
      <c r="BK654" s="20" t="s">
        <v>2978</v>
      </c>
      <c r="BL654" s="36" t="s">
        <v>1448</v>
      </c>
    </row>
    <row r="655" spans="1:64" x14ac:dyDescent="0.2">
      <c r="A655" s="86" t="s">
        <v>539</v>
      </c>
      <c r="B655" s="87" t="s">
        <v>1461</v>
      </c>
      <c r="C655" s="184" t="s">
        <v>2465</v>
      </c>
      <c r="D655" s="175"/>
      <c r="E655" s="175"/>
      <c r="F655" s="175"/>
      <c r="G655" s="87" t="s">
        <v>2855</v>
      </c>
      <c r="H655" s="88">
        <v>90</v>
      </c>
      <c r="I655" s="111">
        <v>0</v>
      </c>
      <c r="J655" s="96">
        <f t="shared" si="648"/>
        <v>0</v>
      </c>
      <c r="K655" s="96">
        <f t="shared" si="649"/>
        <v>0</v>
      </c>
      <c r="L655" s="96">
        <f t="shared" si="650"/>
        <v>0</v>
      </c>
      <c r="M655" s="97" t="s">
        <v>2884</v>
      </c>
      <c r="N655" s="5"/>
      <c r="Z655" s="36">
        <f t="shared" si="651"/>
        <v>0</v>
      </c>
      <c r="AB655" s="36">
        <f t="shared" si="652"/>
        <v>0</v>
      </c>
      <c r="AC655" s="36">
        <f t="shared" si="653"/>
        <v>0</v>
      </c>
      <c r="AD655" s="36">
        <f t="shared" si="654"/>
        <v>0</v>
      </c>
      <c r="AE655" s="36">
        <f t="shared" si="655"/>
        <v>0</v>
      </c>
      <c r="AF655" s="36">
        <f t="shared" si="656"/>
        <v>0</v>
      </c>
      <c r="AG655" s="36">
        <f t="shared" si="657"/>
        <v>0</v>
      </c>
      <c r="AH655" s="36">
        <f t="shared" si="658"/>
        <v>0</v>
      </c>
      <c r="AI655" s="35" t="s">
        <v>2894</v>
      </c>
      <c r="AJ655" s="20">
        <f t="shared" si="659"/>
        <v>0</v>
      </c>
      <c r="AK655" s="20">
        <f t="shared" si="660"/>
        <v>0</v>
      </c>
      <c r="AL655" s="20">
        <f t="shared" si="661"/>
        <v>0</v>
      </c>
      <c r="AN655" s="36">
        <v>21</v>
      </c>
      <c r="AO655" s="36">
        <f>I655*1</f>
        <v>0</v>
      </c>
      <c r="AP655" s="36">
        <f>I655*(1-1)</f>
        <v>0</v>
      </c>
      <c r="AQ655" s="37" t="s">
        <v>7</v>
      </c>
      <c r="AV655" s="36">
        <f t="shared" si="664"/>
        <v>0</v>
      </c>
      <c r="AW655" s="36">
        <f t="shared" si="665"/>
        <v>0</v>
      </c>
      <c r="AX655" s="36">
        <f t="shared" si="666"/>
        <v>0</v>
      </c>
      <c r="AY655" s="39" t="s">
        <v>2940</v>
      </c>
      <c r="AZ655" s="39" t="s">
        <v>2952</v>
      </c>
      <c r="BA655" s="35" t="s">
        <v>2967</v>
      </c>
      <c r="BC655" s="36">
        <f t="shared" si="667"/>
        <v>0</v>
      </c>
      <c r="BD655" s="36">
        <f t="shared" si="668"/>
        <v>0</v>
      </c>
      <c r="BE655" s="36">
        <v>0</v>
      </c>
      <c r="BF655" s="36">
        <f>655</f>
        <v>655</v>
      </c>
      <c r="BH655" s="20">
        <f t="shared" si="669"/>
        <v>0</v>
      </c>
      <c r="BI655" s="20">
        <f t="shared" si="670"/>
        <v>0</v>
      </c>
      <c r="BJ655" s="20">
        <f t="shared" si="671"/>
        <v>0</v>
      </c>
      <c r="BK655" s="20" t="s">
        <v>2978</v>
      </c>
      <c r="BL655" s="36" t="s">
        <v>1448</v>
      </c>
    </row>
    <row r="656" spans="1:64" x14ac:dyDescent="0.2">
      <c r="A656" s="4" t="s">
        <v>540</v>
      </c>
      <c r="B656" s="13" t="s">
        <v>1462</v>
      </c>
      <c r="C656" s="174" t="s">
        <v>2466</v>
      </c>
      <c r="D656" s="175"/>
      <c r="E656" s="175"/>
      <c r="F656" s="175"/>
      <c r="G656" s="13" t="s">
        <v>2855</v>
      </c>
      <c r="H656" s="82">
        <v>720</v>
      </c>
      <c r="I656" s="109">
        <v>0</v>
      </c>
      <c r="J656" s="20">
        <f t="shared" si="648"/>
        <v>0</v>
      </c>
      <c r="K656" s="20">
        <f t="shared" si="649"/>
        <v>0</v>
      </c>
      <c r="L656" s="20">
        <f t="shared" si="650"/>
        <v>0</v>
      </c>
      <c r="M656" s="31" t="s">
        <v>2884</v>
      </c>
      <c r="N656" s="5"/>
      <c r="Z656" s="36">
        <f t="shared" si="651"/>
        <v>0</v>
      </c>
      <c r="AB656" s="36">
        <f t="shared" si="652"/>
        <v>0</v>
      </c>
      <c r="AC656" s="36">
        <f t="shared" si="653"/>
        <v>0</v>
      </c>
      <c r="AD656" s="36">
        <f t="shared" si="654"/>
        <v>0</v>
      </c>
      <c r="AE656" s="36">
        <f t="shared" si="655"/>
        <v>0</v>
      </c>
      <c r="AF656" s="36">
        <f t="shared" si="656"/>
        <v>0</v>
      </c>
      <c r="AG656" s="36">
        <f t="shared" si="657"/>
        <v>0</v>
      </c>
      <c r="AH656" s="36">
        <f t="shared" si="658"/>
        <v>0</v>
      </c>
      <c r="AI656" s="35" t="s">
        <v>2894</v>
      </c>
      <c r="AJ656" s="20">
        <f t="shared" si="659"/>
        <v>0</v>
      </c>
      <c r="AK656" s="20">
        <f t="shared" si="660"/>
        <v>0</v>
      </c>
      <c r="AL656" s="20">
        <f t="shared" si="661"/>
        <v>0</v>
      </c>
      <c r="AN656" s="36">
        <v>21</v>
      </c>
      <c r="AO656" s="36">
        <f>I656*0</f>
        <v>0</v>
      </c>
      <c r="AP656" s="36">
        <f>I656*(1-0)</f>
        <v>0</v>
      </c>
      <c r="AQ656" s="37" t="s">
        <v>7</v>
      </c>
      <c r="AV656" s="36">
        <f t="shared" si="664"/>
        <v>0</v>
      </c>
      <c r="AW656" s="36">
        <f t="shared" si="665"/>
        <v>0</v>
      </c>
      <c r="AX656" s="36">
        <f t="shared" si="666"/>
        <v>0</v>
      </c>
      <c r="AY656" s="39" t="s">
        <v>2940</v>
      </c>
      <c r="AZ656" s="39" t="s">
        <v>2952</v>
      </c>
      <c r="BA656" s="35" t="s">
        <v>2967</v>
      </c>
      <c r="BC656" s="36">
        <f t="shared" si="667"/>
        <v>0</v>
      </c>
      <c r="BD656" s="36">
        <f t="shared" si="668"/>
        <v>0</v>
      </c>
      <c r="BE656" s="36">
        <v>0</v>
      </c>
      <c r="BF656" s="36">
        <f>656</f>
        <v>656</v>
      </c>
      <c r="BH656" s="20">
        <f t="shared" si="669"/>
        <v>0</v>
      </c>
      <c r="BI656" s="20">
        <f t="shared" si="670"/>
        <v>0</v>
      </c>
      <c r="BJ656" s="20">
        <f t="shared" si="671"/>
        <v>0</v>
      </c>
      <c r="BK656" s="20" t="s">
        <v>2978</v>
      </c>
      <c r="BL656" s="36" t="s">
        <v>1448</v>
      </c>
    </row>
    <row r="657" spans="1:64" x14ac:dyDescent="0.2">
      <c r="A657" s="86" t="s">
        <v>541</v>
      </c>
      <c r="B657" s="87" t="s">
        <v>1463</v>
      </c>
      <c r="C657" s="184" t="s">
        <v>2467</v>
      </c>
      <c r="D657" s="175"/>
      <c r="E657" s="175"/>
      <c r="F657" s="175"/>
      <c r="G657" s="87" t="s">
        <v>2855</v>
      </c>
      <c r="H657" s="88">
        <v>720</v>
      </c>
      <c r="I657" s="111">
        <v>0</v>
      </c>
      <c r="J657" s="96">
        <f t="shared" si="648"/>
        <v>0</v>
      </c>
      <c r="K657" s="96">
        <f t="shared" si="649"/>
        <v>0</v>
      </c>
      <c r="L657" s="96">
        <f t="shared" si="650"/>
        <v>0</v>
      </c>
      <c r="M657" s="97" t="s">
        <v>2884</v>
      </c>
      <c r="N657" s="5"/>
      <c r="Z657" s="36">
        <f t="shared" si="651"/>
        <v>0</v>
      </c>
      <c r="AB657" s="36">
        <f t="shared" si="652"/>
        <v>0</v>
      </c>
      <c r="AC657" s="36">
        <f t="shared" si="653"/>
        <v>0</v>
      </c>
      <c r="AD657" s="36">
        <f t="shared" si="654"/>
        <v>0</v>
      </c>
      <c r="AE657" s="36">
        <f t="shared" si="655"/>
        <v>0</v>
      </c>
      <c r="AF657" s="36">
        <f t="shared" si="656"/>
        <v>0</v>
      </c>
      <c r="AG657" s="36">
        <f t="shared" si="657"/>
        <v>0</v>
      </c>
      <c r="AH657" s="36">
        <f t="shared" si="658"/>
        <v>0</v>
      </c>
      <c r="AI657" s="35" t="s">
        <v>2894</v>
      </c>
      <c r="AJ657" s="20">
        <f t="shared" si="659"/>
        <v>0</v>
      </c>
      <c r="AK657" s="20">
        <f t="shared" si="660"/>
        <v>0</v>
      </c>
      <c r="AL657" s="20">
        <f t="shared" si="661"/>
        <v>0</v>
      </c>
      <c r="AN657" s="36">
        <v>21</v>
      </c>
      <c r="AO657" s="36">
        <f>I657*1</f>
        <v>0</v>
      </c>
      <c r="AP657" s="36">
        <f>I657*(1-1)</f>
        <v>0</v>
      </c>
      <c r="AQ657" s="37" t="s">
        <v>7</v>
      </c>
      <c r="AV657" s="36">
        <f t="shared" si="664"/>
        <v>0</v>
      </c>
      <c r="AW657" s="36">
        <f t="shared" si="665"/>
        <v>0</v>
      </c>
      <c r="AX657" s="36">
        <f t="shared" si="666"/>
        <v>0</v>
      </c>
      <c r="AY657" s="39" t="s">
        <v>2940</v>
      </c>
      <c r="AZ657" s="39" t="s">
        <v>2952</v>
      </c>
      <c r="BA657" s="35" t="s">
        <v>2967</v>
      </c>
      <c r="BC657" s="36">
        <f t="shared" si="667"/>
        <v>0</v>
      </c>
      <c r="BD657" s="36">
        <f t="shared" si="668"/>
        <v>0</v>
      </c>
      <c r="BE657" s="36">
        <v>0</v>
      </c>
      <c r="BF657" s="36">
        <f>657</f>
        <v>657</v>
      </c>
      <c r="BH657" s="20">
        <f t="shared" si="669"/>
        <v>0</v>
      </c>
      <c r="BI657" s="20">
        <f t="shared" si="670"/>
        <v>0</v>
      </c>
      <c r="BJ657" s="20">
        <f t="shared" si="671"/>
        <v>0</v>
      </c>
      <c r="BK657" s="20" t="s">
        <v>2978</v>
      </c>
      <c r="BL657" s="36" t="s">
        <v>1448</v>
      </c>
    </row>
    <row r="658" spans="1:64" x14ac:dyDescent="0.2">
      <c r="A658" s="4" t="s">
        <v>542</v>
      </c>
      <c r="B658" s="13" t="s">
        <v>1464</v>
      </c>
      <c r="C658" s="174" t="s">
        <v>2468</v>
      </c>
      <c r="D658" s="175"/>
      <c r="E658" s="175"/>
      <c r="F658" s="175"/>
      <c r="G658" s="13" t="s">
        <v>2860</v>
      </c>
      <c r="H658" s="82">
        <v>168</v>
      </c>
      <c r="I658" s="109">
        <v>0</v>
      </c>
      <c r="J658" s="20">
        <f t="shared" si="648"/>
        <v>0</v>
      </c>
      <c r="K658" s="20">
        <f t="shared" si="649"/>
        <v>0</v>
      </c>
      <c r="L658" s="20">
        <f t="shared" si="650"/>
        <v>0</v>
      </c>
      <c r="M658" s="31" t="s">
        <v>2884</v>
      </c>
      <c r="N658" s="5"/>
      <c r="Z658" s="36">
        <f t="shared" si="651"/>
        <v>0</v>
      </c>
      <c r="AB658" s="36">
        <f t="shared" si="652"/>
        <v>0</v>
      </c>
      <c r="AC658" s="36">
        <f t="shared" si="653"/>
        <v>0</v>
      </c>
      <c r="AD658" s="36">
        <f t="shared" si="654"/>
        <v>0</v>
      </c>
      <c r="AE658" s="36">
        <f t="shared" si="655"/>
        <v>0</v>
      </c>
      <c r="AF658" s="36">
        <f t="shared" si="656"/>
        <v>0</v>
      </c>
      <c r="AG658" s="36">
        <f t="shared" si="657"/>
        <v>0</v>
      </c>
      <c r="AH658" s="36">
        <f t="shared" si="658"/>
        <v>0</v>
      </c>
      <c r="AI658" s="35" t="s">
        <v>2894</v>
      </c>
      <c r="AJ658" s="20">
        <f t="shared" si="659"/>
        <v>0</v>
      </c>
      <c r="AK658" s="20">
        <f t="shared" si="660"/>
        <v>0</v>
      </c>
      <c r="AL658" s="20">
        <f t="shared" si="661"/>
        <v>0</v>
      </c>
      <c r="AN658" s="36">
        <v>21</v>
      </c>
      <c r="AO658" s="36">
        <f>I658*0</f>
        <v>0</v>
      </c>
      <c r="AP658" s="36">
        <f>I658*(1-0)</f>
        <v>0</v>
      </c>
      <c r="AQ658" s="37" t="s">
        <v>7</v>
      </c>
      <c r="AV658" s="36">
        <f t="shared" si="664"/>
        <v>0</v>
      </c>
      <c r="AW658" s="36">
        <f t="shared" si="665"/>
        <v>0</v>
      </c>
      <c r="AX658" s="36">
        <f t="shared" si="666"/>
        <v>0</v>
      </c>
      <c r="AY658" s="39" t="s">
        <v>2940</v>
      </c>
      <c r="AZ658" s="39" t="s">
        <v>2952</v>
      </c>
      <c r="BA658" s="35" t="s">
        <v>2967</v>
      </c>
      <c r="BC658" s="36">
        <f t="shared" si="667"/>
        <v>0</v>
      </c>
      <c r="BD658" s="36">
        <f t="shared" si="668"/>
        <v>0</v>
      </c>
      <c r="BE658" s="36">
        <v>0</v>
      </c>
      <c r="BF658" s="36">
        <f>658</f>
        <v>658</v>
      </c>
      <c r="BH658" s="20">
        <f t="shared" si="669"/>
        <v>0</v>
      </c>
      <c r="BI658" s="20">
        <f t="shared" si="670"/>
        <v>0</v>
      </c>
      <c r="BJ658" s="20">
        <f t="shared" si="671"/>
        <v>0</v>
      </c>
      <c r="BK658" s="20" t="s">
        <v>2978</v>
      </c>
      <c r="BL658" s="36" t="s">
        <v>1448</v>
      </c>
    </row>
    <row r="659" spans="1:64" x14ac:dyDescent="0.2">
      <c r="A659" s="86" t="s">
        <v>543</v>
      </c>
      <c r="B659" s="87" t="s">
        <v>1465</v>
      </c>
      <c r="C659" s="184" t="s">
        <v>2469</v>
      </c>
      <c r="D659" s="175"/>
      <c r="E659" s="175"/>
      <c r="F659" s="175"/>
      <c r="G659" s="87" t="s">
        <v>2852</v>
      </c>
      <c r="H659" s="88">
        <v>51</v>
      </c>
      <c r="I659" s="111">
        <v>0</v>
      </c>
      <c r="J659" s="96">
        <f t="shared" si="648"/>
        <v>0</v>
      </c>
      <c r="K659" s="96">
        <f t="shared" si="649"/>
        <v>0</v>
      </c>
      <c r="L659" s="96">
        <f t="shared" si="650"/>
        <v>0</v>
      </c>
      <c r="M659" s="97" t="s">
        <v>2884</v>
      </c>
      <c r="N659" s="5"/>
      <c r="Z659" s="36">
        <f t="shared" si="651"/>
        <v>0</v>
      </c>
      <c r="AB659" s="36">
        <f t="shared" si="652"/>
        <v>0</v>
      </c>
      <c r="AC659" s="36">
        <f t="shared" si="653"/>
        <v>0</v>
      </c>
      <c r="AD659" s="36">
        <f t="shared" si="654"/>
        <v>0</v>
      </c>
      <c r="AE659" s="36">
        <f t="shared" si="655"/>
        <v>0</v>
      </c>
      <c r="AF659" s="36">
        <f t="shared" si="656"/>
        <v>0</v>
      </c>
      <c r="AG659" s="36">
        <f t="shared" si="657"/>
        <v>0</v>
      </c>
      <c r="AH659" s="36">
        <f t="shared" si="658"/>
        <v>0</v>
      </c>
      <c r="AI659" s="35" t="s">
        <v>2894</v>
      </c>
      <c r="AJ659" s="20">
        <f t="shared" si="659"/>
        <v>0</v>
      </c>
      <c r="AK659" s="20">
        <f t="shared" si="660"/>
        <v>0</v>
      </c>
      <c r="AL659" s="20">
        <f t="shared" si="661"/>
        <v>0</v>
      </c>
      <c r="AN659" s="36">
        <v>21</v>
      </c>
      <c r="AO659" s="36">
        <f>I659*1.00000155791146</f>
        <v>0</v>
      </c>
      <c r="AP659" s="36">
        <f>I659*(1-1.00000155791146)</f>
        <v>0</v>
      </c>
      <c r="AQ659" s="37" t="s">
        <v>7</v>
      </c>
      <c r="AV659" s="36">
        <f t="shared" si="664"/>
        <v>0</v>
      </c>
      <c r="AW659" s="36">
        <f t="shared" si="665"/>
        <v>0</v>
      </c>
      <c r="AX659" s="36">
        <f t="shared" si="666"/>
        <v>0</v>
      </c>
      <c r="AY659" s="39" t="s">
        <v>2940</v>
      </c>
      <c r="AZ659" s="39" t="s">
        <v>2952</v>
      </c>
      <c r="BA659" s="35" t="s">
        <v>2967</v>
      </c>
      <c r="BC659" s="36">
        <f t="shared" si="667"/>
        <v>0</v>
      </c>
      <c r="BD659" s="36">
        <f t="shared" si="668"/>
        <v>0</v>
      </c>
      <c r="BE659" s="36">
        <v>0</v>
      </c>
      <c r="BF659" s="36">
        <f>659</f>
        <v>659</v>
      </c>
      <c r="BH659" s="20">
        <f t="shared" si="669"/>
        <v>0</v>
      </c>
      <c r="BI659" s="20">
        <f t="shared" si="670"/>
        <v>0</v>
      </c>
      <c r="BJ659" s="20">
        <f t="shared" si="671"/>
        <v>0</v>
      </c>
      <c r="BK659" s="20" t="s">
        <v>2978</v>
      </c>
      <c r="BL659" s="36" t="s">
        <v>1448</v>
      </c>
    </row>
    <row r="660" spans="1:64" x14ac:dyDescent="0.2">
      <c r="A660" s="86" t="s">
        <v>544</v>
      </c>
      <c r="B660" s="87" t="s">
        <v>1466</v>
      </c>
      <c r="C660" s="184" t="s">
        <v>2470</v>
      </c>
      <c r="D660" s="183"/>
      <c r="E660" s="183"/>
      <c r="F660" s="183"/>
      <c r="G660" s="87" t="s">
        <v>2852</v>
      </c>
      <c r="H660" s="88">
        <v>105</v>
      </c>
      <c r="I660" s="111">
        <v>0</v>
      </c>
      <c r="J660" s="96">
        <f t="shared" si="648"/>
        <v>0</v>
      </c>
      <c r="K660" s="96">
        <f t="shared" si="649"/>
        <v>0</v>
      </c>
      <c r="L660" s="96">
        <f t="shared" si="650"/>
        <v>0</v>
      </c>
      <c r="M660" s="97" t="s">
        <v>2884</v>
      </c>
      <c r="N660" s="5"/>
      <c r="Z660" s="36">
        <f t="shared" si="651"/>
        <v>0</v>
      </c>
      <c r="AB660" s="36">
        <f t="shared" si="652"/>
        <v>0</v>
      </c>
      <c r="AC660" s="36">
        <f t="shared" si="653"/>
        <v>0</v>
      </c>
      <c r="AD660" s="36">
        <f t="shared" si="654"/>
        <v>0</v>
      </c>
      <c r="AE660" s="36">
        <f t="shared" si="655"/>
        <v>0</v>
      </c>
      <c r="AF660" s="36">
        <f t="shared" si="656"/>
        <v>0</v>
      </c>
      <c r="AG660" s="36">
        <f t="shared" si="657"/>
        <v>0</v>
      </c>
      <c r="AH660" s="36">
        <f t="shared" si="658"/>
        <v>0</v>
      </c>
      <c r="AI660" s="35" t="s">
        <v>2894</v>
      </c>
      <c r="AJ660" s="21">
        <f t="shared" si="659"/>
        <v>0</v>
      </c>
      <c r="AK660" s="21">
        <f t="shared" si="660"/>
        <v>0</v>
      </c>
      <c r="AL660" s="21">
        <f t="shared" si="661"/>
        <v>0</v>
      </c>
      <c r="AN660" s="36">
        <v>21</v>
      </c>
      <c r="AO660" s="36">
        <f>I660*1</f>
        <v>0</v>
      </c>
      <c r="AP660" s="36">
        <f>I660*(1-1)</f>
        <v>0</v>
      </c>
      <c r="AQ660" s="38" t="s">
        <v>7</v>
      </c>
      <c r="AV660" s="36">
        <f t="shared" si="664"/>
        <v>0</v>
      </c>
      <c r="AW660" s="36">
        <f t="shared" si="665"/>
        <v>0</v>
      </c>
      <c r="AX660" s="36">
        <f t="shared" si="666"/>
        <v>0</v>
      </c>
      <c r="AY660" s="39" t="s">
        <v>2940</v>
      </c>
      <c r="AZ660" s="39" t="s">
        <v>2952</v>
      </c>
      <c r="BA660" s="35" t="s">
        <v>2967</v>
      </c>
      <c r="BC660" s="36">
        <f t="shared" si="667"/>
        <v>0</v>
      </c>
      <c r="BD660" s="36">
        <f t="shared" si="668"/>
        <v>0</v>
      </c>
      <c r="BE660" s="36">
        <v>0</v>
      </c>
      <c r="BF660" s="36">
        <f>660</f>
        <v>660</v>
      </c>
      <c r="BH660" s="21">
        <f t="shared" si="669"/>
        <v>0</v>
      </c>
      <c r="BI660" s="21">
        <f t="shared" si="670"/>
        <v>0</v>
      </c>
      <c r="BJ660" s="21">
        <f t="shared" si="671"/>
        <v>0</v>
      </c>
      <c r="BK660" s="21" t="s">
        <v>2979</v>
      </c>
      <c r="BL660" s="36" t="s">
        <v>1448</v>
      </c>
    </row>
    <row r="661" spans="1:64" x14ac:dyDescent="0.2">
      <c r="A661" s="86" t="s">
        <v>545</v>
      </c>
      <c r="B661" s="87" t="s">
        <v>1467</v>
      </c>
      <c r="C661" s="184" t="s">
        <v>2471</v>
      </c>
      <c r="D661" s="175"/>
      <c r="E661" s="175"/>
      <c r="F661" s="175"/>
      <c r="G661" s="87" t="s">
        <v>2852</v>
      </c>
      <c r="H661" s="88">
        <v>6</v>
      </c>
      <c r="I661" s="111">
        <v>0</v>
      </c>
      <c r="J661" s="96">
        <f t="shared" si="648"/>
        <v>0</v>
      </c>
      <c r="K661" s="96">
        <f t="shared" si="649"/>
        <v>0</v>
      </c>
      <c r="L661" s="96">
        <f t="shared" si="650"/>
        <v>0</v>
      </c>
      <c r="M661" s="97" t="s">
        <v>2884</v>
      </c>
      <c r="N661" s="5"/>
      <c r="Z661" s="36">
        <f t="shared" si="651"/>
        <v>0</v>
      </c>
      <c r="AB661" s="36">
        <f t="shared" si="652"/>
        <v>0</v>
      </c>
      <c r="AC661" s="36">
        <f t="shared" si="653"/>
        <v>0</v>
      </c>
      <c r="AD661" s="36">
        <f t="shared" si="654"/>
        <v>0</v>
      </c>
      <c r="AE661" s="36">
        <f t="shared" si="655"/>
        <v>0</v>
      </c>
      <c r="AF661" s="36">
        <f t="shared" si="656"/>
        <v>0</v>
      </c>
      <c r="AG661" s="36">
        <f t="shared" si="657"/>
        <v>0</v>
      </c>
      <c r="AH661" s="36">
        <f t="shared" si="658"/>
        <v>0</v>
      </c>
      <c r="AI661" s="35" t="s">
        <v>2894</v>
      </c>
      <c r="AJ661" s="20">
        <f t="shared" si="659"/>
        <v>0</v>
      </c>
      <c r="AK661" s="20">
        <f t="shared" si="660"/>
        <v>0</v>
      </c>
      <c r="AL661" s="20">
        <f t="shared" si="661"/>
        <v>0</v>
      </c>
      <c r="AN661" s="36">
        <v>21</v>
      </c>
      <c r="AO661" s="36">
        <f>I661*1</f>
        <v>0</v>
      </c>
      <c r="AP661" s="36">
        <f>I661*(1-1)</f>
        <v>0</v>
      </c>
      <c r="AQ661" s="37" t="s">
        <v>7</v>
      </c>
      <c r="AV661" s="36">
        <f t="shared" si="664"/>
        <v>0</v>
      </c>
      <c r="AW661" s="36">
        <f t="shared" si="665"/>
        <v>0</v>
      </c>
      <c r="AX661" s="36">
        <f t="shared" si="666"/>
        <v>0</v>
      </c>
      <c r="AY661" s="39" t="s">
        <v>2940</v>
      </c>
      <c r="AZ661" s="39" t="s">
        <v>2952</v>
      </c>
      <c r="BA661" s="35" t="s">
        <v>2967</v>
      </c>
      <c r="BC661" s="36">
        <f t="shared" si="667"/>
        <v>0</v>
      </c>
      <c r="BD661" s="36">
        <f t="shared" si="668"/>
        <v>0</v>
      </c>
      <c r="BE661" s="36">
        <v>0</v>
      </c>
      <c r="BF661" s="36">
        <f>661</f>
        <v>661</v>
      </c>
      <c r="BH661" s="20">
        <f t="shared" si="669"/>
        <v>0</v>
      </c>
      <c r="BI661" s="20">
        <f t="shared" si="670"/>
        <v>0</v>
      </c>
      <c r="BJ661" s="20">
        <f t="shared" si="671"/>
        <v>0</v>
      </c>
      <c r="BK661" s="20" t="s">
        <v>2978</v>
      </c>
      <c r="BL661" s="36" t="s">
        <v>1448</v>
      </c>
    </row>
    <row r="662" spans="1:64" x14ac:dyDescent="0.2">
      <c r="A662" s="86" t="s">
        <v>546</v>
      </c>
      <c r="B662" s="87" t="s">
        <v>1468</v>
      </c>
      <c r="C662" s="184" t="s">
        <v>2472</v>
      </c>
      <c r="D662" s="175"/>
      <c r="E662" s="175"/>
      <c r="F662" s="175"/>
      <c r="G662" s="87" t="s">
        <v>2852</v>
      </c>
      <c r="H662" s="88">
        <v>6</v>
      </c>
      <c r="I662" s="111">
        <v>0</v>
      </c>
      <c r="J662" s="96">
        <f t="shared" si="648"/>
        <v>0</v>
      </c>
      <c r="K662" s="96">
        <f t="shared" si="649"/>
        <v>0</v>
      </c>
      <c r="L662" s="96">
        <f t="shared" si="650"/>
        <v>0</v>
      </c>
      <c r="M662" s="97" t="s">
        <v>2884</v>
      </c>
      <c r="N662" s="5"/>
      <c r="Z662" s="36">
        <f t="shared" si="651"/>
        <v>0</v>
      </c>
      <c r="AB662" s="36">
        <f t="shared" si="652"/>
        <v>0</v>
      </c>
      <c r="AC662" s="36">
        <f t="shared" si="653"/>
        <v>0</v>
      </c>
      <c r="AD662" s="36">
        <f t="shared" si="654"/>
        <v>0</v>
      </c>
      <c r="AE662" s="36">
        <f t="shared" si="655"/>
        <v>0</v>
      </c>
      <c r="AF662" s="36">
        <f t="shared" si="656"/>
        <v>0</v>
      </c>
      <c r="AG662" s="36">
        <f t="shared" si="657"/>
        <v>0</v>
      </c>
      <c r="AH662" s="36">
        <f t="shared" si="658"/>
        <v>0</v>
      </c>
      <c r="AI662" s="35" t="s">
        <v>2894</v>
      </c>
      <c r="AJ662" s="20">
        <f t="shared" si="659"/>
        <v>0</v>
      </c>
      <c r="AK662" s="20">
        <f t="shared" si="660"/>
        <v>0</v>
      </c>
      <c r="AL662" s="20">
        <f t="shared" si="661"/>
        <v>0</v>
      </c>
      <c r="AN662" s="36">
        <v>21</v>
      </c>
      <c r="AO662" s="36">
        <f>I662*1.000016749016</f>
        <v>0</v>
      </c>
      <c r="AP662" s="36">
        <f>I662*(1-1.000016749016)</f>
        <v>0</v>
      </c>
      <c r="AQ662" s="37" t="s">
        <v>7</v>
      </c>
      <c r="AV662" s="36">
        <f t="shared" si="664"/>
        <v>0</v>
      </c>
      <c r="AW662" s="36">
        <f t="shared" si="665"/>
        <v>0</v>
      </c>
      <c r="AX662" s="36">
        <f t="shared" si="666"/>
        <v>0</v>
      </c>
      <c r="AY662" s="39" t="s">
        <v>2940</v>
      </c>
      <c r="AZ662" s="39" t="s">
        <v>2952</v>
      </c>
      <c r="BA662" s="35" t="s">
        <v>2967</v>
      </c>
      <c r="BC662" s="36">
        <f t="shared" si="667"/>
        <v>0</v>
      </c>
      <c r="BD662" s="36">
        <f t="shared" si="668"/>
        <v>0</v>
      </c>
      <c r="BE662" s="36">
        <v>0</v>
      </c>
      <c r="BF662" s="36">
        <f>662</f>
        <v>662</v>
      </c>
      <c r="BH662" s="20">
        <f t="shared" si="669"/>
        <v>0</v>
      </c>
      <c r="BI662" s="20">
        <f t="shared" si="670"/>
        <v>0</v>
      </c>
      <c r="BJ662" s="20">
        <f t="shared" si="671"/>
        <v>0</v>
      </c>
      <c r="BK662" s="20" t="s">
        <v>2978</v>
      </c>
      <c r="BL662" s="36" t="s">
        <v>1448</v>
      </c>
    </row>
    <row r="663" spans="1:64" x14ac:dyDescent="0.2">
      <c r="A663" s="4" t="s">
        <v>547</v>
      </c>
      <c r="B663" s="13" t="s">
        <v>1469</v>
      </c>
      <c r="C663" s="174" t="s">
        <v>2473</v>
      </c>
      <c r="D663" s="175"/>
      <c r="E663" s="175"/>
      <c r="F663" s="175"/>
      <c r="G663" s="13" t="s">
        <v>2852</v>
      </c>
      <c r="H663" s="82">
        <v>4</v>
      </c>
      <c r="I663" s="109">
        <v>0</v>
      </c>
      <c r="J663" s="20">
        <f t="shared" si="648"/>
        <v>0</v>
      </c>
      <c r="K663" s="20">
        <f t="shared" si="649"/>
        <v>0</v>
      </c>
      <c r="L663" s="20">
        <f t="shared" si="650"/>
        <v>0</v>
      </c>
      <c r="M663" s="31" t="s">
        <v>2884</v>
      </c>
      <c r="N663" s="5"/>
      <c r="Z663" s="36">
        <f t="shared" si="651"/>
        <v>0</v>
      </c>
      <c r="AB663" s="36">
        <f t="shared" si="652"/>
        <v>0</v>
      </c>
      <c r="AC663" s="36">
        <f t="shared" si="653"/>
        <v>0</v>
      </c>
      <c r="AD663" s="36">
        <f t="shared" si="654"/>
        <v>0</v>
      </c>
      <c r="AE663" s="36">
        <f t="shared" si="655"/>
        <v>0</v>
      </c>
      <c r="AF663" s="36">
        <f t="shared" si="656"/>
        <v>0</v>
      </c>
      <c r="AG663" s="36">
        <f t="shared" si="657"/>
        <v>0</v>
      </c>
      <c r="AH663" s="36">
        <f t="shared" si="658"/>
        <v>0</v>
      </c>
      <c r="AI663" s="35" t="s">
        <v>2894</v>
      </c>
      <c r="AJ663" s="20">
        <f t="shared" si="659"/>
        <v>0</v>
      </c>
      <c r="AK663" s="20">
        <f t="shared" si="660"/>
        <v>0</v>
      </c>
      <c r="AL663" s="20">
        <f t="shared" si="661"/>
        <v>0</v>
      </c>
      <c r="AN663" s="36">
        <v>21</v>
      </c>
      <c r="AO663" s="36">
        <f>I663*0</f>
        <v>0</v>
      </c>
      <c r="AP663" s="36">
        <f>I663*(1-0)</f>
        <v>0</v>
      </c>
      <c r="AQ663" s="37" t="s">
        <v>7</v>
      </c>
      <c r="AV663" s="36">
        <f t="shared" si="664"/>
        <v>0</v>
      </c>
      <c r="AW663" s="36">
        <f t="shared" si="665"/>
        <v>0</v>
      </c>
      <c r="AX663" s="36">
        <f t="shared" si="666"/>
        <v>0</v>
      </c>
      <c r="AY663" s="39" t="s">
        <v>2940</v>
      </c>
      <c r="AZ663" s="39" t="s">
        <v>2952</v>
      </c>
      <c r="BA663" s="35" t="s">
        <v>2967</v>
      </c>
      <c r="BC663" s="36">
        <f t="shared" si="667"/>
        <v>0</v>
      </c>
      <c r="BD663" s="36">
        <f t="shared" si="668"/>
        <v>0</v>
      </c>
      <c r="BE663" s="36">
        <v>0</v>
      </c>
      <c r="BF663" s="36">
        <f>663</f>
        <v>663</v>
      </c>
      <c r="BH663" s="20">
        <f t="shared" si="669"/>
        <v>0</v>
      </c>
      <c r="BI663" s="20">
        <f t="shared" si="670"/>
        <v>0</v>
      </c>
      <c r="BJ663" s="20">
        <f t="shared" si="671"/>
        <v>0</v>
      </c>
      <c r="BK663" s="20" t="s">
        <v>2978</v>
      </c>
      <c r="BL663" s="36" t="s">
        <v>1448</v>
      </c>
    </row>
    <row r="664" spans="1:64" x14ac:dyDescent="0.2">
      <c r="A664" s="86" t="s">
        <v>548</v>
      </c>
      <c r="B664" s="87" t="s">
        <v>1470</v>
      </c>
      <c r="C664" s="184" t="s">
        <v>2474</v>
      </c>
      <c r="D664" s="175"/>
      <c r="E664" s="175"/>
      <c r="F664" s="175"/>
      <c r="G664" s="87" t="s">
        <v>2852</v>
      </c>
      <c r="H664" s="88">
        <v>4</v>
      </c>
      <c r="I664" s="111">
        <v>0</v>
      </c>
      <c r="J664" s="96">
        <f t="shared" si="648"/>
        <v>0</v>
      </c>
      <c r="K664" s="96">
        <f t="shared" si="649"/>
        <v>0</v>
      </c>
      <c r="L664" s="96">
        <f t="shared" si="650"/>
        <v>0</v>
      </c>
      <c r="M664" s="97" t="s">
        <v>2884</v>
      </c>
      <c r="N664" s="5"/>
      <c r="Z664" s="36">
        <f t="shared" si="651"/>
        <v>0</v>
      </c>
      <c r="AB664" s="36">
        <f t="shared" si="652"/>
        <v>0</v>
      </c>
      <c r="AC664" s="36">
        <f t="shared" si="653"/>
        <v>0</v>
      </c>
      <c r="AD664" s="36">
        <f t="shared" si="654"/>
        <v>0</v>
      </c>
      <c r="AE664" s="36">
        <f t="shared" si="655"/>
        <v>0</v>
      </c>
      <c r="AF664" s="36">
        <f t="shared" si="656"/>
        <v>0</v>
      </c>
      <c r="AG664" s="36">
        <f t="shared" si="657"/>
        <v>0</v>
      </c>
      <c r="AH664" s="36">
        <f t="shared" si="658"/>
        <v>0</v>
      </c>
      <c r="AI664" s="35" t="s">
        <v>2894</v>
      </c>
      <c r="AJ664" s="20">
        <f t="shared" si="659"/>
        <v>0</v>
      </c>
      <c r="AK664" s="20">
        <f t="shared" si="660"/>
        <v>0</v>
      </c>
      <c r="AL664" s="20">
        <f t="shared" si="661"/>
        <v>0</v>
      </c>
      <c r="AN664" s="36">
        <v>21</v>
      </c>
      <c r="AO664" s="36">
        <f>I664*1</f>
        <v>0</v>
      </c>
      <c r="AP664" s="36">
        <f>I664*(1-1)</f>
        <v>0</v>
      </c>
      <c r="AQ664" s="37" t="s">
        <v>7</v>
      </c>
      <c r="AV664" s="36">
        <f t="shared" si="664"/>
        <v>0</v>
      </c>
      <c r="AW664" s="36">
        <f t="shared" si="665"/>
        <v>0</v>
      </c>
      <c r="AX664" s="36">
        <f t="shared" si="666"/>
        <v>0</v>
      </c>
      <c r="AY664" s="39" t="s">
        <v>2940</v>
      </c>
      <c r="AZ664" s="39" t="s">
        <v>2952</v>
      </c>
      <c r="BA664" s="35" t="s">
        <v>2967</v>
      </c>
      <c r="BC664" s="36">
        <f t="shared" si="667"/>
        <v>0</v>
      </c>
      <c r="BD664" s="36">
        <f t="shared" si="668"/>
        <v>0</v>
      </c>
      <c r="BE664" s="36">
        <v>0</v>
      </c>
      <c r="BF664" s="36">
        <f>664</f>
        <v>664</v>
      </c>
      <c r="BH664" s="20">
        <f t="shared" si="669"/>
        <v>0</v>
      </c>
      <c r="BI664" s="20">
        <f t="shared" si="670"/>
        <v>0</v>
      </c>
      <c r="BJ664" s="20">
        <f t="shared" si="671"/>
        <v>0</v>
      </c>
      <c r="BK664" s="20" t="s">
        <v>2978</v>
      </c>
      <c r="BL664" s="36" t="s">
        <v>1448</v>
      </c>
    </row>
    <row r="665" spans="1:64" x14ac:dyDescent="0.2">
      <c r="A665" s="4" t="s">
        <v>549</v>
      </c>
      <c r="B665" s="13" t="s">
        <v>1471</v>
      </c>
      <c r="C665" s="174" t="s">
        <v>2475</v>
      </c>
      <c r="D665" s="175"/>
      <c r="E665" s="175"/>
      <c r="F665" s="175"/>
      <c r="G665" s="13" t="s">
        <v>2855</v>
      </c>
      <c r="H665" s="82">
        <v>30</v>
      </c>
      <c r="I665" s="109">
        <v>0</v>
      </c>
      <c r="J665" s="20">
        <f t="shared" si="648"/>
        <v>0</v>
      </c>
      <c r="K665" s="20">
        <f t="shared" si="649"/>
        <v>0</v>
      </c>
      <c r="L665" s="20">
        <f t="shared" si="650"/>
        <v>0</v>
      </c>
      <c r="M665" s="31" t="s">
        <v>2884</v>
      </c>
      <c r="N665" s="5"/>
      <c r="Z665" s="36">
        <f t="shared" si="651"/>
        <v>0</v>
      </c>
      <c r="AB665" s="36">
        <f t="shared" si="652"/>
        <v>0</v>
      </c>
      <c r="AC665" s="36">
        <f t="shared" si="653"/>
        <v>0</v>
      </c>
      <c r="AD665" s="36">
        <f t="shared" si="654"/>
        <v>0</v>
      </c>
      <c r="AE665" s="36">
        <f t="shared" si="655"/>
        <v>0</v>
      </c>
      <c r="AF665" s="36">
        <f t="shared" si="656"/>
        <v>0</v>
      </c>
      <c r="AG665" s="36">
        <f t="shared" si="657"/>
        <v>0</v>
      </c>
      <c r="AH665" s="36">
        <f t="shared" si="658"/>
        <v>0</v>
      </c>
      <c r="AI665" s="35" t="s">
        <v>2894</v>
      </c>
      <c r="AJ665" s="20">
        <f t="shared" si="659"/>
        <v>0</v>
      </c>
      <c r="AK665" s="20">
        <f t="shared" si="660"/>
        <v>0</v>
      </c>
      <c r="AL665" s="20">
        <f t="shared" si="661"/>
        <v>0</v>
      </c>
      <c r="AN665" s="36">
        <v>21</v>
      </c>
      <c r="AO665" s="36">
        <f>I665*0</f>
        <v>0</v>
      </c>
      <c r="AP665" s="36">
        <f>I665*(1-0)</f>
        <v>0</v>
      </c>
      <c r="AQ665" s="37" t="s">
        <v>7</v>
      </c>
      <c r="AV665" s="36">
        <f t="shared" si="664"/>
        <v>0</v>
      </c>
      <c r="AW665" s="36">
        <f t="shared" si="665"/>
        <v>0</v>
      </c>
      <c r="AX665" s="36">
        <f t="shared" si="666"/>
        <v>0</v>
      </c>
      <c r="AY665" s="39" t="s">
        <v>2940</v>
      </c>
      <c r="AZ665" s="39" t="s">
        <v>2952</v>
      </c>
      <c r="BA665" s="35" t="s">
        <v>2967</v>
      </c>
      <c r="BC665" s="36">
        <f t="shared" si="667"/>
        <v>0</v>
      </c>
      <c r="BD665" s="36">
        <f t="shared" si="668"/>
        <v>0</v>
      </c>
      <c r="BE665" s="36">
        <v>0</v>
      </c>
      <c r="BF665" s="36">
        <f>665</f>
        <v>665</v>
      </c>
      <c r="BH665" s="20">
        <f t="shared" si="669"/>
        <v>0</v>
      </c>
      <c r="BI665" s="20">
        <f t="shared" si="670"/>
        <v>0</v>
      </c>
      <c r="BJ665" s="20">
        <f t="shared" si="671"/>
        <v>0</v>
      </c>
      <c r="BK665" s="20" t="s">
        <v>2978</v>
      </c>
      <c r="BL665" s="36" t="s">
        <v>1448</v>
      </c>
    </row>
    <row r="666" spans="1:64" x14ac:dyDescent="0.2">
      <c r="A666" s="86" t="s">
        <v>550</v>
      </c>
      <c r="B666" s="87" t="s">
        <v>1472</v>
      </c>
      <c r="C666" s="184" t="s">
        <v>2476</v>
      </c>
      <c r="D666" s="175"/>
      <c r="E666" s="175"/>
      <c r="F666" s="175"/>
      <c r="G666" s="87" t="s">
        <v>2855</v>
      </c>
      <c r="H666" s="88">
        <v>30</v>
      </c>
      <c r="I666" s="111">
        <v>0</v>
      </c>
      <c r="J666" s="96">
        <f t="shared" si="648"/>
        <v>0</v>
      </c>
      <c r="K666" s="96">
        <f t="shared" si="649"/>
        <v>0</v>
      </c>
      <c r="L666" s="96">
        <f t="shared" si="650"/>
        <v>0</v>
      </c>
      <c r="M666" s="97" t="s">
        <v>2884</v>
      </c>
      <c r="N666" s="5"/>
      <c r="Z666" s="36">
        <f t="shared" si="651"/>
        <v>0</v>
      </c>
      <c r="AB666" s="36">
        <f t="shared" si="652"/>
        <v>0</v>
      </c>
      <c r="AC666" s="36">
        <f t="shared" si="653"/>
        <v>0</v>
      </c>
      <c r="AD666" s="36">
        <f t="shared" si="654"/>
        <v>0</v>
      </c>
      <c r="AE666" s="36">
        <f t="shared" si="655"/>
        <v>0</v>
      </c>
      <c r="AF666" s="36">
        <f t="shared" si="656"/>
        <v>0</v>
      </c>
      <c r="AG666" s="36">
        <f t="shared" si="657"/>
        <v>0</v>
      </c>
      <c r="AH666" s="36">
        <f t="shared" si="658"/>
        <v>0</v>
      </c>
      <c r="AI666" s="35" t="s">
        <v>2894</v>
      </c>
      <c r="AJ666" s="20">
        <f t="shared" si="659"/>
        <v>0</v>
      </c>
      <c r="AK666" s="20">
        <f t="shared" si="660"/>
        <v>0</v>
      </c>
      <c r="AL666" s="20">
        <f t="shared" si="661"/>
        <v>0</v>
      </c>
      <c r="AN666" s="36">
        <v>21</v>
      </c>
      <c r="AO666" s="36">
        <f>I666*1</f>
        <v>0</v>
      </c>
      <c r="AP666" s="36">
        <f>I666*(1-1)</f>
        <v>0</v>
      </c>
      <c r="AQ666" s="37" t="s">
        <v>7</v>
      </c>
      <c r="AV666" s="36">
        <f t="shared" si="664"/>
        <v>0</v>
      </c>
      <c r="AW666" s="36">
        <f t="shared" si="665"/>
        <v>0</v>
      </c>
      <c r="AX666" s="36">
        <f t="shared" si="666"/>
        <v>0</v>
      </c>
      <c r="AY666" s="39" t="s">
        <v>2940</v>
      </c>
      <c r="AZ666" s="39" t="s">
        <v>2952</v>
      </c>
      <c r="BA666" s="35" t="s">
        <v>2967</v>
      </c>
      <c r="BC666" s="36">
        <f t="shared" si="667"/>
        <v>0</v>
      </c>
      <c r="BD666" s="36">
        <f t="shared" si="668"/>
        <v>0</v>
      </c>
      <c r="BE666" s="36">
        <v>0</v>
      </c>
      <c r="BF666" s="36">
        <f>666</f>
        <v>666</v>
      </c>
      <c r="BH666" s="20">
        <f t="shared" si="669"/>
        <v>0</v>
      </c>
      <c r="BI666" s="20">
        <f t="shared" si="670"/>
        <v>0</v>
      </c>
      <c r="BJ666" s="20">
        <f t="shared" si="671"/>
        <v>0</v>
      </c>
      <c r="BK666" s="20" t="s">
        <v>2978</v>
      </c>
      <c r="BL666" s="36" t="s">
        <v>1448</v>
      </c>
    </row>
    <row r="667" spans="1:64" x14ac:dyDescent="0.2">
      <c r="A667" s="4" t="s">
        <v>551</v>
      </c>
      <c r="B667" s="13" t="s">
        <v>1473</v>
      </c>
      <c r="C667" s="174" t="s">
        <v>2477</v>
      </c>
      <c r="D667" s="175"/>
      <c r="E667" s="175"/>
      <c r="F667" s="175"/>
      <c r="G667" s="13" t="s">
        <v>2855</v>
      </c>
      <c r="H667" s="82">
        <v>4</v>
      </c>
      <c r="I667" s="109">
        <v>0</v>
      </c>
      <c r="J667" s="20">
        <f t="shared" si="648"/>
        <v>0</v>
      </c>
      <c r="K667" s="20">
        <f t="shared" si="649"/>
        <v>0</v>
      </c>
      <c r="L667" s="20">
        <f t="shared" si="650"/>
        <v>0</v>
      </c>
      <c r="M667" s="31" t="s">
        <v>2884</v>
      </c>
      <c r="N667" s="5"/>
      <c r="Z667" s="36">
        <f t="shared" si="651"/>
        <v>0</v>
      </c>
      <c r="AB667" s="36">
        <f t="shared" si="652"/>
        <v>0</v>
      </c>
      <c r="AC667" s="36">
        <f t="shared" si="653"/>
        <v>0</v>
      </c>
      <c r="AD667" s="36">
        <f t="shared" si="654"/>
        <v>0</v>
      </c>
      <c r="AE667" s="36">
        <f t="shared" si="655"/>
        <v>0</v>
      </c>
      <c r="AF667" s="36">
        <f t="shared" si="656"/>
        <v>0</v>
      </c>
      <c r="AG667" s="36">
        <f t="shared" si="657"/>
        <v>0</v>
      </c>
      <c r="AH667" s="36">
        <f t="shared" si="658"/>
        <v>0</v>
      </c>
      <c r="AI667" s="35" t="s">
        <v>2894</v>
      </c>
      <c r="AJ667" s="20">
        <f t="shared" si="659"/>
        <v>0</v>
      </c>
      <c r="AK667" s="20">
        <f t="shared" si="660"/>
        <v>0</v>
      </c>
      <c r="AL667" s="20">
        <f t="shared" si="661"/>
        <v>0</v>
      </c>
      <c r="AN667" s="36">
        <v>21</v>
      </c>
      <c r="AO667" s="36">
        <f>I667*0</f>
        <v>0</v>
      </c>
      <c r="AP667" s="36">
        <f>I667*(1-0)</f>
        <v>0</v>
      </c>
      <c r="AQ667" s="37" t="s">
        <v>7</v>
      </c>
      <c r="AV667" s="36">
        <f t="shared" si="664"/>
        <v>0</v>
      </c>
      <c r="AW667" s="36">
        <f t="shared" si="665"/>
        <v>0</v>
      </c>
      <c r="AX667" s="36">
        <f t="shared" si="666"/>
        <v>0</v>
      </c>
      <c r="AY667" s="39" t="s">
        <v>2940</v>
      </c>
      <c r="AZ667" s="39" t="s">
        <v>2952</v>
      </c>
      <c r="BA667" s="35" t="s">
        <v>2967</v>
      </c>
      <c r="BC667" s="36">
        <f t="shared" si="667"/>
        <v>0</v>
      </c>
      <c r="BD667" s="36">
        <f t="shared" si="668"/>
        <v>0</v>
      </c>
      <c r="BE667" s="36">
        <v>0</v>
      </c>
      <c r="BF667" s="36">
        <f>667</f>
        <v>667</v>
      </c>
      <c r="BH667" s="20">
        <f t="shared" si="669"/>
        <v>0</v>
      </c>
      <c r="BI667" s="20">
        <f t="shared" si="670"/>
        <v>0</v>
      </c>
      <c r="BJ667" s="20">
        <f t="shared" si="671"/>
        <v>0</v>
      </c>
      <c r="BK667" s="20" t="s">
        <v>2978</v>
      </c>
      <c r="BL667" s="36" t="s">
        <v>1448</v>
      </c>
    </row>
    <row r="668" spans="1:64" x14ac:dyDescent="0.2">
      <c r="A668" s="86" t="s">
        <v>552</v>
      </c>
      <c r="B668" s="87" t="s">
        <v>1474</v>
      </c>
      <c r="C668" s="184" t="s">
        <v>2478</v>
      </c>
      <c r="D668" s="175"/>
      <c r="E668" s="175"/>
      <c r="F668" s="175"/>
      <c r="G668" s="87" t="s">
        <v>2855</v>
      </c>
      <c r="H668" s="88">
        <v>4</v>
      </c>
      <c r="I668" s="111">
        <v>0</v>
      </c>
      <c r="J668" s="96">
        <f t="shared" si="648"/>
        <v>0</v>
      </c>
      <c r="K668" s="96">
        <f t="shared" si="649"/>
        <v>0</v>
      </c>
      <c r="L668" s="96">
        <f t="shared" si="650"/>
        <v>0</v>
      </c>
      <c r="M668" s="97" t="s">
        <v>2884</v>
      </c>
      <c r="N668" s="5"/>
      <c r="Z668" s="36">
        <f t="shared" si="651"/>
        <v>0</v>
      </c>
      <c r="AB668" s="36">
        <f t="shared" si="652"/>
        <v>0</v>
      </c>
      <c r="AC668" s="36">
        <f t="shared" si="653"/>
        <v>0</v>
      </c>
      <c r="AD668" s="36">
        <f t="shared" si="654"/>
        <v>0</v>
      </c>
      <c r="AE668" s="36">
        <f t="shared" si="655"/>
        <v>0</v>
      </c>
      <c r="AF668" s="36">
        <f t="shared" si="656"/>
        <v>0</v>
      </c>
      <c r="AG668" s="36">
        <f t="shared" si="657"/>
        <v>0</v>
      </c>
      <c r="AH668" s="36">
        <f t="shared" si="658"/>
        <v>0</v>
      </c>
      <c r="AI668" s="35" t="s">
        <v>2894</v>
      </c>
      <c r="AJ668" s="20">
        <f t="shared" si="659"/>
        <v>0</v>
      </c>
      <c r="AK668" s="20">
        <f t="shared" si="660"/>
        <v>0</v>
      </c>
      <c r="AL668" s="20">
        <f t="shared" si="661"/>
        <v>0</v>
      </c>
      <c r="AN668" s="36">
        <v>21</v>
      </c>
      <c r="AO668" s="36">
        <f>I668*1</f>
        <v>0</v>
      </c>
      <c r="AP668" s="36">
        <f>I668*(1-1)</f>
        <v>0</v>
      </c>
      <c r="AQ668" s="37" t="s">
        <v>7</v>
      </c>
      <c r="AV668" s="36">
        <f t="shared" si="664"/>
        <v>0</v>
      </c>
      <c r="AW668" s="36">
        <f t="shared" si="665"/>
        <v>0</v>
      </c>
      <c r="AX668" s="36">
        <f t="shared" si="666"/>
        <v>0</v>
      </c>
      <c r="AY668" s="39" t="s">
        <v>2940</v>
      </c>
      <c r="AZ668" s="39" t="s">
        <v>2952</v>
      </c>
      <c r="BA668" s="35" t="s">
        <v>2967</v>
      </c>
      <c r="BC668" s="36">
        <f t="shared" si="667"/>
        <v>0</v>
      </c>
      <c r="BD668" s="36">
        <f t="shared" si="668"/>
        <v>0</v>
      </c>
      <c r="BE668" s="36">
        <v>0</v>
      </c>
      <c r="BF668" s="36">
        <f>668</f>
        <v>668</v>
      </c>
      <c r="BH668" s="20">
        <f t="shared" si="669"/>
        <v>0</v>
      </c>
      <c r="BI668" s="20">
        <f t="shared" si="670"/>
        <v>0</v>
      </c>
      <c r="BJ668" s="20">
        <f t="shared" si="671"/>
        <v>0</v>
      </c>
      <c r="BK668" s="20" t="s">
        <v>2978</v>
      </c>
      <c r="BL668" s="36" t="s">
        <v>1448</v>
      </c>
    </row>
    <row r="669" spans="1:64" x14ac:dyDescent="0.2">
      <c r="A669" s="4" t="s">
        <v>553</v>
      </c>
      <c r="B669" s="13" t="s">
        <v>1475</v>
      </c>
      <c r="C669" s="174" t="s">
        <v>2479</v>
      </c>
      <c r="D669" s="175"/>
      <c r="E669" s="175"/>
      <c r="F669" s="175"/>
      <c r="G669" s="13" t="s">
        <v>2855</v>
      </c>
      <c r="H669" s="82">
        <v>20</v>
      </c>
      <c r="I669" s="109">
        <v>0</v>
      </c>
      <c r="J669" s="20">
        <f t="shared" si="648"/>
        <v>0</v>
      </c>
      <c r="K669" s="20">
        <f t="shared" si="649"/>
        <v>0</v>
      </c>
      <c r="L669" s="20">
        <f t="shared" si="650"/>
        <v>0</v>
      </c>
      <c r="M669" s="31" t="s">
        <v>2884</v>
      </c>
      <c r="N669" s="5"/>
      <c r="Z669" s="36">
        <f t="shared" si="651"/>
        <v>0</v>
      </c>
      <c r="AB669" s="36">
        <f t="shared" si="652"/>
        <v>0</v>
      </c>
      <c r="AC669" s="36">
        <f t="shared" si="653"/>
        <v>0</v>
      </c>
      <c r="AD669" s="36">
        <f t="shared" si="654"/>
        <v>0</v>
      </c>
      <c r="AE669" s="36">
        <f t="shared" si="655"/>
        <v>0</v>
      </c>
      <c r="AF669" s="36">
        <f t="shared" si="656"/>
        <v>0</v>
      </c>
      <c r="AG669" s="36">
        <f t="shared" si="657"/>
        <v>0</v>
      </c>
      <c r="AH669" s="36">
        <f t="shared" si="658"/>
        <v>0</v>
      </c>
      <c r="AI669" s="35" t="s">
        <v>2894</v>
      </c>
      <c r="AJ669" s="20">
        <f t="shared" si="659"/>
        <v>0</v>
      </c>
      <c r="AK669" s="20">
        <f t="shared" si="660"/>
        <v>0</v>
      </c>
      <c r="AL669" s="20">
        <f t="shared" si="661"/>
        <v>0</v>
      </c>
      <c r="AN669" s="36">
        <v>21</v>
      </c>
      <c r="AO669" s="36">
        <f>I669*0</f>
        <v>0</v>
      </c>
      <c r="AP669" s="36">
        <f>I669*(1-0)</f>
        <v>0</v>
      </c>
      <c r="AQ669" s="37" t="s">
        <v>7</v>
      </c>
      <c r="AV669" s="36">
        <f t="shared" si="664"/>
        <v>0</v>
      </c>
      <c r="AW669" s="36">
        <f t="shared" si="665"/>
        <v>0</v>
      </c>
      <c r="AX669" s="36">
        <f t="shared" si="666"/>
        <v>0</v>
      </c>
      <c r="AY669" s="39" t="s">
        <v>2940</v>
      </c>
      <c r="AZ669" s="39" t="s">
        <v>2952</v>
      </c>
      <c r="BA669" s="35" t="s">
        <v>2967</v>
      </c>
      <c r="BC669" s="36">
        <f t="shared" si="667"/>
        <v>0</v>
      </c>
      <c r="BD669" s="36">
        <f t="shared" si="668"/>
        <v>0</v>
      </c>
      <c r="BE669" s="36">
        <v>0</v>
      </c>
      <c r="BF669" s="36">
        <f>669</f>
        <v>669</v>
      </c>
      <c r="BH669" s="20">
        <f t="shared" si="669"/>
        <v>0</v>
      </c>
      <c r="BI669" s="20">
        <f t="shared" si="670"/>
        <v>0</v>
      </c>
      <c r="BJ669" s="20">
        <f t="shared" si="671"/>
        <v>0</v>
      </c>
      <c r="BK669" s="20" t="s">
        <v>2978</v>
      </c>
      <c r="BL669" s="36" t="s">
        <v>1448</v>
      </c>
    </row>
    <row r="670" spans="1:64" x14ac:dyDescent="0.2">
      <c r="A670" s="86" t="s">
        <v>554</v>
      </c>
      <c r="B670" s="87" t="s">
        <v>1474</v>
      </c>
      <c r="C670" s="184" t="s">
        <v>2479</v>
      </c>
      <c r="D670" s="175"/>
      <c r="E670" s="175"/>
      <c r="F670" s="175"/>
      <c r="G670" s="87" t="s">
        <v>2855</v>
      </c>
      <c r="H670" s="88">
        <v>20</v>
      </c>
      <c r="I670" s="111">
        <v>0</v>
      </c>
      <c r="J670" s="96">
        <f t="shared" si="648"/>
        <v>0</v>
      </c>
      <c r="K670" s="96">
        <f t="shared" si="649"/>
        <v>0</v>
      </c>
      <c r="L670" s="96">
        <f t="shared" si="650"/>
        <v>0</v>
      </c>
      <c r="M670" s="97" t="s">
        <v>2884</v>
      </c>
      <c r="N670" s="5"/>
      <c r="Z670" s="36">
        <f t="shared" si="651"/>
        <v>0</v>
      </c>
      <c r="AB670" s="36">
        <f t="shared" si="652"/>
        <v>0</v>
      </c>
      <c r="AC670" s="36">
        <f t="shared" si="653"/>
        <v>0</v>
      </c>
      <c r="AD670" s="36">
        <f t="shared" si="654"/>
        <v>0</v>
      </c>
      <c r="AE670" s="36">
        <f t="shared" si="655"/>
        <v>0</v>
      </c>
      <c r="AF670" s="36">
        <f t="shared" si="656"/>
        <v>0</v>
      </c>
      <c r="AG670" s="36">
        <f t="shared" si="657"/>
        <v>0</v>
      </c>
      <c r="AH670" s="36">
        <f t="shared" si="658"/>
        <v>0</v>
      </c>
      <c r="AI670" s="35" t="s">
        <v>2894</v>
      </c>
      <c r="AJ670" s="20">
        <f t="shared" si="659"/>
        <v>0</v>
      </c>
      <c r="AK670" s="20">
        <f t="shared" si="660"/>
        <v>0</v>
      </c>
      <c r="AL670" s="20">
        <f t="shared" si="661"/>
        <v>0</v>
      </c>
      <c r="AN670" s="36">
        <v>21</v>
      </c>
      <c r="AO670" s="36">
        <f>I670*1</f>
        <v>0</v>
      </c>
      <c r="AP670" s="36">
        <f>I670*(1-1)</f>
        <v>0</v>
      </c>
      <c r="AQ670" s="37" t="s">
        <v>7</v>
      </c>
      <c r="AV670" s="36">
        <f t="shared" si="664"/>
        <v>0</v>
      </c>
      <c r="AW670" s="36">
        <f t="shared" si="665"/>
        <v>0</v>
      </c>
      <c r="AX670" s="36">
        <f t="shared" si="666"/>
        <v>0</v>
      </c>
      <c r="AY670" s="39" t="s">
        <v>2940</v>
      </c>
      <c r="AZ670" s="39" t="s">
        <v>2952</v>
      </c>
      <c r="BA670" s="35" t="s">
        <v>2967</v>
      </c>
      <c r="BC670" s="36">
        <f t="shared" si="667"/>
        <v>0</v>
      </c>
      <c r="BD670" s="36">
        <f t="shared" si="668"/>
        <v>0</v>
      </c>
      <c r="BE670" s="36">
        <v>0</v>
      </c>
      <c r="BF670" s="36">
        <f>670</f>
        <v>670</v>
      </c>
      <c r="BH670" s="20">
        <f t="shared" si="669"/>
        <v>0</v>
      </c>
      <c r="BI670" s="20">
        <f t="shared" si="670"/>
        <v>0</v>
      </c>
      <c r="BJ670" s="20">
        <f t="shared" si="671"/>
        <v>0</v>
      </c>
      <c r="BK670" s="20" t="s">
        <v>2978</v>
      </c>
      <c r="BL670" s="36" t="s">
        <v>1448</v>
      </c>
    </row>
    <row r="671" spans="1:64" x14ac:dyDescent="0.2">
      <c r="A671" s="4" t="s">
        <v>555</v>
      </c>
      <c r="B671" s="13" t="s">
        <v>1476</v>
      </c>
      <c r="C671" s="174" t="s">
        <v>2480</v>
      </c>
      <c r="D671" s="175"/>
      <c r="E671" s="175"/>
      <c r="F671" s="175"/>
      <c r="G671" s="13" t="s">
        <v>2862</v>
      </c>
      <c r="H671" s="82">
        <v>86</v>
      </c>
      <c r="I671" s="109">
        <v>0</v>
      </c>
      <c r="J671" s="20">
        <f t="shared" si="648"/>
        <v>0</v>
      </c>
      <c r="K671" s="20">
        <f t="shared" si="649"/>
        <v>0</v>
      </c>
      <c r="L671" s="20">
        <f t="shared" si="650"/>
        <v>0</v>
      </c>
      <c r="M671" s="31" t="s">
        <v>2884</v>
      </c>
      <c r="N671" s="5"/>
      <c r="Z671" s="36">
        <f t="shared" si="651"/>
        <v>0</v>
      </c>
      <c r="AB671" s="36">
        <f t="shared" si="652"/>
        <v>0</v>
      </c>
      <c r="AC671" s="36">
        <f t="shared" si="653"/>
        <v>0</v>
      </c>
      <c r="AD671" s="36">
        <f t="shared" si="654"/>
        <v>0</v>
      </c>
      <c r="AE671" s="36">
        <f t="shared" si="655"/>
        <v>0</v>
      </c>
      <c r="AF671" s="36">
        <f t="shared" si="656"/>
        <v>0</v>
      </c>
      <c r="AG671" s="36">
        <f t="shared" si="657"/>
        <v>0</v>
      </c>
      <c r="AH671" s="36">
        <f t="shared" si="658"/>
        <v>0</v>
      </c>
      <c r="AI671" s="35" t="s">
        <v>2894</v>
      </c>
      <c r="AJ671" s="20">
        <f t="shared" si="659"/>
        <v>0</v>
      </c>
      <c r="AK671" s="20">
        <f t="shared" si="660"/>
        <v>0</v>
      </c>
      <c r="AL671" s="20">
        <f t="shared" si="661"/>
        <v>0</v>
      </c>
      <c r="AN671" s="36">
        <v>21</v>
      </c>
      <c r="AO671" s="36">
        <f>I671*0</f>
        <v>0</v>
      </c>
      <c r="AP671" s="36">
        <f>I671*(1-0)</f>
        <v>0</v>
      </c>
      <c r="AQ671" s="37" t="s">
        <v>7</v>
      </c>
      <c r="AV671" s="36">
        <f t="shared" si="664"/>
        <v>0</v>
      </c>
      <c r="AW671" s="36">
        <f t="shared" si="665"/>
        <v>0</v>
      </c>
      <c r="AX671" s="36">
        <f t="shared" si="666"/>
        <v>0</v>
      </c>
      <c r="AY671" s="39" t="s">
        <v>2940</v>
      </c>
      <c r="AZ671" s="39" t="s">
        <v>2952</v>
      </c>
      <c r="BA671" s="35" t="s">
        <v>2967</v>
      </c>
      <c r="BC671" s="36">
        <f t="shared" si="667"/>
        <v>0</v>
      </c>
      <c r="BD671" s="36">
        <f t="shared" si="668"/>
        <v>0</v>
      </c>
      <c r="BE671" s="36">
        <v>0</v>
      </c>
      <c r="BF671" s="36">
        <f>671</f>
        <v>671</v>
      </c>
      <c r="BH671" s="20">
        <f t="shared" si="669"/>
        <v>0</v>
      </c>
      <c r="BI671" s="20">
        <f t="shared" si="670"/>
        <v>0</v>
      </c>
      <c r="BJ671" s="20">
        <f t="shared" si="671"/>
        <v>0</v>
      </c>
      <c r="BK671" s="20" t="s">
        <v>2978</v>
      </c>
      <c r="BL671" s="36" t="s">
        <v>1448</v>
      </c>
    </row>
    <row r="672" spans="1:64" x14ac:dyDescent="0.2">
      <c r="A672" s="4" t="s">
        <v>556</v>
      </c>
      <c r="B672" s="13" t="s">
        <v>1477</v>
      </c>
      <c r="C672" s="174" t="s">
        <v>2481</v>
      </c>
      <c r="D672" s="175"/>
      <c r="E672" s="175"/>
      <c r="F672" s="175"/>
      <c r="G672" s="13" t="s">
        <v>2855</v>
      </c>
      <c r="H672" s="82">
        <v>30</v>
      </c>
      <c r="I672" s="109">
        <v>0</v>
      </c>
      <c r="J672" s="20">
        <f t="shared" si="648"/>
        <v>0</v>
      </c>
      <c r="K672" s="20">
        <f t="shared" si="649"/>
        <v>0</v>
      </c>
      <c r="L672" s="20">
        <f t="shared" si="650"/>
        <v>0</v>
      </c>
      <c r="M672" s="31" t="s">
        <v>2884</v>
      </c>
      <c r="N672" s="5"/>
      <c r="Z672" s="36">
        <f t="shared" si="651"/>
        <v>0</v>
      </c>
      <c r="AB672" s="36">
        <f t="shared" si="652"/>
        <v>0</v>
      </c>
      <c r="AC672" s="36">
        <f t="shared" si="653"/>
        <v>0</v>
      </c>
      <c r="AD672" s="36">
        <f t="shared" si="654"/>
        <v>0</v>
      </c>
      <c r="AE672" s="36">
        <f t="shared" si="655"/>
        <v>0</v>
      </c>
      <c r="AF672" s="36">
        <f t="shared" si="656"/>
        <v>0</v>
      </c>
      <c r="AG672" s="36">
        <f t="shared" si="657"/>
        <v>0</v>
      </c>
      <c r="AH672" s="36">
        <f t="shared" si="658"/>
        <v>0</v>
      </c>
      <c r="AI672" s="35" t="s">
        <v>2894</v>
      </c>
      <c r="AJ672" s="20">
        <f t="shared" si="659"/>
        <v>0</v>
      </c>
      <c r="AK672" s="20">
        <f t="shared" si="660"/>
        <v>0</v>
      </c>
      <c r="AL672" s="20">
        <f t="shared" si="661"/>
        <v>0</v>
      </c>
      <c r="AN672" s="36">
        <v>21</v>
      </c>
      <c r="AO672" s="36">
        <f>I672*0</f>
        <v>0</v>
      </c>
      <c r="AP672" s="36">
        <f>I672*(1-0)</f>
        <v>0</v>
      </c>
      <c r="AQ672" s="37" t="s">
        <v>7</v>
      </c>
      <c r="AV672" s="36">
        <f t="shared" si="664"/>
        <v>0</v>
      </c>
      <c r="AW672" s="36">
        <f t="shared" si="665"/>
        <v>0</v>
      </c>
      <c r="AX672" s="36">
        <f t="shared" si="666"/>
        <v>0</v>
      </c>
      <c r="AY672" s="39" t="s">
        <v>2940</v>
      </c>
      <c r="AZ672" s="39" t="s">
        <v>2952</v>
      </c>
      <c r="BA672" s="35" t="s">
        <v>2967</v>
      </c>
      <c r="BC672" s="36">
        <f t="shared" si="667"/>
        <v>0</v>
      </c>
      <c r="BD672" s="36">
        <f t="shared" si="668"/>
        <v>0</v>
      </c>
      <c r="BE672" s="36">
        <v>0</v>
      </c>
      <c r="BF672" s="36">
        <f>672</f>
        <v>672</v>
      </c>
      <c r="BH672" s="20">
        <f t="shared" si="669"/>
        <v>0</v>
      </c>
      <c r="BI672" s="20">
        <f t="shared" si="670"/>
        <v>0</v>
      </c>
      <c r="BJ672" s="20">
        <f t="shared" si="671"/>
        <v>0</v>
      </c>
      <c r="BK672" s="20" t="s">
        <v>2978</v>
      </c>
      <c r="BL672" s="36" t="s">
        <v>1448</v>
      </c>
    </row>
    <row r="673" spans="1:64" x14ac:dyDescent="0.2">
      <c r="A673" s="86" t="s">
        <v>557</v>
      </c>
      <c r="B673" s="87" t="s">
        <v>1478</v>
      </c>
      <c r="C673" s="184" t="s">
        <v>2481</v>
      </c>
      <c r="D673" s="175"/>
      <c r="E673" s="175"/>
      <c r="F673" s="175"/>
      <c r="G673" s="87" t="s">
        <v>2855</v>
      </c>
      <c r="H673" s="88">
        <v>30</v>
      </c>
      <c r="I673" s="111">
        <v>0</v>
      </c>
      <c r="J673" s="96">
        <f t="shared" si="648"/>
        <v>0</v>
      </c>
      <c r="K673" s="96">
        <f t="shared" si="649"/>
        <v>0</v>
      </c>
      <c r="L673" s="96">
        <f t="shared" si="650"/>
        <v>0</v>
      </c>
      <c r="M673" s="97" t="s">
        <v>2884</v>
      </c>
      <c r="N673" s="5"/>
      <c r="Z673" s="36">
        <f t="shared" si="651"/>
        <v>0</v>
      </c>
      <c r="AB673" s="36">
        <f t="shared" si="652"/>
        <v>0</v>
      </c>
      <c r="AC673" s="36">
        <f t="shared" si="653"/>
        <v>0</v>
      </c>
      <c r="AD673" s="36">
        <f t="shared" si="654"/>
        <v>0</v>
      </c>
      <c r="AE673" s="36">
        <f t="shared" si="655"/>
        <v>0</v>
      </c>
      <c r="AF673" s="36">
        <f t="shared" si="656"/>
        <v>0</v>
      </c>
      <c r="AG673" s="36">
        <f t="shared" si="657"/>
        <v>0</v>
      </c>
      <c r="AH673" s="36">
        <f t="shared" si="658"/>
        <v>0</v>
      </c>
      <c r="AI673" s="35" t="s">
        <v>2894</v>
      </c>
      <c r="AJ673" s="20">
        <f t="shared" si="659"/>
        <v>0</v>
      </c>
      <c r="AK673" s="20">
        <f t="shared" si="660"/>
        <v>0</v>
      </c>
      <c r="AL673" s="20">
        <f t="shared" si="661"/>
        <v>0</v>
      </c>
      <c r="AN673" s="36">
        <v>21</v>
      </c>
      <c r="AO673" s="36">
        <f>I673*1</f>
        <v>0</v>
      </c>
      <c r="AP673" s="36">
        <f>I673*(1-1)</f>
        <v>0</v>
      </c>
      <c r="AQ673" s="37" t="s">
        <v>7</v>
      </c>
      <c r="AV673" s="36">
        <f t="shared" si="664"/>
        <v>0</v>
      </c>
      <c r="AW673" s="36">
        <f t="shared" si="665"/>
        <v>0</v>
      </c>
      <c r="AX673" s="36">
        <f t="shared" si="666"/>
        <v>0</v>
      </c>
      <c r="AY673" s="39" t="s">
        <v>2940</v>
      </c>
      <c r="AZ673" s="39" t="s">
        <v>2952</v>
      </c>
      <c r="BA673" s="35" t="s">
        <v>2967</v>
      </c>
      <c r="BC673" s="36">
        <f t="shared" si="667"/>
        <v>0</v>
      </c>
      <c r="BD673" s="36">
        <f t="shared" si="668"/>
        <v>0</v>
      </c>
      <c r="BE673" s="36">
        <v>0</v>
      </c>
      <c r="BF673" s="36">
        <f>673</f>
        <v>673</v>
      </c>
      <c r="BH673" s="20">
        <f t="shared" si="669"/>
        <v>0</v>
      </c>
      <c r="BI673" s="20">
        <f t="shared" si="670"/>
        <v>0</v>
      </c>
      <c r="BJ673" s="20">
        <f t="shared" si="671"/>
        <v>0</v>
      </c>
      <c r="BK673" s="20" t="s">
        <v>2978</v>
      </c>
      <c r="BL673" s="36" t="s">
        <v>1448</v>
      </c>
    </row>
    <row r="674" spans="1:64" x14ac:dyDescent="0.2">
      <c r="A674" s="4" t="s">
        <v>558</v>
      </c>
      <c r="B674" s="13" t="s">
        <v>1479</v>
      </c>
      <c r="C674" s="174" t="s">
        <v>2482</v>
      </c>
      <c r="D674" s="175"/>
      <c r="E674" s="175"/>
      <c r="F674" s="175"/>
      <c r="G674" s="13" t="s">
        <v>2855</v>
      </c>
      <c r="H674" s="82">
        <v>20</v>
      </c>
      <c r="I674" s="109">
        <v>0</v>
      </c>
      <c r="J674" s="20">
        <f t="shared" si="648"/>
        <v>0</v>
      </c>
      <c r="K674" s="20">
        <f t="shared" si="649"/>
        <v>0</v>
      </c>
      <c r="L674" s="20">
        <f t="shared" si="650"/>
        <v>0</v>
      </c>
      <c r="M674" s="31" t="s">
        <v>2884</v>
      </c>
      <c r="N674" s="5"/>
      <c r="Z674" s="36">
        <f t="shared" si="651"/>
        <v>0</v>
      </c>
      <c r="AB674" s="36">
        <f t="shared" si="652"/>
        <v>0</v>
      </c>
      <c r="AC674" s="36">
        <f t="shared" si="653"/>
        <v>0</v>
      </c>
      <c r="AD674" s="36">
        <f t="shared" si="654"/>
        <v>0</v>
      </c>
      <c r="AE674" s="36">
        <f t="shared" si="655"/>
        <v>0</v>
      </c>
      <c r="AF674" s="36">
        <f t="shared" si="656"/>
        <v>0</v>
      </c>
      <c r="AG674" s="36">
        <f t="shared" si="657"/>
        <v>0</v>
      </c>
      <c r="AH674" s="36">
        <f t="shared" si="658"/>
        <v>0</v>
      </c>
      <c r="AI674" s="35" t="s">
        <v>2894</v>
      </c>
      <c r="AJ674" s="20">
        <f t="shared" si="659"/>
        <v>0</v>
      </c>
      <c r="AK674" s="20">
        <f t="shared" si="660"/>
        <v>0</v>
      </c>
      <c r="AL674" s="20">
        <f t="shared" si="661"/>
        <v>0</v>
      </c>
      <c r="AN674" s="36">
        <v>21</v>
      </c>
      <c r="AO674" s="36">
        <f>I674*0</f>
        <v>0</v>
      </c>
      <c r="AP674" s="36">
        <f>I674*(1-0)</f>
        <v>0</v>
      </c>
      <c r="AQ674" s="37" t="s">
        <v>7</v>
      </c>
      <c r="AV674" s="36">
        <f t="shared" si="664"/>
        <v>0</v>
      </c>
      <c r="AW674" s="36">
        <f t="shared" si="665"/>
        <v>0</v>
      </c>
      <c r="AX674" s="36">
        <f t="shared" si="666"/>
        <v>0</v>
      </c>
      <c r="AY674" s="39" t="s">
        <v>2940</v>
      </c>
      <c r="AZ674" s="39" t="s">
        <v>2952</v>
      </c>
      <c r="BA674" s="35" t="s">
        <v>2967</v>
      </c>
      <c r="BC674" s="36">
        <f t="shared" si="667"/>
        <v>0</v>
      </c>
      <c r="BD674" s="36">
        <f t="shared" si="668"/>
        <v>0</v>
      </c>
      <c r="BE674" s="36">
        <v>0</v>
      </c>
      <c r="BF674" s="36">
        <f>674</f>
        <v>674</v>
      </c>
      <c r="BH674" s="20">
        <f t="shared" si="669"/>
        <v>0</v>
      </c>
      <c r="BI674" s="20">
        <f t="shared" si="670"/>
        <v>0</v>
      </c>
      <c r="BJ674" s="20">
        <f t="shared" si="671"/>
        <v>0</v>
      </c>
      <c r="BK674" s="20" t="s">
        <v>2978</v>
      </c>
      <c r="BL674" s="36" t="s">
        <v>1448</v>
      </c>
    </row>
    <row r="675" spans="1:64" x14ac:dyDescent="0.2">
      <c r="A675" s="86" t="s">
        <v>559</v>
      </c>
      <c r="B675" s="87" t="s">
        <v>1480</v>
      </c>
      <c r="C675" s="184" t="s">
        <v>2482</v>
      </c>
      <c r="D675" s="175"/>
      <c r="E675" s="175"/>
      <c r="F675" s="175"/>
      <c r="G675" s="87" t="s">
        <v>2855</v>
      </c>
      <c r="H675" s="88">
        <v>20</v>
      </c>
      <c r="I675" s="111">
        <v>0</v>
      </c>
      <c r="J675" s="96">
        <f t="shared" ref="J675:J706" si="672">H675*AO675</f>
        <v>0</v>
      </c>
      <c r="K675" s="96">
        <f t="shared" ref="K675:K706" si="673">H675*AP675</f>
        <v>0</v>
      </c>
      <c r="L675" s="96">
        <f t="shared" ref="L675:L706" si="674">H675*I675</f>
        <v>0</v>
      </c>
      <c r="M675" s="97" t="s">
        <v>2884</v>
      </c>
      <c r="N675" s="5"/>
      <c r="Z675" s="36">
        <f t="shared" ref="Z675:Z706" si="675">IF(AQ675="5",BJ675,0)</f>
        <v>0</v>
      </c>
      <c r="AB675" s="36">
        <f t="shared" ref="AB675:AB706" si="676">IF(AQ675="1",BH675,0)</f>
        <v>0</v>
      </c>
      <c r="AC675" s="36">
        <f t="shared" ref="AC675:AC706" si="677">IF(AQ675="1",BI675,0)</f>
        <v>0</v>
      </c>
      <c r="AD675" s="36">
        <f t="shared" ref="AD675:AD706" si="678">IF(AQ675="7",BH675,0)</f>
        <v>0</v>
      </c>
      <c r="AE675" s="36">
        <f t="shared" ref="AE675:AE706" si="679">IF(AQ675="7",BI675,0)</f>
        <v>0</v>
      </c>
      <c r="AF675" s="36">
        <f t="shared" ref="AF675:AF706" si="680">IF(AQ675="2",BH675,0)</f>
        <v>0</v>
      </c>
      <c r="AG675" s="36">
        <f t="shared" ref="AG675:AG706" si="681">IF(AQ675="2",BI675,0)</f>
        <v>0</v>
      </c>
      <c r="AH675" s="36">
        <f t="shared" ref="AH675:AH706" si="682">IF(AQ675="0",BJ675,0)</f>
        <v>0</v>
      </c>
      <c r="AI675" s="35" t="s">
        <v>2894</v>
      </c>
      <c r="AJ675" s="20">
        <f t="shared" ref="AJ675:AJ706" si="683">IF(AN675=0,L675,0)</f>
        <v>0</v>
      </c>
      <c r="AK675" s="20">
        <f t="shared" ref="AK675:AK706" si="684">IF(AN675=15,L675,0)</f>
        <v>0</v>
      </c>
      <c r="AL675" s="20">
        <f t="shared" ref="AL675:AL706" si="685">IF(AN675=21,L675,0)</f>
        <v>0</v>
      </c>
      <c r="AN675" s="36">
        <v>21</v>
      </c>
      <c r="AO675" s="36">
        <f>I675*1</f>
        <v>0</v>
      </c>
      <c r="AP675" s="36">
        <f>I675*(1-1)</f>
        <v>0</v>
      </c>
      <c r="AQ675" s="37" t="s">
        <v>7</v>
      </c>
      <c r="AV675" s="36">
        <f t="shared" ref="AV675:AV706" si="686">AW675+AX675</f>
        <v>0</v>
      </c>
      <c r="AW675" s="36">
        <f t="shared" ref="AW675:AW706" si="687">H675*AO675</f>
        <v>0</v>
      </c>
      <c r="AX675" s="36">
        <f t="shared" ref="AX675:AX706" si="688">H675*AP675</f>
        <v>0</v>
      </c>
      <c r="AY675" s="39" t="s">
        <v>2940</v>
      </c>
      <c r="AZ675" s="39" t="s">
        <v>2952</v>
      </c>
      <c r="BA675" s="35" t="s">
        <v>2967</v>
      </c>
      <c r="BC675" s="36">
        <f t="shared" ref="BC675:BC706" si="689">AW675+AX675</f>
        <v>0</v>
      </c>
      <c r="BD675" s="36">
        <f t="shared" ref="BD675:BD706" si="690">I675/(100-BE675)*100</f>
        <v>0</v>
      </c>
      <c r="BE675" s="36">
        <v>0</v>
      </c>
      <c r="BF675" s="36">
        <f>675</f>
        <v>675</v>
      </c>
      <c r="BH675" s="20">
        <f t="shared" ref="BH675:BH706" si="691">H675*AO675</f>
        <v>0</v>
      </c>
      <c r="BI675" s="20">
        <f t="shared" ref="BI675:BI706" si="692">H675*AP675</f>
        <v>0</v>
      </c>
      <c r="BJ675" s="20">
        <f t="shared" ref="BJ675:BJ706" si="693">H675*I675</f>
        <v>0</v>
      </c>
      <c r="BK675" s="20" t="s">
        <v>2978</v>
      </c>
      <c r="BL675" s="36" t="s">
        <v>1448</v>
      </c>
    </row>
    <row r="676" spans="1:64" x14ac:dyDescent="0.2">
      <c r="A676" s="4" t="s">
        <v>560</v>
      </c>
      <c r="B676" s="13" t="s">
        <v>1481</v>
      </c>
      <c r="C676" s="174" t="s">
        <v>2483</v>
      </c>
      <c r="D676" s="175"/>
      <c r="E676" s="175"/>
      <c r="F676" s="175"/>
      <c r="G676" s="13" t="s">
        <v>2855</v>
      </c>
      <c r="H676" s="82">
        <v>240</v>
      </c>
      <c r="I676" s="109">
        <v>0</v>
      </c>
      <c r="J676" s="20">
        <f t="shared" si="672"/>
        <v>0</v>
      </c>
      <c r="K676" s="20">
        <f t="shared" si="673"/>
        <v>0</v>
      </c>
      <c r="L676" s="20">
        <f t="shared" si="674"/>
        <v>0</v>
      </c>
      <c r="M676" s="31" t="s">
        <v>2884</v>
      </c>
      <c r="N676" s="5"/>
      <c r="Z676" s="36">
        <f t="shared" si="675"/>
        <v>0</v>
      </c>
      <c r="AB676" s="36">
        <f t="shared" si="676"/>
        <v>0</v>
      </c>
      <c r="AC676" s="36">
        <f t="shared" si="677"/>
        <v>0</v>
      </c>
      <c r="AD676" s="36">
        <f t="shared" si="678"/>
        <v>0</v>
      </c>
      <c r="AE676" s="36">
        <f t="shared" si="679"/>
        <v>0</v>
      </c>
      <c r="AF676" s="36">
        <f t="shared" si="680"/>
        <v>0</v>
      </c>
      <c r="AG676" s="36">
        <f t="shared" si="681"/>
        <v>0</v>
      </c>
      <c r="AH676" s="36">
        <f t="shared" si="682"/>
        <v>0</v>
      </c>
      <c r="AI676" s="35" t="s">
        <v>2894</v>
      </c>
      <c r="AJ676" s="20">
        <f t="shared" si="683"/>
        <v>0</v>
      </c>
      <c r="AK676" s="20">
        <f t="shared" si="684"/>
        <v>0</v>
      </c>
      <c r="AL676" s="20">
        <f t="shared" si="685"/>
        <v>0</v>
      </c>
      <c r="AN676" s="36">
        <v>21</v>
      </c>
      <c r="AO676" s="36">
        <f>I676*0</f>
        <v>0</v>
      </c>
      <c r="AP676" s="36">
        <f>I676*(1-0)</f>
        <v>0</v>
      </c>
      <c r="AQ676" s="37" t="s">
        <v>7</v>
      </c>
      <c r="AV676" s="36">
        <f t="shared" si="686"/>
        <v>0</v>
      </c>
      <c r="AW676" s="36">
        <f t="shared" si="687"/>
        <v>0</v>
      </c>
      <c r="AX676" s="36">
        <f t="shared" si="688"/>
        <v>0</v>
      </c>
      <c r="AY676" s="39" t="s">
        <v>2940</v>
      </c>
      <c r="AZ676" s="39" t="s">
        <v>2952</v>
      </c>
      <c r="BA676" s="35" t="s">
        <v>2967</v>
      </c>
      <c r="BC676" s="36">
        <f t="shared" si="689"/>
        <v>0</v>
      </c>
      <c r="BD676" s="36">
        <f t="shared" si="690"/>
        <v>0</v>
      </c>
      <c r="BE676" s="36">
        <v>0</v>
      </c>
      <c r="BF676" s="36">
        <f>676</f>
        <v>676</v>
      </c>
      <c r="BH676" s="20">
        <f t="shared" si="691"/>
        <v>0</v>
      </c>
      <c r="BI676" s="20">
        <f t="shared" si="692"/>
        <v>0</v>
      </c>
      <c r="BJ676" s="20">
        <f t="shared" si="693"/>
        <v>0</v>
      </c>
      <c r="BK676" s="20" t="s">
        <v>2978</v>
      </c>
      <c r="BL676" s="36" t="s">
        <v>1448</v>
      </c>
    </row>
    <row r="677" spans="1:64" x14ac:dyDescent="0.2">
      <c r="A677" s="86" t="s">
        <v>561</v>
      </c>
      <c r="B677" s="87" t="s">
        <v>1482</v>
      </c>
      <c r="C677" s="184" t="s">
        <v>2484</v>
      </c>
      <c r="D677" s="175"/>
      <c r="E677" s="175"/>
      <c r="F677" s="175"/>
      <c r="G677" s="87" t="s">
        <v>2855</v>
      </c>
      <c r="H677" s="88">
        <v>80</v>
      </c>
      <c r="I677" s="111">
        <v>0</v>
      </c>
      <c r="J677" s="96">
        <f t="shared" si="672"/>
        <v>0</v>
      </c>
      <c r="K677" s="96">
        <f t="shared" si="673"/>
        <v>0</v>
      </c>
      <c r="L677" s="96">
        <f t="shared" si="674"/>
        <v>0</v>
      </c>
      <c r="M677" s="97" t="s">
        <v>2884</v>
      </c>
      <c r="N677" s="5"/>
      <c r="Z677" s="36">
        <f t="shared" si="675"/>
        <v>0</v>
      </c>
      <c r="AB677" s="36">
        <f t="shared" si="676"/>
        <v>0</v>
      </c>
      <c r="AC677" s="36">
        <f t="shared" si="677"/>
        <v>0</v>
      </c>
      <c r="AD677" s="36">
        <f t="shared" si="678"/>
        <v>0</v>
      </c>
      <c r="AE677" s="36">
        <f t="shared" si="679"/>
        <v>0</v>
      </c>
      <c r="AF677" s="36">
        <f t="shared" si="680"/>
        <v>0</v>
      </c>
      <c r="AG677" s="36">
        <f t="shared" si="681"/>
        <v>0</v>
      </c>
      <c r="AH677" s="36">
        <f t="shared" si="682"/>
        <v>0</v>
      </c>
      <c r="AI677" s="35" t="s">
        <v>2894</v>
      </c>
      <c r="AJ677" s="20">
        <f t="shared" si="683"/>
        <v>0</v>
      </c>
      <c r="AK677" s="20">
        <f t="shared" si="684"/>
        <v>0</v>
      </c>
      <c r="AL677" s="20">
        <f t="shared" si="685"/>
        <v>0</v>
      </c>
      <c r="AN677" s="36">
        <v>21</v>
      </c>
      <c r="AO677" s="36">
        <f>I677*1</f>
        <v>0</v>
      </c>
      <c r="AP677" s="36">
        <f>I677*(1-1)</f>
        <v>0</v>
      </c>
      <c r="AQ677" s="37" t="s">
        <v>7</v>
      </c>
      <c r="AV677" s="36">
        <f t="shared" si="686"/>
        <v>0</v>
      </c>
      <c r="AW677" s="36">
        <f t="shared" si="687"/>
        <v>0</v>
      </c>
      <c r="AX677" s="36">
        <f t="shared" si="688"/>
        <v>0</v>
      </c>
      <c r="AY677" s="39" t="s">
        <v>2940</v>
      </c>
      <c r="AZ677" s="39" t="s">
        <v>2952</v>
      </c>
      <c r="BA677" s="35" t="s">
        <v>2967</v>
      </c>
      <c r="BC677" s="36">
        <f t="shared" si="689"/>
        <v>0</v>
      </c>
      <c r="BD677" s="36">
        <f t="shared" si="690"/>
        <v>0</v>
      </c>
      <c r="BE677" s="36">
        <v>0</v>
      </c>
      <c r="BF677" s="36">
        <f>677</f>
        <v>677</v>
      </c>
      <c r="BH677" s="20">
        <f t="shared" si="691"/>
        <v>0</v>
      </c>
      <c r="BI677" s="20">
        <f t="shared" si="692"/>
        <v>0</v>
      </c>
      <c r="BJ677" s="20">
        <f t="shared" si="693"/>
        <v>0</v>
      </c>
      <c r="BK677" s="20" t="s">
        <v>2978</v>
      </c>
      <c r="BL677" s="36" t="s">
        <v>1448</v>
      </c>
    </row>
    <row r="678" spans="1:64" x14ac:dyDescent="0.2">
      <c r="A678" s="86" t="s">
        <v>562</v>
      </c>
      <c r="B678" s="87" t="s">
        <v>1483</v>
      </c>
      <c r="C678" s="184" t="s">
        <v>2485</v>
      </c>
      <c r="D678" s="175"/>
      <c r="E678" s="175"/>
      <c r="F678" s="175"/>
      <c r="G678" s="87" t="s">
        <v>2855</v>
      </c>
      <c r="H678" s="88">
        <v>120</v>
      </c>
      <c r="I678" s="111">
        <v>0</v>
      </c>
      <c r="J678" s="96">
        <f t="shared" si="672"/>
        <v>0</v>
      </c>
      <c r="K678" s="96">
        <f t="shared" si="673"/>
        <v>0</v>
      </c>
      <c r="L678" s="96">
        <f t="shared" si="674"/>
        <v>0</v>
      </c>
      <c r="M678" s="97" t="s">
        <v>2884</v>
      </c>
      <c r="N678" s="5"/>
      <c r="Z678" s="36">
        <f t="shared" si="675"/>
        <v>0</v>
      </c>
      <c r="AB678" s="36">
        <f t="shared" si="676"/>
        <v>0</v>
      </c>
      <c r="AC678" s="36">
        <f t="shared" si="677"/>
        <v>0</v>
      </c>
      <c r="AD678" s="36">
        <f t="shared" si="678"/>
        <v>0</v>
      </c>
      <c r="AE678" s="36">
        <f t="shared" si="679"/>
        <v>0</v>
      </c>
      <c r="AF678" s="36">
        <f t="shared" si="680"/>
        <v>0</v>
      </c>
      <c r="AG678" s="36">
        <f t="shared" si="681"/>
        <v>0</v>
      </c>
      <c r="AH678" s="36">
        <f t="shared" si="682"/>
        <v>0</v>
      </c>
      <c r="AI678" s="35" t="s">
        <v>2894</v>
      </c>
      <c r="AJ678" s="20">
        <f t="shared" si="683"/>
        <v>0</v>
      </c>
      <c r="AK678" s="20">
        <f t="shared" si="684"/>
        <v>0</v>
      </c>
      <c r="AL678" s="20">
        <f t="shared" si="685"/>
        <v>0</v>
      </c>
      <c r="AN678" s="36">
        <v>21</v>
      </c>
      <c r="AO678" s="36">
        <f>I678*1</f>
        <v>0</v>
      </c>
      <c r="AP678" s="36">
        <f>I678*(1-1)</f>
        <v>0</v>
      </c>
      <c r="AQ678" s="37" t="s">
        <v>7</v>
      </c>
      <c r="AV678" s="36">
        <f t="shared" si="686"/>
        <v>0</v>
      </c>
      <c r="AW678" s="36">
        <f t="shared" si="687"/>
        <v>0</v>
      </c>
      <c r="AX678" s="36">
        <f t="shared" si="688"/>
        <v>0</v>
      </c>
      <c r="AY678" s="39" t="s">
        <v>2940</v>
      </c>
      <c r="AZ678" s="39" t="s">
        <v>2952</v>
      </c>
      <c r="BA678" s="35" t="s">
        <v>2967</v>
      </c>
      <c r="BC678" s="36">
        <f t="shared" si="689"/>
        <v>0</v>
      </c>
      <c r="BD678" s="36">
        <f t="shared" si="690"/>
        <v>0</v>
      </c>
      <c r="BE678" s="36">
        <v>0</v>
      </c>
      <c r="BF678" s="36">
        <f>678</f>
        <v>678</v>
      </c>
      <c r="BH678" s="20">
        <f t="shared" si="691"/>
        <v>0</v>
      </c>
      <c r="BI678" s="20">
        <f t="shared" si="692"/>
        <v>0</v>
      </c>
      <c r="BJ678" s="20">
        <f t="shared" si="693"/>
        <v>0</v>
      </c>
      <c r="BK678" s="20" t="s">
        <v>2978</v>
      </c>
      <c r="BL678" s="36" t="s">
        <v>1448</v>
      </c>
    </row>
    <row r="679" spans="1:64" x14ac:dyDescent="0.2">
      <c r="A679" s="86" t="s">
        <v>563</v>
      </c>
      <c r="B679" s="87" t="s">
        <v>1484</v>
      </c>
      <c r="C679" s="184" t="s">
        <v>2486</v>
      </c>
      <c r="D679" s="175"/>
      <c r="E679" s="175"/>
      <c r="F679" s="175"/>
      <c r="G679" s="87" t="s">
        <v>2855</v>
      </c>
      <c r="H679" s="88">
        <v>40</v>
      </c>
      <c r="I679" s="111">
        <v>0</v>
      </c>
      <c r="J679" s="96">
        <f t="shared" si="672"/>
        <v>0</v>
      </c>
      <c r="K679" s="96">
        <f t="shared" si="673"/>
        <v>0</v>
      </c>
      <c r="L679" s="96">
        <f t="shared" si="674"/>
        <v>0</v>
      </c>
      <c r="M679" s="97" t="s">
        <v>2884</v>
      </c>
      <c r="N679" s="5"/>
      <c r="Z679" s="36">
        <f t="shared" si="675"/>
        <v>0</v>
      </c>
      <c r="AB679" s="36">
        <f t="shared" si="676"/>
        <v>0</v>
      </c>
      <c r="AC679" s="36">
        <f t="shared" si="677"/>
        <v>0</v>
      </c>
      <c r="AD679" s="36">
        <f t="shared" si="678"/>
        <v>0</v>
      </c>
      <c r="AE679" s="36">
        <f t="shared" si="679"/>
        <v>0</v>
      </c>
      <c r="AF679" s="36">
        <f t="shared" si="680"/>
        <v>0</v>
      </c>
      <c r="AG679" s="36">
        <f t="shared" si="681"/>
        <v>0</v>
      </c>
      <c r="AH679" s="36">
        <f t="shared" si="682"/>
        <v>0</v>
      </c>
      <c r="AI679" s="35" t="s">
        <v>2894</v>
      </c>
      <c r="AJ679" s="20">
        <f t="shared" si="683"/>
        <v>0</v>
      </c>
      <c r="AK679" s="20">
        <f t="shared" si="684"/>
        <v>0</v>
      </c>
      <c r="AL679" s="20">
        <f t="shared" si="685"/>
        <v>0</v>
      </c>
      <c r="AN679" s="36">
        <v>21</v>
      </c>
      <c r="AO679" s="36">
        <f>I679*1</f>
        <v>0</v>
      </c>
      <c r="AP679" s="36">
        <f>I679*(1-1)</f>
        <v>0</v>
      </c>
      <c r="AQ679" s="37" t="s">
        <v>7</v>
      </c>
      <c r="AV679" s="36">
        <f t="shared" si="686"/>
        <v>0</v>
      </c>
      <c r="AW679" s="36">
        <f t="shared" si="687"/>
        <v>0</v>
      </c>
      <c r="AX679" s="36">
        <f t="shared" si="688"/>
        <v>0</v>
      </c>
      <c r="AY679" s="39" t="s">
        <v>2940</v>
      </c>
      <c r="AZ679" s="39" t="s">
        <v>2952</v>
      </c>
      <c r="BA679" s="35" t="s">
        <v>2967</v>
      </c>
      <c r="BC679" s="36">
        <f t="shared" si="689"/>
        <v>0</v>
      </c>
      <c r="BD679" s="36">
        <f t="shared" si="690"/>
        <v>0</v>
      </c>
      <c r="BE679" s="36">
        <v>0</v>
      </c>
      <c r="BF679" s="36">
        <f>679</f>
        <v>679</v>
      </c>
      <c r="BH679" s="20">
        <f t="shared" si="691"/>
        <v>0</v>
      </c>
      <c r="BI679" s="20">
        <f t="shared" si="692"/>
        <v>0</v>
      </c>
      <c r="BJ679" s="20">
        <f t="shared" si="693"/>
        <v>0</v>
      </c>
      <c r="BK679" s="20" t="s">
        <v>2978</v>
      </c>
      <c r="BL679" s="36" t="s">
        <v>1448</v>
      </c>
    </row>
    <row r="680" spans="1:64" x14ac:dyDescent="0.2">
      <c r="A680" s="4" t="s">
        <v>564</v>
      </c>
      <c r="B680" s="13" t="s">
        <v>1485</v>
      </c>
      <c r="C680" s="174" t="s">
        <v>2487</v>
      </c>
      <c r="D680" s="175"/>
      <c r="E680" s="175"/>
      <c r="F680" s="175"/>
      <c r="G680" s="13" t="s">
        <v>2855</v>
      </c>
      <c r="H680" s="82">
        <v>80</v>
      </c>
      <c r="I680" s="109">
        <v>0</v>
      </c>
      <c r="J680" s="20">
        <f t="shared" si="672"/>
        <v>0</v>
      </c>
      <c r="K680" s="20">
        <f t="shared" si="673"/>
        <v>0</v>
      </c>
      <c r="L680" s="20">
        <f t="shared" si="674"/>
        <v>0</v>
      </c>
      <c r="M680" s="31" t="s">
        <v>2884</v>
      </c>
      <c r="N680" s="5"/>
      <c r="Z680" s="36">
        <f t="shared" si="675"/>
        <v>0</v>
      </c>
      <c r="AB680" s="36">
        <f t="shared" si="676"/>
        <v>0</v>
      </c>
      <c r="AC680" s="36">
        <f t="shared" si="677"/>
        <v>0</v>
      </c>
      <c r="AD680" s="36">
        <f t="shared" si="678"/>
        <v>0</v>
      </c>
      <c r="AE680" s="36">
        <f t="shared" si="679"/>
        <v>0</v>
      </c>
      <c r="AF680" s="36">
        <f t="shared" si="680"/>
        <v>0</v>
      </c>
      <c r="AG680" s="36">
        <f t="shared" si="681"/>
        <v>0</v>
      </c>
      <c r="AH680" s="36">
        <f t="shared" si="682"/>
        <v>0</v>
      </c>
      <c r="AI680" s="35" t="s">
        <v>2894</v>
      </c>
      <c r="AJ680" s="20">
        <f t="shared" si="683"/>
        <v>0</v>
      </c>
      <c r="AK680" s="20">
        <f t="shared" si="684"/>
        <v>0</v>
      </c>
      <c r="AL680" s="20">
        <f t="shared" si="685"/>
        <v>0</v>
      </c>
      <c r="AN680" s="36">
        <v>21</v>
      </c>
      <c r="AO680" s="36">
        <f>I680*0</f>
        <v>0</v>
      </c>
      <c r="AP680" s="36">
        <f>I680*(1-0)</f>
        <v>0</v>
      </c>
      <c r="AQ680" s="37" t="s">
        <v>7</v>
      </c>
      <c r="AV680" s="36">
        <f t="shared" si="686"/>
        <v>0</v>
      </c>
      <c r="AW680" s="36">
        <f t="shared" si="687"/>
        <v>0</v>
      </c>
      <c r="AX680" s="36">
        <f t="shared" si="688"/>
        <v>0</v>
      </c>
      <c r="AY680" s="39" t="s">
        <v>2940</v>
      </c>
      <c r="AZ680" s="39" t="s">
        <v>2952</v>
      </c>
      <c r="BA680" s="35" t="s">
        <v>2967</v>
      </c>
      <c r="BC680" s="36">
        <f t="shared" si="689"/>
        <v>0</v>
      </c>
      <c r="BD680" s="36">
        <f t="shared" si="690"/>
        <v>0</v>
      </c>
      <c r="BE680" s="36">
        <v>0</v>
      </c>
      <c r="BF680" s="36">
        <f>680</f>
        <v>680</v>
      </c>
      <c r="BH680" s="20">
        <f t="shared" si="691"/>
        <v>0</v>
      </c>
      <c r="BI680" s="20">
        <f t="shared" si="692"/>
        <v>0</v>
      </c>
      <c r="BJ680" s="20">
        <f t="shared" si="693"/>
        <v>0</v>
      </c>
      <c r="BK680" s="20" t="s">
        <v>2978</v>
      </c>
      <c r="BL680" s="36" t="s">
        <v>1448</v>
      </c>
    </row>
    <row r="681" spans="1:64" x14ac:dyDescent="0.2">
      <c r="A681" s="86" t="s">
        <v>565</v>
      </c>
      <c r="B681" s="87" t="s">
        <v>1486</v>
      </c>
      <c r="C681" s="184" t="s">
        <v>2488</v>
      </c>
      <c r="D681" s="175"/>
      <c r="E681" s="175"/>
      <c r="F681" s="175"/>
      <c r="G681" s="87" t="s">
        <v>2855</v>
      </c>
      <c r="H681" s="88">
        <v>80</v>
      </c>
      <c r="I681" s="111">
        <v>0</v>
      </c>
      <c r="J681" s="96">
        <f t="shared" si="672"/>
        <v>0</v>
      </c>
      <c r="K681" s="96">
        <f t="shared" si="673"/>
        <v>0</v>
      </c>
      <c r="L681" s="96">
        <f t="shared" si="674"/>
        <v>0</v>
      </c>
      <c r="M681" s="97" t="s">
        <v>2884</v>
      </c>
      <c r="N681" s="5"/>
      <c r="Z681" s="36">
        <f t="shared" si="675"/>
        <v>0</v>
      </c>
      <c r="AB681" s="36">
        <f t="shared" si="676"/>
        <v>0</v>
      </c>
      <c r="AC681" s="36">
        <f t="shared" si="677"/>
        <v>0</v>
      </c>
      <c r="AD681" s="36">
        <f t="shared" si="678"/>
        <v>0</v>
      </c>
      <c r="AE681" s="36">
        <f t="shared" si="679"/>
        <v>0</v>
      </c>
      <c r="AF681" s="36">
        <f t="shared" si="680"/>
        <v>0</v>
      </c>
      <c r="AG681" s="36">
        <f t="shared" si="681"/>
        <v>0</v>
      </c>
      <c r="AH681" s="36">
        <f t="shared" si="682"/>
        <v>0</v>
      </c>
      <c r="AI681" s="35" t="s">
        <v>2894</v>
      </c>
      <c r="AJ681" s="20">
        <f t="shared" si="683"/>
        <v>0</v>
      </c>
      <c r="AK681" s="20">
        <f t="shared" si="684"/>
        <v>0</v>
      </c>
      <c r="AL681" s="20">
        <f t="shared" si="685"/>
        <v>0</v>
      </c>
      <c r="AN681" s="36">
        <v>21</v>
      </c>
      <c r="AO681" s="36">
        <f>I681*1</f>
        <v>0</v>
      </c>
      <c r="AP681" s="36">
        <f>I681*(1-1)</f>
        <v>0</v>
      </c>
      <c r="AQ681" s="37" t="s">
        <v>7</v>
      </c>
      <c r="AV681" s="36">
        <f t="shared" si="686"/>
        <v>0</v>
      </c>
      <c r="AW681" s="36">
        <f t="shared" si="687"/>
        <v>0</v>
      </c>
      <c r="AX681" s="36">
        <f t="shared" si="688"/>
        <v>0</v>
      </c>
      <c r="AY681" s="39" t="s">
        <v>2940</v>
      </c>
      <c r="AZ681" s="39" t="s">
        <v>2952</v>
      </c>
      <c r="BA681" s="35" t="s">
        <v>2967</v>
      </c>
      <c r="BC681" s="36">
        <f t="shared" si="689"/>
        <v>0</v>
      </c>
      <c r="BD681" s="36">
        <f t="shared" si="690"/>
        <v>0</v>
      </c>
      <c r="BE681" s="36">
        <v>0</v>
      </c>
      <c r="BF681" s="36">
        <f>681</f>
        <v>681</v>
      </c>
      <c r="BH681" s="20">
        <f t="shared" si="691"/>
        <v>0</v>
      </c>
      <c r="BI681" s="20">
        <f t="shared" si="692"/>
        <v>0</v>
      </c>
      <c r="BJ681" s="20">
        <f t="shared" si="693"/>
        <v>0</v>
      </c>
      <c r="BK681" s="20" t="s">
        <v>2978</v>
      </c>
      <c r="BL681" s="36" t="s">
        <v>1448</v>
      </c>
    </row>
    <row r="682" spans="1:64" x14ac:dyDescent="0.2">
      <c r="A682" s="86" t="s">
        <v>566</v>
      </c>
      <c r="B682" s="87" t="s">
        <v>1487</v>
      </c>
      <c r="C682" s="184" t="s">
        <v>2489</v>
      </c>
      <c r="D682" s="175"/>
      <c r="E682" s="175"/>
      <c r="F682" s="175"/>
      <c r="G682" s="87" t="s">
        <v>2860</v>
      </c>
      <c r="H682" s="88">
        <v>10</v>
      </c>
      <c r="I682" s="111">
        <v>0</v>
      </c>
      <c r="J682" s="96">
        <f t="shared" si="672"/>
        <v>0</v>
      </c>
      <c r="K682" s="96">
        <f t="shared" si="673"/>
        <v>0</v>
      </c>
      <c r="L682" s="96">
        <f t="shared" si="674"/>
        <v>0</v>
      </c>
      <c r="M682" s="97" t="s">
        <v>2884</v>
      </c>
      <c r="N682" s="5"/>
      <c r="Z682" s="36">
        <f t="shared" si="675"/>
        <v>0</v>
      </c>
      <c r="AB682" s="36">
        <f t="shared" si="676"/>
        <v>0</v>
      </c>
      <c r="AC682" s="36">
        <f t="shared" si="677"/>
        <v>0</v>
      </c>
      <c r="AD682" s="36">
        <f t="shared" si="678"/>
        <v>0</v>
      </c>
      <c r="AE682" s="36">
        <f t="shared" si="679"/>
        <v>0</v>
      </c>
      <c r="AF682" s="36">
        <f t="shared" si="680"/>
        <v>0</v>
      </c>
      <c r="AG682" s="36">
        <f t="shared" si="681"/>
        <v>0</v>
      </c>
      <c r="AH682" s="36">
        <f t="shared" si="682"/>
        <v>0</v>
      </c>
      <c r="AI682" s="35" t="s">
        <v>2894</v>
      </c>
      <c r="AJ682" s="20">
        <f t="shared" si="683"/>
        <v>0</v>
      </c>
      <c r="AK682" s="20">
        <f t="shared" si="684"/>
        <v>0</v>
      </c>
      <c r="AL682" s="20">
        <f t="shared" si="685"/>
        <v>0</v>
      </c>
      <c r="AN682" s="36">
        <v>21</v>
      </c>
      <c r="AO682" s="36">
        <f>I682*1</f>
        <v>0</v>
      </c>
      <c r="AP682" s="36">
        <f>I682*(1-1)</f>
        <v>0</v>
      </c>
      <c r="AQ682" s="37" t="s">
        <v>7</v>
      </c>
      <c r="AV682" s="36">
        <f t="shared" si="686"/>
        <v>0</v>
      </c>
      <c r="AW682" s="36">
        <f t="shared" si="687"/>
        <v>0</v>
      </c>
      <c r="AX682" s="36">
        <f t="shared" si="688"/>
        <v>0</v>
      </c>
      <c r="AY682" s="39" t="s">
        <v>2940</v>
      </c>
      <c r="AZ682" s="39" t="s">
        <v>2952</v>
      </c>
      <c r="BA682" s="35" t="s">
        <v>2967</v>
      </c>
      <c r="BC682" s="36">
        <f t="shared" si="689"/>
        <v>0</v>
      </c>
      <c r="BD682" s="36">
        <f t="shared" si="690"/>
        <v>0</v>
      </c>
      <c r="BE682" s="36">
        <v>0</v>
      </c>
      <c r="BF682" s="36">
        <f>682</f>
        <v>682</v>
      </c>
      <c r="BH682" s="20">
        <f t="shared" si="691"/>
        <v>0</v>
      </c>
      <c r="BI682" s="20">
        <f t="shared" si="692"/>
        <v>0</v>
      </c>
      <c r="BJ682" s="20">
        <f t="shared" si="693"/>
        <v>0</v>
      </c>
      <c r="BK682" s="20" t="s">
        <v>2978</v>
      </c>
      <c r="BL682" s="36" t="s">
        <v>1448</v>
      </c>
    </row>
    <row r="683" spans="1:64" x14ac:dyDescent="0.2">
      <c r="A683" s="4" t="s">
        <v>567</v>
      </c>
      <c r="B683" s="13" t="s">
        <v>1488</v>
      </c>
      <c r="C683" s="174" t="s">
        <v>2490</v>
      </c>
      <c r="D683" s="175"/>
      <c r="E683" s="175"/>
      <c r="F683" s="175"/>
      <c r="G683" s="13" t="s">
        <v>2855</v>
      </c>
      <c r="H683" s="82">
        <v>2240</v>
      </c>
      <c r="I683" s="109">
        <v>0</v>
      </c>
      <c r="J683" s="20">
        <f t="shared" si="672"/>
        <v>0</v>
      </c>
      <c r="K683" s="20">
        <f t="shared" si="673"/>
        <v>0</v>
      </c>
      <c r="L683" s="20">
        <f t="shared" si="674"/>
        <v>0</v>
      </c>
      <c r="M683" s="31" t="s">
        <v>2884</v>
      </c>
      <c r="N683" s="5"/>
      <c r="Z683" s="36">
        <f t="shared" si="675"/>
        <v>0</v>
      </c>
      <c r="AB683" s="36">
        <f t="shared" si="676"/>
        <v>0</v>
      </c>
      <c r="AC683" s="36">
        <f t="shared" si="677"/>
        <v>0</v>
      </c>
      <c r="AD683" s="36">
        <f t="shared" si="678"/>
        <v>0</v>
      </c>
      <c r="AE683" s="36">
        <f t="shared" si="679"/>
        <v>0</v>
      </c>
      <c r="AF683" s="36">
        <f t="shared" si="680"/>
        <v>0</v>
      </c>
      <c r="AG683" s="36">
        <f t="shared" si="681"/>
        <v>0</v>
      </c>
      <c r="AH683" s="36">
        <f t="shared" si="682"/>
        <v>0</v>
      </c>
      <c r="AI683" s="35" t="s">
        <v>2894</v>
      </c>
      <c r="AJ683" s="20">
        <f t="shared" si="683"/>
        <v>0</v>
      </c>
      <c r="AK683" s="20">
        <f t="shared" si="684"/>
        <v>0</v>
      </c>
      <c r="AL683" s="20">
        <f t="shared" si="685"/>
        <v>0</v>
      </c>
      <c r="AN683" s="36">
        <v>21</v>
      </c>
      <c r="AO683" s="36">
        <f>I683*0</f>
        <v>0</v>
      </c>
      <c r="AP683" s="36">
        <f>I683*(1-0)</f>
        <v>0</v>
      </c>
      <c r="AQ683" s="37" t="s">
        <v>7</v>
      </c>
      <c r="AV683" s="36">
        <f t="shared" si="686"/>
        <v>0</v>
      </c>
      <c r="AW683" s="36">
        <f t="shared" si="687"/>
        <v>0</v>
      </c>
      <c r="AX683" s="36">
        <f t="shared" si="688"/>
        <v>0</v>
      </c>
      <c r="AY683" s="39" t="s">
        <v>2940</v>
      </c>
      <c r="AZ683" s="39" t="s">
        <v>2952</v>
      </c>
      <c r="BA683" s="35" t="s">
        <v>2967</v>
      </c>
      <c r="BC683" s="36">
        <f t="shared" si="689"/>
        <v>0</v>
      </c>
      <c r="BD683" s="36">
        <f t="shared" si="690"/>
        <v>0</v>
      </c>
      <c r="BE683" s="36">
        <v>0</v>
      </c>
      <c r="BF683" s="36">
        <f>683</f>
        <v>683</v>
      </c>
      <c r="BH683" s="20">
        <f t="shared" si="691"/>
        <v>0</v>
      </c>
      <c r="BI683" s="20">
        <f t="shared" si="692"/>
        <v>0</v>
      </c>
      <c r="BJ683" s="20">
        <f t="shared" si="693"/>
        <v>0</v>
      </c>
      <c r="BK683" s="20" t="s">
        <v>2978</v>
      </c>
      <c r="BL683" s="36" t="s">
        <v>1448</v>
      </c>
    </row>
    <row r="684" spans="1:64" x14ac:dyDescent="0.2">
      <c r="A684" s="86" t="s">
        <v>568</v>
      </c>
      <c r="B684" s="87" t="s">
        <v>1489</v>
      </c>
      <c r="C684" s="184" t="s">
        <v>2491</v>
      </c>
      <c r="D684" s="175"/>
      <c r="E684" s="175"/>
      <c r="F684" s="175"/>
      <c r="G684" s="87" t="s">
        <v>2855</v>
      </c>
      <c r="H684" s="88">
        <v>1140</v>
      </c>
      <c r="I684" s="111">
        <v>0</v>
      </c>
      <c r="J684" s="96">
        <f t="shared" si="672"/>
        <v>0</v>
      </c>
      <c r="K684" s="96">
        <f t="shared" si="673"/>
        <v>0</v>
      </c>
      <c r="L684" s="96">
        <f t="shared" si="674"/>
        <v>0</v>
      </c>
      <c r="M684" s="97" t="s">
        <v>2884</v>
      </c>
      <c r="N684" s="5"/>
      <c r="Z684" s="36">
        <f t="shared" si="675"/>
        <v>0</v>
      </c>
      <c r="AB684" s="36">
        <f t="shared" si="676"/>
        <v>0</v>
      </c>
      <c r="AC684" s="36">
        <f t="shared" si="677"/>
        <v>0</v>
      </c>
      <c r="AD684" s="36">
        <f t="shared" si="678"/>
        <v>0</v>
      </c>
      <c r="AE684" s="36">
        <f t="shared" si="679"/>
        <v>0</v>
      </c>
      <c r="AF684" s="36">
        <f t="shared" si="680"/>
        <v>0</v>
      </c>
      <c r="AG684" s="36">
        <f t="shared" si="681"/>
        <v>0</v>
      </c>
      <c r="AH684" s="36">
        <f t="shared" si="682"/>
        <v>0</v>
      </c>
      <c r="AI684" s="35" t="s">
        <v>2894</v>
      </c>
      <c r="AJ684" s="20">
        <f t="shared" si="683"/>
        <v>0</v>
      </c>
      <c r="AK684" s="20">
        <f t="shared" si="684"/>
        <v>0</v>
      </c>
      <c r="AL684" s="20">
        <f t="shared" si="685"/>
        <v>0</v>
      </c>
      <c r="AN684" s="36">
        <v>21</v>
      </c>
      <c r="AO684" s="36">
        <f>I684*1</f>
        <v>0</v>
      </c>
      <c r="AP684" s="36">
        <f>I684*(1-1)</f>
        <v>0</v>
      </c>
      <c r="AQ684" s="37" t="s">
        <v>7</v>
      </c>
      <c r="AV684" s="36">
        <f t="shared" si="686"/>
        <v>0</v>
      </c>
      <c r="AW684" s="36">
        <f t="shared" si="687"/>
        <v>0</v>
      </c>
      <c r="AX684" s="36">
        <f t="shared" si="688"/>
        <v>0</v>
      </c>
      <c r="AY684" s="39" t="s">
        <v>2940</v>
      </c>
      <c r="AZ684" s="39" t="s">
        <v>2952</v>
      </c>
      <c r="BA684" s="35" t="s">
        <v>2967</v>
      </c>
      <c r="BC684" s="36">
        <f t="shared" si="689"/>
        <v>0</v>
      </c>
      <c r="BD684" s="36">
        <f t="shared" si="690"/>
        <v>0</v>
      </c>
      <c r="BE684" s="36">
        <v>0</v>
      </c>
      <c r="BF684" s="36">
        <f>684</f>
        <v>684</v>
      </c>
      <c r="BH684" s="20">
        <f t="shared" si="691"/>
        <v>0</v>
      </c>
      <c r="BI684" s="20">
        <f t="shared" si="692"/>
        <v>0</v>
      </c>
      <c r="BJ684" s="20">
        <f t="shared" si="693"/>
        <v>0</v>
      </c>
      <c r="BK684" s="20" t="s">
        <v>2978</v>
      </c>
      <c r="BL684" s="36" t="s">
        <v>1448</v>
      </c>
    </row>
    <row r="685" spans="1:64" x14ac:dyDescent="0.2">
      <c r="A685" s="86" t="s">
        <v>569</v>
      </c>
      <c r="B685" s="87" t="s">
        <v>1490</v>
      </c>
      <c r="C685" s="184" t="s">
        <v>2492</v>
      </c>
      <c r="D685" s="175"/>
      <c r="E685" s="175"/>
      <c r="F685" s="175"/>
      <c r="G685" s="87" t="s">
        <v>2855</v>
      </c>
      <c r="H685" s="88">
        <v>80</v>
      </c>
      <c r="I685" s="111">
        <v>0</v>
      </c>
      <c r="J685" s="96">
        <f t="shared" si="672"/>
        <v>0</v>
      </c>
      <c r="K685" s="96">
        <f t="shared" si="673"/>
        <v>0</v>
      </c>
      <c r="L685" s="96">
        <f t="shared" si="674"/>
        <v>0</v>
      </c>
      <c r="M685" s="97" t="s">
        <v>2884</v>
      </c>
      <c r="N685" s="5"/>
      <c r="Z685" s="36">
        <f t="shared" si="675"/>
        <v>0</v>
      </c>
      <c r="AB685" s="36">
        <f t="shared" si="676"/>
        <v>0</v>
      </c>
      <c r="AC685" s="36">
        <f t="shared" si="677"/>
        <v>0</v>
      </c>
      <c r="AD685" s="36">
        <f t="shared" si="678"/>
        <v>0</v>
      </c>
      <c r="AE685" s="36">
        <f t="shared" si="679"/>
        <v>0</v>
      </c>
      <c r="AF685" s="36">
        <f t="shared" si="680"/>
        <v>0</v>
      </c>
      <c r="AG685" s="36">
        <f t="shared" si="681"/>
        <v>0</v>
      </c>
      <c r="AH685" s="36">
        <f t="shared" si="682"/>
        <v>0</v>
      </c>
      <c r="AI685" s="35" t="s">
        <v>2894</v>
      </c>
      <c r="AJ685" s="20">
        <f t="shared" si="683"/>
        <v>0</v>
      </c>
      <c r="AK685" s="20">
        <f t="shared" si="684"/>
        <v>0</v>
      </c>
      <c r="AL685" s="20">
        <f t="shared" si="685"/>
        <v>0</v>
      </c>
      <c r="AN685" s="36">
        <v>21</v>
      </c>
      <c r="AO685" s="36">
        <f>I685*1</f>
        <v>0</v>
      </c>
      <c r="AP685" s="36">
        <f>I685*(1-1)</f>
        <v>0</v>
      </c>
      <c r="AQ685" s="37" t="s">
        <v>7</v>
      </c>
      <c r="AV685" s="36">
        <f t="shared" si="686"/>
        <v>0</v>
      </c>
      <c r="AW685" s="36">
        <f t="shared" si="687"/>
        <v>0</v>
      </c>
      <c r="AX685" s="36">
        <f t="shared" si="688"/>
        <v>0</v>
      </c>
      <c r="AY685" s="39" t="s">
        <v>2940</v>
      </c>
      <c r="AZ685" s="39" t="s">
        <v>2952</v>
      </c>
      <c r="BA685" s="35" t="s">
        <v>2967</v>
      </c>
      <c r="BC685" s="36">
        <f t="shared" si="689"/>
        <v>0</v>
      </c>
      <c r="BD685" s="36">
        <f t="shared" si="690"/>
        <v>0</v>
      </c>
      <c r="BE685" s="36">
        <v>0</v>
      </c>
      <c r="BF685" s="36">
        <f>685</f>
        <v>685</v>
      </c>
      <c r="BH685" s="20">
        <f t="shared" si="691"/>
        <v>0</v>
      </c>
      <c r="BI685" s="20">
        <f t="shared" si="692"/>
        <v>0</v>
      </c>
      <c r="BJ685" s="20">
        <f t="shared" si="693"/>
        <v>0</v>
      </c>
      <c r="BK685" s="20" t="s">
        <v>2978</v>
      </c>
      <c r="BL685" s="36" t="s">
        <v>1448</v>
      </c>
    </row>
    <row r="686" spans="1:64" x14ac:dyDescent="0.2">
      <c r="A686" s="86" t="s">
        <v>570</v>
      </c>
      <c r="B686" s="87" t="s">
        <v>1491</v>
      </c>
      <c r="C686" s="184" t="s">
        <v>2493</v>
      </c>
      <c r="D686" s="175"/>
      <c r="E686" s="175"/>
      <c r="F686" s="175"/>
      <c r="G686" s="87" t="s">
        <v>2855</v>
      </c>
      <c r="H686" s="88">
        <v>160</v>
      </c>
      <c r="I686" s="111">
        <v>0</v>
      </c>
      <c r="J686" s="96">
        <f t="shared" si="672"/>
        <v>0</v>
      </c>
      <c r="K686" s="96">
        <f t="shared" si="673"/>
        <v>0</v>
      </c>
      <c r="L686" s="96">
        <f t="shared" si="674"/>
        <v>0</v>
      </c>
      <c r="M686" s="97" t="s">
        <v>2884</v>
      </c>
      <c r="N686" s="5"/>
      <c r="Z686" s="36">
        <f t="shared" si="675"/>
        <v>0</v>
      </c>
      <c r="AB686" s="36">
        <f t="shared" si="676"/>
        <v>0</v>
      </c>
      <c r="AC686" s="36">
        <f t="shared" si="677"/>
        <v>0</v>
      </c>
      <c r="AD686" s="36">
        <f t="shared" si="678"/>
        <v>0</v>
      </c>
      <c r="AE686" s="36">
        <f t="shared" si="679"/>
        <v>0</v>
      </c>
      <c r="AF686" s="36">
        <f t="shared" si="680"/>
        <v>0</v>
      </c>
      <c r="AG686" s="36">
        <f t="shared" si="681"/>
        <v>0</v>
      </c>
      <c r="AH686" s="36">
        <f t="shared" si="682"/>
        <v>0</v>
      </c>
      <c r="AI686" s="35" t="s">
        <v>2894</v>
      </c>
      <c r="AJ686" s="20">
        <f t="shared" si="683"/>
        <v>0</v>
      </c>
      <c r="AK686" s="20">
        <f t="shared" si="684"/>
        <v>0</v>
      </c>
      <c r="AL686" s="20">
        <f t="shared" si="685"/>
        <v>0</v>
      </c>
      <c r="AN686" s="36">
        <v>21</v>
      </c>
      <c r="AO686" s="36">
        <f>I686*1</f>
        <v>0</v>
      </c>
      <c r="AP686" s="36">
        <f>I686*(1-1)</f>
        <v>0</v>
      </c>
      <c r="AQ686" s="37" t="s">
        <v>7</v>
      </c>
      <c r="AV686" s="36">
        <f t="shared" si="686"/>
        <v>0</v>
      </c>
      <c r="AW686" s="36">
        <f t="shared" si="687"/>
        <v>0</v>
      </c>
      <c r="AX686" s="36">
        <f t="shared" si="688"/>
        <v>0</v>
      </c>
      <c r="AY686" s="39" t="s">
        <v>2940</v>
      </c>
      <c r="AZ686" s="39" t="s">
        <v>2952</v>
      </c>
      <c r="BA686" s="35" t="s">
        <v>2967</v>
      </c>
      <c r="BC686" s="36">
        <f t="shared" si="689"/>
        <v>0</v>
      </c>
      <c r="BD686" s="36">
        <f t="shared" si="690"/>
        <v>0</v>
      </c>
      <c r="BE686" s="36">
        <v>0</v>
      </c>
      <c r="BF686" s="36">
        <f>686</f>
        <v>686</v>
      </c>
      <c r="BH686" s="20">
        <f t="shared" si="691"/>
        <v>0</v>
      </c>
      <c r="BI686" s="20">
        <f t="shared" si="692"/>
        <v>0</v>
      </c>
      <c r="BJ686" s="20">
        <f t="shared" si="693"/>
        <v>0</v>
      </c>
      <c r="BK686" s="20" t="s">
        <v>2978</v>
      </c>
      <c r="BL686" s="36" t="s">
        <v>1448</v>
      </c>
    </row>
    <row r="687" spans="1:64" x14ac:dyDescent="0.2">
      <c r="A687" s="86" t="s">
        <v>571</v>
      </c>
      <c r="B687" s="87" t="s">
        <v>1492</v>
      </c>
      <c r="C687" s="184" t="s">
        <v>2494</v>
      </c>
      <c r="D687" s="175"/>
      <c r="E687" s="175"/>
      <c r="F687" s="175"/>
      <c r="G687" s="87" t="s">
        <v>2855</v>
      </c>
      <c r="H687" s="88">
        <v>120</v>
      </c>
      <c r="I687" s="111">
        <v>0</v>
      </c>
      <c r="J687" s="96">
        <f t="shared" si="672"/>
        <v>0</v>
      </c>
      <c r="K687" s="96">
        <f t="shared" si="673"/>
        <v>0</v>
      </c>
      <c r="L687" s="96">
        <f t="shared" si="674"/>
        <v>0</v>
      </c>
      <c r="M687" s="97" t="s">
        <v>2884</v>
      </c>
      <c r="N687" s="5"/>
      <c r="Z687" s="36">
        <f t="shared" si="675"/>
        <v>0</v>
      </c>
      <c r="AB687" s="36">
        <f t="shared" si="676"/>
        <v>0</v>
      </c>
      <c r="AC687" s="36">
        <f t="shared" si="677"/>
        <v>0</v>
      </c>
      <c r="AD687" s="36">
        <f t="shared" si="678"/>
        <v>0</v>
      </c>
      <c r="AE687" s="36">
        <f t="shared" si="679"/>
        <v>0</v>
      </c>
      <c r="AF687" s="36">
        <f t="shared" si="680"/>
        <v>0</v>
      </c>
      <c r="AG687" s="36">
        <f t="shared" si="681"/>
        <v>0</v>
      </c>
      <c r="AH687" s="36">
        <f t="shared" si="682"/>
        <v>0</v>
      </c>
      <c r="AI687" s="35" t="s">
        <v>2894</v>
      </c>
      <c r="AJ687" s="20">
        <f t="shared" si="683"/>
        <v>0</v>
      </c>
      <c r="AK687" s="20">
        <f t="shared" si="684"/>
        <v>0</v>
      </c>
      <c r="AL687" s="20">
        <f t="shared" si="685"/>
        <v>0</v>
      </c>
      <c r="AN687" s="36">
        <v>21</v>
      </c>
      <c r="AO687" s="36">
        <f>I687*1</f>
        <v>0</v>
      </c>
      <c r="AP687" s="36">
        <f>I687*(1-1)</f>
        <v>0</v>
      </c>
      <c r="AQ687" s="37" t="s">
        <v>7</v>
      </c>
      <c r="AV687" s="36">
        <f t="shared" si="686"/>
        <v>0</v>
      </c>
      <c r="AW687" s="36">
        <f t="shared" si="687"/>
        <v>0</v>
      </c>
      <c r="AX687" s="36">
        <f t="shared" si="688"/>
        <v>0</v>
      </c>
      <c r="AY687" s="39" t="s">
        <v>2940</v>
      </c>
      <c r="AZ687" s="39" t="s">
        <v>2952</v>
      </c>
      <c r="BA687" s="35" t="s">
        <v>2967</v>
      </c>
      <c r="BC687" s="36">
        <f t="shared" si="689"/>
        <v>0</v>
      </c>
      <c r="BD687" s="36">
        <f t="shared" si="690"/>
        <v>0</v>
      </c>
      <c r="BE687" s="36">
        <v>0</v>
      </c>
      <c r="BF687" s="36">
        <f>687</f>
        <v>687</v>
      </c>
      <c r="BH687" s="20">
        <f t="shared" si="691"/>
        <v>0</v>
      </c>
      <c r="BI687" s="20">
        <f t="shared" si="692"/>
        <v>0</v>
      </c>
      <c r="BJ687" s="20">
        <f t="shared" si="693"/>
        <v>0</v>
      </c>
      <c r="BK687" s="20" t="s">
        <v>2978</v>
      </c>
      <c r="BL687" s="36" t="s">
        <v>1448</v>
      </c>
    </row>
    <row r="688" spans="1:64" x14ac:dyDescent="0.2">
      <c r="A688" s="86" t="s">
        <v>572</v>
      </c>
      <c r="B688" s="87" t="s">
        <v>1493</v>
      </c>
      <c r="C688" s="184" t="s">
        <v>2495</v>
      </c>
      <c r="D688" s="175"/>
      <c r="E688" s="175"/>
      <c r="F688" s="175"/>
      <c r="G688" s="87" t="s">
        <v>2855</v>
      </c>
      <c r="H688" s="88">
        <v>740</v>
      </c>
      <c r="I688" s="111">
        <v>0</v>
      </c>
      <c r="J688" s="96">
        <f t="shared" si="672"/>
        <v>0</v>
      </c>
      <c r="K688" s="96">
        <f t="shared" si="673"/>
        <v>0</v>
      </c>
      <c r="L688" s="96">
        <f t="shared" si="674"/>
        <v>0</v>
      </c>
      <c r="M688" s="97" t="s">
        <v>2884</v>
      </c>
      <c r="N688" s="5"/>
      <c r="Z688" s="36">
        <f t="shared" si="675"/>
        <v>0</v>
      </c>
      <c r="AB688" s="36">
        <f t="shared" si="676"/>
        <v>0</v>
      </c>
      <c r="AC688" s="36">
        <f t="shared" si="677"/>
        <v>0</v>
      </c>
      <c r="AD688" s="36">
        <f t="shared" si="678"/>
        <v>0</v>
      </c>
      <c r="AE688" s="36">
        <f t="shared" si="679"/>
        <v>0</v>
      </c>
      <c r="AF688" s="36">
        <f t="shared" si="680"/>
        <v>0</v>
      </c>
      <c r="AG688" s="36">
        <f t="shared" si="681"/>
        <v>0</v>
      </c>
      <c r="AH688" s="36">
        <f t="shared" si="682"/>
        <v>0</v>
      </c>
      <c r="AI688" s="35" t="s">
        <v>2894</v>
      </c>
      <c r="AJ688" s="20">
        <f t="shared" si="683"/>
        <v>0</v>
      </c>
      <c r="AK688" s="20">
        <f t="shared" si="684"/>
        <v>0</v>
      </c>
      <c r="AL688" s="20">
        <f t="shared" si="685"/>
        <v>0</v>
      </c>
      <c r="AN688" s="36">
        <v>21</v>
      </c>
      <c r="AO688" s="36">
        <f>I688*1</f>
        <v>0</v>
      </c>
      <c r="AP688" s="36">
        <f>I688*(1-1)</f>
        <v>0</v>
      </c>
      <c r="AQ688" s="37" t="s">
        <v>7</v>
      </c>
      <c r="AV688" s="36">
        <f t="shared" si="686"/>
        <v>0</v>
      </c>
      <c r="AW688" s="36">
        <f t="shared" si="687"/>
        <v>0</v>
      </c>
      <c r="AX688" s="36">
        <f t="shared" si="688"/>
        <v>0</v>
      </c>
      <c r="AY688" s="39" t="s">
        <v>2940</v>
      </c>
      <c r="AZ688" s="39" t="s">
        <v>2952</v>
      </c>
      <c r="BA688" s="35" t="s">
        <v>2967</v>
      </c>
      <c r="BC688" s="36">
        <f t="shared" si="689"/>
        <v>0</v>
      </c>
      <c r="BD688" s="36">
        <f t="shared" si="690"/>
        <v>0</v>
      </c>
      <c r="BE688" s="36">
        <v>0</v>
      </c>
      <c r="BF688" s="36">
        <f>688</f>
        <v>688</v>
      </c>
      <c r="BH688" s="20">
        <f t="shared" si="691"/>
        <v>0</v>
      </c>
      <c r="BI688" s="20">
        <f t="shared" si="692"/>
        <v>0</v>
      </c>
      <c r="BJ688" s="20">
        <f t="shared" si="693"/>
        <v>0</v>
      </c>
      <c r="BK688" s="20" t="s">
        <v>2978</v>
      </c>
      <c r="BL688" s="36" t="s">
        <v>1448</v>
      </c>
    </row>
    <row r="689" spans="1:64" x14ac:dyDescent="0.2">
      <c r="A689" s="4" t="s">
        <v>573</v>
      </c>
      <c r="B689" s="13" t="s">
        <v>1494</v>
      </c>
      <c r="C689" s="174" t="s">
        <v>2496</v>
      </c>
      <c r="D689" s="175"/>
      <c r="E689" s="175"/>
      <c r="F689" s="175"/>
      <c r="G689" s="13" t="s">
        <v>2855</v>
      </c>
      <c r="H689" s="82">
        <v>3050</v>
      </c>
      <c r="I689" s="109">
        <v>0</v>
      </c>
      <c r="J689" s="20">
        <f t="shared" si="672"/>
        <v>0</v>
      </c>
      <c r="K689" s="20">
        <f t="shared" si="673"/>
        <v>0</v>
      </c>
      <c r="L689" s="20">
        <f t="shared" si="674"/>
        <v>0</v>
      </c>
      <c r="M689" s="31" t="s">
        <v>2884</v>
      </c>
      <c r="N689" s="5"/>
      <c r="Z689" s="36">
        <f t="shared" si="675"/>
        <v>0</v>
      </c>
      <c r="AB689" s="36">
        <f t="shared" si="676"/>
        <v>0</v>
      </c>
      <c r="AC689" s="36">
        <f t="shared" si="677"/>
        <v>0</v>
      </c>
      <c r="AD689" s="36">
        <f t="shared" si="678"/>
        <v>0</v>
      </c>
      <c r="AE689" s="36">
        <f t="shared" si="679"/>
        <v>0</v>
      </c>
      <c r="AF689" s="36">
        <f t="shared" si="680"/>
        <v>0</v>
      </c>
      <c r="AG689" s="36">
        <f t="shared" si="681"/>
        <v>0</v>
      </c>
      <c r="AH689" s="36">
        <f t="shared" si="682"/>
        <v>0</v>
      </c>
      <c r="AI689" s="35" t="s">
        <v>2894</v>
      </c>
      <c r="AJ689" s="20">
        <f t="shared" si="683"/>
        <v>0</v>
      </c>
      <c r="AK689" s="20">
        <f t="shared" si="684"/>
        <v>0</v>
      </c>
      <c r="AL689" s="20">
        <f t="shared" si="685"/>
        <v>0</v>
      </c>
      <c r="AN689" s="36">
        <v>21</v>
      </c>
      <c r="AO689" s="36">
        <f>I689*0</f>
        <v>0</v>
      </c>
      <c r="AP689" s="36">
        <f>I689*(1-0)</f>
        <v>0</v>
      </c>
      <c r="AQ689" s="37" t="s">
        <v>7</v>
      </c>
      <c r="AV689" s="36">
        <f t="shared" si="686"/>
        <v>0</v>
      </c>
      <c r="AW689" s="36">
        <f t="shared" si="687"/>
        <v>0</v>
      </c>
      <c r="AX689" s="36">
        <f t="shared" si="688"/>
        <v>0</v>
      </c>
      <c r="AY689" s="39" t="s">
        <v>2940</v>
      </c>
      <c r="AZ689" s="39" t="s">
        <v>2952</v>
      </c>
      <c r="BA689" s="35" t="s">
        <v>2967</v>
      </c>
      <c r="BC689" s="36">
        <f t="shared" si="689"/>
        <v>0</v>
      </c>
      <c r="BD689" s="36">
        <f t="shared" si="690"/>
        <v>0</v>
      </c>
      <c r="BE689" s="36">
        <v>0</v>
      </c>
      <c r="BF689" s="36">
        <f>689</f>
        <v>689</v>
      </c>
      <c r="BH689" s="20">
        <f t="shared" si="691"/>
        <v>0</v>
      </c>
      <c r="BI689" s="20">
        <f t="shared" si="692"/>
        <v>0</v>
      </c>
      <c r="BJ689" s="20">
        <f t="shared" si="693"/>
        <v>0</v>
      </c>
      <c r="BK689" s="20" t="s">
        <v>2978</v>
      </c>
      <c r="BL689" s="36" t="s">
        <v>1448</v>
      </c>
    </row>
    <row r="690" spans="1:64" x14ac:dyDescent="0.2">
      <c r="A690" s="86" t="s">
        <v>574</v>
      </c>
      <c r="B690" s="87" t="s">
        <v>1495</v>
      </c>
      <c r="C690" s="184" t="s">
        <v>2497</v>
      </c>
      <c r="D690" s="175"/>
      <c r="E690" s="175"/>
      <c r="F690" s="175"/>
      <c r="G690" s="87" t="s">
        <v>2855</v>
      </c>
      <c r="H690" s="88">
        <v>950</v>
      </c>
      <c r="I690" s="111">
        <v>0</v>
      </c>
      <c r="J690" s="96">
        <f t="shared" si="672"/>
        <v>0</v>
      </c>
      <c r="K690" s="96">
        <f t="shared" si="673"/>
        <v>0</v>
      </c>
      <c r="L690" s="96">
        <f t="shared" si="674"/>
        <v>0</v>
      </c>
      <c r="M690" s="97" t="s">
        <v>2884</v>
      </c>
      <c r="N690" s="5"/>
      <c r="Z690" s="36">
        <f t="shared" si="675"/>
        <v>0</v>
      </c>
      <c r="AB690" s="36">
        <f t="shared" si="676"/>
        <v>0</v>
      </c>
      <c r="AC690" s="36">
        <f t="shared" si="677"/>
        <v>0</v>
      </c>
      <c r="AD690" s="36">
        <f t="shared" si="678"/>
        <v>0</v>
      </c>
      <c r="AE690" s="36">
        <f t="shared" si="679"/>
        <v>0</v>
      </c>
      <c r="AF690" s="36">
        <f t="shared" si="680"/>
        <v>0</v>
      </c>
      <c r="AG690" s="36">
        <f t="shared" si="681"/>
        <v>0</v>
      </c>
      <c r="AH690" s="36">
        <f t="shared" si="682"/>
        <v>0</v>
      </c>
      <c r="AI690" s="35" t="s">
        <v>2894</v>
      </c>
      <c r="AJ690" s="20">
        <f t="shared" si="683"/>
        <v>0</v>
      </c>
      <c r="AK690" s="20">
        <f t="shared" si="684"/>
        <v>0</v>
      </c>
      <c r="AL690" s="20">
        <f t="shared" si="685"/>
        <v>0</v>
      </c>
      <c r="AN690" s="36">
        <v>21</v>
      </c>
      <c r="AO690" s="36">
        <f>I690*1</f>
        <v>0</v>
      </c>
      <c r="AP690" s="36">
        <f>I690*(1-1)</f>
        <v>0</v>
      </c>
      <c r="AQ690" s="37" t="s">
        <v>7</v>
      </c>
      <c r="AV690" s="36">
        <f t="shared" si="686"/>
        <v>0</v>
      </c>
      <c r="AW690" s="36">
        <f t="shared" si="687"/>
        <v>0</v>
      </c>
      <c r="AX690" s="36">
        <f t="shared" si="688"/>
        <v>0</v>
      </c>
      <c r="AY690" s="39" t="s">
        <v>2940</v>
      </c>
      <c r="AZ690" s="39" t="s">
        <v>2952</v>
      </c>
      <c r="BA690" s="35" t="s">
        <v>2967</v>
      </c>
      <c r="BC690" s="36">
        <f t="shared" si="689"/>
        <v>0</v>
      </c>
      <c r="BD690" s="36">
        <f t="shared" si="690"/>
        <v>0</v>
      </c>
      <c r="BE690" s="36">
        <v>0</v>
      </c>
      <c r="BF690" s="36">
        <f>690</f>
        <v>690</v>
      </c>
      <c r="BH690" s="20">
        <f t="shared" si="691"/>
        <v>0</v>
      </c>
      <c r="BI690" s="20">
        <f t="shared" si="692"/>
        <v>0</v>
      </c>
      <c r="BJ690" s="20">
        <f t="shared" si="693"/>
        <v>0</v>
      </c>
      <c r="BK690" s="20" t="s">
        <v>2978</v>
      </c>
      <c r="BL690" s="36" t="s">
        <v>1448</v>
      </c>
    </row>
    <row r="691" spans="1:64" x14ac:dyDescent="0.2">
      <c r="A691" s="86" t="s">
        <v>575</v>
      </c>
      <c r="B691" s="87" t="s">
        <v>1496</v>
      </c>
      <c r="C691" s="184" t="s">
        <v>2498</v>
      </c>
      <c r="D691" s="175"/>
      <c r="E691" s="175"/>
      <c r="F691" s="175"/>
      <c r="G691" s="87" t="s">
        <v>2855</v>
      </c>
      <c r="H691" s="88">
        <v>60</v>
      </c>
      <c r="I691" s="111">
        <v>0</v>
      </c>
      <c r="J691" s="96">
        <f t="shared" si="672"/>
        <v>0</v>
      </c>
      <c r="K691" s="96">
        <f t="shared" si="673"/>
        <v>0</v>
      </c>
      <c r="L691" s="96">
        <f t="shared" si="674"/>
        <v>0</v>
      </c>
      <c r="M691" s="97" t="s">
        <v>2884</v>
      </c>
      <c r="N691" s="5"/>
      <c r="Z691" s="36">
        <f t="shared" si="675"/>
        <v>0</v>
      </c>
      <c r="AB691" s="36">
        <f t="shared" si="676"/>
        <v>0</v>
      </c>
      <c r="AC691" s="36">
        <f t="shared" si="677"/>
        <v>0</v>
      </c>
      <c r="AD691" s="36">
        <f t="shared" si="678"/>
        <v>0</v>
      </c>
      <c r="AE691" s="36">
        <f t="shared" si="679"/>
        <v>0</v>
      </c>
      <c r="AF691" s="36">
        <f t="shared" si="680"/>
        <v>0</v>
      </c>
      <c r="AG691" s="36">
        <f t="shared" si="681"/>
        <v>0</v>
      </c>
      <c r="AH691" s="36">
        <f t="shared" si="682"/>
        <v>0</v>
      </c>
      <c r="AI691" s="35" t="s">
        <v>2894</v>
      </c>
      <c r="AJ691" s="20">
        <f t="shared" si="683"/>
        <v>0</v>
      </c>
      <c r="AK691" s="20">
        <f t="shared" si="684"/>
        <v>0</v>
      </c>
      <c r="AL691" s="20">
        <f t="shared" si="685"/>
        <v>0</v>
      </c>
      <c r="AN691" s="36">
        <v>21</v>
      </c>
      <c r="AO691" s="36">
        <f>I691*1</f>
        <v>0</v>
      </c>
      <c r="AP691" s="36">
        <f>I691*(1-1)</f>
        <v>0</v>
      </c>
      <c r="AQ691" s="37" t="s">
        <v>7</v>
      </c>
      <c r="AV691" s="36">
        <f t="shared" si="686"/>
        <v>0</v>
      </c>
      <c r="AW691" s="36">
        <f t="shared" si="687"/>
        <v>0</v>
      </c>
      <c r="AX691" s="36">
        <f t="shared" si="688"/>
        <v>0</v>
      </c>
      <c r="AY691" s="39" t="s">
        <v>2940</v>
      </c>
      <c r="AZ691" s="39" t="s">
        <v>2952</v>
      </c>
      <c r="BA691" s="35" t="s">
        <v>2967</v>
      </c>
      <c r="BC691" s="36">
        <f t="shared" si="689"/>
        <v>0</v>
      </c>
      <c r="BD691" s="36">
        <f t="shared" si="690"/>
        <v>0</v>
      </c>
      <c r="BE691" s="36">
        <v>0</v>
      </c>
      <c r="BF691" s="36">
        <f>691</f>
        <v>691</v>
      </c>
      <c r="BH691" s="20">
        <f t="shared" si="691"/>
        <v>0</v>
      </c>
      <c r="BI691" s="20">
        <f t="shared" si="692"/>
        <v>0</v>
      </c>
      <c r="BJ691" s="20">
        <f t="shared" si="693"/>
        <v>0</v>
      </c>
      <c r="BK691" s="20" t="s">
        <v>2978</v>
      </c>
      <c r="BL691" s="36" t="s">
        <v>1448</v>
      </c>
    </row>
    <row r="692" spans="1:64" x14ac:dyDescent="0.2">
      <c r="A692" s="86" t="s">
        <v>576</v>
      </c>
      <c r="B692" s="87" t="s">
        <v>1497</v>
      </c>
      <c r="C692" s="184" t="s">
        <v>2499</v>
      </c>
      <c r="D692" s="175"/>
      <c r="E692" s="175"/>
      <c r="F692" s="175"/>
      <c r="G692" s="87" t="s">
        <v>2855</v>
      </c>
      <c r="H692" s="88">
        <v>110</v>
      </c>
      <c r="I692" s="111">
        <v>0</v>
      </c>
      <c r="J692" s="96">
        <f t="shared" si="672"/>
        <v>0</v>
      </c>
      <c r="K692" s="96">
        <f t="shared" si="673"/>
        <v>0</v>
      </c>
      <c r="L692" s="96">
        <f t="shared" si="674"/>
        <v>0</v>
      </c>
      <c r="M692" s="97" t="s">
        <v>2884</v>
      </c>
      <c r="N692" s="5"/>
      <c r="Z692" s="36">
        <f t="shared" si="675"/>
        <v>0</v>
      </c>
      <c r="AB692" s="36">
        <f t="shared" si="676"/>
        <v>0</v>
      </c>
      <c r="AC692" s="36">
        <f t="shared" si="677"/>
        <v>0</v>
      </c>
      <c r="AD692" s="36">
        <f t="shared" si="678"/>
        <v>0</v>
      </c>
      <c r="AE692" s="36">
        <f t="shared" si="679"/>
        <v>0</v>
      </c>
      <c r="AF692" s="36">
        <f t="shared" si="680"/>
        <v>0</v>
      </c>
      <c r="AG692" s="36">
        <f t="shared" si="681"/>
        <v>0</v>
      </c>
      <c r="AH692" s="36">
        <f t="shared" si="682"/>
        <v>0</v>
      </c>
      <c r="AI692" s="35" t="s">
        <v>2894</v>
      </c>
      <c r="AJ692" s="20">
        <f t="shared" si="683"/>
        <v>0</v>
      </c>
      <c r="AK692" s="20">
        <f t="shared" si="684"/>
        <v>0</v>
      </c>
      <c r="AL692" s="20">
        <f t="shared" si="685"/>
        <v>0</v>
      </c>
      <c r="AN692" s="36">
        <v>21</v>
      </c>
      <c r="AO692" s="36">
        <f>I692*1</f>
        <v>0</v>
      </c>
      <c r="AP692" s="36">
        <f>I692*(1-1)</f>
        <v>0</v>
      </c>
      <c r="AQ692" s="37" t="s">
        <v>7</v>
      </c>
      <c r="AV692" s="36">
        <f t="shared" si="686"/>
        <v>0</v>
      </c>
      <c r="AW692" s="36">
        <f t="shared" si="687"/>
        <v>0</v>
      </c>
      <c r="AX692" s="36">
        <f t="shared" si="688"/>
        <v>0</v>
      </c>
      <c r="AY692" s="39" t="s">
        <v>2940</v>
      </c>
      <c r="AZ692" s="39" t="s">
        <v>2952</v>
      </c>
      <c r="BA692" s="35" t="s">
        <v>2967</v>
      </c>
      <c r="BC692" s="36">
        <f t="shared" si="689"/>
        <v>0</v>
      </c>
      <c r="BD692" s="36">
        <f t="shared" si="690"/>
        <v>0</v>
      </c>
      <c r="BE692" s="36">
        <v>0</v>
      </c>
      <c r="BF692" s="36">
        <f>692</f>
        <v>692</v>
      </c>
      <c r="BH692" s="20">
        <f t="shared" si="691"/>
        <v>0</v>
      </c>
      <c r="BI692" s="20">
        <f t="shared" si="692"/>
        <v>0</v>
      </c>
      <c r="BJ692" s="20">
        <f t="shared" si="693"/>
        <v>0</v>
      </c>
      <c r="BK692" s="20" t="s">
        <v>2978</v>
      </c>
      <c r="BL692" s="36" t="s">
        <v>1448</v>
      </c>
    </row>
    <row r="693" spans="1:64" x14ac:dyDescent="0.2">
      <c r="A693" s="86" t="s">
        <v>577</v>
      </c>
      <c r="B693" s="87" t="s">
        <v>1498</v>
      </c>
      <c r="C693" s="184" t="s">
        <v>2500</v>
      </c>
      <c r="D693" s="175"/>
      <c r="E693" s="175"/>
      <c r="F693" s="175"/>
      <c r="G693" s="87" t="s">
        <v>2855</v>
      </c>
      <c r="H693" s="88">
        <v>1930</v>
      </c>
      <c r="I693" s="111">
        <v>0</v>
      </c>
      <c r="J693" s="96">
        <f t="shared" si="672"/>
        <v>0</v>
      </c>
      <c r="K693" s="96">
        <f t="shared" si="673"/>
        <v>0</v>
      </c>
      <c r="L693" s="96">
        <f t="shared" si="674"/>
        <v>0</v>
      </c>
      <c r="M693" s="97" t="s">
        <v>2884</v>
      </c>
      <c r="N693" s="5"/>
      <c r="Z693" s="36">
        <f t="shared" si="675"/>
        <v>0</v>
      </c>
      <c r="AB693" s="36">
        <f t="shared" si="676"/>
        <v>0</v>
      </c>
      <c r="AC693" s="36">
        <f t="shared" si="677"/>
        <v>0</v>
      </c>
      <c r="AD693" s="36">
        <f t="shared" si="678"/>
        <v>0</v>
      </c>
      <c r="AE693" s="36">
        <f t="shared" si="679"/>
        <v>0</v>
      </c>
      <c r="AF693" s="36">
        <f t="shared" si="680"/>
        <v>0</v>
      </c>
      <c r="AG693" s="36">
        <f t="shared" si="681"/>
        <v>0</v>
      </c>
      <c r="AH693" s="36">
        <f t="shared" si="682"/>
        <v>0</v>
      </c>
      <c r="AI693" s="35" t="s">
        <v>2894</v>
      </c>
      <c r="AJ693" s="20">
        <f t="shared" si="683"/>
        <v>0</v>
      </c>
      <c r="AK693" s="20">
        <f t="shared" si="684"/>
        <v>0</v>
      </c>
      <c r="AL693" s="20">
        <f t="shared" si="685"/>
        <v>0</v>
      </c>
      <c r="AN693" s="36">
        <v>21</v>
      </c>
      <c r="AO693" s="36">
        <f>I693*1</f>
        <v>0</v>
      </c>
      <c r="AP693" s="36">
        <f>I693*(1-1)</f>
        <v>0</v>
      </c>
      <c r="AQ693" s="37" t="s">
        <v>7</v>
      </c>
      <c r="AV693" s="36">
        <f t="shared" si="686"/>
        <v>0</v>
      </c>
      <c r="AW693" s="36">
        <f t="shared" si="687"/>
        <v>0</v>
      </c>
      <c r="AX693" s="36">
        <f t="shared" si="688"/>
        <v>0</v>
      </c>
      <c r="AY693" s="39" t="s">
        <v>2940</v>
      </c>
      <c r="AZ693" s="39" t="s">
        <v>2952</v>
      </c>
      <c r="BA693" s="35" t="s">
        <v>2967</v>
      </c>
      <c r="BC693" s="36">
        <f t="shared" si="689"/>
        <v>0</v>
      </c>
      <c r="BD693" s="36">
        <f t="shared" si="690"/>
        <v>0</v>
      </c>
      <c r="BE693" s="36">
        <v>0</v>
      </c>
      <c r="BF693" s="36">
        <f>693</f>
        <v>693</v>
      </c>
      <c r="BH693" s="20">
        <f t="shared" si="691"/>
        <v>0</v>
      </c>
      <c r="BI693" s="20">
        <f t="shared" si="692"/>
        <v>0</v>
      </c>
      <c r="BJ693" s="20">
        <f t="shared" si="693"/>
        <v>0</v>
      </c>
      <c r="BK693" s="20" t="s">
        <v>2978</v>
      </c>
      <c r="BL693" s="36" t="s">
        <v>1448</v>
      </c>
    </row>
    <row r="694" spans="1:64" x14ac:dyDescent="0.2">
      <c r="A694" s="4" t="s">
        <v>578</v>
      </c>
      <c r="B694" s="13" t="s">
        <v>1499</v>
      </c>
      <c r="C694" s="174" t="s">
        <v>2501</v>
      </c>
      <c r="D694" s="175"/>
      <c r="E694" s="175"/>
      <c r="F694" s="175"/>
      <c r="G694" s="13" t="s">
        <v>2855</v>
      </c>
      <c r="H694" s="82">
        <v>200</v>
      </c>
      <c r="I694" s="109">
        <v>0</v>
      </c>
      <c r="J694" s="20">
        <f t="shared" si="672"/>
        <v>0</v>
      </c>
      <c r="K694" s="20">
        <f t="shared" si="673"/>
        <v>0</v>
      </c>
      <c r="L694" s="20">
        <f t="shared" si="674"/>
        <v>0</v>
      </c>
      <c r="M694" s="31" t="s">
        <v>2884</v>
      </c>
      <c r="N694" s="5"/>
      <c r="Z694" s="36">
        <f t="shared" si="675"/>
        <v>0</v>
      </c>
      <c r="AB694" s="36">
        <f t="shared" si="676"/>
        <v>0</v>
      </c>
      <c r="AC694" s="36">
        <f t="shared" si="677"/>
        <v>0</v>
      </c>
      <c r="AD694" s="36">
        <f t="shared" si="678"/>
        <v>0</v>
      </c>
      <c r="AE694" s="36">
        <f t="shared" si="679"/>
        <v>0</v>
      </c>
      <c r="AF694" s="36">
        <f t="shared" si="680"/>
        <v>0</v>
      </c>
      <c r="AG694" s="36">
        <f t="shared" si="681"/>
        <v>0</v>
      </c>
      <c r="AH694" s="36">
        <f t="shared" si="682"/>
        <v>0</v>
      </c>
      <c r="AI694" s="35" t="s">
        <v>2894</v>
      </c>
      <c r="AJ694" s="20">
        <f t="shared" si="683"/>
        <v>0</v>
      </c>
      <c r="AK694" s="20">
        <f t="shared" si="684"/>
        <v>0</v>
      </c>
      <c r="AL694" s="20">
        <f t="shared" si="685"/>
        <v>0</v>
      </c>
      <c r="AN694" s="36">
        <v>21</v>
      </c>
      <c r="AO694" s="36">
        <f>I694*0</f>
        <v>0</v>
      </c>
      <c r="AP694" s="36">
        <f>I694*(1-0)</f>
        <v>0</v>
      </c>
      <c r="AQ694" s="37" t="s">
        <v>7</v>
      </c>
      <c r="AV694" s="36">
        <f t="shared" si="686"/>
        <v>0</v>
      </c>
      <c r="AW694" s="36">
        <f t="shared" si="687"/>
        <v>0</v>
      </c>
      <c r="AX694" s="36">
        <f t="shared" si="688"/>
        <v>0</v>
      </c>
      <c r="AY694" s="39" t="s">
        <v>2940</v>
      </c>
      <c r="AZ694" s="39" t="s">
        <v>2952</v>
      </c>
      <c r="BA694" s="35" t="s">
        <v>2967</v>
      </c>
      <c r="BC694" s="36">
        <f t="shared" si="689"/>
        <v>0</v>
      </c>
      <c r="BD694" s="36">
        <f t="shared" si="690"/>
        <v>0</v>
      </c>
      <c r="BE694" s="36">
        <v>0</v>
      </c>
      <c r="BF694" s="36">
        <f>694</f>
        <v>694</v>
      </c>
      <c r="BH694" s="20">
        <f t="shared" si="691"/>
        <v>0</v>
      </c>
      <c r="BI694" s="20">
        <f t="shared" si="692"/>
        <v>0</v>
      </c>
      <c r="BJ694" s="20">
        <f t="shared" si="693"/>
        <v>0</v>
      </c>
      <c r="BK694" s="20" t="s">
        <v>2978</v>
      </c>
      <c r="BL694" s="36" t="s">
        <v>1448</v>
      </c>
    </row>
    <row r="695" spans="1:64" x14ac:dyDescent="0.2">
      <c r="A695" s="86" t="s">
        <v>579</v>
      </c>
      <c r="B695" s="87" t="s">
        <v>1500</v>
      </c>
      <c r="C695" s="184" t="s">
        <v>2502</v>
      </c>
      <c r="D695" s="175"/>
      <c r="E695" s="175"/>
      <c r="F695" s="175"/>
      <c r="G695" s="87" t="s">
        <v>2855</v>
      </c>
      <c r="H695" s="88">
        <v>60</v>
      </c>
      <c r="I695" s="111">
        <v>0</v>
      </c>
      <c r="J695" s="96">
        <f t="shared" si="672"/>
        <v>0</v>
      </c>
      <c r="K695" s="96">
        <f t="shared" si="673"/>
        <v>0</v>
      </c>
      <c r="L695" s="96">
        <f t="shared" si="674"/>
        <v>0</v>
      </c>
      <c r="M695" s="97" t="s">
        <v>2884</v>
      </c>
      <c r="N695" s="5"/>
      <c r="Z695" s="36">
        <f t="shared" si="675"/>
        <v>0</v>
      </c>
      <c r="AB695" s="36">
        <f t="shared" si="676"/>
        <v>0</v>
      </c>
      <c r="AC695" s="36">
        <f t="shared" si="677"/>
        <v>0</v>
      </c>
      <c r="AD695" s="36">
        <f t="shared" si="678"/>
        <v>0</v>
      </c>
      <c r="AE695" s="36">
        <f t="shared" si="679"/>
        <v>0</v>
      </c>
      <c r="AF695" s="36">
        <f t="shared" si="680"/>
        <v>0</v>
      </c>
      <c r="AG695" s="36">
        <f t="shared" si="681"/>
        <v>0</v>
      </c>
      <c r="AH695" s="36">
        <f t="shared" si="682"/>
        <v>0</v>
      </c>
      <c r="AI695" s="35" t="s">
        <v>2894</v>
      </c>
      <c r="AJ695" s="20">
        <f t="shared" si="683"/>
        <v>0</v>
      </c>
      <c r="AK695" s="20">
        <f t="shared" si="684"/>
        <v>0</v>
      </c>
      <c r="AL695" s="20">
        <f t="shared" si="685"/>
        <v>0</v>
      </c>
      <c r="AN695" s="36">
        <v>21</v>
      </c>
      <c r="AO695" s="36">
        <f>I695*1</f>
        <v>0</v>
      </c>
      <c r="AP695" s="36">
        <f>I695*(1-1)</f>
        <v>0</v>
      </c>
      <c r="AQ695" s="37" t="s">
        <v>7</v>
      </c>
      <c r="AV695" s="36">
        <f t="shared" si="686"/>
        <v>0</v>
      </c>
      <c r="AW695" s="36">
        <f t="shared" si="687"/>
        <v>0</v>
      </c>
      <c r="AX695" s="36">
        <f t="shared" si="688"/>
        <v>0</v>
      </c>
      <c r="AY695" s="39" t="s">
        <v>2940</v>
      </c>
      <c r="AZ695" s="39" t="s">
        <v>2952</v>
      </c>
      <c r="BA695" s="35" t="s">
        <v>2967</v>
      </c>
      <c r="BC695" s="36">
        <f t="shared" si="689"/>
        <v>0</v>
      </c>
      <c r="BD695" s="36">
        <f t="shared" si="690"/>
        <v>0</v>
      </c>
      <c r="BE695" s="36">
        <v>0</v>
      </c>
      <c r="BF695" s="36">
        <f>695</f>
        <v>695</v>
      </c>
      <c r="BH695" s="20">
        <f t="shared" si="691"/>
        <v>0</v>
      </c>
      <c r="BI695" s="20">
        <f t="shared" si="692"/>
        <v>0</v>
      </c>
      <c r="BJ695" s="20">
        <f t="shared" si="693"/>
        <v>0</v>
      </c>
      <c r="BK695" s="20" t="s">
        <v>2978</v>
      </c>
      <c r="BL695" s="36" t="s">
        <v>1448</v>
      </c>
    </row>
    <row r="696" spans="1:64" x14ac:dyDescent="0.2">
      <c r="A696" s="86" t="s">
        <v>580</v>
      </c>
      <c r="B696" s="87" t="s">
        <v>1501</v>
      </c>
      <c r="C696" s="184" t="s">
        <v>2503</v>
      </c>
      <c r="D696" s="175"/>
      <c r="E696" s="175"/>
      <c r="F696" s="175"/>
      <c r="G696" s="87" t="s">
        <v>2855</v>
      </c>
      <c r="H696" s="88">
        <v>60</v>
      </c>
      <c r="I696" s="111">
        <v>0</v>
      </c>
      <c r="J696" s="96">
        <f t="shared" si="672"/>
        <v>0</v>
      </c>
      <c r="K696" s="96">
        <f t="shared" si="673"/>
        <v>0</v>
      </c>
      <c r="L696" s="96">
        <f t="shared" si="674"/>
        <v>0</v>
      </c>
      <c r="M696" s="97" t="s">
        <v>2884</v>
      </c>
      <c r="N696" s="5"/>
      <c r="Z696" s="36">
        <f t="shared" si="675"/>
        <v>0</v>
      </c>
      <c r="AB696" s="36">
        <f t="shared" si="676"/>
        <v>0</v>
      </c>
      <c r="AC696" s="36">
        <f t="shared" si="677"/>
        <v>0</v>
      </c>
      <c r="AD696" s="36">
        <f t="shared" si="678"/>
        <v>0</v>
      </c>
      <c r="AE696" s="36">
        <f t="shared" si="679"/>
        <v>0</v>
      </c>
      <c r="AF696" s="36">
        <f t="shared" si="680"/>
        <v>0</v>
      </c>
      <c r="AG696" s="36">
        <f t="shared" si="681"/>
        <v>0</v>
      </c>
      <c r="AH696" s="36">
        <f t="shared" si="682"/>
        <v>0</v>
      </c>
      <c r="AI696" s="35" t="s">
        <v>2894</v>
      </c>
      <c r="AJ696" s="20">
        <f t="shared" si="683"/>
        <v>0</v>
      </c>
      <c r="AK696" s="20">
        <f t="shared" si="684"/>
        <v>0</v>
      </c>
      <c r="AL696" s="20">
        <f t="shared" si="685"/>
        <v>0</v>
      </c>
      <c r="AN696" s="36">
        <v>21</v>
      </c>
      <c r="AO696" s="36">
        <f>I696*1</f>
        <v>0</v>
      </c>
      <c r="AP696" s="36">
        <f>I696*(1-1)</f>
        <v>0</v>
      </c>
      <c r="AQ696" s="37" t="s">
        <v>7</v>
      </c>
      <c r="AV696" s="36">
        <f t="shared" si="686"/>
        <v>0</v>
      </c>
      <c r="AW696" s="36">
        <f t="shared" si="687"/>
        <v>0</v>
      </c>
      <c r="AX696" s="36">
        <f t="shared" si="688"/>
        <v>0</v>
      </c>
      <c r="AY696" s="39" t="s">
        <v>2940</v>
      </c>
      <c r="AZ696" s="39" t="s">
        <v>2952</v>
      </c>
      <c r="BA696" s="35" t="s">
        <v>2967</v>
      </c>
      <c r="BC696" s="36">
        <f t="shared" si="689"/>
        <v>0</v>
      </c>
      <c r="BD696" s="36">
        <f t="shared" si="690"/>
        <v>0</v>
      </c>
      <c r="BE696" s="36">
        <v>0</v>
      </c>
      <c r="BF696" s="36">
        <f>696</f>
        <v>696</v>
      </c>
      <c r="BH696" s="20">
        <f t="shared" si="691"/>
        <v>0</v>
      </c>
      <c r="BI696" s="20">
        <f t="shared" si="692"/>
        <v>0</v>
      </c>
      <c r="BJ696" s="20">
        <f t="shared" si="693"/>
        <v>0</v>
      </c>
      <c r="BK696" s="20" t="s">
        <v>2978</v>
      </c>
      <c r="BL696" s="36" t="s">
        <v>1448</v>
      </c>
    </row>
    <row r="697" spans="1:64" x14ac:dyDescent="0.2">
      <c r="A697" s="86" t="s">
        <v>581</v>
      </c>
      <c r="B697" s="87" t="s">
        <v>1502</v>
      </c>
      <c r="C697" s="184" t="s">
        <v>2504</v>
      </c>
      <c r="D697" s="175"/>
      <c r="E697" s="175"/>
      <c r="F697" s="175"/>
      <c r="G697" s="87" t="s">
        <v>2855</v>
      </c>
      <c r="H697" s="88">
        <v>80</v>
      </c>
      <c r="I697" s="111">
        <v>0</v>
      </c>
      <c r="J697" s="96">
        <f t="shared" si="672"/>
        <v>0</v>
      </c>
      <c r="K697" s="96">
        <f t="shared" si="673"/>
        <v>0</v>
      </c>
      <c r="L697" s="96">
        <f t="shared" si="674"/>
        <v>0</v>
      </c>
      <c r="M697" s="97" t="s">
        <v>2884</v>
      </c>
      <c r="N697" s="5"/>
      <c r="Z697" s="36">
        <f t="shared" si="675"/>
        <v>0</v>
      </c>
      <c r="AB697" s="36">
        <f t="shared" si="676"/>
        <v>0</v>
      </c>
      <c r="AC697" s="36">
        <f t="shared" si="677"/>
        <v>0</v>
      </c>
      <c r="AD697" s="36">
        <f t="shared" si="678"/>
        <v>0</v>
      </c>
      <c r="AE697" s="36">
        <f t="shared" si="679"/>
        <v>0</v>
      </c>
      <c r="AF697" s="36">
        <f t="shared" si="680"/>
        <v>0</v>
      </c>
      <c r="AG697" s="36">
        <f t="shared" si="681"/>
        <v>0</v>
      </c>
      <c r="AH697" s="36">
        <f t="shared" si="682"/>
        <v>0</v>
      </c>
      <c r="AI697" s="35" t="s">
        <v>2894</v>
      </c>
      <c r="AJ697" s="20">
        <f t="shared" si="683"/>
        <v>0</v>
      </c>
      <c r="AK697" s="20">
        <f t="shared" si="684"/>
        <v>0</v>
      </c>
      <c r="AL697" s="20">
        <f t="shared" si="685"/>
        <v>0</v>
      </c>
      <c r="AN697" s="36">
        <v>21</v>
      </c>
      <c r="AO697" s="36">
        <f>I697*1</f>
        <v>0</v>
      </c>
      <c r="AP697" s="36">
        <f>I697*(1-1)</f>
        <v>0</v>
      </c>
      <c r="AQ697" s="37" t="s">
        <v>7</v>
      </c>
      <c r="AV697" s="36">
        <f t="shared" si="686"/>
        <v>0</v>
      </c>
      <c r="AW697" s="36">
        <f t="shared" si="687"/>
        <v>0</v>
      </c>
      <c r="AX697" s="36">
        <f t="shared" si="688"/>
        <v>0</v>
      </c>
      <c r="AY697" s="39" t="s">
        <v>2940</v>
      </c>
      <c r="AZ697" s="39" t="s">
        <v>2952</v>
      </c>
      <c r="BA697" s="35" t="s">
        <v>2967</v>
      </c>
      <c r="BC697" s="36">
        <f t="shared" si="689"/>
        <v>0</v>
      </c>
      <c r="BD697" s="36">
        <f t="shared" si="690"/>
        <v>0</v>
      </c>
      <c r="BE697" s="36">
        <v>0</v>
      </c>
      <c r="BF697" s="36">
        <f>697</f>
        <v>697</v>
      </c>
      <c r="BH697" s="20">
        <f t="shared" si="691"/>
        <v>0</v>
      </c>
      <c r="BI697" s="20">
        <f t="shared" si="692"/>
        <v>0</v>
      </c>
      <c r="BJ697" s="20">
        <f t="shared" si="693"/>
        <v>0</v>
      </c>
      <c r="BK697" s="20" t="s">
        <v>2978</v>
      </c>
      <c r="BL697" s="36" t="s">
        <v>1448</v>
      </c>
    </row>
    <row r="698" spans="1:64" x14ac:dyDescent="0.2">
      <c r="A698" s="4" t="s">
        <v>582</v>
      </c>
      <c r="B698" s="13" t="s">
        <v>1503</v>
      </c>
      <c r="C698" s="174" t="s">
        <v>2505</v>
      </c>
      <c r="D698" s="175"/>
      <c r="E698" s="175"/>
      <c r="F698" s="175"/>
      <c r="G698" s="13" t="s">
        <v>2852</v>
      </c>
      <c r="H698" s="82">
        <v>298</v>
      </c>
      <c r="I698" s="109">
        <v>0</v>
      </c>
      <c r="J698" s="20">
        <f t="shared" si="672"/>
        <v>0</v>
      </c>
      <c r="K698" s="20">
        <f t="shared" si="673"/>
        <v>0</v>
      </c>
      <c r="L698" s="20">
        <f t="shared" si="674"/>
        <v>0</v>
      </c>
      <c r="M698" s="31" t="s">
        <v>2884</v>
      </c>
      <c r="N698" s="5"/>
      <c r="Z698" s="36">
        <f t="shared" si="675"/>
        <v>0</v>
      </c>
      <c r="AB698" s="36">
        <f t="shared" si="676"/>
        <v>0</v>
      </c>
      <c r="AC698" s="36">
        <f t="shared" si="677"/>
        <v>0</v>
      </c>
      <c r="AD698" s="36">
        <f t="shared" si="678"/>
        <v>0</v>
      </c>
      <c r="AE698" s="36">
        <f t="shared" si="679"/>
        <v>0</v>
      </c>
      <c r="AF698" s="36">
        <f t="shared" si="680"/>
        <v>0</v>
      </c>
      <c r="AG698" s="36">
        <f t="shared" si="681"/>
        <v>0</v>
      </c>
      <c r="AH698" s="36">
        <f t="shared" si="682"/>
        <v>0</v>
      </c>
      <c r="AI698" s="35" t="s">
        <v>2894</v>
      </c>
      <c r="AJ698" s="20">
        <f t="shared" si="683"/>
        <v>0</v>
      </c>
      <c r="AK698" s="20">
        <f t="shared" si="684"/>
        <v>0</v>
      </c>
      <c r="AL698" s="20">
        <f t="shared" si="685"/>
        <v>0</v>
      </c>
      <c r="AN698" s="36">
        <v>21</v>
      </c>
      <c r="AO698" s="36">
        <f>I698*0</f>
        <v>0</v>
      </c>
      <c r="AP698" s="36">
        <f>I698*(1-0)</f>
        <v>0</v>
      </c>
      <c r="AQ698" s="37" t="s">
        <v>7</v>
      </c>
      <c r="AV698" s="36">
        <f t="shared" si="686"/>
        <v>0</v>
      </c>
      <c r="AW698" s="36">
        <f t="shared" si="687"/>
        <v>0</v>
      </c>
      <c r="AX698" s="36">
        <f t="shared" si="688"/>
        <v>0</v>
      </c>
      <c r="AY698" s="39" t="s">
        <v>2940</v>
      </c>
      <c r="AZ698" s="39" t="s">
        <v>2952</v>
      </c>
      <c r="BA698" s="35" t="s">
        <v>2967</v>
      </c>
      <c r="BC698" s="36">
        <f t="shared" si="689"/>
        <v>0</v>
      </c>
      <c r="BD698" s="36">
        <f t="shared" si="690"/>
        <v>0</v>
      </c>
      <c r="BE698" s="36">
        <v>0</v>
      </c>
      <c r="BF698" s="36">
        <f>698</f>
        <v>698</v>
      </c>
      <c r="BH698" s="20">
        <f t="shared" si="691"/>
        <v>0</v>
      </c>
      <c r="BI698" s="20">
        <f t="shared" si="692"/>
        <v>0</v>
      </c>
      <c r="BJ698" s="20">
        <f t="shared" si="693"/>
        <v>0</v>
      </c>
      <c r="BK698" s="20" t="s">
        <v>2978</v>
      </c>
      <c r="BL698" s="36" t="s">
        <v>1448</v>
      </c>
    </row>
    <row r="699" spans="1:64" x14ac:dyDescent="0.2">
      <c r="A699" s="86" t="s">
        <v>583</v>
      </c>
      <c r="B699" s="87" t="s">
        <v>1504</v>
      </c>
      <c r="C699" s="184" t="s">
        <v>2506</v>
      </c>
      <c r="D699" s="175"/>
      <c r="E699" s="175"/>
      <c r="F699" s="175"/>
      <c r="G699" s="87" t="s">
        <v>2860</v>
      </c>
      <c r="H699" s="88">
        <v>65</v>
      </c>
      <c r="I699" s="111">
        <v>0</v>
      </c>
      <c r="J699" s="96">
        <f t="shared" si="672"/>
        <v>0</v>
      </c>
      <c r="K699" s="96">
        <f t="shared" si="673"/>
        <v>0</v>
      </c>
      <c r="L699" s="96">
        <f t="shared" si="674"/>
        <v>0</v>
      </c>
      <c r="M699" s="97" t="s">
        <v>2884</v>
      </c>
      <c r="N699" s="5"/>
      <c r="Z699" s="36">
        <f t="shared" si="675"/>
        <v>0</v>
      </c>
      <c r="AB699" s="36">
        <f t="shared" si="676"/>
        <v>0</v>
      </c>
      <c r="AC699" s="36">
        <f t="shared" si="677"/>
        <v>0</v>
      </c>
      <c r="AD699" s="36">
        <f t="shared" si="678"/>
        <v>0</v>
      </c>
      <c r="AE699" s="36">
        <f t="shared" si="679"/>
        <v>0</v>
      </c>
      <c r="AF699" s="36">
        <f t="shared" si="680"/>
        <v>0</v>
      </c>
      <c r="AG699" s="36">
        <f t="shared" si="681"/>
        <v>0</v>
      </c>
      <c r="AH699" s="36">
        <f t="shared" si="682"/>
        <v>0</v>
      </c>
      <c r="AI699" s="35" t="s">
        <v>2894</v>
      </c>
      <c r="AJ699" s="20">
        <f t="shared" si="683"/>
        <v>0</v>
      </c>
      <c r="AK699" s="20">
        <f t="shared" si="684"/>
        <v>0</v>
      </c>
      <c r="AL699" s="20">
        <f t="shared" si="685"/>
        <v>0</v>
      </c>
      <c r="AN699" s="36">
        <v>21</v>
      </c>
      <c r="AO699" s="36">
        <f>I699*1</f>
        <v>0</v>
      </c>
      <c r="AP699" s="36">
        <f>I699*(1-1)</f>
        <v>0</v>
      </c>
      <c r="AQ699" s="37" t="s">
        <v>7</v>
      </c>
      <c r="AV699" s="36">
        <f t="shared" si="686"/>
        <v>0</v>
      </c>
      <c r="AW699" s="36">
        <f t="shared" si="687"/>
        <v>0</v>
      </c>
      <c r="AX699" s="36">
        <f t="shared" si="688"/>
        <v>0</v>
      </c>
      <c r="AY699" s="39" t="s">
        <v>2940</v>
      </c>
      <c r="AZ699" s="39" t="s">
        <v>2952</v>
      </c>
      <c r="BA699" s="35" t="s">
        <v>2967</v>
      </c>
      <c r="BC699" s="36">
        <f t="shared" si="689"/>
        <v>0</v>
      </c>
      <c r="BD699" s="36">
        <f t="shared" si="690"/>
        <v>0</v>
      </c>
      <c r="BE699" s="36">
        <v>0</v>
      </c>
      <c r="BF699" s="36">
        <f>699</f>
        <v>699</v>
      </c>
      <c r="BH699" s="20">
        <f t="shared" si="691"/>
        <v>0</v>
      </c>
      <c r="BI699" s="20">
        <f t="shared" si="692"/>
        <v>0</v>
      </c>
      <c r="BJ699" s="20">
        <f t="shared" si="693"/>
        <v>0</v>
      </c>
      <c r="BK699" s="20" t="s">
        <v>2978</v>
      </c>
      <c r="BL699" s="36" t="s">
        <v>1448</v>
      </c>
    </row>
    <row r="700" spans="1:64" x14ac:dyDescent="0.2">
      <c r="A700" s="86" t="s">
        <v>584</v>
      </c>
      <c r="B700" s="87" t="s">
        <v>1505</v>
      </c>
      <c r="C700" s="184" t="s">
        <v>2507</v>
      </c>
      <c r="D700" s="175"/>
      <c r="E700" s="175"/>
      <c r="F700" s="175"/>
      <c r="G700" s="87" t="s">
        <v>2860</v>
      </c>
      <c r="H700" s="88">
        <v>3</v>
      </c>
      <c r="I700" s="111">
        <v>0</v>
      </c>
      <c r="J700" s="96">
        <f t="shared" si="672"/>
        <v>0</v>
      </c>
      <c r="K700" s="96">
        <f t="shared" si="673"/>
        <v>0</v>
      </c>
      <c r="L700" s="96">
        <f t="shared" si="674"/>
        <v>0</v>
      </c>
      <c r="M700" s="97" t="s">
        <v>2884</v>
      </c>
      <c r="N700" s="5"/>
      <c r="Z700" s="36">
        <f t="shared" si="675"/>
        <v>0</v>
      </c>
      <c r="AB700" s="36">
        <f t="shared" si="676"/>
        <v>0</v>
      </c>
      <c r="AC700" s="36">
        <f t="shared" si="677"/>
        <v>0</v>
      </c>
      <c r="AD700" s="36">
        <f t="shared" si="678"/>
        <v>0</v>
      </c>
      <c r="AE700" s="36">
        <f t="shared" si="679"/>
        <v>0</v>
      </c>
      <c r="AF700" s="36">
        <f t="shared" si="680"/>
        <v>0</v>
      </c>
      <c r="AG700" s="36">
        <f t="shared" si="681"/>
        <v>0</v>
      </c>
      <c r="AH700" s="36">
        <f t="shared" si="682"/>
        <v>0</v>
      </c>
      <c r="AI700" s="35" t="s">
        <v>2894</v>
      </c>
      <c r="AJ700" s="20">
        <f t="shared" si="683"/>
        <v>0</v>
      </c>
      <c r="AK700" s="20">
        <f t="shared" si="684"/>
        <v>0</v>
      </c>
      <c r="AL700" s="20">
        <f t="shared" si="685"/>
        <v>0</v>
      </c>
      <c r="AN700" s="36">
        <v>21</v>
      </c>
      <c r="AO700" s="36">
        <f>I700*1.00002185553491</f>
        <v>0</v>
      </c>
      <c r="AP700" s="36">
        <f>I700*(1-1.00002185553491)</f>
        <v>0</v>
      </c>
      <c r="AQ700" s="37" t="s">
        <v>7</v>
      </c>
      <c r="AV700" s="36">
        <f t="shared" si="686"/>
        <v>0</v>
      </c>
      <c r="AW700" s="36">
        <f t="shared" si="687"/>
        <v>0</v>
      </c>
      <c r="AX700" s="36">
        <f t="shared" si="688"/>
        <v>0</v>
      </c>
      <c r="AY700" s="39" t="s">
        <v>2940</v>
      </c>
      <c r="AZ700" s="39" t="s">
        <v>2952</v>
      </c>
      <c r="BA700" s="35" t="s">
        <v>2967</v>
      </c>
      <c r="BC700" s="36">
        <f t="shared" si="689"/>
        <v>0</v>
      </c>
      <c r="BD700" s="36">
        <f t="shared" si="690"/>
        <v>0</v>
      </c>
      <c r="BE700" s="36">
        <v>0</v>
      </c>
      <c r="BF700" s="36">
        <f>700</f>
        <v>700</v>
      </c>
      <c r="BH700" s="20">
        <f t="shared" si="691"/>
        <v>0</v>
      </c>
      <c r="BI700" s="20">
        <f t="shared" si="692"/>
        <v>0</v>
      </c>
      <c r="BJ700" s="20">
        <f t="shared" si="693"/>
        <v>0</v>
      </c>
      <c r="BK700" s="20" t="s">
        <v>2978</v>
      </c>
      <c r="BL700" s="36" t="s">
        <v>1448</v>
      </c>
    </row>
    <row r="701" spans="1:64" x14ac:dyDescent="0.2">
      <c r="A701" s="86" t="s">
        <v>585</v>
      </c>
      <c r="B701" s="87" t="s">
        <v>1506</v>
      </c>
      <c r="C701" s="184" t="s">
        <v>2508</v>
      </c>
      <c r="D701" s="175"/>
      <c r="E701" s="175"/>
      <c r="F701" s="175"/>
      <c r="G701" s="87" t="s">
        <v>2860</v>
      </c>
      <c r="H701" s="88">
        <v>72</v>
      </c>
      <c r="I701" s="111">
        <v>0</v>
      </c>
      <c r="J701" s="96">
        <f t="shared" si="672"/>
        <v>0</v>
      </c>
      <c r="K701" s="96">
        <f t="shared" si="673"/>
        <v>0</v>
      </c>
      <c r="L701" s="96">
        <f t="shared" si="674"/>
        <v>0</v>
      </c>
      <c r="M701" s="97" t="s">
        <v>2884</v>
      </c>
      <c r="N701" s="5"/>
      <c r="Z701" s="36">
        <f t="shared" si="675"/>
        <v>0</v>
      </c>
      <c r="AB701" s="36">
        <f t="shared" si="676"/>
        <v>0</v>
      </c>
      <c r="AC701" s="36">
        <f t="shared" si="677"/>
        <v>0</v>
      </c>
      <c r="AD701" s="36">
        <f t="shared" si="678"/>
        <v>0</v>
      </c>
      <c r="AE701" s="36">
        <f t="shared" si="679"/>
        <v>0</v>
      </c>
      <c r="AF701" s="36">
        <f t="shared" si="680"/>
        <v>0</v>
      </c>
      <c r="AG701" s="36">
        <f t="shared" si="681"/>
        <v>0</v>
      </c>
      <c r="AH701" s="36">
        <f t="shared" si="682"/>
        <v>0</v>
      </c>
      <c r="AI701" s="35" t="s">
        <v>2894</v>
      </c>
      <c r="AJ701" s="20">
        <f t="shared" si="683"/>
        <v>0</v>
      </c>
      <c r="AK701" s="20">
        <f t="shared" si="684"/>
        <v>0</v>
      </c>
      <c r="AL701" s="20">
        <f t="shared" si="685"/>
        <v>0</v>
      </c>
      <c r="AN701" s="36">
        <v>21</v>
      </c>
      <c r="AO701" s="36">
        <f>I701*1</f>
        <v>0</v>
      </c>
      <c r="AP701" s="36">
        <f>I701*(1-1)</f>
        <v>0</v>
      </c>
      <c r="AQ701" s="37" t="s">
        <v>7</v>
      </c>
      <c r="AV701" s="36">
        <f t="shared" si="686"/>
        <v>0</v>
      </c>
      <c r="AW701" s="36">
        <f t="shared" si="687"/>
        <v>0</v>
      </c>
      <c r="AX701" s="36">
        <f t="shared" si="688"/>
        <v>0</v>
      </c>
      <c r="AY701" s="39" t="s">
        <v>2940</v>
      </c>
      <c r="AZ701" s="39" t="s">
        <v>2952</v>
      </c>
      <c r="BA701" s="35" t="s">
        <v>2967</v>
      </c>
      <c r="BC701" s="36">
        <f t="shared" si="689"/>
        <v>0</v>
      </c>
      <c r="BD701" s="36">
        <f t="shared" si="690"/>
        <v>0</v>
      </c>
      <c r="BE701" s="36">
        <v>0</v>
      </c>
      <c r="BF701" s="36">
        <f>701</f>
        <v>701</v>
      </c>
      <c r="BH701" s="20">
        <f t="shared" si="691"/>
        <v>0</v>
      </c>
      <c r="BI701" s="20">
        <f t="shared" si="692"/>
        <v>0</v>
      </c>
      <c r="BJ701" s="20">
        <f t="shared" si="693"/>
        <v>0</v>
      </c>
      <c r="BK701" s="20" t="s">
        <v>2978</v>
      </c>
      <c r="BL701" s="36" t="s">
        <v>1448</v>
      </c>
    </row>
    <row r="702" spans="1:64" x14ac:dyDescent="0.2">
      <c r="A702" s="86" t="s">
        <v>586</v>
      </c>
      <c r="B702" s="87" t="s">
        <v>1507</v>
      </c>
      <c r="C702" s="184" t="s">
        <v>2509</v>
      </c>
      <c r="D702" s="175"/>
      <c r="E702" s="175"/>
      <c r="F702" s="175"/>
      <c r="G702" s="87" t="s">
        <v>2864</v>
      </c>
      <c r="H702" s="88">
        <v>50</v>
      </c>
      <c r="I702" s="111">
        <v>0</v>
      </c>
      <c r="J702" s="96">
        <f t="shared" si="672"/>
        <v>0</v>
      </c>
      <c r="K702" s="96">
        <f t="shared" si="673"/>
        <v>0</v>
      </c>
      <c r="L702" s="96">
        <f t="shared" si="674"/>
        <v>0</v>
      </c>
      <c r="M702" s="97" t="s">
        <v>2884</v>
      </c>
      <c r="N702" s="5"/>
      <c r="Z702" s="36">
        <f t="shared" si="675"/>
        <v>0</v>
      </c>
      <c r="AB702" s="36">
        <f t="shared" si="676"/>
        <v>0</v>
      </c>
      <c r="AC702" s="36">
        <f t="shared" si="677"/>
        <v>0</v>
      </c>
      <c r="AD702" s="36">
        <f t="shared" si="678"/>
        <v>0</v>
      </c>
      <c r="AE702" s="36">
        <f t="shared" si="679"/>
        <v>0</v>
      </c>
      <c r="AF702" s="36">
        <f t="shared" si="680"/>
        <v>0</v>
      </c>
      <c r="AG702" s="36">
        <f t="shared" si="681"/>
        <v>0</v>
      </c>
      <c r="AH702" s="36">
        <f t="shared" si="682"/>
        <v>0</v>
      </c>
      <c r="AI702" s="35" t="s">
        <v>2894</v>
      </c>
      <c r="AJ702" s="20">
        <f t="shared" si="683"/>
        <v>0</v>
      </c>
      <c r="AK702" s="20">
        <f t="shared" si="684"/>
        <v>0</v>
      </c>
      <c r="AL702" s="20">
        <f t="shared" si="685"/>
        <v>0</v>
      </c>
      <c r="AN702" s="36">
        <v>21</v>
      </c>
      <c r="AO702" s="36">
        <f>I702*1</f>
        <v>0</v>
      </c>
      <c r="AP702" s="36">
        <f>I702*(1-1)</f>
        <v>0</v>
      </c>
      <c r="AQ702" s="37" t="s">
        <v>7</v>
      </c>
      <c r="AV702" s="36">
        <f t="shared" si="686"/>
        <v>0</v>
      </c>
      <c r="AW702" s="36">
        <f t="shared" si="687"/>
        <v>0</v>
      </c>
      <c r="AX702" s="36">
        <f t="shared" si="688"/>
        <v>0</v>
      </c>
      <c r="AY702" s="39" t="s">
        <v>2940</v>
      </c>
      <c r="AZ702" s="39" t="s">
        <v>2952</v>
      </c>
      <c r="BA702" s="35" t="s">
        <v>2967</v>
      </c>
      <c r="BC702" s="36">
        <f t="shared" si="689"/>
        <v>0</v>
      </c>
      <c r="BD702" s="36">
        <f t="shared" si="690"/>
        <v>0</v>
      </c>
      <c r="BE702" s="36">
        <v>0</v>
      </c>
      <c r="BF702" s="36">
        <f>702</f>
        <v>702</v>
      </c>
      <c r="BH702" s="20">
        <f t="shared" si="691"/>
        <v>0</v>
      </c>
      <c r="BI702" s="20">
        <f t="shared" si="692"/>
        <v>0</v>
      </c>
      <c r="BJ702" s="20">
        <f t="shared" si="693"/>
        <v>0</v>
      </c>
      <c r="BK702" s="20" t="s">
        <v>2978</v>
      </c>
      <c r="BL702" s="36" t="s">
        <v>1448</v>
      </c>
    </row>
    <row r="703" spans="1:64" x14ac:dyDescent="0.2">
      <c r="A703" s="4" t="s">
        <v>587</v>
      </c>
      <c r="B703" s="13" t="s">
        <v>1508</v>
      </c>
      <c r="C703" s="174" t="s">
        <v>2510</v>
      </c>
      <c r="D703" s="175"/>
      <c r="E703" s="175"/>
      <c r="F703" s="175"/>
      <c r="G703" s="13" t="s">
        <v>2852</v>
      </c>
      <c r="H703" s="82">
        <v>10</v>
      </c>
      <c r="I703" s="109">
        <v>0</v>
      </c>
      <c r="J703" s="20">
        <f t="shared" si="672"/>
        <v>0</v>
      </c>
      <c r="K703" s="20">
        <f t="shared" si="673"/>
        <v>0</v>
      </c>
      <c r="L703" s="20">
        <f t="shared" si="674"/>
        <v>0</v>
      </c>
      <c r="M703" s="31" t="s">
        <v>2884</v>
      </c>
      <c r="N703" s="5"/>
      <c r="Z703" s="36">
        <f t="shared" si="675"/>
        <v>0</v>
      </c>
      <c r="AB703" s="36">
        <f t="shared" si="676"/>
        <v>0</v>
      </c>
      <c r="AC703" s="36">
        <f t="shared" si="677"/>
        <v>0</v>
      </c>
      <c r="AD703" s="36">
        <f t="shared" si="678"/>
        <v>0</v>
      </c>
      <c r="AE703" s="36">
        <f t="shared" si="679"/>
        <v>0</v>
      </c>
      <c r="AF703" s="36">
        <f t="shared" si="680"/>
        <v>0</v>
      </c>
      <c r="AG703" s="36">
        <f t="shared" si="681"/>
        <v>0</v>
      </c>
      <c r="AH703" s="36">
        <f t="shared" si="682"/>
        <v>0</v>
      </c>
      <c r="AI703" s="35" t="s">
        <v>2894</v>
      </c>
      <c r="AJ703" s="20">
        <f t="shared" si="683"/>
        <v>0</v>
      </c>
      <c r="AK703" s="20">
        <f t="shared" si="684"/>
        <v>0</v>
      </c>
      <c r="AL703" s="20">
        <f t="shared" si="685"/>
        <v>0</v>
      </c>
      <c r="AN703" s="36">
        <v>21</v>
      </c>
      <c r="AO703" s="36">
        <f>I703*0</f>
        <v>0</v>
      </c>
      <c r="AP703" s="36">
        <f>I703*(1-0)</f>
        <v>0</v>
      </c>
      <c r="AQ703" s="37" t="s">
        <v>7</v>
      </c>
      <c r="AV703" s="36">
        <f t="shared" si="686"/>
        <v>0</v>
      </c>
      <c r="AW703" s="36">
        <f t="shared" si="687"/>
        <v>0</v>
      </c>
      <c r="AX703" s="36">
        <f t="shared" si="688"/>
        <v>0</v>
      </c>
      <c r="AY703" s="39" t="s">
        <v>2940</v>
      </c>
      <c r="AZ703" s="39" t="s">
        <v>2952</v>
      </c>
      <c r="BA703" s="35" t="s">
        <v>2967</v>
      </c>
      <c r="BC703" s="36">
        <f t="shared" si="689"/>
        <v>0</v>
      </c>
      <c r="BD703" s="36">
        <f t="shared" si="690"/>
        <v>0</v>
      </c>
      <c r="BE703" s="36">
        <v>0</v>
      </c>
      <c r="BF703" s="36">
        <f>703</f>
        <v>703</v>
      </c>
      <c r="BH703" s="20">
        <f t="shared" si="691"/>
        <v>0</v>
      </c>
      <c r="BI703" s="20">
        <f t="shared" si="692"/>
        <v>0</v>
      </c>
      <c r="BJ703" s="20">
        <f t="shared" si="693"/>
        <v>0</v>
      </c>
      <c r="BK703" s="20" t="s">
        <v>2978</v>
      </c>
      <c r="BL703" s="36" t="s">
        <v>1448</v>
      </c>
    </row>
    <row r="704" spans="1:64" x14ac:dyDescent="0.2">
      <c r="A704" s="4" t="s">
        <v>588</v>
      </c>
      <c r="B704" s="13" t="s">
        <v>1509</v>
      </c>
      <c r="C704" s="174" t="s">
        <v>2511</v>
      </c>
      <c r="D704" s="175"/>
      <c r="E704" s="175"/>
      <c r="F704" s="175"/>
      <c r="G704" s="13" t="s">
        <v>2852</v>
      </c>
      <c r="H704" s="82">
        <v>1</v>
      </c>
      <c r="I704" s="109">
        <v>0</v>
      </c>
      <c r="J704" s="20">
        <f t="shared" si="672"/>
        <v>0</v>
      </c>
      <c r="K704" s="20">
        <f t="shared" si="673"/>
        <v>0</v>
      </c>
      <c r="L704" s="20">
        <f t="shared" si="674"/>
        <v>0</v>
      </c>
      <c r="M704" s="31" t="s">
        <v>2884</v>
      </c>
      <c r="N704" s="5"/>
      <c r="Z704" s="36">
        <f t="shared" si="675"/>
        <v>0</v>
      </c>
      <c r="AB704" s="36">
        <f t="shared" si="676"/>
        <v>0</v>
      </c>
      <c r="AC704" s="36">
        <f t="shared" si="677"/>
        <v>0</v>
      </c>
      <c r="AD704" s="36">
        <f t="shared" si="678"/>
        <v>0</v>
      </c>
      <c r="AE704" s="36">
        <f t="shared" si="679"/>
        <v>0</v>
      </c>
      <c r="AF704" s="36">
        <f t="shared" si="680"/>
        <v>0</v>
      </c>
      <c r="AG704" s="36">
        <f t="shared" si="681"/>
        <v>0</v>
      </c>
      <c r="AH704" s="36">
        <f t="shared" si="682"/>
        <v>0</v>
      </c>
      <c r="AI704" s="35" t="s">
        <v>2894</v>
      </c>
      <c r="AJ704" s="20">
        <f t="shared" si="683"/>
        <v>0</v>
      </c>
      <c r="AK704" s="20">
        <f t="shared" si="684"/>
        <v>0</v>
      </c>
      <c r="AL704" s="20">
        <f t="shared" si="685"/>
        <v>0</v>
      </c>
      <c r="AN704" s="36">
        <v>21</v>
      </c>
      <c r="AO704" s="36">
        <f>I704*0</f>
        <v>0</v>
      </c>
      <c r="AP704" s="36">
        <f>I704*(1-0)</f>
        <v>0</v>
      </c>
      <c r="AQ704" s="37" t="s">
        <v>7</v>
      </c>
      <c r="AV704" s="36">
        <f t="shared" si="686"/>
        <v>0</v>
      </c>
      <c r="AW704" s="36">
        <f t="shared" si="687"/>
        <v>0</v>
      </c>
      <c r="AX704" s="36">
        <f t="shared" si="688"/>
        <v>0</v>
      </c>
      <c r="AY704" s="39" t="s">
        <v>2940</v>
      </c>
      <c r="AZ704" s="39" t="s">
        <v>2952</v>
      </c>
      <c r="BA704" s="35" t="s">
        <v>2967</v>
      </c>
      <c r="BC704" s="36">
        <f t="shared" si="689"/>
        <v>0</v>
      </c>
      <c r="BD704" s="36">
        <f t="shared" si="690"/>
        <v>0</v>
      </c>
      <c r="BE704" s="36">
        <v>0</v>
      </c>
      <c r="BF704" s="36">
        <f>704</f>
        <v>704</v>
      </c>
      <c r="BH704" s="20">
        <f t="shared" si="691"/>
        <v>0</v>
      </c>
      <c r="BI704" s="20">
        <f t="shared" si="692"/>
        <v>0</v>
      </c>
      <c r="BJ704" s="20">
        <f t="shared" si="693"/>
        <v>0</v>
      </c>
      <c r="BK704" s="20" t="s">
        <v>2978</v>
      </c>
      <c r="BL704" s="36" t="s">
        <v>1448</v>
      </c>
    </row>
    <row r="705" spans="1:64" x14ac:dyDescent="0.2">
      <c r="A705" s="86" t="s">
        <v>589</v>
      </c>
      <c r="B705" s="87" t="s">
        <v>1510</v>
      </c>
      <c r="C705" s="184" t="s">
        <v>2512</v>
      </c>
      <c r="D705" s="175"/>
      <c r="E705" s="175"/>
      <c r="F705" s="175"/>
      <c r="G705" s="87" t="s">
        <v>2865</v>
      </c>
      <c r="H705" s="88">
        <v>1</v>
      </c>
      <c r="I705" s="111">
        <v>0</v>
      </c>
      <c r="J705" s="96">
        <f t="shared" si="672"/>
        <v>0</v>
      </c>
      <c r="K705" s="96">
        <f t="shared" si="673"/>
        <v>0</v>
      </c>
      <c r="L705" s="96">
        <f t="shared" si="674"/>
        <v>0</v>
      </c>
      <c r="M705" s="97" t="s">
        <v>2884</v>
      </c>
      <c r="N705" s="5"/>
      <c r="Z705" s="36">
        <f t="shared" si="675"/>
        <v>0</v>
      </c>
      <c r="AB705" s="36">
        <f t="shared" si="676"/>
        <v>0</v>
      </c>
      <c r="AC705" s="36">
        <f t="shared" si="677"/>
        <v>0</v>
      </c>
      <c r="AD705" s="36">
        <f t="shared" si="678"/>
        <v>0</v>
      </c>
      <c r="AE705" s="36">
        <f t="shared" si="679"/>
        <v>0</v>
      </c>
      <c r="AF705" s="36">
        <f t="shared" si="680"/>
        <v>0</v>
      </c>
      <c r="AG705" s="36">
        <f t="shared" si="681"/>
        <v>0</v>
      </c>
      <c r="AH705" s="36">
        <f t="shared" si="682"/>
        <v>0</v>
      </c>
      <c r="AI705" s="35" t="s">
        <v>2894</v>
      </c>
      <c r="AJ705" s="20">
        <f t="shared" si="683"/>
        <v>0</v>
      </c>
      <c r="AK705" s="20">
        <f t="shared" si="684"/>
        <v>0</v>
      </c>
      <c r="AL705" s="20">
        <f t="shared" si="685"/>
        <v>0</v>
      </c>
      <c r="AN705" s="36">
        <v>21</v>
      </c>
      <c r="AO705" s="36">
        <f>I705*1</f>
        <v>0</v>
      </c>
      <c r="AP705" s="36">
        <f>I705*(1-1)</f>
        <v>0</v>
      </c>
      <c r="AQ705" s="37" t="s">
        <v>7</v>
      </c>
      <c r="AV705" s="36">
        <f t="shared" si="686"/>
        <v>0</v>
      </c>
      <c r="AW705" s="36">
        <f t="shared" si="687"/>
        <v>0</v>
      </c>
      <c r="AX705" s="36">
        <f t="shared" si="688"/>
        <v>0</v>
      </c>
      <c r="AY705" s="39" t="s">
        <v>2940</v>
      </c>
      <c r="AZ705" s="39" t="s">
        <v>2952</v>
      </c>
      <c r="BA705" s="35" t="s">
        <v>2967</v>
      </c>
      <c r="BC705" s="36">
        <f t="shared" si="689"/>
        <v>0</v>
      </c>
      <c r="BD705" s="36">
        <f t="shared" si="690"/>
        <v>0</v>
      </c>
      <c r="BE705" s="36">
        <v>0</v>
      </c>
      <c r="BF705" s="36">
        <f>705</f>
        <v>705</v>
      </c>
      <c r="BH705" s="20">
        <f t="shared" si="691"/>
        <v>0</v>
      </c>
      <c r="BI705" s="20">
        <f t="shared" si="692"/>
        <v>0</v>
      </c>
      <c r="BJ705" s="20">
        <f t="shared" si="693"/>
        <v>0</v>
      </c>
      <c r="BK705" s="20" t="s">
        <v>2978</v>
      </c>
      <c r="BL705" s="36" t="s">
        <v>1448</v>
      </c>
    </row>
    <row r="706" spans="1:64" x14ac:dyDescent="0.2">
      <c r="A706" s="4" t="s">
        <v>590</v>
      </c>
      <c r="B706" s="13" t="s">
        <v>1511</v>
      </c>
      <c r="C706" s="174" t="s">
        <v>2513</v>
      </c>
      <c r="D706" s="175"/>
      <c r="E706" s="175"/>
      <c r="F706" s="175"/>
      <c r="G706" s="13" t="s">
        <v>2852</v>
      </c>
      <c r="H706" s="82">
        <v>22</v>
      </c>
      <c r="I706" s="109">
        <v>0</v>
      </c>
      <c r="J706" s="20">
        <f t="shared" si="672"/>
        <v>0</v>
      </c>
      <c r="K706" s="20">
        <f t="shared" si="673"/>
        <v>0</v>
      </c>
      <c r="L706" s="20">
        <f t="shared" si="674"/>
        <v>0</v>
      </c>
      <c r="M706" s="31" t="s">
        <v>2884</v>
      </c>
      <c r="N706" s="5"/>
      <c r="Z706" s="36">
        <f t="shared" si="675"/>
        <v>0</v>
      </c>
      <c r="AB706" s="36">
        <f t="shared" si="676"/>
        <v>0</v>
      </c>
      <c r="AC706" s="36">
        <f t="shared" si="677"/>
        <v>0</v>
      </c>
      <c r="AD706" s="36">
        <f t="shared" si="678"/>
        <v>0</v>
      </c>
      <c r="AE706" s="36">
        <f t="shared" si="679"/>
        <v>0</v>
      </c>
      <c r="AF706" s="36">
        <f t="shared" si="680"/>
        <v>0</v>
      </c>
      <c r="AG706" s="36">
        <f t="shared" si="681"/>
        <v>0</v>
      </c>
      <c r="AH706" s="36">
        <f t="shared" si="682"/>
        <v>0</v>
      </c>
      <c r="AI706" s="35" t="s">
        <v>2894</v>
      </c>
      <c r="AJ706" s="20">
        <f t="shared" si="683"/>
        <v>0</v>
      </c>
      <c r="AK706" s="20">
        <f t="shared" si="684"/>
        <v>0</v>
      </c>
      <c r="AL706" s="20">
        <f t="shared" si="685"/>
        <v>0</v>
      </c>
      <c r="AN706" s="36">
        <v>21</v>
      </c>
      <c r="AO706" s="36">
        <f>I706*0</f>
        <v>0</v>
      </c>
      <c r="AP706" s="36">
        <f>I706*(1-0)</f>
        <v>0</v>
      </c>
      <c r="AQ706" s="37" t="s">
        <v>7</v>
      </c>
      <c r="AV706" s="36">
        <f t="shared" si="686"/>
        <v>0</v>
      </c>
      <c r="AW706" s="36">
        <f t="shared" si="687"/>
        <v>0</v>
      </c>
      <c r="AX706" s="36">
        <f t="shared" si="688"/>
        <v>0</v>
      </c>
      <c r="AY706" s="39" t="s">
        <v>2940</v>
      </c>
      <c r="AZ706" s="39" t="s">
        <v>2952</v>
      </c>
      <c r="BA706" s="35" t="s">
        <v>2967</v>
      </c>
      <c r="BC706" s="36">
        <f t="shared" si="689"/>
        <v>0</v>
      </c>
      <c r="BD706" s="36">
        <f t="shared" si="690"/>
        <v>0</v>
      </c>
      <c r="BE706" s="36">
        <v>0</v>
      </c>
      <c r="BF706" s="36">
        <f>706</f>
        <v>706</v>
      </c>
      <c r="BH706" s="20">
        <f t="shared" si="691"/>
        <v>0</v>
      </c>
      <c r="BI706" s="20">
        <f t="shared" si="692"/>
        <v>0</v>
      </c>
      <c r="BJ706" s="20">
        <f t="shared" si="693"/>
        <v>0</v>
      </c>
      <c r="BK706" s="20" t="s">
        <v>2978</v>
      </c>
      <c r="BL706" s="36" t="s">
        <v>1448</v>
      </c>
    </row>
    <row r="707" spans="1:64" x14ac:dyDescent="0.2">
      <c r="A707" s="86" t="s">
        <v>591</v>
      </c>
      <c r="B707" s="87" t="s">
        <v>1512</v>
      </c>
      <c r="C707" s="184" t="s">
        <v>2514</v>
      </c>
      <c r="D707" s="175"/>
      <c r="E707" s="175"/>
      <c r="F707" s="175"/>
      <c r="G707" s="87" t="s">
        <v>2852</v>
      </c>
      <c r="H707" s="88">
        <v>17</v>
      </c>
      <c r="I707" s="111">
        <v>0</v>
      </c>
      <c r="J707" s="96">
        <f t="shared" ref="J707:J738" si="694">H707*AO707</f>
        <v>0</v>
      </c>
      <c r="K707" s="96">
        <f t="shared" ref="K707:K738" si="695">H707*AP707</f>
        <v>0</v>
      </c>
      <c r="L707" s="96">
        <f t="shared" ref="L707:L738" si="696">H707*I707</f>
        <v>0</v>
      </c>
      <c r="M707" s="97" t="s">
        <v>2884</v>
      </c>
      <c r="N707" s="5"/>
      <c r="Z707" s="36">
        <f t="shared" ref="Z707:Z738" si="697">IF(AQ707="5",BJ707,0)</f>
        <v>0</v>
      </c>
      <c r="AB707" s="36">
        <f t="shared" ref="AB707:AB738" si="698">IF(AQ707="1",BH707,0)</f>
        <v>0</v>
      </c>
      <c r="AC707" s="36">
        <f t="shared" ref="AC707:AC738" si="699">IF(AQ707="1",BI707,0)</f>
        <v>0</v>
      </c>
      <c r="AD707" s="36">
        <f t="shared" ref="AD707:AD738" si="700">IF(AQ707="7",BH707,0)</f>
        <v>0</v>
      </c>
      <c r="AE707" s="36">
        <f t="shared" ref="AE707:AE738" si="701">IF(AQ707="7",BI707,0)</f>
        <v>0</v>
      </c>
      <c r="AF707" s="36">
        <f t="shared" ref="AF707:AF738" si="702">IF(AQ707="2",BH707,0)</f>
        <v>0</v>
      </c>
      <c r="AG707" s="36">
        <f t="shared" ref="AG707:AG738" si="703">IF(AQ707="2",BI707,0)</f>
        <v>0</v>
      </c>
      <c r="AH707" s="36">
        <f t="shared" ref="AH707:AH738" si="704">IF(AQ707="0",BJ707,0)</f>
        <v>0</v>
      </c>
      <c r="AI707" s="35" t="s">
        <v>2894</v>
      </c>
      <c r="AJ707" s="20">
        <f t="shared" ref="AJ707:AJ738" si="705">IF(AN707=0,L707,0)</f>
        <v>0</v>
      </c>
      <c r="AK707" s="20">
        <f t="shared" ref="AK707:AK738" si="706">IF(AN707=15,L707,0)</f>
        <v>0</v>
      </c>
      <c r="AL707" s="20">
        <f t="shared" ref="AL707:AL738" si="707">IF(AN707=21,L707,0)</f>
        <v>0</v>
      </c>
      <c r="AN707" s="36">
        <v>21</v>
      </c>
      <c r="AO707" s="36">
        <f>I707*1</f>
        <v>0</v>
      </c>
      <c r="AP707" s="36">
        <f>I707*(1-1)</f>
        <v>0</v>
      </c>
      <c r="AQ707" s="37" t="s">
        <v>7</v>
      </c>
      <c r="AV707" s="36">
        <f t="shared" ref="AV707:AV738" si="708">AW707+AX707</f>
        <v>0</v>
      </c>
      <c r="AW707" s="36">
        <f t="shared" ref="AW707:AW738" si="709">H707*AO707</f>
        <v>0</v>
      </c>
      <c r="AX707" s="36">
        <f t="shared" ref="AX707:AX738" si="710">H707*AP707</f>
        <v>0</v>
      </c>
      <c r="AY707" s="39" t="s">
        <v>2940</v>
      </c>
      <c r="AZ707" s="39" t="s">
        <v>2952</v>
      </c>
      <c r="BA707" s="35" t="s">
        <v>2967</v>
      </c>
      <c r="BC707" s="36">
        <f t="shared" ref="BC707:BC738" si="711">AW707+AX707</f>
        <v>0</v>
      </c>
      <c r="BD707" s="36">
        <f t="shared" ref="BD707:BD738" si="712">I707/(100-BE707)*100</f>
        <v>0</v>
      </c>
      <c r="BE707" s="36">
        <v>0</v>
      </c>
      <c r="BF707" s="36">
        <f>707</f>
        <v>707</v>
      </c>
      <c r="BH707" s="20">
        <f t="shared" ref="BH707:BH738" si="713">H707*AO707</f>
        <v>0</v>
      </c>
      <c r="BI707" s="20">
        <f t="shared" ref="BI707:BI738" si="714">H707*AP707</f>
        <v>0</v>
      </c>
      <c r="BJ707" s="20">
        <f t="shared" ref="BJ707:BJ738" si="715">H707*I707</f>
        <v>0</v>
      </c>
      <c r="BK707" s="20" t="s">
        <v>2978</v>
      </c>
      <c r="BL707" s="36" t="s">
        <v>1448</v>
      </c>
    </row>
    <row r="708" spans="1:64" x14ac:dyDescent="0.2">
      <c r="A708" s="86" t="s">
        <v>592</v>
      </c>
      <c r="B708" s="87" t="s">
        <v>1513</v>
      </c>
      <c r="C708" s="184" t="s">
        <v>2515</v>
      </c>
      <c r="D708" s="175"/>
      <c r="E708" s="175"/>
      <c r="F708" s="175"/>
      <c r="G708" s="87" t="s">
        <v>2852</v>
      </c>
      <c r="H708" s="88">
        <v>3</v>
      </c>
      <c r="I708" s="111">
        <v>0</v>
      </c>
      <c r="J708" s="96">
        <f t="shared" si="694"/>
        <v>0</v>
      </c>
      <c r="K708" s="96">
        <f t="shared" si="695"/>
        <v>0</v>
      </c>
      <c r="L708" s="96">
        <f t="shared" si="696"/>
        <v>0</v>
      </c>
      <c r="M708" s="97" t="s">
        <v>2884</v>
      </c>
      <c r="N708" s="5"/>
      <c r="Z708" s="36">
        <f t="shared" si="697"/>
        <v>0</v>
      </c>
      <c r="AB708" s="36">
        <f t="shared" si="698"/>
        <v>0</v>
      </c>
      <c r="AC708" s="36">
        <f t="shared" si="699"/>
        <v>0</v>
      </c>
      <c r="AD708" s="36">
        <f t="shared" si="700"/>
        <v>0</v>
      </c>
      <c r="AE708" s="36">
        <f t="shared" si="701"/>
        <v>0</v>
      </c>
      <c r="AF708" s="36">
        <f t="shared" si="702"/>
        <v>0</v>
      </c>
      <c r="AG708" s="36">
        <f t="shared" si="703"/>
        <v>0</v>
      </c>
      <c r="AH708" s="36">
        <f t="shared" si="704"/>
        <v>0</v>
      </c>
      <c r="AI708" s="35" t="s">
        <v>2894</v>
      </c>
      <c r="AJ708" s="20">
        <f t="shared" si="705"/>
        <v>0</v>
      </c>
      <c r="AK708" s="20">
        <f t="shared" si="706"/>
        <v>0</v>
      </c>
      <c r="AL708" s="20">
        <f t="shared" si="707"/>
        <v>0</v>
      </c>
      <c r="AN708" s="36">
        <v>21</v>
      </c>
      <c r="AO708" s="36">
        <f>I708*1</f>
        <v>0</v>
      </c>
      <c r="AP708" s="36">
        <f>I708*(1-1)</f>
        <v>0</v>
      </c>
      <c r="AQ708" s="37" t="s">
        <v>7</v>
      </c>
      <c r="AV708" s="36">
        <f t="shared" si="708"/>
        <v>0</v>
      </c>
      <c r="AW708" s="36">
        <f t="shared" si="709"/>
        <v>0</v>
      </c>
      <c r="AX708" s="36">
        <f t="shared" si="710"/>
        <v>0</v>
      </c>
      <c r="AY708" s="39" t="s">
        <v>2940</v>
      </c>
      <c r="AZ708" s="39" t="s">
        <v>2952</v>
      </c>
      <c r="BA708" s="35" t="s">
        <v>2967</v>
      </c>
      <c r="BC708" s="36">
        <f t="shared" si="711"/>
        <v>0</v>
      </c>
      <c r="BD708" s="36">
        <f t="shared" si="712"/>
        <v>0</v>
      </c>
      <c r="BE708" s="36">
        <v>0</v>
      </c>
      <c r="BF708" s="36">
        <f>708</f>
        <v>708</v>
      </c>
      <c r="BH708" s="20">
        <f t="shared" si="713"/>
        <v>0</v>
      </c>
      <c r="BI708" s="20">
        <f t="shared" si="714"/>
        <v>0</v>
      </c>
      <c r="BJ708" s="20">
        <f t="shared" si="715"/>
        <v>0</v>
      </c>
      <c r="BK708" s="20" t="s">
        <v>2978</v>
      </c>
      <c r="BL708" s="36" t="s">
        <v>1448</v>
      </c>
    </row>
    <row r="709" spans="1:64" x14ac:dyDescent="0.2">
      <c r="A709" s="86" t="s">
        <v>593</v>
      </c>
      <c r="B709" s="87" t="s">
        <v>1514</v>
      </c>
      <c r="C709" s="184" t="s">
        <v>2516</v>
      </c>
      <c r="D709" s="175"/>
      <c r="E709" s="175"/>
      <c r="F709" s="175"/>
      <c r="G709" s="87" t="s">
        <v>2852</v>
      </c>
      <c r="H709" s="88">
        <v>2</v>
      </c>
      <c r="I709" s="111">
        <v>0</v>
      </c>
      <c r="J709" s="96">
        <f t="shared" si="694"/>
        <v>0</v>
      </c>
      <c r="K709" s="96">
        <f t="shared" si="695"/>
        <v>0</v>
      </c>
      <c r="L709" s="96">
        <f t="shared" si="696"/>
        <v>0</v>
      </c>
      <c r="M709" s="97" t="s">
        <v>2884</v>
      </c>
      <c r="N709" s="5"/>
      <c r="Z709" s="36">
        <f t="shared" si="697"/>
        <v>0</v>
      </c>
      <c r="AB709" s="36">
        <f t="shared" si="698"/>
        <v>0</v>
      </c>
      <c r="AC709" s="36">
        <f t="shared" si="699"/>
        <v>0</v>
      </c>
      <c r="AD709" s="36">
        <f t="shared" si="700"/>
        <v>0</v>
      </c>
      <c r="AE709" s="36">
        <f t="shared" si="701"/>
        <v>0</v>
      </c>
      <c r="AF709" s="36">
        <f t="shared" si="702"/>
        <v>0</v>
      </c>
      <c r="AG709" s="36">
        <f t="shared" si="703"/>
        <v>0</v>
      </c>
      <c r="AH709" s="36">
        <f t="shared" si="704"/>
        <v>0</v>
      </c>
      <c r="AI709" s="35" t="s">
        <v>2894</v>
      </c>
      <c r="AJ709" s="20">
        <f t="shared" si="705"/>
        <v>0</v>
      </c>
      <c r="AK709" s="20">
        <f t="shared" si="706"/>
        <v>0</v>
      </c>
      <c r="AL709" s="20">
        <f t="shared" si="707"/>
        <v>0</v>
      </c>
      <c r="AN709" s="36">
        <v>21</v>
      </c>
      <c r="AO709" s="36">
        <f>I709*1</f>
        <v>0</v>
      </c>
      <c r="AP709" s="36">
        <f>I709*(1-1)</f>
        <v>0</v>
      </c>
      <c r="AQ709" s="37" t="s">
        <v>7</v>
      </c>
      <c r="AV709" s="36">
        <f t="shared" si="708"/>
        <v>0</v>
      </c>
      <c r="AW709" s="36">
        <f t="shared" si="709"/>
        <v>0</v>
      </c>
      <c r="AX709" s="36">
        <f t="shared" si="710"/>
        <v>0</v>
      </c>
      <c r="AY709" s="39" t="s">
        <v>2940</v>
      </c>
      <c r="AZ709" s="39" t="s">
        <v>2952</v>
      </c>
      <c r="BA709" s="35" t="s">
        <v>2967</v>
      </c>
      <c r="BC709" s="36">
        <f t="shared" si="711"/>
        <v>0</v>
      </c>
      <c r="BD709" s="36">
        <f t="shared" si="712"/>
        <v>0</v>
      </c>
      <c r="BE709" s="36">
        <v>0</v>
      </c>
      <c r="BF709" s="36">
        <f>709</f>
        <v>709</v>
      </c>
      <c r="BH709" s="20">
        <f t="shared" si="713"/>
        <v>0</v>
      </c>
      <c r="BI709" s="20">
        <f t="shared" si="714"/>
        <v>0</v>
      </c>
      <c r="BJ709" s="20">
        <f t="shared" si="715"/>
        <v>0</v>
      </c>
      <c r="BK709" s="20" t="s">
        <v>2978</v>
      </c>
      <c r="BL709" s="36" t="s">
        <v>1448</v>
      </c>
    </row>
    <row r="710" spans="1:64" x14ac:dyDescent="0.2">
      <c r="A710" s="4" t="s">
        <v>594</v>
      </c>
      <c r="B710" s="13" t="s">
        <v>1515</v>
      </c>
      <c r="C710" s="174" t="s">
        <v>2517</v>
      </c>
      <c r="D710" s="175"/>
      <c r="E710" s="175"/>
      <c r="F710" s="175"/>
      <c r="G710" s="13" t="s">
        <v>2852</v>
      </c>
      <c r="H710" s="82">
        <v>1</v>
      </c>
      <c r="I710" s="109">
        <v>0</v>
      </c>
      <c r="J710" s="20">
        <f t="shared" si="694"/>
        <v>0</v>
      </c>
      <c r="K710" s="20">
        <f t="shared" si="695"/>
        <v>0</v>
      </c>
      <c r="L710" s="20">
        <f t="shared" si="696"/>
        <v>0</v>
      </c>
      <c r="M710" s="31" t="s">
        <v>2884</v>
      </c>
      <c r="N710" s="5"/>
      <c r="Z710" s="36">
        <f t="shared" si="697"/>
        <v>0</v>
      </c>
      <c r="AB710" s="36">
        <f t="shared" si="698"/>
        <v>0</v>
      </c>
      <c r="AC710" s="36">
        <f t="shared" si="699"/>
        <v>0</v>
      </c>
      <c r="AD710" s="36">
        <f t="shared" si="700"/>
        <v>0</v>
      </c>
      <c r="AE710" s="36">
        <f t="shared" si="701"/>
        <v>0</v>
      </c>
      <c r="AF710" s="36">
        <f t="shared" si="702"/>
        <v>0</v>
      </c>
      <c r="AG710" s="36">
        <f t="shared" si="703"/>
        <v>0</v>
      </c>
      <c r="AH710" s="36">
        <f t="shared" si="704"/>
        <v>0</v>
      </c>
      <c r="AI710" s="35" t="s">
        <v>2894</v>
      </c>
      <c r="AJ710" s="20">
        <f t="shared" si="705"/>
        <v>0</v>
      </c>
      <c r="AK710" s="20">
        <f t="shared" si="706"/>
        <v>0</v>
      </c>
      <c r="AL710" s="20">
        <f t="shared" si="707"/>
        <v>0</v>
      </c>
      <c r="AN710" s="36">
        <v>21</v>
      </c>
      <c r="AO710" s="36">
        <f>I710*0</f>
        <v>0</v>
      </c>
      <c r="AP710" s="36">
        <f>I710*(1-0)</f>
        <v>0</v>
      </c>
      <c r="AQ710" s="37" t="s">
        <v>7</v>
      </c>
      <c r="AV710" s="36">
        <f t="shared" si="708"/>
        <v>0</v>
      </c>
      <c r="AW710" s="36">
        <f t="shared" si="709"/>
        <v>0</v>
      </c>
      <c r="AX710" s="36">
        <f t="shared" si="710"/>
        <v>0</v>
      </c>
      <c r="AY710" s="39" t="s">
        <v>2940</v>
      </c>
      <c r="AZ710" s="39" t="s">
        <v>2952</v>
      </c>
      <c r="BA710" s="35" t="s">
        <v>2967</v>
      </c>
      <c r="BC710" s="36">
        <f t="shared" si="711"/>
        <v>0</v>
      </c>
      <c r="BD710" s="36">
        <f t="shared" si="712"/>
        <v>0</v>
      </c>
      <c r="BE710" s="36">
        <v>0</v>
      </c>
      <c r="BF710" s="36">
        <f>710</f>
        <v>710</v>
      </c>
      <c r="BH710" s="20">
        <f t="shared" si="713"/>
        <v>0</v>
      </c>
      <c r="BI710" s="20">
        <f t="shared" si="714"/>
        <v>0</v>
      </c>
      <c r="BJ710" s="20">
        <f t="shared" si="715"/>
        <v>0</v>
      </c>
      <c r="BK710" s="20" t="s">
        <v>2978</v>
      </c>
      <c r="BL710" s="36" t="s">
        <v>1448</v>
      </c>
    </row>
    <row r="711" spans="1:64" x14ac:dyDescent="0.2">
      <c r="A711" s="86" t="s">
        <v>595</v>
      </c>
      <c r="B711" s="87" t="s">
        <v>1516</v>
      </c>
      <c r="C711" s="184" t="s">
        <v>2517</v>
      </c>
      <c r="D711" s="175"/>
      <c r="E711" s="175"/>
      <c r="F711" s="175"/>
      <c r="G711" s="87" t="s">
        <v>2852</v>
      </c>
      <c r="H711" s="88">
        <v>1</v>
      </c>
      <c r="I711" s="111">
        <v>0</v>
      </c>
      <c r="J711" s="96">
        <f t="shared" si="694"/>
        <v>0</v>
      </c>
      <c r="K711" s="96">
        <f t="shared" si="695"/>
        <v>0</v>
      </c>
      <c r="L711" s="96">
        <f t="shared" si="696"/>
        <v>0</v>
      </c>
      <c r="M711" s="97" t="s">
        <v>2884</v>
      </c>
      <c r="N711" s="5"/>
      <c r="Z711" s="36">
        <f t="shared" si="697"/>
        <v>0</v>
      </c>
      <c r="AB711" s="36">
        <f t="shared" si="698"/>
        <v>0</v>
      </c>
      <c r="AC711" s="36">
        <f t="shared" si="699"/>
        <v>0</v>
      </c>
      <c r="AD711" s="36">
        <f t="shared" si="700"/>
        <v>0</v>
      </c>
      <c r="AE711" s="36">
        <f t="shared" si="701"/>
        <v>0</v>
      </c>
      <c r="AF711" s="36">
        <f t="shared" si="702"/>
        <v>0</v>
      </c>
      <c r="AG711" s="36">
        <f t="shared" si="703"/>
        <v>0</v>
      </c>
      <c r="AH711" s="36">
        <f t="shared" si="704"/>
        <v>0</v>
      </c>
      <c r="AI711" s="35" t="s">
        <v>2894</v>
      </c>
      <c r="AJ711" s="20">
        <f t="shared" si="705"/>
        <v>0</v>
      </c>
      <c r="AK711" s="20">
        <f t="shared" si="706"/>
        <v>0</v>
      </c>
      <c r="AL711" s="20">
        <f t="shared" si="707"/>
        <v>0</v>
      </c>
      <c r="AN711" s="36">
        <v>21</v>
      </c>
      <c r="AO711" s="36">
        <f>I711*1</f>
        <v>0</v>
      </c>
      <c r="AP711" s="36">
        <f>I711*(1-1)</f>
        <v>0</v>
      </c>
      <c r="AQ711" s="37" t="s">
        <v>7</v>
      </c>
      <c r="AV711" s="36">
        <f t="shared" si="708"/>
        <v>0</v>
      </c>
      <c r="AW711" s="36">
        <f t="shared" si="709"/>
        <v>0</v>
      </c>
      <c r="AX711" s="36">
        <f t="shared" si="710"/>
        <v>0</v>
      </c>
      <c r="AY711" s="39" t="s">
        <v>2940</v>
      </c>
      <c r="AZ711" s="39" t="s">
        <v>2952</v>
      </c>
      <c r="BA711" s="35" t="s">
        <v>2967</v>
      </c>
      <c r="BC711" s="36">
        <f t="shared" si="711"/>
        <v>0</v>
      </c>
      <c r="BD711" s="36">
        <f t="shared" si="712"/>
        <v>0</v>
      </c>
      <c r="BE711" s="36">
        <v>0</v>
      </c>
      <c r="BF711" s="36">
        <f>711</f>
        <v>711</v>
      </c>
      <c r="BH711" s="20">
        <f t="shared" si="713"/>
        <v>0</v>
      </c>
      <c r="BI711" s="20">
        <f t="shared" si="714"/>
        <v>0</v>
      </c>
      <c r="BJ711" s="20">
        <f t="shared" si="715"/>
        <v>0</v>
      </c>
      <c r="BK711" s="20" t="s">
        <v>2978</v>
      </c>
      <c r="BL711" s="36" t="s">
        <v>1448</v>
      </c>
    </row>
    <row r="712" spans="1:64" x14ac:dyDescent="0.2">
      <c r="A712" s="4" t="s">
        <v>596</v>
      </c>
      <c r="B712" s="13" t="s">
        <v>1517</v>
      </c>
      <c r="C712" s="174" t="s">
        <v>2518</v>
      </c>
      <c r="D712" s="175"/>
      <c r="E712" s="175"/>
      <c r="F712" s="175"/>
      <c r="G712" s="13" t="s">
        <v>2852</v>
      </c>
      <c r="H712" s="82">
        <v>32</v>
      </c>
      <c r="I712" s="109">
        <v>0</v>
      </c>
      <c r="J712" s="20">
        <f t="shared" si="694"/>
        <v>0</v>
      </c>
      <c r="K712" s="20">
        <f t="shared" si="695"/>
        <v>0</v>
      </c>
      <c r="L712" s="20">
        <f t="shared" si="696"/>
        <v>0</v>
      </c>
      <c r="M712" s="31" t="s">
        <v>2884</v>
      </c>
      <c r="N712" s="5"/>
      <c r="Z712" s="36">
        <f t="shared" si="697"/>
        <v>0</v>
      </c>
      <c r="AB712" s="36">
        <f t="shared" si="698"/>
        <v>0</v>
      </c>
      <c r="AC712" s="36">
        <f t="shared" si="699"/>
        <v>0</v>
      </c>
      <c r="AD712" s="36">
        <f t="shared" si="700"/>
        <v>0</v>
      </c>
      <c r="AE712" s="36">
        <f t="shared" si="701"/>
        <v>0</v>
      </c>
      <c r="AF712" s="36">
        <f t="shared" si="702"/>
        <v>0</v>
      </c>
      <c r="AG712" s="36">
        <f t="shared" si="703"/>
        <v>0</v>
      </c>
      <c r="AH712" s="36">
        <f t="shared" si="704"/>
        <v>0</v>
      </c>
      <c r="AI712" s="35" t="s">
        <v>2894</v>
      </c>
      <c r="AJ712" s="20">
        <f t="shared" si="705"/>
        <v>0</v>
      </c>
      <c r="AK712" s="20">
        <f t="shared" si="706"/>
        <v>0</v>
      </c>
      <c r="AL712" s="20">
        <f t="shared" si="707"/>
        <v>0</v>
      </c>
      <c r="AN712" s="36">
        <v>21</v>
      </c>
      <c r="AO712" s="36">
        <f>I712*0</f>
        <v>0</v>
      </c>
      <c r="AP712" s="36">
        <f>I712*(1-0)</f>
        <v>0</v>
      </c>
      <c r="AQ712" s="37" t="s">
        <v>7</v>
      </c>
      <c r="AV712" s="36">
        <f t="shared" si="708"/>
        <v>0</v>
      </c>
      <c r="AW712" s="36">
        <f t="shared" si="709"/>
        <v>0</v>
      </c>
      <c r="AX712" s="36">
        <f t="shared" si="710"/>
        <v>0</v>
      </c>
      <c r="AY712" s="39" t="s">
        <v>2940</v>
      </c>
      <c r="AZ712" s="39" t="s">
        <v>2952</v>
      </c>
      <c r="BA712" s="35" t="s">
        <v>2967</v>
      </c>
      <c r="BC712" s="36">
        <f t="shared" si="711"/>
        <v>0</v>
      </c>
      <c r="BD712" s="36">
        <f t="shared" si="712"/>
        <v>0</v>
      </c>
      <c r="BE712" s="36">
        <v>0</v>
      </c>
      <c r="BF712" s="36">
        <f>712</f>
        <v>712</v>
      </c>
      <c r="BH712" s="20">
        <f t="shared" si="713"/>
        <v>0</v>
      </c>
      <c r="BI712" s="20">
        <f t="shared" si="714"/>
        <v>0</v>
      </c>
      <c r="BJ712" s="20">
        <f t="shared" si="715"/>
        <v>0</v>
      </c>
      <c r="BK712" s="20" t="s">
        <v>2978</v>
      </c>
      <c r="BL712" s="36" t="s">
        <v>1448</v>
      </c>
    </row>
    <row r="713" spans="1:64" x14ac:dyDescent="0.2">
      <c r="A713" s="86" t="s">
        <v>597</v>
      </c>
      <c r="B713" s="87" t="s">
        <v>1518</v>
      </c>
      <c r="C713" s="184" t="s">
        <v>2519</v>
      </c>
      <c r="D713" s="175"/>
      <c r="E713" s="175"/>
      <c r="F713" s="175"/>
      <c r="G713" s="87" t="s">
        <v>2852</v>
      </c>
      <c r="H713" s="88">
        <v>14</v>
      </c>
      <c r="I713" s="111">
        <v>0</v>
      </c>
      <c r="J713" s="96">
        <f t="shared" si="694"/>
        <v>0</v>
      </c>
      <c r="K713" s="96">
        <f t="shared" si="695"/>
        <v>0</v>
      </c>
      <c r="L713" s="96">
        <f t="shared" si="696"/>
        <v>0</v>
      </c>
      <c r="M713" s="97" t="s">
        <v>2884</v>
      </c>
      <c r="N713" s="5"/>
      <c r="Z713" s="36">
        <f t="shared" si="697"/>
        <v>0</v>
      </c>
      <c r="AB713" s="36">
        <f t="shared" si="698"/>
        <v>0</v>
      </c>
      <c r="AC713" s="36">
        <f t="shared" si="699"/>
        <v>0</v>
      </c>
      <c r="AD713" s="36">
        <f t="shared" si="700"/>
        <v>0</v>
      </c>
      <c r="AE713" s="36">
        <f t="shared" si="701"/>
        <v>0</v>
      </c>
      <c r="AF713" s="36">
        <f t="shared" si="702"/>
        <v>0</v>
      </c>
      <c r="AG713" s="36">
        <f t="shared" si="703"/>
        <v>0</v>
      </c>
      <c r="AH713" s="36">
        <f t="shared" si="704"/>
        <v>0</v>
      </c>
      <c r="AI713" s="35" t="s">
        <v>2894</v>
      </c>
      <c r="AJ713" s="20">
        <f t="shared" si="705"/>
        <v>0</v>
      </c>
      <c r="AK713" s="20">
        <f t="shared" si="706"/>
        <v>0</v>
      </c>
      <c r="AL713" s="20">
        <f t="shared" si="707"/>
        <v>0</v>
      </c>
      <c r="AN713" s="36">
        <v>21</v>
      </c>
      <c r="AO713" s="36">
        <f>I713*0.99999834946729</f>
        <v>0</v>
      </c>
      <c r="AP713" s="36">
        <f>I713*(1-0.99999834946729)</f>
        <v>0</v>
      </c>
      <c r="AQ713" s="37" t="s">
        <v>7</v>
      </c>
      <c r="AV713" s="36">
        <f t="shared" si="708"/>
        <v>0</v>
      </c>
      <c r="AW713" s="36">
        <f t="shared" si="709"/>
        <v>0</v>
      </c>
      <c r="AX713" s="36">
        <f t="shared" si="710"/>
        <v>0</v>
      </c>
      <c r="AY713" s="39" t="s">
        <v>2940</v>
      </c>
      <c r="AZ713" s="39" t="s">
        <v>2952</v>
      </c>
      <c r="BA713" s="35" t="s">
        <v>2967</v>
      </c>
      <c r="BC713" s="36">
        <f t="shared" si="711"/>
        <v>0</v>
      </c>
      <c r="BD713" s="36">
        <f t="shared" si="712"/>
        <v>0</v>
      </c>
      <c r="BE713" s="36">
        <v>0</v>
      </c>
      <c r="BF713" s="36">
        <f>713</f>
        <v>713</v>
      </c>
      <c r="BH713" s="20">
        <f t="shared" si="713"/>
        <v>0</v>
      </c>
      <c r="BI713" s="20">
        <f t="shared" si="714"/>
        <v>0</v>
      </c>
      <c r="BJ713" s="20">
        <f t="shared" si="715"/>
        <v>0</v>
      </c>
      <c r="BK713" s="20" t="s">
        <v>2978</v>
      </c>
      <c r="BL713" s="36" t="s">
        <v>1448</v>
      </c>
    </row>
    <row r="714" spans="1:64" x14ac:dyDescent="0.2">
      <c r="A714" s="86" t="s">
        <v>598</v>
      </c>
      <c r="B714" s="87" t="s">
        <v>1519</v>
      </c>
      <c r="C714" s="184" t="s">
        <v>2520</v>
      </c>
      <c r="D714" s="175"/>
      <c r="E714" s="175"/>
      <c r="F714" s="175"/>
      <c r="G714" s="87" t="s">
        <v>2852</v>
      </c>
      <c r="H714" s="88">
        <v>18</v>
      </c>
      <c r="I714" s="111">
        <v>0</v>
      </c>
      <c r="J714" s="96">
        <f t="shared" si="694"/>
        <v>0</v>
      </c>
      <c r="K714" s="96">
        <f t="shared" si="695"/>
        <v>0</v>
      </c>
      <c r="L714" s="96">
        <f t="shared" si="696"/>
        <v>0</v>
      </c>
      <c r="M714" s="97" t="s">
        <v>2884</v>
      </c>
      <c r="N714" s="5"/>
      <c r="Z714" s="36">
        <f t="shared" si="697"/>
        <v>0</v>
      </c>
      <c r="AB714" s="36">
        <f t="shared" si="698"/>
        <v>0</v>
      </c>
      <c r="AC714" s="36">
        <f t="shared" si="699"/>
        <v>0</v>
      </c>
      <c r="AD714" s="36">
        <f t="shared" si="700"/>
        <v>0</v>
      </c>
      <c r="AE714" s="36">
        <f t="shared" si="701"/>
        <v>0</v>
      </c>
      <c r="AF714" s="36">
        <f t="shared" si="702"/>
        <v>0</v>
      </c>
      <c r="AG714" s="36">
        <f t="shared" si="703"/>
        <v>0</v>
      </c>
      <c r="AH714" s="36">
        <f t="shared" si="704"/>
        <v>0</v>
      </c>
      <c r="AI714" s="35" t="s">
        <v>2894</v>
      </c>
      <c r="AJ714" s="20">
        <f t="shared" si="705"/>
        <v>0</v>
      </c>
      <c r="AK714" s="20">
        <f t="shared" si="706"/>
        <v>0</v>
      </c>
      <c r="AL714" s="20">
        <f t="shared" si="707"/>
        <v>0</v>
      </c>
      <c r="AN714" s="36">
        <v>21</v>
      </c>
      <c r="AO714" s="36">
        <f>I714*1</f>
        <v>0</v>
      </c>
      <c r="AP714" s="36">
        <f>I714*(1-1)</f>
        <v>0</v>
      </c>
      <c r="AQ714" s="37" t="s">
        <v>7</v>
      </c>
      <c r="AV714" s="36">
        <f t="shared" si="708"/>
        <v>0</v>
      </c>
      <c r="AW714" s="36">
        <f t="shared" si="709"/>
        <v>0</v>
      </c>
      <c r="AX714" s="36">
        <f t="shared" si="710"/>
        <v>0</v>
      </c>
      <c r="AY714" s="39" t="s">
        <v>2940</v>
      </c>
      <c r="AZ714" s="39" t="s">
        <v>2952</v>
      </c>
      <c r="BA714" s="35" t="s">
        <v>2967</v>
      </c>
      <c r="BC714" s="36">
        <f t="shared" si="711"/>
        <v>0</v>
      </c>
      <c r="BD714" s="36">
        <f t="shared" si="712"/>
        <v>0</v>
      </c>
      <c r="BE714" s="36">
        <v>0</v>
      </c>
      <c r="BF714" s="36">
        <f>714</f>
        <v>714</v>
      </c>
      <c r="BH714" s="20">
        <f t="shared" si="713"/>
        <v>0</v>
      </c>
      <c r="BI714" s="20">
        <f t="shared" si="714"/>
        <v>0</v>
      </c>
      <c r="BJ714" s="20">
        <f t="shared" si="715"/>
        <v>0</v>
      </c>
      <c r="BK714" s="20" t="s">
        <v>2978</v>
      </c>
      <c r="BL714" s="36" t="s">
        <v>1448</v>
      </c>
    </row>
    <row r="715" spans="1:64" x14ac:dyDescent="0.2">
      <c r="A715" s="4" t="s">
        <v>599</v>
      </c>
      <c r="B715" s="13" t="s">
        <v>1520</v>
      </c>
      <c r="C715" s="174" t="s">
        <v>2521</v>
      </c>
      <c r="D715" s="175"/>
      <c r="E715" s="175"/>
      <c r="F715" s="175"/>
      <c r="G715" s="13" t="s">
        <v>2852</v>
      </c>
      <c r="H715" s="82">
        <v>11</v>
      </c>
      <c r="I715" s="109">
        <v>0</v>
      </c>
      <c r="J715" s="20">
        <f t="shared" si="694"/>
        <v>0</v>
      </c>
      <c r="K715" s="20">
        <f t="shared" si="695"/>
        <v>0</v>
      </c>
      <c r="L715" s="20">
        <f t="shared" si="696"/>
        <v>0</v>
      </c>
      <c r="M715" s="31" t="s">
        <v>2884</v>
      </c>
      <c r="N715" s="5"/>
      <c r="Z715" s="36">
        <f t="shared" si="697"/>
        <v>0</v>
      </c>
      <c r="AB715" s="36">
        <f t="shared" si="698"/>
        <v>0</v>
      </c>
      <c r="AC715" s="36">
        <f t="shared" si="699"/>
        <v>0</v>
      </c>
      <c r="AD715" s="36">
        <f t="shared" si="700"/>
        <v>0</v>
      </c>
      <c r="AE715" s="36">
        <f t="shared" si="701"/>
        <v>0</v>
      </c>
      <c r="AF715" s="36">
        <f t="shared" si="702"/>
        <v>0</v>
      </c>
      <c r="AG715" s="36">
        <f t="shared" si="703"/>
        <v>0</v>
      </c>
      <c r="AH715" s="36">
        <f t="shared" si="704"/>
        <v>0</v>
      </c>
      <c r="AI715" s="35" t="s">
        <v>2894</v>
      </c>
      <c r="AJ715" s="20">
        <f t="shared" si="705"/>
        <v>0</v>
      </c>
      <c r="AK715" s="20">
        <f t="shared" si="706"/>
        <v>0</v>
      </c>
      <c r="AL715" s="20">
        <f t="shared" si="707"/>
        <v>0</v>
      </c>
      <c r="AN715" s="36">
        <v>21</v>
      </c>
      <c r="AO715" s="36">
        <f>I715*0</f>
        <v>0</v>
      </c>
      <c r="AP715" s="36">
        <f>I715*(1-0)</f>
        <v>0</v>
      </c>
      <c r="AQ715" s="37" t="s">
        <v>7</v>
      </c>
      <c r="AV715" s="36">
        <f t="shared" si="708"/>
        <v>0</v>
      </c>
      <c r="AW715" s="36">
        <f t="shared" si="709"/>
        <v>0</v>
      </c>
      <c r="AX715" s="36">
        <f t="shared" si="710"/>
        <v>0</v>
      </c>
      <c r="AY715" s="39" t="s">
        <v>2940</v>
      </c>
      <c r="AZ715" s="39" t="s">
        <v>2952</v>
      </c>
      <c r="BA715" s="35" t="s">
        <v>2967</v>
      </c>
      <c r="BC715" s="36">
        <f t="shared" si="711"/>
        <v>0</v>
      </c>
      <c r="BD715" s="36">
        <f t="shared" si="712"/>
        <v>0</v>
      </c>
      <c r="BE715" s="36">
        <v>0</v>
      </c>
      <c r="BF715" s="36">
        <f>715</f>
        <v>715</v>
      </c>
      <c r="BH715" s="20">
        <f t="shared" si="713"/>
        <v>0</v>
      </c>
      <c r="BI715" s="20">
        <f t="shared" si="714"/>
        <v>0</v>
      </c>
      <c r="BJ715" s="20">
        <f t="shared" si="715"/>
        <v>0</v>
      </c>
      <c r="BK715" s="20" t="s">
        <v>2978</v>
      </c>
      <c r="BL715" s="36" t="s">
        <v>1448</v>
      </c>
    </row>
    <row r="716" spans="1:64" x14ac:dyDescent="0.2">
      <c r="A716" s="86" t="s">
        <v>600</v>
      </c>
      <c r="B716" s="87" t="s">
        <v>1521</v>
      </c>
      <c r="C716" s="184" t="s">
        <v>2522</v>
      </c>
      <c r="D716" s="175"/>
      <c r="E716" s="175"/>
      <c r="F716" s="175"/>
      <c r="G716" s="87" t="s">
        <v>2852</v>
      </c>
      <c r="H716" s="88">
        <v>11</v>
      </c>
      <c r="I716" s="111">
        <v>0</v>
      </c>
      <c r="J716" s="96">
        <f t="shared" si="694"/>
        <v>0</v>
      </c>
      <c r="K716" s="96">
        <f t="shared" si="695"/>
        <v>0</v>
      </c>
      <c r="L716" s="96">
        <f t="shared" si="696"/>
        <v>0</v>
      </c>
      <c r="M716" s="97" t="s">
        <v>2884</v>
      </c>
      <c r="N716" s="5"/>
      <c r="Z716" s="36">
        <f t="shared" si="697"/>
        <v>0</v>
      </c>
      <c r="AB716" s="36">
        <f t="shared" si="698"/>
        <v>0</v>
      </c>
      <c r="AC716" s="36">
        <f t="shared" si="699"/>
        <v>0</v>
      </c>
      <c r="AD716" s="36">
        <f t="shared" si="700"/>
        <v>0</v>
      </c>
      <c r="AE716" s="36">
        <f t="shared" si="701"/>
        <v>0</v>
      </c>
      <c r="AF716" s="36">
        <f t="shared" si="702"/>
        <v>0</v>
      </c>
      <c r="AG716" s="36">
        <f t="shared" si="703"/>
        <v>0</v>
      </c>
      <c r="AH716" s="36">
        <f t="shared" si="704"/>
        <v>0</v>
      </c>
      <c r="AI716" s="35" t="s">
        <v>2894</v>
      </c>
      <c r="AJ716" s="20">
        <f t="shared" si="705"/>
        <v>0</v>
      </c>
      <c r="AK716" s="20">
        <f t="shared" si="706"/>
        <v>0</v>
      </c>
      <c r="AL716" s="20">
        <f t="shared" si="707"/>
        <v>0</v>
      </c>
      <c r="AN716" s="36">
        <v>21</v>
      </c>
      <c r="AO716" s="36">
        <f>I716*1</f>
        <v>0</v>
      </c>
      <c r="AP716" s="36">
        <f>I716*(1-1)</f>
        <v>0</v>
      </c>
      <c r="AQ716" s="37" t="s">
        <v>7</v>
      </c>
      <c r="AV716" s="36">
        <f t="shared" si="708"/>
        <v>0</v>
      </c>
      <c r="AW716" s="36">
        <f t="shared" si="709"/>
        <v>0</v>
      </c>
      <c r="AX716" s="36">
        <f t="shared" si="710"/>
        <v>0</v>
      </c>
      <c r="AY716" s="39" t="s">
        <v>2940</v>
      </c>
      <c r="AZ716" s="39" t="s">
        <v>2952</v>
      </c>
      <c r="BA716" s="35" t="s">
        <v>2967</v>
      </c>
      <c r="BC716" s="36">
        <f t="shared" si="711"/>
        <v>0</v>
      </c>
      <c r="BD716" s="36">
        <f t="shared" si="712"/>
        <v>0</v>
      </c>
      <c r="BE716" s="36">
        <v>0</v>
      </c>
      <c r="BF716" s="36">
        <f>716</f>
        <v>716</v>
      </c>
      <c r="BH716" s="20">
        <f t="shared" si="713"/>
        <v>0</v>
      </c>
      <c r="BI716" s="20">
        <f t="shared" si="714"/>
        <v>0</v>
      </c>
      <c r="BJ716" s="20">
        <f t="shared" si="715"/>
        <v>0</v>
      </c>
      <c r="BK716" s="20" t="s">
        <v>2978</v>
      </c>
      <c r="BL716" s="36" t="s">
        <v>1448</v>
      </c>
    </row>
    <row r="717" spans="1:64" x14ac:dyDescent="0.2">
      <c r="A717" s="4" t="s">
        <v>601</v>
      </c>
      <c r="B717" s="13" t="s">
        <v>1520</v>
      </c>
      <c r="C717" s="174" t="s">
        <v>2523</v>
      </c>
      <c r="D717" s="175"/>
      <c r="E717" s="175"/>
      <c r="F717" s="175"/>
      <c r="G717" s="13" t="s">
        <v>2852</v>
      </c>
      <c r="H717" s="82">
        <v>8</v>
      </c>
      <c r="I717" s="109">
        <v>0</v>
      </c>
      <c r="J717" s="20">
        <f t="shared" si="694"/>
        <v>0</v>
      </c>
      <c r="K717" s="20">
        <f t="shared" si="695"/>
        <v>0</v>
      </c>
      <c r="L717" s="20">
        <f t="shared" si="696"/>
        <v>0</v>
      </c>
      <c r="M717" s="31" t="s">
        <v>2884</v>
      </c>
      <c r="N717" s="5"/>
      <c r="Z717" s="36">
        <f t="shared" si="697"/>
        <v>0</v>
      </c>
      <c r="AB717" s="36">
        <f t="shared" si="698"/>
        <v>0</v>
      </c>
      <c r="AC717" s="36">
        <f t="shared" si="699"/>
        <v>0</v>
      </c>
      <c r="AD717" s="36">
        <f t="shared" si="700"/>
        <v>0</v>
      </c>
      <c r="AE717" s="36">
        <f t="shared" si="701"/>
        <v>0</v>
      </c>
      <c r="AF717" s="36">
        <f t="shared" si="702"/>
        <v>0</v>
      </c>
      <c r="AG717" s="36">
        <f t="shared" si="703"/>
        <v>0</v>
      </c>
      <c r="AH717" s="36">
        <f t="shared" si="704"/>
        <v>0</v>
      </c>
      <c r="AI717" s="35" t="s">
        <v>2894</v>
      </c>
      <c r="AJ717" s="20">
        <f t="shared" si="705"/>
        <v>0</v>
      </c>
      <c r="AK717" s="20">
        <f t="shared" si="706"/>
        <v>0</v>
      </c>
      <c r="AL717" s="20">
        <f t="shared" si="707"/>
        <v>0</v>
      </c>
      <c r="AN717" s="36">
        <v>21</v>
      </c>
      <c r="AO717" s="36">
        <f>I717*0</f>
        <v>0</v>
      </c>
      <c r="AP717" s="36">
        <f>I717*(1-0)</f>
        <v>0</v>
      </c>
      <c r="AQ717" s="37" t="s">
        <v>7</v>
      </c>
      <c r="AV717" s="36">
        <f t="shared" si="708"/>
        <v>0</v>
      </c>
      <c r="AW717" s="36">
        <f t="shared" si="709"/>
        <v>0</v>
      </c>
      <c r="AX717" s="36">
        <f t="shared" si="710"/>
        <v>0</v>
      </c>
      <c r="AY717" s="39" t="s">
        <v>2940</v>
      </c>
      <c r="AZ717" s="39" t="s">
        <v>2952</v>
      </c>
      <c r="BA717" s="35" t="s">
        <v>2967</v>
      </c>
      <c r="BC717" s="36">
        <f t="shared" si="711"/>
        <v>0</v>
      </c>
      <c r="BD717" s="36">
        <f t="shared" si="712"/>
        <v>0</v>
      </c>
      <c r="BE717" s="36">
        <v>0</v>
      </c>
      <c r="BF717" s="36">
        <f>717</f>
        <v>717</v>
      </c>
      <c r="BH717" s="20">
        <f t="shared" si="713"/>
        <v>0</v>
      </c>
      <c r="BI717" s="20">
        <f t="shared" si="714"/>
        <v>0</v>
      </c>
      <c r="BJ717" s="20">
        <f t="shared" si="715"/>
        <v>0</v>
      </c>
      <c r="BK717" s="20" t="s">
        <v>2978</v>
      </c>
      <c r="BL717" s="36" t="s">
        <v>1448</v>
      </c>
    </row>
    <row r="718" spans="1:64" x14ac:dyDescent="0.2">
      <c r="A718" s="86" t="s">
        <v>602</v>
      </c>
      <c r="B718" s="87" t="s">
        <v>1521</v>
      </c>
      <c r="C718" s="184" t="s">
        <v>2523</v>
      </c>
      <c r="D718" s="175"/>
      <c r="E718" s="175"/>
      <c r="F718" s="175"/>
      <c r="G718" s="87" t="s">
        <v>2852</v>
      </c>
      <c r="H718" s="88">
        <v>8</v>
      </c>
      <c r="I718" s="111">
        <v>0</v>
      </c>
      <c r="J718" s="96">
        <f t="shared" si="694"/>
        <v>0</v>
      </c>
      <c r="K718" s="96">
        <f t="shared" si="695"/>
        <v>0</v>
      </c>
      <c r="L718" s="96">
        <f t="shared" si="696"/>
        <v>0</v>
      </c>
      <c r="M718" s="97" t="s">
        <v>2884</v>
      </c>
      <c r="N718" s="5"/>
      <c r="Z718" s="36">
        <f t="shared" si="697"/>
        <v>0</v>
      </c>
      <c r="AB718" s="36">
        <f t="shared" si="698"/>
        <v>0</v>
      </c>
      <c r="AC718" s="36">
        <f t="shared" si="699"/>
        <v>0</v>
      </c>
      <c r="AD718" s="36">
        <f t="shared" si="700"/>
        <v>0</v>
      </c>
      <c r="AE718" s="36">
        <f t="shared" si="701"/>
        <v>0</v>
      </c>
      <c r="AF718" s="36">
        <f t="shared" si="702"/>
        <v>0</v>
      </c>
      <c r="AG718" s="36">
        <f t="shared" si="703"/>
        <v>0</v>
      </c>
      <c r="AH718" s="36">
        <f t="shared" si="704"/>
        <v>0</v>
      </c>
      <c r="AI718" s="35" t="s">
        <v>2894</v>
      </c>
      <c r="AJ718" s="20">
        <f t="shared" si="705"/>
        <v>0</v>
      </c>
      <c r="AK718" s="20">
        <f t="shared" si="706"/>
        <v>0</v>
      </c>
      <c r="AL718" s="20">
        <f t="shared" si="707"/>
        <v>0</v>
      </c>
      <c r="AN718" s="36">
        <v>21</v>
      </c>
      <c r="AO718" s="36">
        <f>I718*1</f>
        <v>0</v>
      </c>
      <c r="AP718" s="36">
        <f>I718*(1-1)</f>
        <v>0</v>
      </c>
      <c r="AQ718" s="37" t="s">
        <v>7</v>
      </c>
      <c r="AV718" s="36">
        <f t="shared" si="708"/>
        <v>0</v>
      </c>
      <c r="AW718" s="36">
        <f t="shared" si="709"/>
        <v>0</v>
      </c>
      <c r="AX718" s="36">
        <f t="shared" si="710"/>
        <v>0</v>
      </c>
      <c r="AY718" s="39" t="s">
        <v>2940</v>
      </c>
      <c r="AZ718" s="39" t="s">
        <v>2952</v>
      </c>
      <c r="BA718" s="35" t="s">
        <v>2967</v>
      </c>
      <c r="BC718" s="36">
        <f t="shared" si="711"/>
        <v>0</v>
      </c>
      <c r="BD718" s="36">
        <f t="shared" si="712"/>
        <v>0</v>
      </c>
      <c r="BE718" s="36">
        <v>0</v>
      </c>
      <c r="BF718" s="36">
        <f>718</f>
        <v>718</v>
      </c>
      <c r="BH718" s="20">
        <f t="shared" si="713"/>
        <v>0</v>
      </c>
      <c r="BI718" s="20">
        <f t="shared" si="714"/>
        <v>0</v>
      </c>
      <c r="BJ718" s="20">
        <f t="shared" si="715"/>
        <v>0</v>
      </c>
      <c r="BK718" s="20" t="s">
        <v>2978</v>
      </c>
      <c r="BL718" s="36" t="s">
        <v>1448</v>
      </c>
    </row>
    <row r="719" spans="1:64" x14ac:dyDescent="0.2">
      <c r="A719" s="4" t="s">
        <v>603</v>
      </c>
      <c r="B719" s="13" t="s">
        <v>1522</v>
      </c>
      <c r="C719" s="174" t="s">
        <v>2524</v>
      </c>
      <c r="D719" s="175"/>
      <c r="E719" s="175"/>
      <c r="F719" s="175"/>
      <c r="G719" s="13" t="s">
        <v>2852</v>
      </c>
      <c r="H719" s="82">
        <v>54</v>
      </c>
      <c r="I719" s="109">
        <v>0</v>
      </c>
      <c r="J719" s="20">
        <f t="shared" si="694"/>
        <v>0</v>
      </c>
      <c r="K719" s="20">
        <f t="shared" si="695"/>
        <v>0</v>
      </c>
      <c r="L719" s="20">
        <f t="shared" si="696"/>
        <v>0</v>
      </c>
      <c r="M719" s="31" t="s">
        <v>2884</v>
      </c>
      <c r="N719" s="5"/>
      <c r="Z719" s="36">
        <f t="shared" si="697"/>
        <v>0</v>
      </c>
      <c r="AB719" s="36">
        <f t="shared" si="698"/>
        <v>0</v>
      </c>
      <c r="AC719" s="36">
        <f t="shared" si="699"/>
        <v>0</v>
      </c>
      <c r="AD719" s="36">
        <f t="shared" si="700"/>
        <v>0</v>
      </c>
      <c r="AE719" s="36">
        <f t="shared" si="701"/>
        <v>0</v>
      </c>
      <c r="AF719" s="36">
        <f t="shared" si="702"/>
        <v>0</v>
      </c>
      <c r="AG719" s="36">
        <f t="shared" si="703"/>
        <v>0</v>
      </c>
      <c r="AH719" s="36">
        <f t="shared" si="704"/>
        <v>0</v>
      </c>
      <c r="AI719" s="35" t="s">
        <v>2894</v>
      </c>
      <c r="AJ719" s="20">
        <f t="shared" si="705"/>
        <v>0</v>
      </c>
      <c r="AK719" s="20">
        <f t="shared" si="706"/>
        <v>0</v>
      </c>
      <c r="AL719" s="20">
        <f t="shared" si="707"/>
        <v>0</v>
      </c>
      <c r="AN719" s="36">
        <v>21</v>
      </c>
      <c r="AO719" s="36">
        <f>I719*0</f>
        <v>0</v>
      </c>
      <c r="AP719" s="36">
        <f>I719*(1-0)</f>
        <v>0</v>
      </c>
      <c r="AQ719" s="37" t="s">
        <v>7</v>
      </c>
      <c r="AV719" s="36">
        <f t="shared" si="708"/>
        <v>0</v>
      </c>
      <c r="AW719" s="36">
        <f t="shared" si="709"/>
        <v>0</v>
      </c>
      <c r="AX719" s="36">
        <f t="shared" si="710"/>
        <v>0</v>
      </c>
      <c r="AY719" s="39" t="s">
        <v>2940</v>
      </c>
      <c r="AZ719" s="39" t="s">
        <v>2952</v>
      </c>
      <c r="BA719" s="35" t="s">
        <v>2967</v>
      </c>
      <c r="BC719" s="36">
        <f t="shared" si="711"/>
        <v>0</v>
      </c>
      <c r="BD719" s="36">
        <f t="shared" si="712"/>
        <v>0</v>
      </c>
      <c r="BE719" s="36">
        <v>0</v>
      </c>
      <c r="BF719" s="36">
        <f>719</f>
        <v>719</v>
      </c>
      <c r="BH719" s="20">
        <f t="shared" si="713"/>
        <v>0</v>
      </c>
      <c r="BI719" s="20">
        <f t="shared" si="714"/>
        <v>0</v>
      </c>
      <c r="BJ719" s="20">
        <f t="shared" si="715"/>
        <v>0</v>
      </c>
      <c r="BK719" s="20" t="s">
        <v>2978</v>
      </c>
      <c r="BL719" s="36" t="s">
        <v>1448</v>
      </c>
    </row>
    <row r="720" spans="1:64" x14ac:dyDescent="0.2">
      <c r="A720" s="86" t="s">
        <v>604</v>
      </c>
      <c r="B720" s="87" t="s">
        <v>1523</v>
      </c>
      <c r="C720" s="184" t="s">
        <v>2525</v>
      </c>
      <c r="D720" s="175"/>
      <c r="E720" s="175"/>
      <c r="F720" s="175"/>
      <c r="G720" s="87" t="s">
        <v>2852</v>
      </c>
      <c r="H720" s="88">
        <v>9</v>
      </c>
      <c r="I720" s="111">
        <v>0</v>
      </c>
      <c r="J720" s="96">
        <f t="shared" si="694"/>
        <v>0</v>
      </c>
      <c r="K720" s="96">
        <f t="shared" si="695"/>
        <v>0</v>
      </c>
      <c r="L720" s="96">
        <f t="shared" si="696"/>
        <v>0</v>
      </c>
      <c r="M720" s="97" t="s">
        <v>2884</v>
      </c>
      <c r="N720" s="5"/>
      <c r="Z720" s="36">
        <f t="shared" si="697"/>
        <v>0</v>
      </c>
      <c r="AB720" s="36">
        <f t="shared" si="698"/>
        <v>0</v>
      </c>
      <c r="AC720" s="36">
        <f t="shared" si="699"/>
        <v>0</v>
      </c>
      <c r="AD720" s="36">
        <f t="shared" si="700"/>
        <v>0</v>
      </c>
      <c r="AE720" s="36">
        <f t="shared" si="701"/>
        <v>0</v>
      </c>
      <c r="AF720" s="36">
        <f t="shared" si="702"/>
        <v>0</v>
      </c>
      <c r="AG720" s="36">
        <f t="shared" si="703"/>
        <v>0</v>
      </c>
      <c r="AH720" s="36">
        <f t="shared" si="704"/>
        <v>0</v>
      </c>
      <c r="AI720" s="35" t="s">
        <v>2894</v>
      </c>
      <c r="AJ720" s="20">
        <f t="shared" si="705"/>
        <v>0</v>
      </c>
      <c r="AK720" s="20">
        <f t="shared" si="706"/>
        <v>0</v>
      </c>
      <c r="AL720" s="20">
        <f t="shared" si="707"/>
        <v>0</v>
      </c>
      <c r="AN720" s="36">
        <v>21</v>
      </c>
      <c r="AO720" s="36">
        <f>I720*1</f>
        <v>0</v>
      </c>
      <c r="AP720" s="36">
        <f>I720*(1-1)</f>
        <v>0</v>
      </c>
      <c r="AQ720" s="37" t="s">
        <v>7</v>
      </c>
      <c r="AV720" s="36">
        <f t="shared" si="708"/>
        <v>0</v>
      </c>
      <c r="AW720" s="36">
        <f t="shared" si="709"/>
        <v>0</v>
      </c>
      <c r="AX720" s="36">
        <f t="shared" si="710"/>
        <v>0</v>
      </c>
      <c r="AY720" s="39" t="s">
        <v>2940</v>
      </c>
      <c r="AZ720" s="39" t="s">
        <v>2952</v>
      </c>
      <c r="BA720" s="35" t="s">
        <v>2967</v>
      </c>
      <c r="BC720" s="36">
        <f t="shared" si="711"/>
        <v>0</v>
      </c>
      <c r="BD720" s="36">
        <f t="shared" si="712"/>
        <v>0</v>
      </c>
      <c r="BE720" s="36">
        <v>0</v>
      </c>
      <c r="BF720" s="36">
        <f>720</f>
        <v>720</v>
      </c>
      <c r="BH720" s="20">
        <f t="shared" si="713"/>
        <v>0</v>
      </c>
      <c r="BI720" s="20">
        <f t="shared" si="714"/>
        <v>0</v>
      </c>
      <c r="BJ720" s="20">
        <f t="shared" si="715"/>
        <v>0</v>
      </c>
      <c r="BK720" s="20" t="s">
        <v>2978</v>
      </c>
      <c r="BL720" s="36" t="s">
        <v>1448</v>
      </c>
    </row>
    <row r="721" spans="1:64" x14ac:dyDescent="0.2">
      <c r="A721" s="86" t="s">
        <v>605</v>
      </c>
      <c r="B721" s="87" t="s">
        <v>1524</v>
      </c>
      <c r="C721" s="184" t="s">
        <v>2526</v>
      </c>
      <c r="D721" s="175"/>
      <c r="E721" s="175"/>
      <c r="F721" s="175"/>
      <c r="G721" s="87" t="s">
        <v>2852</v>
      </c>
      <c r="H721" s="88">
        <v>39</v>
      </c>
      <c r="I721" s="111">
        <v>0</v>
      </c>
      <c r="J721" s="96">
        <f t="shared" si="694"/>
        <v>0</v>
      </c>
      <c r="K721" s="96">
        <f t="shared" si="695"/>
        <v>0</v>
      </c>
      <c r="L721" s="96">
        <f t="shared" si="696"/>
        <v>0</v>
      </c>
      <c r="M721" s="97" t="s">
        <v>2884</v>
      </c>
      <c r="N721" s="5"/>
      <c r="Z721" s="36">
        <f t="shared" si="697"/>
        <v>0</v>
      </c>
      <c r="AB721" s="36">
        <f t="shared" si="698"/>
        <v>0</v>
      </c>
      <c r="AC721" s="36">
        <f t="shared" si="699"/>
        <v>0</v>
      </c>
      <c r="AD721" s="36">
        <f t="shared" si="700"/>
        <v>0</v>
      </c>
      <c r="AE721" s="36">
        <f t="shared" si="701"/>
        <v>0</v>
      </c>
      <c r="AF721" s="36">
        <f t="shared" si="702"/>
        <v>0</v>
      </c>
      <c r="AG721" s="36">
        <f t="shared" si="703"/>
        <v>0</v>
      </c>
      <c r="AH721" s="36">
        <f t="shared" si="704"/>
        <v>0</v>
      </c>
      <c r="AI721" s="35" t="s">
        <v>2894</v>
      </c>
      <c r="AJ721" s="20">
        <f t="shared" si="705"/>
        <v>0</v>
      </c>
      <c r="AK721" s="20">
        <f t="shared" si="706"/>
        <v>0</v>
      </c>
      <c r="AL721" s="20">
        <f t="shared" si="707"/>
        <v>0</v>
      </c>
      <c r="AN721" s="36">
        <v>21</v>
      </c>
      <c r="AO721" s="36">
        <f>I721*1</f>
        <v>0</v>
      </c>
      <c r="AP721" s="36">
        <f>I721*(1-1)</f>
        <v>0</v>
      </c>
      <c r="AQ721" s="37" t="s">
        <v>7</v>
      </c>
      <c r="AV721" s="36">
        <f t="shared" si="708"/>
        <v>0</v>
      </c>
      <c r="AW721" s="36">
        <f t="shared" si="709"/>
        <v>0</v>
      </c>
      <c r="AX721" s="36">
        <f t="shared" si="710"/>
        <v>0</v>
      </c>
      <c r="AY721" s="39" t="s">
        <v>2940</v>
      </c>
      <c r="AZ721" s="39" t="s">
        <v>2952</v>
      </c>
      <c r="BA721" s="35" t="s">
        <v>2967</v>
      </c>
      <c r="BC721" s="36">
        <f t="shared" si="711"/>
        <v>0</v>
      </c>
      <c r="BD721" s="36">
        <f t="shared" si="712"/>
        <v>0</v>
      </c>
      <c r="BE721" s="36">
        <v>0</v>
      </c>
      <c r="BF721" s="36">
        <f>721</f>
        <v>721</v>
      </c>
      <c r="BH721" s="20">
        <f t="shared" si="713"/>
        <v>0</v>
      </c>
      <c r="BI721" s="20">
        <f t="shared" si="714"/>
        <v>0</v>
      </c>
      <c r="BJ721" s="20">
        <f t="shared" si="715"/>
        <v>0</v>
      </c>
      <c r="BK721" s="20" t="s">
        <v>2978</v>
      </c>
      <c r="BL721" s="36" t="s">
        <v>1448</v>
      </c>
    </row>
    <row r="722" spans="1:64" x14ac:dyDescent="0.2">
      <c r="A722" s="86" t="s">
        <v>606</v>
      </c>
      <c r="B722" s="87" t="s">
        <v>1525</v>
      </c>
      <c r="C722" s="184" t="s">
        <v>2527</v>
      </c>
      <c r="D722" s="175"/>
      <c r="E722" s="175"/>
      <c r="F722" s="175"/>
      <c r="G722" s="87" t="s">
        <v>2852</v>
      </c>
      <c r="H722" s="88">
        <v>6</v>
      </c>
      <c r="I722" s="111">
        <v>0</v>
      </c>
      <c r="J722" s="96">
        <f t="shared" si="694"/>
        <v>0</v>
      </c>
      <c r="K722" s="96">
        <f t="shared" si="695"/>
        <v>0</v>
      </c>
      <c r="L722" s="96">
        <f t="shared" si="696"/>
        <v>0</v>
      </c>
      <c r="M722" s="97" t="s">
        <v>2884</v>
      </c>
      <c r="N722" s="5"/>
      <c r="Z722" s="36">
        <f t="shared" si="697"/>
        <v>0</v>
      </c>
      <c r="AB722" s="36">
        <f t="shared" si="698"/>
        <v>0</v>
      </c>
      <c r="AC722" s="36">
        <f t="shared" si="699"/>
        <v>0</v>
      </c>
      <c r="AD722" s="36">
        <f t="shared" si="700"/>
        <v>0</v>
      </c>
      <c r="AE722" s="36">
        <f t="shared" si="701"/>
        <v>0</v>
      </c>
      <c r="AF722" s="36">
        <f t="shared" si="702"/>
        <v>0</v>
      </c>
      <c r="AG722" s="36">
        <f t="shared" si="703"/>
        <v>0</v>
      </c>
      <c r="AH722" s="36">
        <f t="shared" si="704"/>
        <v>0</v>
      </c>
      <c r="AI722" s="35" t="s">
        <v>2894</v>
      </c>
      <c r="AJ722" s="20">
        <f t="shared" si="705"/>
        <v>0</v>
      </c>
      <c r="AK722" s="20">
        <f t="shared" si="706"/>
        <v>0</v>
      </c>
      <c r="AL722" s="20">
        <f t="shared" si="707"/>
        <v>0</v>
      </c>
      <c r="AN722" s="36">
        <v>21</v>
      </c>
      <c r="AO722" s="36">
        <f>I722*1</f>
        <v>0</v>
      </c>
      <c r="AP722" s="36">
        <f>I722*(1-1)</f>
        <v>0</v>
      </c>
      <c r="AQ722" s="37" t="s">
        <v>7</v>
      </c>
      <c r="AV722" s="36">
        <f t="shared" si="708"/>
        <v>0</v>
      </c>
      <c r="AW722" s="36">
        <f t="shared" si="709"/>
        <v>0</v>
      </c>
      <c r="AX722" s="36">
        <f t="shared" si="710"/>
        <v>0</v>
      </c>
      <c r="AY722" s="39" t="s">
        <v>2940</v>
      </c>
      <c r="AZ722" s="39" t="s">
        <v>2952</v>
      </c>
      <c r="BA722" s="35" t="s">
        <v>2967</v>
      </c>
      <c r="BC722" s="36">
        <f t="shared" si="711"/>
        <v>0</v>
      </c>
      <c r="BD722" s="36">
        <f t="shared" si="712"/>
        <v>0</v>
      </c>
      <c r="BE722" s="36">
        <v>0</v>
      </c>
      <c r="BF722" s="36">
        <f>722</f>
        <v>722</v>
      </c>
      <c r="BH722" s="20">
        <f t="shared" si="713"/>
        <v>0</v>
      </c>
      <c r="BI722" s="20">
        <f t="shared" si="714"/>
        <v>0</v>
      </c>
      <c r="BJ722" s="20">
        <f t="shared" si="715"/>
        <v>0</v>
      </c>
      <c r="BK722" s="20" t="s">
        <v>2978</v>
      </c>
      <c r="BL722" s="36" t="s">
        <v>1448</v>
      </c>
    </row>
    <row r="723" spans="1:64" x14ac:dyDescent="0.2">
      <c r="A723" s="4" t="s">
        <v>607</v>
      </c>
      <c r="B723" s="13" t="s">
        <v>1526</v>
      </c>
      <c r="C723" s="174" t="s">
        <v>2528</v>
      </c>
      <c r="D723" s="175"/>
      <c r="E723" s="175"/>
      <c r="F723" s="175"/>
      <c r="G723" s="13" t="s">
        <v>2852</v>
      </c>
      <c r="H723" s="82">
        <v>16</v>
      </c>
      <c r="I723" s="109">
        <v>0</v>
      </c>
      <c r="J723" s="20">
        <f t="shared" si="694"/>
        <v>0</v>
      </c>
      <c r="K723" s="20">
        <f t="shared" si="695"/>
        <v>0</v>
      </c>
      <c r="L723" s="20">
        <f t="shared" si="696"/>
        <v>0</v>
      </c>
      <c r="M723" s="31" t="s">
        <v>2884</v>
      </c>
      <c r="N723" s="5"/>
      <c r="Z723" s="36">
        <f t="shared" si="697"/>
        <v>0</v>
      </c>
      <c r="AB723" s="36">
        <f t="shared" si="698"/>
        <v>0</v>
      </c>
      <c r="AC723" s="36">
        <f t="shared" si="699"/>
        <v>0</v>
      </c>
      <c r="AD723" s="36">
        <f t="shared" si="700"/>
        <v>0</v>
      </c>
      <c r="AE723" s="36">
        <f t="shared" si="701"/>
        <v>0</v>
      </c>
      <c r="AF723" s="36">
        <f t="shared" si="702"/>
        <v>0</v>
      </c>
      <c r="AG723" s="36">
        <f t="shared" si="703"/>
        <v>0</v>
      </c>
      <c r="AH723" s="36">
        <f t="shared" si="704"/>
        <v>0</v>
      </c>
      <c r="AI723" s="35" t="s">
        <v>2894</v>
      </c>
      <c r="AJ723" s="20">
        <f t="shared" si="705"/>
        <v>0</v>
      </c>
      <c r="AK723" s="20">
        <f t="shared" si="706"/>
        <v>0</v>
      </c>
      <c r="AL723" s="20">
        <f t="shared" si="707"/>
        <v>0</v>
      </c>
      <c r="AN723" s="36">
        <v>21</v>
      </c>
      <c r="AO723" s="36">
        <f>I723*0</f>
        <v>0</v>
      </c>
      <c r="AP723" s="36">
        <f>I723*(1-0)</f>
        <v>0</v>
      </c>
      <c r="AQ723" s="37" t="s">
        <v>7</v>
      </c>
      <c r="AV723" s="36">
        <f t="shared" si="708"/>
        <v>0</v>
      </c>
      <c r="AW723" s="36">
        <f t="shared" si="709"/>
        <v>0</v>
      </c>
      <c r="AX723" s="36">
        <f t="shared" si="710"/>
        <v>0</v>
      </c>
      <c r="AY723" s="39" t="s">
        <v>2940</v>
      </c>
      <c r="AZ723" s="39" t="s">
        <v>2952</v>
      </c>
      <c r="BA723" s="35" t="s">
        <v>2967</v>
      </c>
      <c r="BC723" s="36">
        <f t="shared" si="711"/>
        <v>0</v>
      </c>
      <c r="BD723" s="36">
        <f t="shared" si="712"/>
        <v>0</v>
      </c>
      <c r="BE723" s="36">
        <v>0</v>
      </c>
      <c r="BF723" s="36">
        <f>723</f>
        <v>723</v>
      </c>
      <c r="BH723" s="20">
        <f t="shared" si="713"/>
        <v>0</v>
      </c>
      <c r="BI723" s="20">
        <f t="shared" si="714"/>
        <v>0</v>
      </c>
      <c r="BJ723" s="20">
        <f t="shared" si="715"/>
        <v>0</v>
      </c>
      <c r="BK723" s="20" t="s">
        <v>2978</v>
      </c>
      <c r="BL723" s="36" t="s">
        <v>1448</v>
      </c>
    </row>
    <row r="724" spans="1:64" x14ac:dyDescent="0.2">
      <c r="A724" s="86" t="s">
        <v>608</v>
      </c>
      <c r="B724" s="87" t="s">
        <v>1527</v>
      </c>
      <c r="C724" s="184" t="s">
        <v>2529</v>
      </c>
      <c r="D724" s="175"/>
      <c r="E724" s="175"/>
      <c r="F724" s="175"/>
      <c r="G724" s="87" t="s">
        <v>2852</v>
      </c>
      <c r="H724" s="88">
        <v>10</v>
      </c>
      <c r="I724" s="111">
        <v>0</v>
      </c>
      <c r="J724" s="96">
        <f t="shared" si="694"/>
        <v>0</v>
      </c>
      <c r="K724" s="96">
        <f t="shared" si="695"/>
        <v>0</v>
      </c>
      <c r="L724" s="96">
        <f t="shared" si="696"/>
        <v>0</v>
      </c>
      <c r="M724" s="97" t="s">
        <v>2884</v>
      </c>
      <c r="N724" s="5"/>
      <c r="Z724" s="36">
        <f t="shared" si="697"/>
        <v>0</v>
      </c>
      <c r="AB724" s="36">
        <f t="shared" si="698"/>
        <v>0</v>
      </c>
      <c r="AC724" s="36">
        <f t="shared" si="699"/>
        <v>0</v>
      </c>
      <c r="AD724" s="36">
        <f t="shared" si="700"/>
        <v>0</v>
      </c>
      <c r="AE724" s="36">
        <f t="shared" si="701"/>
        <v>0</v>
      </c>
      <c r="AF724" s="36">
        <f t="shared" si="702"/>
        <v>0</v>
      </c>
      <c r="AG724" s="36">
        <f t="shared" si="703"/>
        <v>0</v>
      </c>
      <c r="AH724" s="36">
        <f t="shared" si="704"/>
        <v>0</v>
      </c>
      <c r="AI724" s="35" t="s">
        <v>2894</v>
      </c>
      <c r="AJ724" s="20">
        <f t="shared" si="705"/>
        <v>0</v>
      </c>
      <c r="AK724" s="20">
        <f t="shared" si="706"/>
        <v>0</v>
      </c>
      <c r="AL724" s="20">
        <f t="shared" si="707"/>
        <v>0</v>
      </c>
      <c r="AN724" s="36">
        <v>21</v>
      </c>
      <c r="AO724" s="36">
        <f>I724*1</f>
        <v>0</v>
      </c>
      <c r="AP724" s="36">
        <f>I724*(1-1)</f>
        <v>0</v>
      </c>
      <c r="AQ724" s="37" t="s">
        <v>7</v>
      </c>
      <c r="AV724" s="36">
        <f t="shared" si="708"/>
        <v>0</v>
      </c>
      <c r="AW724" s="36">
        <f t="shared" si="709"/>
        <v>0</v>
      </c>
      <c r="AX724" s="36">
        <f t="shared" si="710"/>
        <v>0</v>
      </c>
      <c r="AY724" s="39" t="s">
        <v>2940</v>
      </c>
      <c r="AZ724" s="39" t="s">
        <v>2952</v>
      </c>
      <c r="BA724" s="35" t="s">
        <v>2967</v>
      </c>
      <c r="BC724" s="36">
        <f t="shared" si="711"/>
        <v>0</v>
      </c>
      <c r="BD724" s="36">
        <f t="shared" si="712"/>
        <v>0</v>
      </c>
      <c r="BE724" s="36">
        <v>0</v>
      </c>
      <c r="BF724" s="36">
        <f>724</f>
        <v>724</v>
      </c>
      <c r="BH724" s="20">
        <f t="shared" si="713"/>
        <v>0</v>
      </c>
      <c r="BI724" s="20">
        <f t="shared" si="714"/>
        <v>0</v>
      </c>
      <c r="BJ724" s="20">
        <f t="shared" si="715"/>
        <v>0</v>
      </c>
      <c r="BK724" s="20" t="s">
        <v>2978</v>
      </c>
      <c r="BL724" s="36" t="s">
        <v>1448</v>
      </c>
    </row>
    <row r="725" spans="1:64" x14ac:dyDescent="0.2">
      <c r="A725" s="86" t="s">
        <v>609</v>
      </c>
      <c r="B725" s="87" t="s">
        <v>1528</v>
      </c>
      <c r="C725" s="184" t="s">
        <v>2530</v>
      </c>
      <c r="D725" s="175"/>
      <c r="E725" s="175"/>
      <c r="F725" s="175"/>
      <c r="G725" s="87" t="s">
        <v>2852</v>
      </c>
      <c r="H725" s="88">
        <v>6</v>
      </c>
      <c r="I725" s="111">
        <v>0</v>
      </c>
      <c r="J725" s="96">
        <f t="shared" si="694"/>
        <v>0</v>
      </c>
      <c r="K725" s="96">
        <f t="shared" si="695"/>
        <v>0</v>
      </c>
      <c r="L725" s="96">
        <f t="shared" si="696"/>
        <v>0</v>
      </c>
      <c r="M725" s="97" t="s">
        <v>2884</v>
      </c>
      <c r="N725" s="5"/>
      <c r="Z725" s="36">
        <f t="shared" si="697"/>
        <v>0</v>
      </c>
      <c r="AB725" s="36">
        <f t="shared" si="698"/>
        <v>0</v>
      </c>
      <c r="AC725" s="36">
        <f t="shared" si="699"/>
        <v>0</v>
      </c>
      <c r="AD725" s="36">
        <f t="shared" si="700"/>
        <v>0</v>
      </c>
      <c r="AE725" s="36">
        <f t="shared" si="701"/>
        <v>0</v>
      </c>
      <c r="AF725" s="36">
        <f t="shared" si="702"/>
        <v>0</v>
      </c>
      <c r="AG725" s="36">
        <f t="shared" si="703"/>
        <v>0</v>
      </c>
      <c r="AH725" s="36">
        <f t="shared" si="704"/>
        <v>0</v>
      </c>
      <c r="AI725" s="35" t="s">
        <v>2894</v>
      </c>
      <c r="AJ725" s="20">
        <f t="shared" si="705"/>
        <v>0</v>
      </c>
      <c r="AK725" s="20">
        <f t="shared" si="706"/>
        <v>0</v>
      </c>
      <c r="AL725" s="20">
        <f t="shared" si="707"/>
        <v>0</v>
      </c>
      <c r="AN725" s="36">
        <v>21</v>
      </c>
      <c r="AO725" s="36">
        <f>I725*1</f>
        <v>0</v>
      </c>
      <c r="AP725" s="36">
        <f>I725*(1-1)</f>
        <v>0</v>
      </c>
      <c r="AQ725" s="37" t="s">
        <v>7</v>
      </c>
      <c r="AV725" s="36">
        <f t="shared" si="708"/>
        <v>0</v>
      </c>
      <c r="AW725" s="36">
        <f t="shared" si="709"/>
        <v>0</v>
      </c>
      <c r="AX725" s="36">
        <f t="shared" si="710"/>
        <v>0</v>
      </c>
      <c r="AY725" s="39" t="s">
        <v>2940</v>
      </c>
      <c r="AZ725" s="39" t="s">
        <v>2952</v>
      </c>
      <c r="BA725" s="35" t="s">
        <v>2967</v>
      </c>
      <c r="BC725" s="36">
        <f t="shared" si="711"/>
        <v>0</v>
      </c>
      <c r="BD725" s="36">
        <f t="shared" si="712"/>
        <v>0</v>
      </c>
      <c r="BE725" s="36">
        <v>0</v>
      </c>
      <c r="BF725" s="36">
        <f>725</f>
        <v>725</v>
      </c>
      <c r="BH725" s="20">
        <f t="shared" si="713"/>
        <v>0</v>
      </c>
      <c r="BI725" s="20">
        <f t="shared" si="714"/>
        <v>0</v>
      </c>
      <c r="BJ725" s="20">
        <f t="shared" si="715"/>
        <v>0</v>
      </c>
      <c r="BK725" s="20" t="s">
        <v>2978</v>
      </c>
      <c r="BL725" s="36" t="s">
        <v>1448</v>
      </c>
    </row>
    <row r="726" spans="1:64" x14ac:dyDescent="0.2">
      <c r="A726" s="4" t="s">
        <v>610</v>
      </c>
      <c r="B726" s="13" t="s">
        <v>1529</v>
      </c>
      <c r="C726" s="174" t="s">
        <v>2531</v>
      </c>
      <c r="D726" s="175"/>
      <c r="E726" s="175"/>
      <c r="F726" s="175"/>
      <c r="G726" s="13" t="s">
        <v>2852</v>
      </c>
      <c r="H726" s="82">
        <v>6</v>
      </c>
      <c r="I726" s="109">
        <v>0</v>
      </c>
      <c r="J726" s="20">
        <f t="shared" si="694"/>
        <v>0</v>
      </c>
      <c r="K726" s="20">
        <f t="shared" si="695"/>
        <v>0</v>
      </c>
      <c r="L726" s="20">
        <f t="shared" si="696"/>
        <v>0</v>
      </c>
      <c r="M726" s="31" t="s">
        <v>2884</v>
      </c>
      <c r="N726" s="5"/>
      <c r="Z726" s="36">
        <f t="shared" si="697"/>
        <v>0</v>
      </c>
      <c r="AB726" s="36">
        <f t="shared" si="698"/>
        <v>0</v>
      </c>
      <c r="AC726" s="36">
        <f t="shared" si="699"/>
        <v>0</v>
      </c>
      <c r="AD726" s="36">
        <f t="shared" si="700"/>
        <v>0</v>
      </c>
      <c r="AE726" s="36">
        <f t="shared" si="701"/>
        <v>0</v>
      </c>
      <c r="AF726" s="36">
        <f t="shared" si="702"/>
        <v>0</v>
      </c>
      <c r="AG726" s="36">
        <f t="shared" si="703"/>
        <v>0</v>
      </c>
      <c r="AH726" s="36">
        <f t="shared" si="704"/>
        <v>0</v>
      </c>
      <c r="AI726" s="35" t="s">
        <v>2894</v>
      </c>
      <c r="AJ726" s="20">
        <f t="shared" si="705"/>
        <v>0</v>
      </c>
      <c r="AK726" s="20">
        <f t="shared" si="706"/>
        <v>0</v>
      </c>
      <c r="AL726" s="20">
        <f t="shared" si="707"/>
        <v>0</v>
      </c>
      <c r="AN726" s="36">
        <v>21</v>
      </c>
      <c r="AO726" s="36">
        <f>I726*0</f>
        <v>0</v>
      </c>
      <c r="AP726" s="36">
        <f>I726*(1-0)</f>
        <v>0</v>
      </c>
      <c r="AQ726" s="37" t="s">
        <v>7</v>
      </c>
      <c r="AV726" s="36">
        <f t="shared" si="708"/>
        <v>0</v>
      </c>
      <c r="AW726" s="36">
        <f t="shared" si="709"/>
        <v>0</v>
      </c>
      <c r="AX726" s="36">
        <f t="shared" si="710"/>
        <v>0</v>
      </c>
      <c r="AY726" s="39" t="s">
        <v>2940</v>
      </c>
      <c r="AZ726" s="39" t="s">
        <v>2952</v>
      </c>
      <c r="BA726" s="35" t="s">
        <v>2967</v>
      </c>
      <c r="BC726" s="36">
        <f t="shared" si="711"/>
        <v>0</v>
      </c>
      <c r="BD726" s="36">
        <f t="shared" si="712"/>
        <v>0</v>
      </c>
      <c r="BE726" s="36">
        <v>0</v>
      </c>
      <c r="BF726" s="36">
        <f>726</f>
        <v>726</v>
      </c>
      <c r="BH726" s="20">
        <f t="shared" si="713"/>
        <v>0</v>
      </c>
      <c r="BI726" s="20">
        <f t="shared" si="714"/>
        <v>0</v>
      </c>
      <c r="BJ726" s="20">
        <f t="shared" si="715"/>
        <v>0</v>
      </c>
      <c r="BK726" s="20" t="s">
        <v>2978</v>
      </c>
      <c r="BL726" s="36" t="s">
        <v>1448</v>
      </c>
    </row>
    <row r="727" spans="1:64" x14ac:dyDescent="0.2">
      <c r="A727" s="86" t="s">
        <v>611</v>
      </c>
      <c r="B727" s="87" t="s">
        <v>1530</v>
      </c>
      <c r="C727" s="184" t="s">
        <v>2532</v>
      </c>
      <c r="D727" s="175"/>
      <c r="E727" s="175"/>
      <c r="F727" s="175"/>
      <c r="G727" s="87" t="s">
        <v>2852</v>
      </c>
      <c r="H727" s="88">
        <v>1</v>
      </c>
      <c r="I727" s="111">
        <v>0</v>
      </c>
      <c r="J727" s="96">
        <f t="shared" si="694"/>
        <v>0</v>
      </c>
      <c r="K727" s="96">
        <f t="shared" si="695"/>
        <v>0</v>
      </c>
      <c r="L727" s="96">
        <f t="shared" si="696"/>
        <v>0</v>
      </c>
      <c r="M727" s="97" t="s">
        <v>2884</v>
      </c>
      <c r="N727" s="5"/>
      <c r="Z727" s="36">
        <f t="shared" si="697"/>
        <v>0</v>
      </c>
      <c r="AB727" s="36">
        <f t="shared" si="698"/>
        <v>0</v>
      </c>
      <c r="AC727" s="36">
        <f t="shared" si="699"/>
        <v>0</v>
      </c>
      <c r="AD727" s="36">
        <f t="shared" si="700"/>
        <v>0</v>
      </c>
      <c r="AE727" s="36">
        <f t="shared" si="701"/>
        <v>0</v>
      </c>
      <c r="AF727" s="36">
        <f t="shared" si="702"/>
        <v>0</v>
      </c>
      <c r="AG727" s="36">
        <f t="shared" si="703"/>
        <v>0</v>
      </c>
      <c r="AH727" s="36">
        <f t="shared" si="704"/>
        <v>0</v>
      </c>
      <c r="AI727" s="35" t="s">
        <v>2894</v>
      </c>
      <c r="AJ727" s="20">
        <f t="shared" si="705"/>
        <v>0</v>
      </c>
      <c r="AK727" s="20">
        <f t="shared" si="706"/>
        <v>0</v>
      </c>
      <c r="AL727" s="20">
        <f t="shared" si="707"/>
        <v>0</v>
      </c>
      <c r="AN727" s="36">
        <v>21</v>
      </c>
      <c r="AO727" s="36">
        <f>I727*1</f>
        <v>0</v>
      </c>
      <c r="AP727" s="36">
        <f>I727*(1-1)</f>
        <v>0</v>
      </c>
      <c r="AQ727" s="37" t="s">
        <v>7</v>
      </c>
      <c r="AV727" s="36">
        <f t="shared" si="708"/>
        <v>0</v>
      </c>
      <c r="AW727" s="36">
        <f t="shared" si="709"/>
        <v>0</v>
      </c>
      <c r="AX727" s="36">
        <f t="shared" si="710"/>
        <v>0</v>
      </c>
      <c r="AY727" s="39" t="s">
        <v>2940</v>
      </c>
      <c r="AZ727" s="39" t="s">
        <v>2952</v>
      </c>
      <c r="BA727" s="35" t="s">
        <v>2967</v>
      </c>
      <c r="BC727" s="36">
        <f t="shared" si="711"/>
        <v>0</v>
      </c>
      <c r="BD727" s="36">
        <f t="shared" si="712"/>
        <v>0</v>
      </c>
      <c r="BE727" s="36">
        <v>0</v>
      </c>
      <c r="BF727" s="36">
        <f>727</f>
        <v>727</v>
      </c>
      <c r="BH727" s="20">
        <f t="shared" si="713"/>
        <v>0</v>
      </c>
      <c r="BI727" s="20">
        <f t="shared" si="714"/>
        <v>0</v>
      </c>
      <c r="BJ727" s="20">
        <f t="shared" si="715"/>
        <v>0</v>
      </c>
      <c r="BK727" s="20" t="s">
        <v>2978</v>
      </c>
      <c r="BL727" s="36" t="s">
        <v>1448</v>
      </c>
    </row>
    <row r="728" spans="1:64" x14ac:dyDescent="0.2">
      <c r="A728" s="4" t="s">
        <v>612</v>
      </c>
      <c r="B728" s="13" t="s">
        <v>1531</v>
      </c>
      <c r="C728" s="174" t="s">
        <v>2533</v>
      </c>
      <c r="D728" s="175"/>
      <c r="E728" s="175"/>
      <c r="F728" s="175"/>
      <c r="G728" s="13" t="s">
        <v>2852</v>
      </c>
      <c r="H728" s="82">
        <v>1</v>
      </c>
      <c r="I728" s="109">
        <v>0</v>
      </c>
      <c r="J728" s="20">
        <f t="shared" si="694"/>
        <v>0</v>
      </c>
      <c r="K728" s="20">
        <f t="shared" si="695"/>
        <v>0</v>
      </c>
      <c r="L728" s="20">
        <f t="shared" si="696"/>
        <v>0</v>
      </c>
      <c r="M728" s="31" t="s">
        <v>2884</v>
      </c>
      <c r="N728" s="5"/>
      <c r="Z728" s="36">
        <f t="shared" si="697"/>
        <v>0</v>
      </c>
      <c r="AB728" s="36">
        <f t="shared" si="698"/>
        <v>0</v>
      </c>
      <c r="AC728" s="36">
        <f t="shared" si="699"/>
        <v>0</v>
      </c>
      <c r="AD728" s="36">
        <f t="shared" si="700"/>
        <v>0</v>
      </c>
      <c r="AE728" s="36">
        <f t="shared" si="701"/>
        <v>0</v>
      </c>
      <c r="AF728" s="36">
        <f t="shared" si="702"/>
        <v>0</v>
      </c>
      <c r="AG728" s="36">
        <f t="shared" si="703"/>
        <v>0</v>
      </c>
      <c r="AH728" s="36">
        <f t="shared" si="704"/>
        <v>0</v>
      </c>
      <c r="AI728" s="35" t="s">
        <v>2894</v>
      </c>
      <c r="AJ728" s="20">
        <f t="shared" si="705"/>
        <v>0</v>
      </c>
      <c r="AK728" s="20">
        <f t="shared" si="706"/>
        <v>0</v>
      </c>
      <c r="AL728" s="20">
        <f t="shared" si="707"/>
        <v>0</v>
      </c>
      <c r="AN728" s="36">
        <v>21</v>
      </c>
      <c r="AO728" s="36">
        <f>I728*0</f>
        <v>0</v>
      </c>
      <c r="AP728" s="36">
        <f>I728*(1-0)</f>
        <v>0</v>
      </c>
      <c r="AQ728" s="37" t="s">
        <v>7</v>
      </c>
      <c r="AV728" s="36">
        <f t="shared" si="708"/>
        <v>0</v>
      </c>
      <c r="AW728" s="36">
        <f t="shared" si="709"/>
        <v>0</v>
      </c>
      <c r="AX728" s="36">
        <f t="shared" si="710"/>
        <v>0</v>
      </c>
      <c r="AY728" s="39" t="s">
        <v>2940</v>
      </c>
      <c r="AZ728" s="39" t="s">
        <v>2952</v>
      </c>
      <c r="BA728" s="35" t="s">
        <v>2967</v>
      </c>
      <c r="BC728" s="36">
        <f t="shared" si="711"/>
        <v>0</v>
      </c>
      <c r="BD728" s="36">
        <f t="shared" si="712"/>
        <v>0</v>
      </c>
      <c r="BE728" s="36">
        <v>0</v>
      </c>
      <c r="BF728" s="36">
        <f>728</f>
        <v>728</v>
      </c>
      <c r="BH728" s="20">
        <f t="shared" si="713"/>
        <v>0</v>
      </c>
      <c r="BI728" s="20">
        <f t="shared" si="714"/>
        <v>0</v>
      </c>
      <c r="BJ728" s="20">
        <f t="shared" si="715"/>
        <v>0</v>
      </c>
      <c r="BK728" s="20" t="s">
        <v>2978</v>
      </c>
      <c r="BL728" s="36" t="s">
        <v>1448</v>
      </c>
    </row>
    <row r="729" spans="1:64" x14ac:dyDescent="0.2">
      <c r="A729" s="86" t="s">
        <v>613</v>
      </c>
      <c r="B729" s="87" t="s">
        <v>1532</v>
      </c>
      <c r="C729" s="184" t="s">
        <v>2533</v>
      </c>
      <c r="D729" s="175"/>
      <c r="E729" s="175"/>
      <c r="F729" s="175"/>
      <c r="G729" s="87" t="s">
        <v>2852</v>
      </c>
      <c r="H729" s="88">
        <v>1</v>
      </c>
      <c r="I729" s="111">
        <v>0</v>
      </c>
      <c r="J729" s="96">
        <f t="shared" si="694"/>
        <v>0</v>
      </c>
      <c r="K729" s="96">
        <f t="shared" si="695"/>
        <v>0</v>
      </c>
      <c r="L729" s="96">
        <f t="shared" si="696"/>
        <v>0</v>
      </c>
      <c r="M729" s="97" t="s">
        <v>2884</v>
      </c>
      <c r="N729" s="5"/>
      <c r="Z729" s="36">
        <f t="shared" si="697"/>
        <v>0</v>
      </c>
      <c r="AB729" s="36">
        <f t="shared" si="698"/>
        <v>0</v>
      </c>
      <c r="AC729" s="36">
        <f t="shared" si="699"/>
        <v>0</v>
      </c>
      <c r="AD729" s="36">
        <f t="shared" si="700"/>
        <v>0</v>
      </c>
      <c r="AE729" s="36">
        <f t="shared" si="701"/>
        <v>0</v>
      </c>
      <c r="AF729" s="36">
        <f t="shared" si="702"/>
        <v>0</v>
      </c>
      <c r="AG729" s="36">
        <f t="shared" si="703"/>
        <v>0</v>
      </c>
      <c r="AH729" s="36">
        <f t="shared" si="704"/>
        <v>0</v>
      </c>
      <c r="AI729" s="35" t="s">
        <v>2894</v>
      </c>
      <c r="AJ729" s="20">
        <f t="shared" si="705"/>
        <v>0</v>
      </c>
      <c r="AK729" s="20">
        <f t="shared" si="706"/>
        <v>0</v>
      </c>
      <c r="AL729" s="20">
        <f t="shared" si="707"/>
        <v>0</v>
      </c>
      <c r="AN729" s="36">
        <v>21</v>
      </c>
      <c r="AO729" s="36">
        <f>I729*1</f>
        <v>0</v>
      </c>
      <c r="AP729" s="36">
        <f>I729*(1-1)</f>
        <v>0</v>
      </c>
      <c r="AQ729" s="37" t="s">
        <v>7</v>
      </c>
      <c r="AV729" s="36">
        <f t="shared" si="708"/>
        <v>0</v>
      </c>
      <c r="AW729" s="36">
        <f t="shared" si="709"/>
        <v>0</v>
      </c>
      <c r="AX729" s="36">
        <f t="shared" si="710"/>
        <v>0</v>
      </c>
      <c r="AY729" s="39" t="s">
        <v>2940</v>
      </c>
      <c r="AZ729" s="39" t="s">
        <v>2952</v>
      </c>
      <c r="BA729" s="35" t="s">
        <v>2967</v>
      </c>
      <c r="BC729" s="36">
        <f t="shared" si="711"/>
        <v>0</v>
      </c>
      <c r="BD729" s="36">
        <f t="shared" si="712"/>
        <v>0</v>
      </c>
      <c r="BE729" s="36">
        <v>0</v>
      </c>
      <c r="BF729" s="36">
        <f>729</f>
        <v>729</v>
      </c>
      <c r="BH729" s="20">
        <f t="shared" si="713"/>
        <v>0</v>
      </c>
      <c r="BI729" s="20">
        <f t="shared" si="714"/>
        <v>0</v>
      </c>
      <c r="BJ729" s="20">
        <f t="shared" si="715"/>
        <v>0</v>
      </c>
      <c r="BK729" s="20" t="s">
        <v>2978</v>
      </c>
      <c r="BL729" s="36" t="s">
        <v>1448</v>
      </c>
    </row>
    <row r="730" spans="1:64" x14ac:dyDescent="0.2">
      <c r="A730" s="4" t="s">
        <v>614</v>
      </c>
      <c r="B730" s="13" t="s">
        <v>1529</v>
      </c>
      <c r="C730" s="174" t="s">
        <v>2534</v>
      </c>
      <c r="D730" s="175"/>
      <c r="E730" s="175"/>
      <c r="F730" s="175"/>
      <c r="G730" s="13" t="s">
        <v>2852</v>
      </c>
      <c r="H730" s="82">
        <v>1</v>
      </c>
      <c r="I730" s="109">
        <v>0</v>
      </c>
      <c r="J730" s="20">
        <f t="shared" si="694"/>
        <v>0</v>
      </c>
      <c r="K730" s="20">
        <f t="shared" si="695"/>
        <v>0</v>
      </c>
      <c r="L730" s="20">
        <f t="shared" si="696"/>
        <v>0</v>
      </c>
      <c r="M730" s="31" t="s">
        <v>2884</v>
      </c>
      <c r="N730" s="5"/>
      <c r="Z730" s="36">
        <f t="shared" si="697"/>
        <v>0</v>
      </c>
      <c r="AB730" s="36">
        <f t="shared" si="698"/>
        <v>0</v>
      </c>
      <c r="AC730" s="36">
        <f t="shared" si="699"/>
        <v>0</v>
      </c>
      <c r="AD730" s="36">
        <f t="shared" si="700"/>
        <v>0</v>
      </c>
      <c r="AE730" s="36">
        <f t="shared" si="701"/>
        <v>0</v>
      </c>
      <c r="AF730" s="36">
        <f t="shared" si="702"/>
        <v>0</v>
      </c>
      <c r="AG730" s="36">
        <f t="shared" si="703"/>
        <v>0</v>
      </c>
      <c r="AH730" s="36">
        <f t="shared" si="704"/>
        <v>0</v>
      </c>
      <c r="AI730" s="35" t="s">
        <v>2894</v>
      </c>
      <c r="AJ730" s="20">
        <f t="shared" si="705"/>
        <v>0</v>
      </c>
      <c r="AK730" s="20">
        <f t="shared" si="706"/>
        <v>0</v>
      </c>
      <c r="AL730" s="20">
        <f t="shared" si="707"/>
        <v>0</v>
      </c>
      <c r="AN730" s="36">
        <v>21</v>
      </c>
      <c r="AO730" s="36">
        <f>I730*0</f>
        <v>0</v>
      </c>
      <c r="AP730" s="36">
        <f>I730*(1-0)</f>
        <v>0</v>
      </c>
      <c r="AQ730" s="37" t="s">
        <v>7</v>
      </c>
      <c r="AV730" s="36">
        <f t="shared" si="708"/>
        <v>0</v>
      </c>
      <c r="AW730" s="36">
        <f t="shared" si="709"/>
        <v>0</v>
      </c>
      <c r="AX730" s="36">
        <f t="shared" si="710"/>
        <v>0</v>
      </c>
      <c r="AY730" s="39" t="s">
        <v>2940</v>
      </c>
      <c r="AZ730" s="39" t="s">
        <v>2952</v>
      </c>
      <c r="BA730" s="35" t="s">
        <v>2967</v>
      </c>
      <c r="BC730" s="36">
        <f t="shared" si="711"/>
        <v>0</v>
      </c>
      <c r="BD730" s="36">
        <f t="shared" si="712"/>
        <v>0</v>
      </c>
      <c r="BE730" s="36">
        <v>0</v>
      </c>
      <c r="BF730" s="36">
        <f>730</f>
        <v>730</v>
      </c>
      <c r="BH730" s="20">
        <f t="shared" si="713"/>
        <v>0</v>
      </c>
      <c r="BI730" s="20">
        <f t="shared" si="714"/>
        <v>0</v>
      </c>
      <c r="BJ730" s="20">
        <f t="shared" si="715"/>
        <v>0</v>
      </c>
      <c r="BK730" s="20" t="s">
        <v>2978</v>
      </c>
      <c r="BL730" s="36" t="s">
        <v>1448</v>
      </c>
    </row>
    <row r="731" spans="1:64" x14ac:dyDescent="0.2">
      <c r="A731" s="86" t="s">
        <v>615</v>
      </c>
      <c r="B731" s="87" t="s">
        <v>1533</v>
      </c>
      <c r="C731" s="184" t="s">
        <v>2535</v>
      </c>
      <c r="D731" s="175"/>
      <c r="E731" s="175"/>
      <c r="F731" s="175"/>
      <c r="G731" s="87" t="s">
        <v>2852</v>
      </c>
      <c r="H731" s="88">
        <v>1</v>
      </c>
      <c r="I731" s="111">
        <v>0</v>
      </c>
      <c r="J731" s="96">
        <f t="shared" si="694"/>
        <v>0</v>
      </c>
      <c r="K731" s="96">
        <f t="shared" si="695"/>
        <v>0</v>
      </c>
      <c r="L731" s="96">
        <f t="shared" si="696"/>
        <v>0</v>
      </c>
      <c r="M731" s="97" t="s">
        <v>2884</v>
      </c>
      <c r="N731" s="5"/>
      <c r="Z731" s="36">
        <f t="shared" si="697"/>
        <v>0</v>
      </c>
      <c r="AB731" s="36">
        <f t="shared" si="698"/>
        <v>0</v>
      </c>
      <c r="AC731" s="36">
        <f t="shared" si="699"/>
        <v>0</v>
      </c>
      <c r="AD731" s="36">
        <f t="shared" si="700"/>
        <v>0</v>
      </c>
      <c r="AE731" s="36">
        <f t="shared" si="701"/>
        <v>0</v>
      </c>
      <c r="AF731" s="36">
        <f t="shared" si="702"/>
        <v>0</v>
      </c>
      <c r="AG731" s="36">
        <f t="shared" si="703"/>
        <v>0</v>
      </c>
      <c r="AH731" s="36">
        <f t="shared" si="704"/>
        <v>0</v>
      </c>
      <c r="AI731" s="35" t="s">
        <v>2894</v>
      </c>
      <c r="AJ731" s="20">
        <f t="shared" si="705"/>
        <v>0</v>
      </c>
      <c r="AK731" s="20">
        <f t="shared" si="706"/>
        <v>0</v>
      </c>
      <c r="AL731" s="20">
        <f t="shared" si="707"/>
        <v>0</v>
      </c>
      <c r="AN731" s="36">
        <v>21</v>
      </c>
      <c r="AO731" s="36">
        <f>I731*1</f>
        <v>0</v>
      </c>
      <c r="AP731" s="36">
        <f>I731*(1-1)</f>
        <v>0</v>
      </c>
      <c r="AQ731" s="37" t="s">
        <v>7</v>
      </c>
      <c r="AV731" s="36">
        <f t="shared" si="708"/>
        <v>0</v>
      </c>
      <c r="AW731" s="36">
        <f t="shared" si="709"/>
        <v>0</v>
      </c>
      <c r="AX731" s="36">
        <f t="shared" si="710"/>
        <v>0</v>
      </c>
      <c r="AY731" s="39" t="s">
        <v>2940</v>
      </c>
      <c r="AZ731" s="39" t="s">
        <v>2952</v>
      </c>
      <c r="BA731" s="35" t="s">
        <v>2967</v>
      </c>
      <c r="BC731" s="36">
        <f t="shared" si="711"/>
        <v>0</v>
      </c>
      <c r="BD731" s="36">
        <f t="shared" si="712"/>
        <v>0</v>
      </c>
      <c r="BE731" s="36">
        <v>0</v>
      </c>
      <c r="BF731" s="36">
        <f>731</f>
        <v>731</v>
      </c>
      <c r="BH731" s="20">
        <f t="shared" si="713"/>
        <v>0</v>
      </c>
      <c r="BI731" s="20">
        <f t="shared" si="714"/>
        <v>0</v>
      </c>
      <c r="BJ731" s="20">
        <f t="shared" si="715"/>
        <v>0</v>
      </c>
      <c r="BK731" s="20" t="s">
        <v>2978</v>
      </c>
      <c r="BL731" s="36" t="s">
        <v>1448</v>
      </c>
    </row>
    <row r="732" spans="1:64" x14ac:dyDescent="0.2">
      <c r="A732" s="4" t="s">
        <v>616</v>
      </c>
      <c r="B732" s="13" t="s">
        <v>1529</v>
      </c>
      <c r="C732" s="174" t="s">
        <v>2536</v>
      </c>
      <c r="D732" s="175"/>
      <c r="E732" s="175"/>
      <c r="F732" s="175"/>
      <c r="G732" s="13" t="s">
        <v>2852</v>
      </c>
      <c r="H732" s="82">
        <v>11</v>
      </c>
      <c r="I732" s="109">
        <v>0</v>
      </c>
      <c r="J732" s="20">
        <f t="shared" si="694"/>
        <v>0</v>
      </c>
      <c r="K732" s="20">
        <f t="shared" si="695"/>
        <v>0</v>
      </c>
      <c r="L732" s="20">
        <f t="shared" si="696"/>
        <v>0</v>
      </c>
      <c r="M732" s="31" t="s">
        <v>2884</v>
      </c>
      <c r="N732" s="5"/>
      <c r="Z732" s="36">
        <f t="shared" si="697"/>
        <v>0</v>
      </c>
      <c r="AB732" s="36">
        <f t="shared" si="698"/>
        <v>0</v>
      </c>
      <c r="AC732" s="36">
        <f t="shared" si="699"/>
        <v>0</v>
      </c>
      <c r="AD732" s="36">
        <f t="shared" si="700"/>
        <v>0</v>
      </c>
      <c r="AE732" s="36">
        <f t="shared" si="701"/>
        <v>0</v>
      </c>
      <c r="AF732" s="36">
        <f t="shared" si="702"/>
        <v>0</v>
      </c>
      <c r="AG732" s="36">
        <f t="shared" si="703"/>
        <v>0</v>
      </c>
      <c r="AH732" s="36">
        <f t="shared" si="704"/>
        <v>0</v>
      </c>
      <c r="AI732" s="35" t="s">
        <v>2894</v>
      </c>
      <c r="AJ732" s="20">
        <f t="shared" si="705"/>
        <v>0</v>
      </c>
      <c r="AK732" s="20">
        <f t="shared" si="706"/>
        <v>0</v>
      </c>
      <c r="AL732" s="20">
        <f t="shared" si="707"/>
        <v>0</v>
      </c>
      <c r="AN732" s="36">
        <v>21</v>
      </c>
      <c r="AO732" s="36">
        <f>I732*0</f>
        <v>0</v>
      </c>
      <c r="AP732" s="36">
        <f>I732*(1-0)</f>
        <v>0</v>
      </c>
      <c r="AQ732" s="37" t="s">
        <v>7</v>
      </c>
      <c r="AV732" s="36">
        <f t="shared" si="708"/>
        <v>0</v>
      </c>
      <c r="AW732" s="36">
        <f t="shared" si="709"/>
        <v>0</v>
      </c>
      <c r="AX732" s="36">
        <f t="shared" si="710"/>
        <v>0</v>
      </c>
      <c r="AY732" s="39" t="s">
        <v>2940</v>
      </c>
      <c r="AZ732" s="39" t="s">
        <v>2952</v>
      </c>
      <c r="BA732" s="35" t="s">
        <v>2967</v>
      </c>
      <c r="BC732" s="36">
        <f t="shared" si="711"/>
        <v>0</v>
      </c>
      <c r="BD732" s="36">
        <f t="shared" si="712"/>
        <v>0</v>
      </c>
      <c r="BE732" s="36">
        <v>0</v>
      </c>
      <c r="BF732" s="36">
        <f>732</f>
        <v>732</v>
      </c>
      <c r="BH732" s="20">
        <f t="shared" si="713"/>
        <v>0</v>
      </c>
      <c r="BI732" s="20">
        <f t="shared" si="714"/>
        <v>0</v>
      </c>
      <c r="BJ732" s="20">
        <f t="shared" si="715"/>
        <v>0</v>
      </c>
      <c r="BK732" s="20" t="s">
        <v>2978</v>
      </c>
      <c r="BL732" s="36" t="s">
        <v>1448</v>
      </c>
    </row>
    <row r="733" spans="1:64" x14ac:dyDescent="0.2">
      <c r="A733" s="86" t="s">
        <v>617</v>
      </c>
      <c r="B733" s="87" t="s">
        <v>1534</v>
      </c>
      <c r="C733" s="184" t="s">
        <v>2537</v>
      </c>
      <c r="D733" s="175"/>
      <c r="E733" s="175"/>
      <c r="F733" s="175"/>
      <c r="G733" s="87" t="s">
        <v>2852</v>
      </c>
      <c r="H733" s="88">
        <v>11</v>
      </c>
      <c r="I733" s="111">
        <v>0</v>
      </c>
      <c r="J733" s="96">
        <f t="shared" si="694"/>
        <v>0</v>
      </c>
      <c r="K733" s="96">
        <f t="shared" si="695"/>
        <v>0</v>
      </c>
      <c r="L733" s="96">
        <f t="shared" si="696"/>
        <v>0</v>
      </c>
      <c r="M733" s="97" t="s">
        <v>2884</v>
      </c>
      <c r="N733" s="5"/>
      <c r="Z733" s="36">
        <f t="shared" si="697"/>
        <v>0</v>
      </c>
      <c r="AB733" s="36">
        <f t="shared" si="698"/>
        <v>0</v>
      </c>
      <c r="AC733" s="36">
        <f t="shared" si="699"/>
        <v>0</v>
      </c>
      <c r="AD733" s="36">
        <f t="shared" si="700"/>
        <v>0</v>
      </c>
      <c r="AE733" s="36">
        <f t="shared" si="701"/>
        <v>0</v>
      </c>
      <c r="AF733" s="36">
        <f t="shared" si="702"/>
        <v>0</v>
      </c>
      <c r="AG733" s="36">
        <f t="shared" si="703"/>
        <v>0</v>
      </c>
      <c r="AH733" s="36">
        <f t="shared" si="704"/>
        <v>0</v>
      </c>
      <c r="AI733" s="35" t="s">
        <v>2894</v>
      </c>
      <c r="AJ733" s="20">
        <f t="shared" si="705"/>
        <v>0</v>
      </c>
      <c r="AK733" s="20">
        <f t="shared" si="706"/>
        <v>0</v>
      </c>
      <c r="AL733" s="20">
        <f t="shared" si="707"/>
        <v>0</v>
      </c>
      <c r="AN733" s="36">
        <v>21</v>
      </c>
      <c r="AO733" s="36">
        <f>I733*1</f>
        <v>0</v>
      </c>
      <c r="AP733" s="36">
        <f>I733*(1-1)</f>
        <v>0</v>
      </c>
      <c r="AQ733" s="37" t="s">
        <v>7</v>
      </c>
      <c r="AV733" s="36">
        <f t="shared" si="708"/>
        <v>0</v>
      </c>
      <c r="AW733" s="36">
        <f t="shared" si="709"/>
        <v>0</v>
      </c>
      <c r="AX733" s="36">
        <f t="shared" si="710"/>
        <v>0</v>
      </c>
      <c r="AY733" s="39" t="s">
        <v>2940</v>
      </c>
      <c r="AZ733" s="39" t="s">
        <v>2952</v>
      </c>
      <c r="BA733" s="35" t="s">
        <v>2967</v>
      </c>
      <c r="BC733" s="36">
        <f t="shared" si="711"/>
        <v>0</v>
      </c>
      <c r="BD733" s="36">
        <f t="shared" si="712"/>
        <v>0</v>
      </c>
      <c r="BE733" s="36">
        <v>0</v>
      </c>
      <c r="BF733" s="36">
        <f>733</f>
        <v>733</v>
      </c>
      <c r="BH733" s="20">
        <f t="shared" si="713"/>
        <v>0</v>
      </c>
      <c r="BI733" s="20">
        <f t="shared" si="714"/>
        <v>0</v>
      </c>
      <c r="BJ733" s="20">
        <f t="shared" si="715"/>
        <v>0</v>
      </c>
      <c r="BK733" s="20" t="s">
        <v>2978</v>
      </c>
      <c r="BL733" s="36" t="s">
        <v>1448</v>
      </c>
    </row>
    <row r="734" spans="1:64" x14ac:dyDescent="0.2">
      <c r="A734" s="4" t="s">
        <v>618</v>
      </c>
      <c r="B734" s="13" t="s">
        <v>1535</v>
      </c>
      <c r="C734" s="174" t="s">
        <v>2538</v>
      </c>
      <c r="D734" s="175"/>
      <c r="E734" s="175"/>
      <c r="F734" s="175"/>
      <c r="G734" s="13" t="s">
        <v>2852</v>
      </c>
      <c r="H734" s="82">
        <v>1</v>
      </c>
      <c r="I734" s="109">
        <v>0</v>
      </c>
      <c r="J734" s="20">
        <f t="shared" si="694"/>
        <v>0</v>
      </c>
      <c r="K734" s="20">
        <f t="shared" si="695"/>
        <v>0</v>
      </c>
      <c r="L734" s="20">
        <f t="shared" si="696"/>
        <v>0</v>
      </c>
      <c r="M734" s="31" t="s">
        <v>2884</v>
      </c>
      <c r="N734" s="5"/>
      <c r="Z734" s="36">
        <f t="shared" si="697"/>
        <v>0</v>
      </c>
      <c r="AB734" s="36">
        <f t="shared" si="698"/>
        <v>0</v>
      </c>
      <c r="AC734" s="36">
        <f t="shared" si="699"/>
        <v>0</v>
      </c>
      <c r="AD734" s="36">
        <f t="shared" si="700"/>
        <v>0</v>
      </c>
      <c r="AE734" s="36">
        <f t="shared" si="701"/>
        <v>0</v>
      </c>
      <c r="AF734" s="36">
        <f t="shared" si="702"/>
        <v>0</v>
      </c>
      <c r="AG734" s="36">
        <f t="shared" si="703"/>
        <v>0</v>
      </c>
      <c r="AH734" s="36">
        <f t="shared" si="704"/>
        <v>0</v>
      </c>
      <c r="AI734" s="35" t="s">
        <v>2894</v>
      </c>
      <c r="AJ734" s="20">
        <f t="shared" si="705"/>
        <v>0</v>
      </c>
      <c r="AK734" s="20">
        <f t="shared" si="706"/>
        <v>0</v>
      </c>
      <c r="AL734" s="20">
        <f t="shared" si="707"/>
        <v>0</v>
      </c>
      <c r="AN734" s="36">
        <v>21</v>
      </c>
      <c r="AO734" s="36">
        <f>I734*0</f>
        <v>0</v>
      </c>
      <c r="AP734" s="36">
        <f>I734*(1-0)</f>
        <v>0</v>
      </c>
      <c r="AQ734" s="37" t="s">
        <v>7</v>
      </c>
      <c r="AV734" s="36">
        <f t="shared" si="708"/>
        <v>0</v>
      </c>
      <c r="AW734" s="36">
        <f t="shared" si="709"/>
        <v>0</v>
      </c>
      <c r="AX734" s="36">
        <f t="shared" si="710"/>
        <v>0</v>
      </c>
      <c r="AY734" s="39" t="s">
        <v>2940</v>
      </c>
      <c r="AZ734" s="39" t="s">
        <v>2952</v>
      </c>
      <c r="BA734" s="35" t="s">
        <v>2967</v>
      </c>
      <c r="BC734" s="36">
        <f t="shared" si="711"/>
        <v>0</v>
      </c>
      <c r="BD734" s="36">
        <f t="shared" si="712"/>
        <v>0</v>
      </c>
      <c r="BE734" s="36">
        <v>0</v>
      </c>
      <c r="BF734" s="36">
        <f>734</f>
        <v>734</v>
      </c>
      <c r="BH734" s="20">
        <f t="shared" si="713"/>
        <v>0</v>
      </c>
      <c r="BI734" s="20">
        <f t="shared" si="714"/>
        <v>0</v>
      </c>
      <c r="BJ734" s="20">
        <f t="shared" si="715"/>
        <v>0</v>
      </c>
      <c r="BK734" s="20" t="s">
        <v>2978</v>
      </c>
      <c r="BL734" s="36" t="s">
        <v>1448</v>
      </c>
    </row>
    <row r="735" spans="1:64" x14ac:dyDescent="0.2">
      <c r="A735" s="86" t="s">
        <v>619</v>
      </c>
      <c r="B735" s="87" t="s">
        <v>1536</v>
      </c>
      <c r="C735" s="184" t="s">
        <v>2538</v>
      </c>
      <c r="D735" s="175"/>
      <c r="E735" s="175"/>
      <c r="F735" s="175"/>
      <c r="G735" s="87" t="s">
        <v>2852</v>
      </c>
      <c r="H735" s="88">
        <v>1</v>
      </c>
      <c r="I735" s="111">
        <v>0</v>
      </c>
      <c r="J735" s="96">
        <f t="shared" si="694"/>
        <v>0</v>
      </c>
      <c r="K735" s="96">
        <f t="shared" si="695"/>
        <v>0</v>
      </c>
      <c r="L735" s="96">
        <f t="shared" si="696"/>
        <v>0</v>
      </c>
      <c r="M735" s="97" t="s">
        <v>2884</v>
      </c>
      <c r="N735" s="5"/>
      <c r="Z735" s="36">
        <f t="shared" si="697"/>
        <v>0</v>
      </c>
      <c r="AB735" s="36">
        <f t="shared" si="698"/>
        <v>0</v>
      </c>
      <c r="AC735" s="36">
        <f t="shared" si="699"/>
        <v>0</v>
      </c>
      <c r="AD735" s="36">
        <f t="shared" si="700"/>
        <v>0</v>
      </c>
      <c r="AE735" s="36">
        <f t="shared" si="701"/>
        <v>0</v>
      </c>
      <c r="AF735" s="36">
        <f t="shared" si="702"/>
        <v>0</v>
      </c>
      <c r="AG735" s="36">
        <f t="shared" si="703"/>
        <v>0</v>
      </c>
      <c r="AH735" s="36">
        <f t="shared" si="704"/>
        <v>0</v>
      </c>
      <c r="AI735" s="35" t="s">
        <v>2894</v>
      </c>
      <c r="AJ735" s="20">
        <f t="shared" si="705"/>
        <v>0</v>
      </c>
      <c r="AK735" s="20">
        <f t="shared" si="706"/>
        <v>0</v>
      </c>
      <c r="AL735" s="20">
        <f t="shared" si="707"/>
        <v>0</v>
      </c>
      <c r="AN735" s="36">
        <v>21</v>
      </c>
      <c r="AO735" s="36">
        <f>I735*1</f>
        <v>0</v>
      </c>
      <c r="AP735" s="36">
        <f>I735*(1-1)</f>
        <v>0</v>
      </c>
      <c r="AQ735" s="37" t="s">
        <v>7</v>
      </c>
      <c r="AV735" s="36">
        <f t="shared" si="708"/>
        <v>0</v>
      </c>
      <c r="AW735" s="36">
        <f t="shared" si="709"/>
        <v>0</v>
      </c>
      <c r="AX735" s="36">
        <f t="shared" si="710"/>
        <v>0</v>
      </c>
      <c r="AY735" s="39" t="s">
        <v>2940</v>
      </c>
      <c r="AZ735" s="39" t="s">
        <v>2952</v>
      </c>
      <c r="BA735" s="35" t="s">
        <v>2967</v>
      </c>
      <c r="BC735" s="36">
        <f t="shared" si="711"/>
        <v>0</v>
      </c>
      <c r="BD735" s="36">
        <f t="shared" si="712"/>
        <v>0</v>
      </c>
      <c r="BE735" s="36">
        <v>0</v>
      </c>
      <c r="BF735" s="36">
        <f>735</f>
        <v>735</v>
      </c>
      <c r="BH735" s="20">
        <f t="shared" si="713"/>
        <v>0</v>
      </c>
      <c r="BI735" s="20">
        <f t="shared" si="714"/>
        <v>0</v>
      </c>
      <c r="BJ735" s="20">
        <f t="shared" si="715"/>
        <v>0</v>
      </c>
      <c r="BK735" s="20" t="s">
        <v>2978</v>
      </c>
      <c r="BL735" s="36" t="s">
        <v>1448</v>
      </c>
    </row>
    <row r="736" spans="1:64" x14ac:dyDescent="0.2">
      <c r="A736" s="4" t="s">
        <v>620</v>
      </c>
      <c r="B736" s="13" t="s">
        <v>1537</v>
      </c>
      <c r="C736" s="174" t="s">
        <v>2539</v>
      </c>
      <c r="D736" s="175"/>
      <c r="E736" s="175"/>
      <c r="F736" s="175"/>
      <c r="G736" s="13" t="s">
        <v>2852</v>
      </c>
      <c r="H736" s="82">
        <v>1</v>
      </c>
      <c r="I736" s="109">
        <v>0</v>
      </c>
      <c r="J736" s="20">
        <f t="shared" si="694"/>
        <v>0</v>
      </c>
      <c r="K736" s="20">
        <f t="shared" si="695"/>
        <v>0</v>
      </c>
      <c r="L736" s="20">
        <f t="shared" si="696"/>
        <v>0</v>
      </c>
      <c r="M736" s="31" t="s">
        <v>2884</v>
      </c>
      <c r="N736" s="5"/>
      <c r="Z736" s="36">
        <f t="shared" si="697"/>
        <v>0</v>
      </c>
      <c r="AB736" s="36">
        <f t="shared" si="698"/>
        <v>0</v>
      </c>
      <c r="AC736" s="36">
        <f t="shared" si="699"/>
        <v>0</v>
      </c>
      <c r="AD736" s="36">
        <f t="shared" si="700"/>
        <v>0</v>
      </c>
      <c r="AE736" s="36">
        <f t="shared" si="701"/>
        <v>0</v>
      </c>
      <c r="AF736" s="36">
        <f t="shared" si="702"/>
        <v>0</v>
      </c>
      <c r="AG736" s="36">
        <f t="shared" si="703"/>
        <v>0</v>
      </c>
      <c r="AH736" s="36">
        <f t="shared" si="704"/>
        <v>0</v>
      </c>
      <c r="AI736" s="35" t="s">
        <v>2894</v>
      </c>
      <c r="AJ736" s="20">
        <f t="shared" si="705"/>
        <v>0</v>
      </c>
      <c r="AK736" s="20">
        <f t="shared" si="706"/>
        <v>0</v>
      </c>
      <c r="AL736" s="20">
        <f t="shared" si="707"/>
        <v>0</v>
      </c>
      <c r="AN736" s="36">
        <v>21</v>
      </c>
      <c r="AO736" s="36">
        <f>I736*0</f>
        <v>0</v>
      </c>
      <c r="AP736" s="36">
        <f>I736*(1-0)</f>
        <v>0</v>
      </c>
      <c r="AQ736" s="37" t="s">
        <v>7</v>
      </c>
      <c r="AV736" s="36">
        <f t="shared" si="708"/>
        <v>0</v>
      </c>
      <c r="AW736" s="36">
        <f t="shared" si="709"/>
        <v>0</v>
      </c>
      <c r="AX736" s="36">
        <f t="shared" si="710"/>
        <v>0</v>
      </c>
      <c r="AY736" s="39" t="s">
        <v>2940</v>
      </c>
      <c r="AZ736" s="39" t="s">
        <v>2952</v>
      </c>
      <c r="BA736" s="35" t="s">
        <v>2967</v>
      </c>
      <c r="BC736" s="36">
        <f t="shared" si="711"/>
        <v>0</v>
      </c>
      <c r="BD736" s="36">
        <f t="shared" si="712"/>
        <v>0</v>
      </c>
      <c r="BE736" s="36">
        <v>0</v>
      </c>
      <c r="BF736" s="36">
        <f>736</f>
        <v>736</v>
      </c>
      <c r="BH736" s="20">
        <f t="shared" si="713"/>
        <v>0</v>
      </c>
      <c r="BI736" s="20">
        <f t="shared" si="714"/>
        <v>0</v>
      </c>
      <c r="BJ736" s="20">
        <f t="shared" si="715"/>
        <v>0</v>
      </c>
      <c r="BK736" s="20" t="s">
        <v>2978</v>
      </c>
      <c r="BL736" s="36" t="s">
        <v>1448</v>
      </c>
    </row>
    <row r="737" spans="1:64" x14ac:dyDescent="0.2">
      <c r="A737" s="86" t="s">
        <v>621</v>
      </c>
      <c r="B737" s="87" t="s">
        <v>1538</v>
      </c>
      <c r="C737" s="184" t="s">
        <v>2539</v>
      </c>
      <c r="D737" s="175"/>
      <c r="E737" s="175"/>
      <c r="F737" s="175"/>
      <c r="G737" s="87" t="s">
        <v>2852</v>
      </c>
      <c r="H737" s="88">
        <v>1</v>
      </c>
      <c r="I737" s="111">
        <v>0</v>
      </c>
      <c r="J737" s="96">
        <f t="shared" si="694"/>
        <v>0</v>
      </c>
      <c r="K737" s="96">
        <f t="shared" si="695"/>
        <v>0</v>
      </c>
      <c r="L737" s="96">
        <f t="shared" si="696"/>
        <v>0</v>
      </c>
      <c r="M737" s="97" t="s">
        <v>2884</v>
      </c>
      <c r="N737" s="5"/>
      <c r="Z737" s="36">
        <f t="shared" si="697"/>
        <v>0</v>
      </c>
      <c r="AB737" s="36">
        <f t="shared" si="698"/>
        <v>0</v>
      </c>
      <c r="AC737" s="36">
        <f t="shared" si="699"/>
        <v>0</v>
      </c>
      <c r="AD737" s="36">
        <f t="shared" si="700"/>
        <v>0</v>
      </c>
      <c r="AE737" s="36">
        <f t="shared" si="701"/>
        <v>0</v>
      </c>
      <c r="AF737" s="36">
        <f t="shared" si="702"/>
        <v>0</v>
      </c>
      <c r="AG737" s="36">
        <f t="shared" si="703"/>
        <v>0</v>
      </c>
      <c r="AH737" s="36">
        <f t="shared" si="704"/>
        <v>0</v>
      </c>
      <c r="AI737" s="35" t="s">
        <v>2894</v>
      </c>
      <c r="AJ737" s="20">
        <f t="shared" si="705"/>
        <v>0</v>
      </c>
      <c r="AK737" s="20">
        <f t="shared" si="706"/>
        <v>0</v>
      </c>
      <c r="AL737" s="20">
        <f t="shared" si="707"/>
        <v>0</v>
      </c>
      <c r="AN737" s="36">
        <v>21</v>
      </c>
      <c r="AO737" s="36">
        <f>I737*1</f>
        <v>0</v>
      </c>
      <c r="AP737" s="36">
        <f>I737*(1-1)</f>
        <v>0</v>
      </c>
      <c r="AQ737" s="37" t="s">
        <v>7</v>
      </c>
      <c r="AV737" s="36">
        <f t="shared" si="708"/>
        <v>0</v>
      </c>
      <c r="AW737" s="36">
        <f t="shared" si="709"/>
        <v>0</v>
      </c>
      <c r="AX737" s="36">
        <f t="shared" si="710"/>
        <v>0</v>
      </c>
      <c r="AY737" s="39" t="s">
        <v>2940</v>
      </c>
      <c r="AZ737" s="39" t="s">
        <v>2952</v>
      </c>
      <c r="BA737" s="35" t="s">
        <v>2967</v>
      </c>
      <c r="BC737" s="36">
        <f t="shared" si="711"/>
        <v>0</v>
      </c>
      <c r="BD737" s="36">
        <f t="shared" si="712"/>
        <v>0</v>
      </c>
      <c r="BE737" s="36">
        <v>0</v>
      </c>
      <c r="BF737" s="36">
        <f>737</f>
        <v>737</v>
      </c>
      <c r="BH737" s="20">
        <f t="shared" si="713"/>
        <v>0</v>
      </c>
      <c r="BI737" s="20">
        <f t="shared" si="714"/>
        <v>0</v>
      </c>
      <c r="BJ737" s="20">
        <f t="shared" si="715"/>
        <v>0</v>
      </c>
      <c r="BK737" s="20" t="s">
        <v>2978</v>
      </c>
      <c r="BL737" s="36" t="s">
        <v>1448</v>
      </c>
    </row>
    <row r="738" spans="1:64" x14ac:dyDescent="0.2">
      <c r="A738" s="4" t="s">
        <v>622</v>
      </c>
      <c r="B738" s="13" t="s">
        <v>1539</v>
      </c>
      <c r="C738" s="174" t="s">
        <v>2540</v>
      </c>
      <c r="D738" s="175"/>
      <c r="E738" s="175"/>
      <c r="F738" s="175"/>
      <c r="G738" s="13" t="s">
        <v>2852</v>
      </c>
      <c r="H738" s="82">
        <v>4</v>
      </c>
      <c r="I738" s="109">
        <v>0</v>
      </c>
      <c r="J738" s="20">
        <f t="shared" si="694"/>
        <v>0</v>
      </c>
      <c r="K738" s="20">
        <f t="shared" si="695"/>
        <v>0</v>
      </c>
      <c r="L738" s="20">
        <f t="shared" si="696"/>
        <v>0</v>
      </c>
      <c r="M738" s="31" t="s">
        <v>2884</v>
      </c>
      <c r="N738" s="5"/>
      <c r="Z738" s="36">
        <f t="shared" si="697"/>
        <v>0</v>
      </c>
      <c r="AB738" s="36">
        <f t="shared" si="698"/>
        <v>0</v>
      </c>
      <c r="AC738" s="36">
        <f t="shared" si="699"/>
        <v>0</v>
      </c>
      <c r="AD738" s="36">
        <f t="shared" si="700"/>
        <v>0</v>
      </c>
      <c r="AE738" s="36">
        <f t="shared" si="701"/>
        <v>0</v>
      </c>
      <c r="AF738" s="36">
        <f t="shared" si="702"/>
        <v>0</v>
      </c>
      <c r="AG738" s="36">
        <f t="shared" si="703"/>
        <v>0</v>
      </c>
      <c r="AH738" s="36">
        <f t="shared" si="704"/>
        <v>0</v>
      </c>
      <c r="AI738" s="35" t="s">
        <v>2894</v>
      </c>
      <c r="AJ738" s="20">
        <f t="shared" si="705"/>
        <v>0</v>
      </c>
      <c r="AK738" s="20">
        <f t="shared" si="706"/>
        <v>0</v>
      </c>
      <c r="AL738" s="20">
        <f t="shared" si="707"/>
        <v>0</v>
      </c>
      <c r="AN738" s="36">
        <v>21</v>
      </c>
      <c r="AO738" s="36">
        <f>I738*0</f>
        <v>0</v>
      </c>
      <c r="AP738" s="36">
        <f>I738*(1-0)</f>
        <v>0</v>
      </c>
      <c r="AQ738" s="37" t="s">
        <v>7</v>
      </c>
      <c r="AV738" s="36">
        <f t="shared" si="708"/>
        <v>0</v>
      </c>
      <c r="AW738" s="36">
        <f t="shared" si="709"/>
        <v>0</v>
      </c>
      <c r="AX738" s="36">
        <f t="shared" si="710"/>
        <v>0</v>
      </c>
      <c r="AY738" s="39" t="s">
        <v>2940</v>
      </c>
      <c r="AZ738" s="39" t="s">
        <v>2952</v>
      </c>
      <c r="BA738" s="35" t="s">
        <v>2967</v>
      </c>
      <c r="BC738" s="36">
        <f t="shared" si="711"/>
        <v>0</v>
      </c>
      <c r="BD738" s="36">
        <f t="shared" si="712"/>
        <v>0</v>
      </c>
      <c r="BE738" s="36">
        <v>0</v>
      </c>
      <c r="BF738" s="36">
        <f>738</f>
        <v>738</v>
      </c>
      <c r="BH738" s="20">
        <f t="shared" si="713"/>
        <v>0</v>
      </c>
      <c r="BI738" s="20">
        <f t="shared" si="714"/>
        <v>0</v>
      </c>
      <c r="BJ738" s="20">
        <f t="shared" si="715"/>
        <v>0</v>
      </c>
      <c r="BK738" s="20" t="s">
        <v>2978</v>
      </c>
      <c r="BL738" s="36" t="s">
        <v>1448</v>
      </c>
    </row>
    <row r="739" spans="1:64" x14ac:dyDescent="0.2">
      <c r="A739" s="86" t="s">
        <v>623</v>
      </c>
      <c r="B739" s="87" t="s">
        <v>1540</v>
      </c>
      <c r="C739" s="184" t="s">
        <v>2540</v>
      </c>
      <c r="D739" s="175"/>
      <c r="E739" s="175"/>
      <c r="F739" s="175"/>
      <c r="G739" s="87" t="s">
        <v>2852</v>
      </c>
      <c r="H739" s="88">
        <v>4</v>
      </c>
      <c r="I739" s="111">
        <v>0</v>
      </c>
      <c r="J739" s="96">
        <f t="shared" ref="J739:J770" si="716">H739*AO739</f>
        <v>0</v>
      </c>
      <c r="K739" s="96">
        <f t="shared" ref="K739:K770" si="717">H739*AP739</f>
        <v>0</v>
      </c>
      <c r="L739" s="96">
        <f t="shared" ref="L739:L770" si="718">H739*I739</f>
        <v>0</v>
      </c>
      <c r="M739" s="97" t="s">
        <v>2884</v>
      </c>
      <c r="N739" s="5"/>
      <c r="Z739" s="36">
        <f t="shared" ref="Z739:Z770" si="719">IF(AQ739="5",BJ739,0)</f>
        <v>0</v>
      </c>
      <c r="AB739" s="36">
        <f t="shared" ref="AB739:AB770" si="720">IF(AQ739="1",BH739,0)</f>
        <v>0</v>
      </c>
      <c r="AC739" s="36">
        <f t="shared" ref="AC739:AC770" si="721">IF(AQ739="1",BI739,0)</f>
        <v>0</v>
      </c>
      <c r="AD739" s="36">
        <f t="shared" ref="AD739:AD770" si="722">IF(AQ739="7",BH739,0)</f>
        <v>0</v>
      </c>
      <c r="AE739" s="36">
        <f t="shared" ref="AE739:AE770" si="723">IF(AQ739="7",BI739,0)</f>
        <v>0</v>
      </c>
      <c r="AF739" s="36">
        <f t="shared" ref="AF739:AF770" si="724">IF(AQ739="2",BH739,0)</f>
        <v>0</v>
      </c>
      <c r="AG739" s="36">
        <f t="shared" ref="AG739:AG770" si="725">IF(AQ739="2",BI739,0)</f>
        <v>0</v>
      </c>
      <c r="AH739" s="36">
        <f t="shared" ref="AH739:AH770" si="726">IF(AQ739="0",BJ739,0)</f>
        <v>0</v>
      </c>
      <c r="AI739" s="35" t="s">
        <v>2894</v>
      </c>
      <c r="AJ739" s="20">
        <f t="shared" ref="AJ739:AJ770" si="727">IF(AN739=0,L739,0)</f>
        <v>0</v>
      </c>
      <c r="AK739" s="20">
        <f t="shared" ref="AK739:AK770" si="728">IF(AN739=15,L739,0)</f>
        <v>0</v>
      </c>
      <c r="AL739" s="20">
        <f t="shared" ref="AL739:AL770" si="729">IF(AN739=21,L739,0)</f>
        <v>0</v>
      </c>
      <c r="AN739" s="36">
        <v>21</v>
      </c>
      <c r="AO739" s="36">
        <f>I739*1</f>
        <v>0</v>
      </c>
      <c r="AP739" s="36">
        <f>I739*(1-1)</f>
        <v>0</v>
      </c>
      <c r="AQ739" s="37" t="s">
        <v>7</v>
      </c>
      <c r="AV739" s="36">
        <f t="shared" ref="AV739:AV770" si="730">AW739+AX739</f>
        <v>0</v>
      </c>
      <c r="AW739" s="36">
        <f t="shared" ref="AW739:AW770" si="731">H739*AO739</f>
        <v>0</v>
      </c>
      <c r="AX739" s="36">
        <f t="shared" ref="AX739:AX770" si="732">H739*AP739</f>
        <v>0</v>
      </c>
      <c r="AY739" s="39" t="s">
        <v>2940</v>
      </c>
      <c r="AZ739" s="39" t="s">
        <v>2952</v>
      </c>
      <c r="BA739" s="35" t="s">
        <v>2967</v>
      </c>
      <c r="BC739" s="36">
        <f t="shared" ref="BC739:BC770" si="733">AW739+AX739</f>
        <v>0</v>
      </c>
      <c r="BD739" s="36">
        <f t="shared" ref="BD739:BD770" si="734">I739/(100-BE739)*100</f>
        <v>0</v>
      </c>
      <c r="BE739" s="36">
        <v>0</v>
      </c>
      <c r="BF739" s="36">
        <f>739</f>
        <v>739</v>
      </c>
      <c r="BH739" s="20">
        <f t="shared" ref="BH739:BH770" si="735">H739*AO739</f>
        <v>0</v>
      </c>
      <c r="BI739" s="20">
        <f t="shared" ref="BI739:BI770" si="736">H739*AP739</f>
        <v>0</v>
      </c>
      <c r="BJ739" s="20">
        <f t="shared" ref="BJ739:BJ770" si="737">H739*I739</f>
        <v>0</v>
      </c>
      <c r="BK739" s="20" t="s">
        <v>2978</v>
      </c>
      <c r="BL739" s="36" t="s">
        <v>1448</v>
      </c>
    </row>
    <row r="740" spans="1:64" x14ac:dyDescent="0.2">
      <c r="A740" s="4" t="s">
        <v>624</v>
      </c>
      <c r="B740" s="13" t="s">
        <v>1541</v>
      </c>
      <c r="C740" s="174" t="s">
        <v>2541</v>
      </c>
      <c r="D740" s="175"/>
      <c r="E740" s="175"/>
      <c r="F740" s="175"/>
      <c r="G740" s="13" t="s">
        <v>2852</v>
      </c>
      <c r="H740" s="82">
        <v>1</v>
      </c>
      <c r="I740" s="109">
        <v>0</v>
      </c>
      <c r="J740" s="20">
        <f t="shared" si="716"/>
        <v>0</v>
      </c>
      <c r="K740" s="20">
        <f t="shared" si="717"/>
        <v>0</v>
      </c>
      <c r="L740" s="20">
        <f t="shared" si="718"/>
        <v>0</v>
      </c>
      <c r="M740" s="31" t="s">
        <v>2884</v>
      </c>
      <c r="N740" s="5"/>
      <c r="Z740" s="36">
        <f t="shared" si="719"/>
        <v>0</v>
      </c>
      <c r="AB740" s="36">
        <f t="shared" si="720"/>
        <v>0</v>
      </c>
      <c r="AC740" s="36">
        <f t="shared" si="721"/>
        <v>0</v>
      </c>
      <c r="AD740" s="36">
        <f t="shared" si="722"/>
        <v>0</v>
      </c>
      <c r="AE740" s="36">
        <f t="shared" si="723"/>
        <v>0</v>
      </c>
      <c r="AF740" s="36">
        <f t="shared" si="724"/>
        <v>0</v>
      </c>
      <c r="AG740" s="36">
        <f t="shared" si="725"/>
        <v>0</v>
      </c>
      <c r="AH740" s="36">
        <f t="shared" si="726"/>
        <v>0</v>
      </c>
      <c r="AI740" s="35" t="s">
        <v>2894</v>
      </c>
      <c r="AJ740" s="20">
        <f t="shared" si="727"/>
        <v>0</v>
      </c>
      <c r="AK740" s="20">
        <f t="shared" si="728"/>
        <v>0</v>
      </c>
      <c r="AL740" s="20">
        <f t="shared" si="729"/>
        <v>0</v>
      </c>
      <c r="AN740" s="36">
        <v>21</v>
      </c>
      <c r="AO740" s="36">
        <f>I740*0</f>
        <v>0</v>
      </c>
      <c r="AP740" s="36">
        <f>I740*(1-0)</f>
        <v>0</v>
      </c>
      <c r="AQ740" s="37" t="s">
        <v>7</v>
      </c>
      <c r="AV740" s="36">
        <f t="shared" si="730"/>
        <v>0</v>
      </c>
      <c r="AW740" s="36">
        <f t="shared" si="731"/>
        <v>0</v>
      </c>
      <c r="AX740" s="36">
        <f t="shared" si="732"/>
        <v>0</v>
      </c>
      <c r="AY740" s="39" t="s">
        <v>2940</v>
      </c>
      <c r="AZ740" s="39" t="s">
        <v>2952</v>
      </c>
      <c r="BA740" s="35" t="s">
        <v>2967</v>
      </c>
      <c r="BC740" s="36">
        <f t="shared" si="733"/>
        <v>0</v>
      </c>
      <c r="BD740" s="36">
        <f t="shared" si="734"/>
        <v>0</v>
      </c>
      <c r="BE740" s="36">
        <v>0</v>
      </c>
      <c r="BF740" s="36">
        <f>740</f>
        <v>740</v>
      </c>
      <c r="BH740" s="20">
        <f t="shared" si="735"/>
        <v>0</v>
      </c>
      <c r="BI740" s="20">
        <f t="shared" si="736"/>
        <v>0</v>
      </c>
      <c r="BJ740" s="20">
        <f t="shared" si="737"/>
        <v>0</v>
      </c>
      <c r="BK740" s="20" t="s">
        <v>2978</v>
      </c>
      <c r="BL740" s="36" t="s">
        <v>1448</v>
      </c>
    </row>
    <row r="741" spans="1:64" x14ac:dyDescent="0.2">
      <c r="A741" s="86" t="s">
        <v>625</v>
      </c>
      <c r="B741" s="87" t="s">
        <v>1542</v>
      </c>
      <c r="C741" s="184" t="s">
        <v>2541</v>
      </c>
      <c r="D741" s="175"/>
      <c r="E741" s="175"/>
      <c r="F741" s="175"/>
      <c r="G741" s="87" t="s">
        <v>2852</v>
      </c>
      <c r="H741" s="88">
        <v>1</v>
      </c>
      <c r="I741" s="111">
        <v>0</v>
      </c>
      <c r="J741" s="96">
        <f t="shared" si="716"/>
        <v>0</v>
      </c>
      <c r="K741" s="96">
        <f t="shared" si="717"/>
        <v>0</v>
      </c>
      <c r="L741" s="96">
        <f t="shared" si="718"/>
        <v>0</v>
      </c>
      <c r="M741" s="97" t="s">
        <v>2884</v>
      </c>
      <c r="N741" s="5"/>
      <c r="Z741" s="36">
        <f t="shared" si="719"/>
        <v>0</v>
      </c>
      <c r="AB741" s="36">
        <f t="shared" si="720"/>
        <v>0</v>
      </c>
      <c r="AC741" s="36">
        <f t="shared" si="721"/>
        <v>0</v>
      </c>
      <c r="AD741" s="36">
        <f t="shared" si="722"/>
        <v>0</v>
      </c>
      <c r="AE741" s="36">
        <f t="shared" si="723"/>
        <v>0</v>
      </c>
      <c r="AF741" s="36">
        <f t="shared" si="724"/>
        <v>0</v>
      </c>
      <c r="AG741" s="36">
        <f t="shared" si="725"/>
        <v>0</v>
      </c>
      <c r="AH741" s="36">
        <f t="shared" si="726"/>
        <v>0</v>
      </c>
      <c r="AI741" s="35" t="s">
        <v>2894</v>
      </c>
      <c r="AJ741" s="20">
        <f t="shared" si="727"/>
        <v>0</v>
      </c>
      <c r="AK741" s="20">
        <f t="shared" si="728"/>
        <v>0</v>
      </c>
      <c r="AL741" s="20">
        <f t="shared" si="729"/>
        <v>0</v>
      </c>
      <c r="AN741" s="36">
        <v>21</v>
      </c>
      <c r="AO741" s="36">
        <f>I741*1</f>
        <v>0</v>
      </c>
      <c r="AP741" s="36">
        <f>I741*(1-1)</f>
        <v>0</v>
      </c>
      <c r="AQ741" s="37" t="s">
        <v>7</v>
      </c>
      <c r="AV741" s="36">
        <f t="shared" si="730"/>
        <v>0</v>
      </c>
      <c r="AW741" s="36">
        <f t="shared" si="731"/>
        <v>0</v>
      </c>
      <c r="AX741" s="36">
        <f t="shared" si="732"/>
        <v>0</v>
      </c>
      <c r="AY741" s="39" t="s">
        <v>2940</v>
      </c>
      <c r="AZ741" s="39" t="s">
        <v>2952</v>
      </c>
      <c r="BA741" s="35" t="s">
        <v>2967</v>
      </c>
      <c r="BC741" s="36">
        <f t="shared" si="733"/>
        <v>0</v>
      </c>
      <c r="BD741" s="36">
        <f t="shared" si="734"/>
        <v>0</v>
      </c>
      <c r="BE741" s="36">
        <v>0</v>
      </c>
      <c r="BF741" s="36">
        <f>741</f>
        <v>741</v>
      </c>
      <c r="BH741" s="20">
        <f t="shared" si="735"/>
        <v>0</v>
      </c>
      <c r="BI741" s="20">
        <f t="shared" si="736"/>
        <v>0</v>
      </c>
      <c r="BJ741" s="20">
        <f t="shared" si="737"/>
        <v>0</v>
      </c>
      <c r="BK741" s="20" t="s">
        <v>2978</v>
      </c>
      <c r="BL741" s="36" t="s">
        <v>1448</v>
      </c>
    </row>
    <row r="742" spans="1:64" x14ac:dyDescent="0.2">
      <c r="A742" s="4" t="s">
        <v>626</v>
      </c>
      <c r="B742" s="13" t="s">
        <v>1543</v>
      </c>
      <c r="C742" s="174" t="s">
        <v>2542</v>
      </c>
      <c r="D742" s="175"/>
      <c r="E742" s="175"/>
      <c r="F742" s="175"/>
      <c r="G742" s="13" t="s">
        <v>2852</v>
      </c>
      <c r="H742" s="82">
        <v>1</v>
      </c>
      <c r="I742" s="109">
        <v>0</v>
      </c>
      <c r="J742" s="20">
        <f t="shared" si="716"/>
        <v>0</v>
      </c>
      <c r="K742" s="20">
        <f t="shared" si="717"/>
        <v>0</v>
      </c>
      <c r="L742" s="20">
        <f t="shared" si="718"/>
        <v>0</v>
      </c>
      <c r="M742" s="31" t="s">
        <v>2884</v>
      </c>
      <c r="N742" s="5"/>
      <c r="Z742" s="36">
        <f t="shared" si="719"/>
        <v>0</v>
      </c>
      <c r="AB742" s="36">
        <f t="shared" si="720"/>
        <v>0</v>
      </c>
      <c r="AC742" s="36">
        <f t="shared" si="721"/>
        <v>0</v>
      </c>
      <c r="AD742" s="36">
        <f t="shared" si="722"/>
        <v>0</v>
      </c>
      <c r="AE742" s="36">
        <f t="shared" si="723"/>
        <v>0</v>
      </c>
      <c r="AF742" s="36">
        <f t="shared" si="724"/>
        <v>0</v>
      </c>
      <c r="AG742" s="36">
        <f t="shared" si="725"/>
        <v>0</v>
      </c>
      <c r="AH742" s="36">
        <f t="shared" si="726"/>
        <v>0</v>
      </c>
      <c r="AI742" s="35" t="s">
        <v>2894</v>
      </c>
      <c r="AJ742" s="20">
        <f t="shared" si="727"/>
        <v>0</v>
      </c>
      <c r="AK742" s="20">
        <f t="shared" si="728"/>
        <v>0</v>
      </c>
      <c r="AL742" s="20">
        <f t="shared" si="729"/>
        <v>0</v>
      </c>
      <c r="AN742" s="36">
        <v>21</v>
      </c>
      <c r="AO742" s="36">
        <f>I742*0</f>
        <v>0</v>
      </c>
      <c r="AP742" s="36">
        <f>I742*(1-0)</f>
        <v>0</v>
      </c>
      <c r="AQ742" s="37" t="s">
        <v>7</v>
      </c>
      <c r="AV742" s="36">
        <f t="shared" si="730"/>
        <v>0</v>
      </c>
      <c r="AW742" s="36">
        <f t="shared" si="731"/>
        <v>0</v>
      </c>
      <c r="AX742" s="36">
        <f t="shared" si="732"/>
        <v>0</v>
      </c>
      <c r="AY742" s="39" t="s">
        <v>2940</v>
      </c>
      <c r="AZ742" s="39" t="s">
        <v>2952</v>
      </c>
      <c r="BA742" s="35" t="s">
        <v>2967</v>
      </c>
      <c r="BC742" s="36">
        <f t="shared" si="733"/>
        <v>0</v>
      </c>
      <c r="BD742" s="36">
        <f t="shared" si="734"/>
        <v>0</v>
      </c>
      <c r="BE742" s="36">
        <v>0</v>
      </c>
      <c r="BF742" s="36">
        <f>742</f>
        <v>742</v>
      </c>
      <c r="BH742" s="20">
        <f t="shared" si="735"/>
        <v>0</v>
      </c>
      <c r="BI742" s="20">
        <f t="shared" si="736"/>
        <v>0</v>
      </c>
      <c r="BJ742" s="20">
        <f t="shared" si="737"/>
        <v>0</v>
      </c>
      <c r="BK742" s="20" t="s">
        <v>2978</v>
      </c>
      <c r="BL742" s="36" t="s">
        <v>1448</v>
      </c>
    </row>
    <row r="743" spans="1:64" x14ac:dyDescent="0.2">
      <c r="A743" s="86" t="s">
        <v>627</v>
      </c>
      <c r="B743" s="87" t="s">
        <v>1544</v>
      </c>
      <c r="C743" s="184" t="s">
        <v>2542</v>
      </c>
      <c r="D743" s="175"/>
      <c r="E743" s="175"/>
      <c r="F743" s="175"/>
      <c r="G743" s="87" t="s">
        <v>2852</v>
      </c>
      <c r="H743" s="88">
        <v>1</v>
      </c>
      <c r="I743" s="111">
        <v>0</v>
      </c>
      <c r="J743" s="96">
        <f t="shared" si="716"/>
        <v>0</v>
      </c>
      <c r="K743" s="96">
        <f t="shared" si="717"/>
        <v>0</v>
      </c>
      <c r="L743" s="96">
        <f t="shared" si="718"/>
        <v>0</v>
      </c>
      <c r="M743" s="97" t="s">
        <v>2884</v>
      </c>
      <c r="N743" s="5"/>
      <c r="Z743" s="36">
        <f t="shared" si="719"/>
        <v>0</v>
      </c>
      <c r="AB743" s="36">
        <f t="shared" si="720"/>
        <v>0</v>
      </c>
      <c r="AC743" s="36">
        <f t="shared" si="721"/>
        <v>0</v>
      </c>
      <c r="AD743" s="36">
        <f t="shared" si="722"/>
        <v>0</v>
      </c>
      <c r="AE743" s="36">
        <f t="shared" si="723"/>
        <v>0</v>
      </c>
      <c r="AF743" s="36">
        <f t="shared" si="724"/>
        <v>0</v>
      </c>
      <c r="AG743" s="36">
        <f t="shared" si="725"/>
        <v>0</v>
      </c>
      <c r="AH743" s="36">
        <f t="shared" si="726"/>
        <v>0</v>
      </c>
      <c r="AI743" s="35" t="s">
        <v>2894</v>
      </c>
      <c r="AJ743" s="20">
        <f t="shared" si="727"/>
        <v>0</v>
      </c>
      <c r="AK743" s="20">
        <f t="shared" si="728"/>
        <v>0</v>
      </c>
      <c r="AL743" s="20">
        <f t="shared" si="729"/>
        <v>0</v>
      </c>
      <c r="AN743" s="36">
        <v>21</v>
      </c>
      <c r="AO743" s="36">
        <f>I743*1</f>
        <v>0</v>
      </c>
      <c r="AP743" s="36">
        <f>I743*(1-1)</f>
        <v>0</v>
      </c>
      <c r="AQ743" s="37" t="s">
        <v>7</v>
      </c>
      <c r="AV743" s="36">
        <f t="shared" si="730"/>
        <v>0</v>
      </c>
      <c r="AW743" s="36">
        <f t="shared" si="731"/>
        <v>0</v>
      </c>
      <c r="AX743" s="36">
        <f t="shared" si="732"/>
        <v>0</v>
      </c>
      <c r="AY743" s="39" t="s">
        <v>2940</v>
      </c>
      <c r="AZ743" s="39" t="s">
        <v>2952</v>
      </c>
      <c r="BA743" s="35" t="s">
        <v>2967</v>
      </c>
      <c r="BC743" s="36">
        <f t="shared" si="733"/>
        <v>0</v>
      </c>
      <c r="BD743" s="36">
        <f t="shared" si="734"/>
        <v>0</v>
      </c>
      <c r="BE743" s="36">
        <v>0</v>
      </c>
      <c r="BF743" s="36">
        <f>743</f>
        <v>743</v>
      </c>
      <c r="BH743" s="20">
        <f t="shared" si="735"/>
        <v>0</v>
      </c>
      <c r="BI743" s="20">
        <f t="shared" si="736"/>
        <v>0</v>
      </c>
      <c r="BJ743" s="20">
        <f t="shared" si="737"/>
        <v>0</v>
      </c>
      <c r="BK743" s="20" t="s">
        <v>2978</v>
      </c>
      <c r="BL743" s="36" t="s">
        <v>1448</v>
      </c>
    </row>
    <row r="744" spans="1:64" x14ac:dyDescent="0.2">
      <c r="A744" s="4" t="s">
        <v>628</v>
      </c>
      <c r="B744" s="13" t="s">
        <v>1545</v>
      </c>
      <c r="C744" s="174" t="s">
        <v>2543</v>
      </c>
      <c r="D744" s="175"/>
      <c r="E744" s="175"/>
      <c r="F744" s="175"/>
      <c r="G744" s="13" t="s">
        <v>2852</v>
      </c>
      <c r="H744" s="82">
        <v>9</v>
      </c>
      <c r="I744" s="109">
        <v>0</v>
      </c>
      <c r="J744" s="20">
        <f t="shared" si="716"/>
        <v>0</v>
      </c>
      <c r="K744" s="20">
        <f t="shared" si="717"/>
        <v>0</v>
      </c>
      <c r="L744" s="20">
        <f t="shared" si="718"/>
        <v>0</v>
      </c>
      <c r="M744" s="31" t="s">
        <v>2884</v>
      </c>
      <c r="N744" s="5"/>
      <c r="Z744" s="36">
        <f t="shared" si="719"/>
        <v>0</v>
      </c>
      <c r="AB744" s="36">
        <f t="shared" si="720"/>
        <v>0</v>
      </c>
      <c r="AC744" s="36">
        <f t="shared" si="721"/>
        <v>0</v>
      </c>
      <c r="AD744" s="36">
        <f t="shared" si="722"/>
        <v>0</v>
      </c>
      <c r="AE744" s="36">
        <f t="shared" si="723"/>
        <v>0</v>
      </c>
      <c r="AF744" s="36">
        <f t="shared" si="724"/>
        <v>0</v>
      </c>
      <c r="AG744" s="36">
        <f t="shared" si="725"/>
        <v>0</v>
      </c>
      <c r="AH744" s="36">
        <f t="shared" si="726"/>
        <v>0</v>
      </c>
      <c r="AI744" s="35" t="s">
        <v>2894</v>
      </c>
      <c r="AJ744" s="20">
        <f t="shared" si="727"/>
        <v>0</v>
      </c>
      <c r="AK744" s="20">
        <f t="shared" si="728"/>
        <v>0</v>
      </c>
      <c r="AL744" s="20">
        <f t="shared" si="729"/>
        <v>0</v>
      </c>
      <c r="AN744" s="36">
        <v>21</v>
      </c>
      <c r="AO744" s="36">
        <f>I744*0</f>
        <v>0</v>
      </c>
      <c r="AP744" s="36">
        <f>I744*(1-0)</f>
        <v>0</v>
      </c>
      <c r="AQ744" s="37" t="s">
        <v>7</v>
      </c>
      <c r="AV744" s="36">
        <f t="shared" si="730"/>
        <v>0</v>
      </c>
      <c r="AW744" s="36">
        <f t="shared" si="731"/>
        <v>0</v>
      </c>
      <c r="AX744" s="36">
        <f t="shared" si="732"/>
        <v>0</v>
      </c>
      <c r="AY744" s="39" t="s">
        <v>2940</v>
      </c>
      <c r="AZ744" s="39" t="s">
        <v>2952</v>
      </c>
      <c r="BA744" s="35" t="s">
        <v>2967</v>
      </c>
      <c r="BC744" s="36">
        <f t="shared" si="733"/>
        <v>0</v>
      </c>
      <c r="BD744" s="36">
        <f t="shared" si="734"/>
        <v>0</v>
      </c>
      <c r="BE744" s="36">
        <v>0</v>
      </c>
      <c r="BF744" s="36">
        <f>744</f>
        <v>744</v>
      </c>
      <c r="BH744" s="20">
        <f t="shared" si="735"/>
        <v>0</v>
      </c>
      <c r="BI744" s="20">
        <f t="shared" si="736"/>
        <v>0</v>
      </c>
      <c r="BJ744" s="20">
        <f t="shared" si="737"/>
        <v>0</v>
      </c>
      <c r="BK744" s="20" t="s">
        <v>2978</v>
      </c>
      <c r="BL744" s="36" t="s">
        <v>1448</v>
      </c>
    </row>
    <row r="745" spans="1:64" x14ac:dyDescent="0.2">
      <c r="A745" s="86" t="s">
        <v>629</v>
      </c>
      <c r="B745" s="87" t="s">
        <v>1546</v>
      </c>
      <c r="C745" s="184" t="s">
        <v>2543</v>
      </c>
      <c r="D745" s="175"/>
      <c r="E745" s="175"/>
      <c r="F745" s="175"/>
      <c r="G745" s="87" t="s">
        <v>2852</v>
      </c>
      <c r="H745" s="88">
        <v>9</v>
      </c>
      <c r="I745" s="111">
        <v>0</v>
      </c>
      <c r="J745" s="96">
        <f t="shared" si="716"/>
        <v>0</v>
      </c>
      <c r="K745" s="96">
        <f t="shared" si="717"/>
        <v>0</v>
      </c>
      <c r="L745" s="96">
        <f t="shared" si="718"/>
        <v>0</v>
      </c>
      <c r="M745" s="97" t="s">
        <v>2884</v>
      </c>
      <c r="N745" s="5"/>
      <c r="Z745" s="36">
        <f t="shared" si="719"/>
        <v>0</v>
      </c>
      <c r="AB745" s="36">
        <f t="shared" si="720"/>
        <v>0</v>
      </c>
      <c r="AC745" s="36">
        <f t="shared" si="721"/>
        <v>0</v>
      </c>
      <c r="AD745" s="36">
        <f t="shared" si="722"/>
        <v>0</v>
      </c>
      <c r="AE745" s="36">
        <f t="shared" si="723"/>
        <v>0</v>
      </c>
      <c r="AF745" s="36">
        <f t="shared" si="724"/>
        <v>0</v>
      </c>
      <c r="AG745" s="36">
        <f t="shared" si="725"/>
        <v>0</v>
      </c>
      <c r="AH745" s="36">
        <f t="shared" si="726"/>
        <v>0</v>
      </c>
      <c r="AI745" s="35" t="s">
        <v>2894</v>
      </c>
      <c r="AJ745" s="20">
        <f t="shared" si="727"/>
        <v>0</v>
      </c>
      <c r="AK745" s="20">
        <f t="shared" si="728"/>
        <v>0</v>
      </c>
      <c r="AL745" s="20">
        <f t="shared" si="729"/>
        <v>0</v>
      </c>
      <c r="AN745" s="36">
        <v>21</v>
      </c>
      <c r="AO745" s="36">
        <f>I745*1</f>
        <v>0</v>
      </c>
      <c r="AP745" s="36">
        <f>I745*(1-1)</f>
        <v>0</v>
      </c>
      <c r="AQ745" s="37" t="s">
        <v>7</v>
      </c>
      <c r="AV745" s="36">
        <f t="shared" si="730"/>
        <v>0</v>
      </c>
      <c r="AW745" s="36">
        <f t="shared" si="731"/>
        <v>0</v>
      </c>
      <c r="AX745" s="36">
        <f t="shared" si="732"/>
        <v>0</v>
      </c>
      <c r="AY745" s="39" t="s">
        <v>2940</v>
      </c>
      <c r="AZ745" s="39" t="s">
        <v>2952</v>
      </c>
      <c r="BA745" s="35" t="s">
        <v>2967</v>
      </c>
      <c r="BC745" s="36">
        <f t="shared" si="733"/>
        <v>0</v>
      </c>
      <c r="BD745" s="36">
        <f t="shared" si="734"/>
        <v>0</v>
      </c>
      <c r="BE745" s="36">
        <v>0</v>
      </c>
      <c r="BF745" s="36">
        <f>745</f>
        <v>745</v>
      </c>
      <c r="BH745" s="20">
        <f t="shared" si="735"/>
        <v>0</v>
      </c>
      <c r="BI745" s="20">
        <f t="shared" si="736"/>
        <v>0</v>
      </c>
      <c r="BJ745" s="20">
        <f t="shared" si="737"/>
        <v>0</v>
      </c>
      <c r="BK745" s="20" t="s">
        <v>2978</v>
      </c>
      <c r="BL745" s="36" t="s">
        <v>1448</v>
      </c>
    </row>
    <row r="746" spans="1:64" x14ac:dyDescent="0.2">
      <c r="A746" s="4" t="s">
        <v>630</v>
      </c>
      <c r="B746" s="13" t="s">
        <v>1547</v>
      </c>
      <c r="C746" s="174" t="s">
        <v>2544</v>
      </c>
      <c r="D746" s="175"/>
      <c r="E746" s="175"/>
      <c r="F746" s="175"/>
      <c r="G746" s="13" t="s">
        <v>2852</v>
      </c>
      <c r="H746" s="82">
        <v>1</v>
      </c>
      <c r="I746" s="109">
        <v>0</v>
      </c>
      <c r="J746" s="20">
        <f t="shared" si="716"/>
        <v>0</v>
      </c>
      <c r="K746" s="20">
        <f t="shared" si="717"/>
        <v>0</v>
      </c>
      <c r="L746" s="20">
        <f t="shared" si="718"/>
        <v>0</v>
      </c>
      <c r="M746" s="31" t="s">
        <v>2884</v>
      </c>
      <c r="N746" s="5"/>
      <c r="Z746" s="36">
        <f t="shared" si="719"/>
        <v>0</v>
      </c>
      <c r="AB746" s="36">
        <f t="shared" si="720"/>
        <v>0</v>
      </c>
      <c r="AC746" s="36">
        <f t="shared" si="721"/>
        <v>0</v>
      </c>
      <c r="AD746" s="36">
        <f t="shared" si="722"/>
        <v>0</v>
      </c>
      <c r="AE746" s="36">
        <f t="shared" si="723"/>
        <v>0</v>
      </c>
      <c r="AF746" s="36">
        <f t="shared" si="724"/>
        <v>0</v>
      </c>
      <c r="AG746" s="36">
        <f t="shared" si="725"/>
        <v>0</v>
      </c>
      <c r="AH746" s="36">
        <f t="shared" si="726"/>
        <v>0</v>
      </c>
      <c r="AI746" s="35" t="s">
        <v>2894</v>
      </c>
      <c r="AJ746" s="20">
        <f t="shared" si="727"/>
        <v>0</v>
      </c>
      <c r="AK746" s="20">
        <f t="shared" si="728"/>
        <v>0</v>
      </c>
      <c r="AL746" s="20">
        <f t="shared" si="729"/>
        <v>0</v>
      </c>
      <c r="AN746" s="36">
        <v>21</v>
      </c>
      <c r="AO746" s="36">
        <f>I746*0</f>
        <v>0</v>
      </c>
      <c r="AP746" s="36">
        <f>I746*(1-0)</f>
        <v>0</v>
      </c>
      <c r="AQ746" s="37" t="s">
        <v>7</v>
      </c>
      <c r="AV746" s="36">
        <f t="shared" si="730"/>
        <v>0</v>
      </c>
      <c r="AW746" s="36">
        <f t="shared" si="731"/>
        <v>0</v>
      </c>
      <c r="AX746" s="36">
        <f t="shared" si="732"/>
        <v>0</v>
      </c>
      <c r="AY746" s="39" t="s">
        <v>2940</v>
      </c>
      <c r="AZ746" s="39" t="s">
        <v>2952</v>
      </c>
      <c r="BA746" s="35" t="s">
        <v>2967</v>
      </c>
      <c r="BC746" s="36">
        <f t="shared" si="733"/>
        <v>0</v>
      </c>
      <c r="BD746" s="36">
        <f t="shared" si="734"/>
        <v>0</v>
      </c>
      <c r="BE746" s="36">
        <v>0</v>
      </c>
      <c r="BF746" s="36">
        <f>746</f>
        <v>746</v>
      </c>
      <c r="BH746" s="20">
        <f t="shared" si="735"/>
        <v>0</v>
      </c>
      <c r="BI746" s="20">
        <f t="shared" si="736"/>
        <v>0</v>
      </c>
      <c r="BJ746" s="20">
        <f t="shared" si="737"/>
        <v>0</v>
      </c>
      <c r="BK746" s="20" t="s">
        <v>2978</v>
      </c>
      <c r="BL746" s="36" t="s">
        <v>1448</v>
      </c>
    </row>
    <row r="747" spans="1:64" x14ac:dyDescent="0.2">
      <c r="A747" s="86" t="s">
        <v>631</v>
      </c>
      <c r="B747" s="87" t="s">
        <v>1548</v>
      </c>
      <c r="C747" s="184" t="s">
        <v>2545</v>
      </c>
      <c r="D747" s="175"/>
      <c r="E747" s="175"/>
      <c r="F747" s="175"/>
      <c r="G747" s="87" t="s">
        <v>2852</v>
      </c>
      <c r="H747" s="88">
        <v>1</v>
      </c>
      <c r="I747" s="111">
        <v>0</v>
      </c>
      <c r="J747" s="96">
        <f t="shared" si="716"/>
        <v>0</v>
      </c>
      <c r="K747" s="96">
        <f t="shared" si="717"/>
        <v>0</v>
      </c>
      <c r="L747" s="96">
        <f t="shared" si="718"/>
        <v>0</v>
      </c>
      <c r="M747" s="97" t="s">
        <v>2884</v>
      </c>
      <c r="N747" s="5"/>
      <c r="Z747" s="36">
        <f t="shared" si="719"/>
        <v>0</v>
      </c>
      <c r="AB747" s="36">
        <f t="shared" si="720"/>
        <v>0</v>
      </c>
      <c r="AC747" s="36">
        <f t="shared" si="721"/>
        <v>0</v>
      </c>
      <c r="AD747" s="36">
        <f t="shared" si="722"/>
        <v>0</v>
      </c>
      <c r="AE747" s="36">
        <f t="shared" si="723"/>
        <v>0</v>
      </c>
      <c r="AF747" s="36">
        <f t="shared" si="724"/>
        <v>0</v>
      </c>
      <c r="AG747" s="36">
        <f t="shared" si="725"/>
        <v>0</v>
      </c>
      <c r="AH747" s="36">
        <f t="shared" si="726"/>
        <v>0</v>
      </c>
      <c r="AI747" s="35" t="s">
        <v>2894</v>
      </c>
      <c r="AJ747" s="20">
        <f t="shared" si="727"/>
        <v>0</v>
      </c>
      <c r="AK747" s="20">
        <f t="shared" si="728"/>
        <v>0</v>
      </c>
      <c r="AL747" s="20">
        <f t="shared" si="729"/>
        <v>0</v>
      </c>
      <c r="AN747" s="36">
        <v>21</v>
      </c>
      <c r="AO747" s="36">
        <f>I747*1</f>
        <v>0</v>
      </c>
      <c r="AP747" s="36">
        <f>I747*(1-1)</f>
        <v>0</v>
      </c>
      <c r="AQ747" s="37" t="s">
        <v>7</v>
      </c>
      <c r="AV747" s="36">
        <f t="shared" si="730"/>
        <v>0</v>
      </c>
      <c r="AW747" s="36">
        <f t="shared" si="731"/>
        <v>0</v>
      </c>
      <c r="AX747" s="36">
        <f t="shared" si="732"/>
        <v>0</v>
      </c>
      <c r="AY747" s="39" t="s">
        <v>2940</v>
      </c>
      <c r="AZ747" s="39" t="s">
        <v>2952</v>
      </c>
      <c r="BA747" s="35" t="s">
        <v>2967</v>
      </c>
      <c r="BC747" s="36">
        <f t="shared" si="733"/>
        <v>0</v>
      </c>
      <c r="BD747" s="36">
        <f t="shared" si="734"/>
        <v>0</v>
      </c>
      <c r="BE747" s="36">
        <v>0</v>
      </c>
      <c r="BF747" s="36">
        <f>747</f>
        <v>747</v>
      </c>
      <c r="BH747" s="20">
        <f t="shared" si="735"/>
        <v>0</v>
      </c>
      <c r="BI747" s="20">
        <f t="shared" si="736"/>
        <v>0</v>
      </c>
      <c r="BJ747" s="20">
        <f t="shared" si="737"/>
        <v>0</v>
      </c>
      <c r="BK747" s="20" t="s">
        <v>2978</v>
      </c>
      <c r="BL747" s="36" t="s">
        <v>1448</v>
      </c>
    </row>
    <row r="748" spans="1:64" x14ac:dyDescent="0.2">
      <c r="A748" s="4" t="s">
        <v>632</v>
      </c>
      <c r="B748" s="13" t="s">
        <v>1549</v>
      </c>
      <c r="C748" s="174" t="s">
        <v>2546</v>
      </c>
      <c r="D748" s="175"/>
      <c r="E748" s="175"/>
      <c r="F748" s="175"/>
      <c r="G748" s="13" t="s">
        <v>2852</v>
      </c>
      <c r="H748" s="82">
        <v>3</v>
      </c>
      <c r="I748" s="109">
        <v>0</v>
      </c>
      <c r="J748" s="20">
        <f t="shared" si="716"/>
        <v>0</v>
      </c>
      <c r="K748" s="20">
        <f t="shared" si="717"/>
        <v>0</v>
      </c>
      <c r="L748" s="20">
        <f t="shared" si="718"/>
        <v>0</v>
      </c>
      <c r="M748" s="31" t="s">
        <v>2884</v>
      </c>
      <c r="N748" s="5"/>
      <c r="Z748" s="36">
        <f t="shared" si="719"/>
        <v>0</v>
      </c>
      <c r="AB748" s="36">
        <f t="shared" si="720"/>
        <v>0</v>
      </c>
      <c r="AC748" s="36">
        <f t="shared" si="721"/>
        <v>0</v>
      </c>
      <c r="AD748" s="36">
        <f t="shared" si="722"/>
        <v>0</v>
      </c>
      <c r="AE748" s="36">
        <f t="shared" si="723"/>
        <v>0</v>
      </c>
      <c r="AF748" s="36">
        <f t="shared" si="724"/>
        <v>0</v>
      </c>
      <c r="AG748" s="36">
        <f t="shared" si="725"/>
        <v>0</v>
      </c>
      <c r="AH748" s="36">
        <f t="shared" si="726"/>
        <v>0</v>
      </c>
      <c r="AI748" s="35" t="s">
        <v>2894</v>
      </c>
      <c r="AJ748" s="20">
        <f t="shared" si="727"/>
        <v>0</v>
      </c>
      <c r="AK748" s="20">
        <f t="shared" si="728"/>
        <v>0</v>
      </c>
      <c r="AL748" s="20">
        <f t="shared" si="729"/>
        <v>0</v>
      </c>
      <c r="AN748" s="36">
        <v>21</v>
      </c>
      <c r="AO748" s="36">
        <f>I748*0</f>
        <v>0</v>
      </c>
      <c r="AP748" s="36">
        <f>I748*(1-0)</f>
        <v>0</v>
      </c>
      <c r="AQ748" s="37" t="s">
        <v>7</v>
      </c>
      <c r="AV748" s="36">
        <f t="shared" si="730"/>
        <v>0</v>
      </c>
      <c r="AW748" s="36">
        <f t="shared" si="731"/>
        <v>0</v>
      </c>
      <c r="AX748" s="36">
        <f t="shared" si="732"/>
        <v>0</v>
      </c>
      <c r="AY748" s="39" t="s">
        <v>2940</v>
      </c>
      <c r="AZ748" s="39" t="s">
        <v>2952</v>
      </c>
      <c r="BA748" s="35" t="s">
        <v>2967</v>
      </c>
      <c r="BC748" s="36">
        <f t="shared" si="733"/>
        <v>0</v>
      </c>
      <c r="BD748" s="36">
        <f t="shared" si="734"/>
        <v>0</v>
      </c>
      <c r="BE748" s="36">
        <v>0</v>
      </c>
      <c r="BF748" s="36">
        <f>748</f>
        <v>748</v>
      </c>
      <c r="BH748" s="20">
        <f t="shared" si="735"/>
        <v>0</v>
      </c>
      <c r="BI748" s="20">
        <f t="shared" si="736"/>
        <v>0</v>
      </c>
      <c r="BJ748" s="20">
        <f t="shared" si="737"/>
        <v>0</v>
      </c>
      <c r="BK748" s="20" t="s">
        <v>2978</v>
      </c>
      <c r="BL748" s="36" t="s">
        <v>1448</v>
      </c>
    </row>
    <row r="749" spans="1:64" x14ac:dyDescent="0.2">
      <c r="A749" s="86" t="s">
        <v>633</v>
      </c>
      <c r="B749" s="87" t="s">
        <v>1550</v>
      </c>
      <c r="C749" s="184" t="s">
        <v>2546</v>
      </c>
      <c r="D749" s="175"/>
      <c r="E749" s="175"/>
      <c r="F749" s="175"/>
      <c r="G749" s="87" t="s">
        <v>2852</v>
      </c>
      <c r="H749" s="88">
        <v>3</v>
      </c>
      <c r="I749" s="111">
        <v>0</v>
      </c>
      <c r="J749" s="96">
        <f t="shared" si="716"/>
        <v>0</v>
      </c>
      <c r="K749" s="96">
        <f t="shared" si="717"/>
        <v>0</v>
      </c>
      <c r="L749" s="96">
        <f t="shared" si="718"/>
        <v>0</v>
      </c>
      <c r="M749" s="97" t="s">
        <v>2884</v>
      </c>
      <c r="N749" s="5"/>
      <c r="Z749" s="36">
        <f t="shared" si="719"/>
        <v>0</v>
      </c>
      <c r="AB749" s="36">
        <f t="shared" si="720"/>
        <v>0</v>
      </c>
      <c r="AC749" s="36">
        <f t="shared" si="721"/>
        <v>0</v>
      </c>
      <c r="AD749" s="36">
        <f t="shared" si="722"/>
        <v>0</v>
      </c>
      <c r="AE749" s="36">
        <f t="shared" si="723"/>
        <v>0</v>
      </c>
      <c r="AF749" s="36">
        <f t="shared" si="724"/>
        <v>0</v>
      </c>
      <c r="AG749" s="36">
        <f t="shared" si="725"/>
        <v>0</v>
      </c>
      <c r="AH749" s="36">
        <f t="shared" si="726"/>
        <v>0</v>
      </c>
      <c r="AI749" s="35" t="s">
        <v>2894</v>
      </c>
      <c r="AJ749" s="20">
        <f t="shared" si="727"/>
        <v>0</v>
      </c>
      <c r="AK749" s="20">
        <f t="shared" si="728"/>
        <v>0</v>
      </c>
      <c r="AL749" s="20">
        <f t="shared" si="729"/>
        <v>0</v>
      </c>
      <c r="AN749" s="36">
        <v>21</v>
      </c>
      <c r="AO749" s="36">
        <f>I749*1</f>
        <v>0</v>
      </c>
      <c r="AP749" s="36">
        <f>I749*(1-1)</f>
        <v>0</v>
      </c>
      <c r="AQ749" s="37" t="s">
        <v>7</v>
      </c>
      <c r="AV749" s="36">
        <f t="shared" si="730"/>
        <v>0</v>
      </c>
      <c r="AW749" s="36">
        <f t="shared" si="731"/>
        <v>0</v>
      </c>
      <c r="AX749" s="36">
        <f t="shared" si="732"/>
        <v>0</v>
      </c>
      <c r="AY749" s="39" t="s">
        <v>2940</v>
      </c>
      <c r="AZ749" s="39" t="s">
        <v>2952</v>
      </c>
      <c r="BA749" s="35" t="s">
        <v>2967</v>
      </c>
      <c r="BC749" s="36">
        <f t="shared" si="733"/>
        <v>0</v>
      </c>
      <c r="BD749" s="36">
        <f t="shared" si="734"/>
        <v>0</v>
      </c>
      <c r="BE749" s="36">
        <v>0</v>
      </c>
      <c r="BF749" s="36">
        <f>749</f>
        <v>749</v>
      </c>
      <c r="BH749" s="20">
        <f t="shared" si="735"/>
        <v>0</v>
      </c>
      <c r="BI749" s="20">
        <f t="shared" si="736"/>
        <v>0</v>
      </c>
      <c r="BJ749" s="20">
        <f t="shared" si="737"/>
        <v>0</v>
      </c>
      <c r="BK749" s="20" t="s">
        <v>2978</v>
      </c>
      <c r="BL749" s="36" t="s">
        <v>1448</v>
      </c>
    </row>
    <row r="750" spans="1:64" x14ac:dyDescent="0.2">
      <c r="A750" s="4" t="s">
        <v>634</v>
      </c>
      <c r="B750" s="13" t="s">
        <v>1551</v>
      </c>
      <c r="C750" s="174" t="s">
        <v>2547</v>
      </c>
      <c r="D750" s="175"/>
      <c r="E750" s="175"/>
      <c r="F750" s="175"/>
      <c r="G750" s="13" t="s">
        <v>2852</v>
      </c>
      <c r="H750" s="82">
        <v>1</v>
      </c>
      <c r="I750" s="109">
        <v>0</v>
      </c>
      <c r="J750" s="20">
        <f t="shared" si="716"/>
        <v>0</v>
      </c>
      <c r="K750" s="20">
        <f t="shared" si="717"/>
        <v>0</v>
      </c>
      <c r="L750" s="20">
        <f t="shared" si="718"/>
        <v>0</v>
      </c>
      <c r="M750" s="31" t="s">
        <v>2884</v>
      </c>
      <c r="N750" s="5"/>
      <c r="Z750" s="36">
        <f t="shared" si="719"/>
        <v>0</v>
      </c>
      <c r="AB750" s="36">
        <f t="shared" si="720"/>
        <v>0</v>
      </c>
      <c r="AC750" s="36">
        <f t="shared" si="721"/>
        <v>0</v>
      </c>
      <c r="AD750" s="36">
        <f t="shared" si="722"/>
        <v>0</v>
      </c>
      <c r="AE750" s="36">
        <f t="shared" si="723"/>
        <v>0</v>
      </c>
      <c r="AF750" s="36">
        <f t="shared" si="724"/>
        <v>0</v>
      </c>
      <c r="AG750" s="36">
        <f t="shared" si="725"/>
        <v>0</v>
      </c>
      <c r="AH750" s="36">
        <f t="shared" si="726"/>
        <v>0</v>
      </c>
      <c r="AI750" s="35" t="s">
        <v>2894</v>
      </c>
      <c r="AJ750" s="20">
        <f t="shared" si="727"/>
        <v>0</v>
      </c>
      <c r="AK750" s="20">
        <f t="shared" si="728"/>
        <v>0</v>
      </c>
      <c r="AL750" s="20">
        <f t="shared" si="729"/>
        <v>0</v>
      </c>
      <c r="AN750" s="36">
        <v>21</v>
      </c>
      <c r="AO750" s="36">
        <f>I750*0</f>
        <v>0</v>
      </c>
      <c r="AP750" s="36">
        <f>I750*(1-0)</f>
        <v>0</v>
      </c>
      <c r="AQ750" s="37" t="s">
        <v>7</v>
      </c>
      <c r="AV750" s="36">
        <f t="shared" si="730"/>
        <v>0</v>
      </c>
      <c r="AW750" s="36">
        <f t="shared" si="731"/>
        <v>0</v>
      </c>
      <c r="AX750" s="36">
        <f t="shared" si="732"/>
        <v>0</v>
      </c>
      <c r="AY750" s="39" t="s">
        <v>2940</v>
      </c>
      <c r="AZ750" s="39" t="s">
        <v>2952</v>
      </c>
      <c r="BA750" s="35" t="s">
        <v>2967</v>
      </c>
      <c r="BC750" s="36">
        <f t="shared" si="733"/>
        <v>0</v>
      </c>
      <c r="BD750" s="36">
        <f t="shared" si="734"/>
        <v>0</v>
      </c>
      <c r="BE750" s="36">
        <v>0</v>
      </c>
      <c r="BF750" s="36">
        <f>750</f>
        <v>750</v>
      </c>
      <c r="BH750" s="20">
        <f t="shared" si="735"/>
        <v>0</v>
      </c>
      <c r="BI750" s="20">
        <f t="shared" si="736"/>
        <v>0</v>
      </c>
      <c r="BJ750" s="20">
        <f t="shared" si="737"/>
        <v>0</v>
      </c>
      <c r="BK750" s="20" t="s">
        <v>2978</v>
      </c>
      <c r="BL750" s="36" t="s">
        <v>1448</v>
      </c>
    </row>
    <row r="751" spans="1:64" x14ac:dyDescent="0.2">
      <c r="A751" s="86" t="s">
        <v>635</v>
      </c>
      <c r="B751" s="87" t="s">
        <v>1552</v>
      </c>
      <c r="C751" s="184" t="s">
        <v>2547</v>
      </c>
      <c r="D751" s="175"/>
      <c r="E751" s="175"/>
      <c r="F751" s="175"/>
      <c r="G751" s="87" t="s">
        <v>2852</v>
      </c>
      <c r="H751" s="88">
        <v>1</v>
      </c>
      <c r="I751" s="111">
        <v>0</v>
      </c>
      <c r="J751" s="96">
        <f t="shared" si="716"/>
        <v>0</v>
      </c>
      <c r="K751" s="96">
        <f t="shared" si="717"/>
        <v>0</v>
      </c>
      <c r="L751" s="96">
        <f t="shared" si="718"/>
        <v>0</v>
      </c>
      <c r="M751" s="97" t="s">
        <v>2884</v>
      </c>
      <c r="N751" s="5"/>
      <c r="Z751" s="36">
        <f t="shared" si="719"/>
        <v>0</v>
      </c>
      <c r="AB751" s="36">
        <f t="shared" si="720"/>
        <v>0</v>
      </c>
      <c r="AC751" s="36">
        <f t="shared" si="721"/>
        <v>0</v>
      </c>
      <c r="AD751" s="36">
        <f t="shared" si="722"/>
        <v>0</v>
      </c>
      <c r="AE751" s="36">
        <f t="shared" si="723"/>
        <v>0</v>
      </c>
      <c r="AF751" s="36">
        <f t="shared" si="724"/>
        <v>0</v>
      </c>
      <c r="AG751" s="36">
        <f t="shared" si="725"/>
        <v>0</v>
      </c>
      <c r="AH751" s="36">
        <f t="shared" si="726"/>
        <v>0</v>
      </c>
      <c r="AI751" s="35" t="s">
        <v>2894</v>
      </c>
      <c r="AJ751" s="20">
        <f t="shared" si="727"/>
        <v>0</v>
      </c>
      <c r="AK751" s="20">
        <f t="shared" si="728"/>
        <v>0</v>
      </c>
      <c r="AL751" s="20">
        <f t="shared" si="729"/>
        <v>0</v>
      </c>
      <c r="AN751" s="36">
        <v>21</v>
      </c>
      <c r="AO751" s="36">
        <f>I751*1</f>
        <v>0</v>
      </c>
      <c r="AP751" s="36">
        <f>I751*(1-1)</f>
        <v>0</v>
      </c>
      <c r="AQ751" s="37" t="s">
        <v>7</v>
      </c>
      <c r="AV751" s="36">
        <f t="shared" si="730"/>
        <v>0</v>
      </c>
      <c r="AW751" s="36">
        <f t="shared" si="731"/>
        <v>0</v>
      </c>
      <c r="AX751" s="36">
        <f t="shared" si="732"/>
        <v>0</v>
      </c>
      <c r="AY751" s="39" t="s">
        <v>2940</v>
      </c>
      <c r="AZ751" s="39" t="s">
        <v>2952</v>
      </c>
      <c r="BA751" s="35" t="s">
        <v>2967</v>
      </c>
      <c r="BC751" s="36">
        <f t="shared" si="733"/>
        <v>0</v>
      </c>
      <c r="BD751" s="36">
        <f t="shared" si="734"/>
        <v>0</v>
      </c>
      <c r="BE751" s="36">
        <v>0</v>
      </c>
      <c r="BF751" s="36">
        <f>751</f>
        <v>751</v>
      </c>
      <c r="BH751" s="20">
        <f t="shared" si="735"/>
        <v>0</v>
      </c>
      <c r="BI751" s="20">
        <f t="shared" si="736"/>
        <v>0</v>
      </c>
      <c r="BJ751" s="20">
        <f t="shared" si="737"/>
        <v>0</v>
      </c>
      <c r="BK751" s="20" t="s">
        <v>2978</v>
      </c>
      <c r="BL751" s="36" t="s">
        <v>1448</v>
      </c>
    </row>
    <row r="752" spans="1:64" x14ac:dyDescent="0.2">
      <c r="A752" s="4" t="s">
        <v>636</v>
      </c>
      <c r="B752" s="13" t="s">
        <v>1553</v>
      </c>
      <c r="C752" s="174" t="s">
        <v>2548</v>
      </c>
      <c r="D752" s="175"/>
      <c r="E752" s="175"/>
      <c r="F752" s="175"/>
      <c r="G752" s="13" t="s">
        <v>2852</v>
      </c>
      <c r="H752" s="82">
        <v>1</v>
      </c>
      <c r="I752" s="109">
        <v>0</v>
      </c>
      <c r="J752" s="20">
        <f t="shared" si="716"/>
        <v>0</v>
      </c>
      <c r="K752" s="20">
        <f t="shared" si="717"/>
        <v>0</v>
      </c>
      <c r="L752" s="20">
        <f t="shared" si="718"/>
        <v>0</v>
      </c>
      <c r="M752" s="31" t="s">
        <v>2884</v>
      </c>
      <c r="N752" s="5"/>
      <c r="Z752" s="36">
        <f t="shared" si="719"/>
        <v>0</v>
      </c>
      <c r="AB752" s="36">
        <f t="shared" si="720"/>
        <v>0</v>
      </c>
      <c r="AC752" s="36">
        <f t="shared" si="721"/>
        <v>0</v>
      </c>
      <c r="AD752" s="36">
        <f t="shared" si="722"/>
        <v>0</v>
      </c>
      <c r="AE752" s="36">
        <f t="shared" si="723"/>
        <v>0</v>
      </c>
      <c r="AF752" s="36">
        <f t="shared" si="724"/>
        <v>0</v>
      </c>
      <c r="AG752" s="36">
        <f t="shared" si="725"/>
        <v>0</v>
      </c>
      <c r="AH752" s="36">
        <f t="shared" si="726"/>
        <v>0</v>
      </c>
      <c r="AI752" s="35" t="s">
        <v>2894</v>
      </c>
      <c r="AJ752" s="20">
        <f t="shared" si="727"/>
        <v>0</v>
      </c>
      <c r="AK752" s="20">
        <f t="shared" si="728"/>
        <v>0</v>
      </c>
      <c r="AL752" s="20">
        <f t="shared" si="729"/>
        <v>0</v>
      </c>
      <c r="AN752" s="36">
        <v>21</v>
      </c>
      <c r="AO752" s="36">
        <f>I752*0</f>
        <v>0</v>
      </c>
      <c r="AP752" s="36">
        <f>I752*(1-0)</f>
        <v>0</v>
      </c>
      <c r="AQ752" s="37" t="s">
        <v>7</v>
      </c>
      <c r="AV752" s="36">
        <f t="shared" si="730"/>
        <v>0</v>
      </c>
      <c r="AW752" s="36">
        <f t="shared" si="731"/>
        <v>0</v>
      </c>
      <c r="AX752" s="36">
        <f t="shared" si="732"/>
        <v>0</v>
      </c>
      <c r="AY752" s="39" t="s">
        <v>2940</v>
      </c>
      <c r="AZ752" s="39" t="s">
        <v>2952</v>
      </c>
      <c r="BA752" s="35" t="s">
        <v>2967</v>
      </c>
      <c r="BC752" s="36">
        <f t="shared" si="733"/>
        <v>0</v>
      </c>
      <c r="BD752" s="36">
        <f t="shared" si="734"/>
        <v>0</v>
      </c>
      <c r="BE752" s="36">
        <v>0</v>
      </c>
      <c r="BF752" s="36">
        <f>752</f>
        <v>752</v>
      </c>
      <c r="BH752" s="20">
        <f t="shared" si="735"/>
        <v>0</v>
      </c>
      <c r="BI752" s="20">
        <f t="shared" si="736"/>
        <v>0</v>
      </c>
      <c r="BJ752" s="20">
        <f t="shared" si="737"/>
        <v>0</v>
      </c>
      <c r="BK752" s="20" t="s">
        <v>2978</v>
      </c>
      <c r="BL752" s="36" t="s">
        <v>1448</v>
      </c>
    </row>
    <row r="753" spans="1:64" x14ac:dyDescent="0.2">
      <c r="A753" s="86" t="s">
        <v>637</v>
      </c>
      <c r="B753" s="87" t="s">
        <v>1554</v>
      </c>
      <c r="C753" s="184" t="s">
        <v>2548</v>
      </c>
      <c r="D753" s="175"/>
      <c r="E753" s="175"/>
      <c r="F753" s="175"/>
      <c r="G753" s="87" t="s">
        <v>2852</v>
      </c>
      <c r="H753" s="88">
        <v>1</v>
      </c>
      <c r="I753" s="111">
        <v>0</v>
      </c>
      <c r="J753" s="96">
        <f t="shared" si="716"/>
        <v>0</v>
      </c>
      <c r="K753" s="96">
        <f t="shared" si="717"/>
        <v>0</v>
      </c>
      <c r="L753" s="96">
        <f t="shared" si="718"/>
        <v>0</v>
      </c>
      <c r="M753" s="97" t="s">
        <v>2884</v>
      </c>
      <c r="N753" s="5"/>
      <c r="Z753" s="36">
        <f t="shared" si="719"/>
        <v>0</v>
      </c>
      <c r="AB753" s="36">
        <f t="shared" si="720"/>
        <v>0</v>
      </c>
      <c r="AC753" s="36">
        <f t="shared" si="721"/>
        <v>0</v>
      </c>
      <c r="AD753" s="36">
        <f t="shared" si="722"/>
        <v>0</v>
      </c>
      <c r="AE753" s="36">
        <f t="shared" si="723"/>
        <v>0</v>
      </c>
      <c r="AF753" s="36">
        <f t="shared" si="724"/>
        <v>0</v>
      </c>
      <c r="AG753" s="36">
        <f t="shared" si="725"/>
        <v>0</v>
      </c>
      <c r="AH753" s="36">
        <f t="shared" si="726"/>
        <v>0</v>
      </c>
      <c r="AI753" s="35" t="s">
        <v>2894</v>
      </c>
      <c r="AJ753" s="20">
        <f t="shared" si="727"/>
        <v>0</v>
      </c>
      <c r="AK753" s="20">
        <f t="shared" si="728"/>
        <v>0</v>
      </c>
      <c r="AL753" s="20">
        <f t="shared" si="729"/>
        <v>0</v>
      </c>
      <c r="AN753" s="36">
        <v>21</v>
      </c>
      <c r="AO753" s="36">
        <f>I753*1</f>
        <v>0</v>
      </c>
      <c r="AP753" s="36">
        <f>I753*(1-1)</f>
        <v>0</v>
      </c>
      <c r="AQ753" s="37" t="s">
        <v>7</v>
      </c>
      <c r="AV753" s="36">
        <f t="shared" si="730"/>
        <v>0</v>
      </c>
      <c r="AW753" s="36">
        <f t="shared" si="731"/>
        <v>0</v>
      </c>
      <c r="AX753" s="36">
        <f t="shared" si="732"/>
        <v>0</v>
      </c>
      <c r="AY753" s="39" t="s">
        <v>2940</v>
      </c>
      <c r="AZ753" s="39" t="s">
        <v>2952</v>
      </c>
      <c r="BA753" s="35" t="s">
        <v>2967</v>
      </c>
      <c r="BC753" s="36">
        <f t="shared" si="733"/>
        <v>0</v>
      </c>
      <c r="BD753" s="36">
        <f t="shared" si="734"/>
        <v>0</v>
      </c>
      <c r="BE753" s="36">
        <v>0</v>
      </c>
      <c r="BF753" s="36">
        <f>753</f>
        <v>753</v>
      </c>
      <c r="BH753" s="20">
        <f t="shared" si="735"/>
        <v>0</v>
      </c>
      <c r="BI753" s="20">
        <f t="shared" si="736"/>
        <v>0</v>
      </c>
      <c r="BJ753" s="20">
        <f t="shared" si="737"/>
        <v>0</v>
      </c>
      <c r="BK753" s="20" t="s">
        <v>2978</v>
      </c>
      <c r="BL753" s="36" t="s">
        <v>1448</v>
      </c>
    </row>
    <row r="754" spans="1:64" x14ac:dyDescent="0.2">
      <c r="A754" s="4" t="s">
        <v>638</v>
      </c>
      <c r="B754" s="13" t="s">
        <v>1529</v>
      </c>
      <c r="C754" s="174" t="s">
        <v>2549</v>
      </c>
      <c r="D754" s="175"/>
      <c r="E754" s="175"/>
      <c r="F754" s="175"/>
      <c r="G754" s="13" t="s">
        <v>2852</v>
      </c>
      <c r="H754" s="82">
        <v>65</v>
      </c>
      <c r="I754" s="109">
        <v>0</v>
      </c>
      <c r="J754" s="20">
        <f t="shared" si="716"/>
        <v>0</v>
      </c>
      <c r="K754" s="20">
        <f t="shared" si="717"/>
        <v>0</v>
      </c>
      <c r="L754" s="20">
        <f t="shared" si="718"/>
        <v>0</v>
      </c>
      <c r="M754" s="31" t="s">
        <v>2884</v>
      </c>
      <c r="N754" s="5"/>
      <c r="Z754" s="36">
        <f t="shared" si="719"/>
        <v>0</v>
      </c>
      <c r="AB754" s="36">
        <f t="shared" si="720"/>
        <v>0</v>
      </c>
      <c r="AC754" s="36">
        <f t="shared" si="721"/>
        <v>0</v>
      </c>
      <c r="AD754" s="36">
        <f t="shared" si="722"/>
        <v>0</v>
      </c>
      <c r="AE754" s="36">
        <f t="shared" si="723"/>
        <v>0</v>
      </c>
      <c r="AF754" s="36">
        <f t="shared" si="724"/>
        <v>0</v>
      </c>
      <c r="AG754" s="36">
        <f t="shared" si="725"/>
        <v>0</v>
      </c>
      <c r="AH754" s="36">
        <f t="shared" si="726"/>
        <v>0</v>
      </c>
      <c r="AI754" s="35" t="s">
        <v>2894</v>
      </c>
      <c r="AJ754" s="20">
        <f t="shared" si="727"/>
        <v>0</v>
      </c>
      <c r="AK754" s="20">
        <f t="shared" si="728"/>
        <v>0</v>
      </c>
      <c r="AL754" s="20">
        <f t="shared" si="729"/>
        <v>0</v>
      </c>
      <c r="AN754" s="36">
        <v>21</v>
      </c>
      <c r="AO754" s="36">
        <f>I754*0</f>
        <v>0</v>
      </c>
      <c r="AP754" s="36">
        <f>I754*(1-0)</f>
        <v>0</v>
      </c>
      <c r="AQ754" s="37" t="s">
        <v>7</v>
      </c>
      <c r="AV754" s="36">
        <f t="shared" si="730"/>
        <v>0</v>
      </c>
      <c r="AW754" s="36">
        <f t="shared" si="731"/>
        <v>0</v>
      </c>
      <c r="AX754" s="36">
        <f t="shared" si="732"/>
        <v>0</v>
      </c>
      <c r="AY754" s="39" t="s">
        <v>2940</v>
      </c>
      <c r="AZ754" s="39" t="s">
        <v>2952</v>
      </c>
      <c r="BA754" s="35" t="s">
        <v>2967</v>
      </c>
      <c r="BC754" s="36">
        <f t="shared" si="733"/>
        <v>0</v>
      </c>
      <c r="BD754" s="36">
        <f t="shared" si="734"/>
        <v>0</v>
      </c>
      <c r="BE754" s="36">
        <v>0</v>
      </c>
      <c r="BF754" s="36">
        <f>754</f>
        <v>754</v>
      </c>
      <c r="BH754" s="20">
        <f t="shared" si="735"/>
        <v>0</v>
      </c>
      <c r="BI754" s="20">
        <f t="shared" si="736"/>
        <v>0</v>
      </c>
      <c r="BJ754" s="20">
        <f t="shared" si="737"/>
        <v>0</v>
      </c>
      <c r="BK754" s="20" t="s">
        <v>2978</v>
      </c>
      <c r="BL754" s="36" t="s">
        <v>1448</v>
      </c>
    </row>
    <row r="755" spans="1:64" x14ac:dyDescent="0.2">
      <c r="A755" s="86" t="s">
        <v>639</v>
      </c>
      <c r="B755" s="87" t="s">
        <v>1532</v>
      </c>
      <c r="C755" s="184" t="s">
        <v>2549</v>
      </c>
      <c r="D755" s="175"/>
      <c r="E755" s="175"/>
      <c r="F755" s="175"/>
      <c r="G755" s="87" t="s">
        <v>2852</v>
      </c>
      <c r="H755" s="88">
        <v>65</v>
      </c>
      <c r="I755" s="111">
        <v>0</v>
      </c>
      <c r="J755" s="96">
        <f t="shared" si="716"/>
        <v>0</v>
      </c>
      <c r="K755" s="96">
        <f t="shared" si="717"/>
        <v>0</v>
      </c>
      <c r="L755" s="96">
        <f t="shared" si="718"/>
        <v>0</v>
      </c>
      <c r="M755" s="97" t="s">
        <v>2884</v>
      </c>
      <c r="N755" s="5"/>
      <c r="Z755" s="36">
        <f t="shared" si="719"/>
        <v>0</v>
      </c>
      <c r="AB755" s="36">
        <f t="shared" si="720"/>
        <v>0</v>
      </c>
      <c r="AC755" s="36">
        <f t="shared" si="721"/>
        <v>0</v>
      </c>
      <c r="AD755" s="36">
        <f t="shared" si="722"/>
        <v>0</v>
      </c>
      <c r="AE755" s="36">
        <f t="shared" si="723"/>
        <v>0</v>
      </c>
      <c r="AF755" s="36">
        <f t="shared" si="724"/>
        <v>0</v>
      </c>
      <c r="AG755" s="36">
        <f t="shared" si="725"/>
        <v>0</v>
      </c>
      <c r="AH755" s="36">
        <f t="shared" si="726"/>
        <v>0</v>
      </c>
      <c r="AI755" s="35" t="s">
        <v>2894</v>
      </c>
      <c r="AJ755" s="20">
        <f t="shared" si="727"/>
        <v>0</v>
      </c>
      <c r="AK755" s="20">
        <f t="shared" si="728"/>
        <v>0</v>
      </c>
      <c r="AL755" s="20">
        <f t="shared" si="729"/>
        <v>0</v>
      </c>
      <c r="AN755" s="36">
        <v>21</v>
      </c>
      <c r="AO755" s="36">
        <f>I755*1</f>
        <v>0</v>
      </c>
      <c r="AP755" s="36">
        <f>I755*(1-1)</f>
        <v>0</v>
      </c>
      <c r="AQ755" s="37" t="s">
        <v>7</v>
      </c>
      <c r="AV755" s="36">
        <f t="shared" si="730"/>
        <v>0</v>
      </c>
      <c r="AW755" s="36">
        <f t="shared" si="731"/>
        <v>0</v>
      </c>
      <c r="AX755" s="36">
        <f t="shared" si="732"/>
        <v>0</v>
      </c>
      <c r="AY755" s="39" t="s">
        <v>2940</v>
      </c>
      <c r="AZ755" s="39" t="s">
        <v>2952</v>
      </c>
      <c r="BA755" s="35" t="s">
        <v>2967</v>
      </c>
      <c r="BC755" s="36">
        <f t="shared" si="733"/>
        <v>0</v>
      </c>
      <c r="BD755" s="36">
        <f t="shared" si="734"/>
        <v>0</v>
      </c>
      <c r="BE755" s="36">
        <v>0</v>
      </c>
      <c r="BF755" s="36">
        <f>755</f>
        <v>755</v>
      </c>
      <c r="BH755" s="20">
        <f t="shared" si="735"/>
        <v>0</v>
      </c>
      <c r="BI755" s="20">
        <f t="shared" si="736"/>
        <v>0</v>
      </c>
      <c r="BJ755" s="20">
        <f t="shared" si="737"/>
        <v>0</v>
      </c>
      <c r="BK755" s="20" t="s">
        <v>2978</v>
      </c>
      <c r="BL755" s="36" t="s">
        <v>1448</v>
      </c>
    </row>
    <row r="756" spans="1:64" x14ac:dyDescent="0.2">
      <c r="A756" s="4" t="s">
        <v>640</v>
      </c>
      <c r="B756" s="13" t="s">
        <v>1529</v>
      </c>
      <c r="C756" s="174" t="s">
        <v>2550</v>
      </c>
      <c r="D756" s="175"/>
      <c r="E756" s="175"/>
      <c r="F756" s="175"/>
      <c r="G756" s="13" t="s">
        <v>2852</v>
      </c>
      <c r="H756" s="82">
        <v>11</v>
      </c>
      <c r="I756" s="109">
        <v>0</v>
      </c>
      <c r="J756" s="20">
        <f t="shared" si="716"/>
        <v>0</v>
      </c>
      <c r="K756" s="20">
        <f t="shared" si="717"/>
        <v>0</v>
      </c>
      <c r="L756" s="20">
        <f t="shared" si="718"/>
        <v>0</v>
      </c>
      <c r="M756" s="31" t="s">
        <v>2884</v>
      </c>
      <c r="N756" s="5"/>
      <c r="Z756" s="36">
        <f t="shared" si="719"/>
        <v>0</v>
      </c>
      <c r="AB756" s="36">
        <f t="shared" si="720"/>
        <v>0</v>
      </c>
      <c r="AC756" s="36">
        <f t="shared" si="721"/>
        <v>0</v>
      </c>
      <c r="AD756" s="36">
        <f t="shared" si="722"/>
        <v>0</v>
      </c>
      <c r="AE756" s="36">
        <f t="shared" si="723"/>
        <v>0</v>
      </c>
      <c r="AF756" s="36">
        <f t="shared" si="724"/>
        <v>0</v>
      </c>
      <c r="AG756" s="36">
        <f t="shared" si="725"/>
        <v>0</v>
      </c>
      <c r="AH756" s="36">
        <f t="shared" si="726"/>
        <v>0</v>
      </c>
      <c r="AI756" s="35" t="s">
        <v>2894</v>
      </c>
      <c r="AJ756" s="20">
        <f t="shared" si="727"/>
        <v>0</v>
      </c>
      <c r="AK756" s="20">
        <f t="shared" si="728"/>
        <v>0</v>
      </c>
      <c r="AL756" s="20">
        <f t="shared" si="729"/>
        <v>0</v>
      </c>
      <c r="AN756" s="36">
        <v>21</v>
      </c>
      <c r="AO756" s="36">
        <f>I756*0</f>
        <v>0</v>
      </c>
      <c r="AP756" s="36">
        <f>I756*(1-0)</f>
        <v>0</v>
      </c>
      <c r="AQ756" s="37" t="s">
        <v>7</v>
      </c>
      <c r="AV756" s="36">
        <f t="shared" si="730"/>
        <v>0</v>
      </c>
      <c r="AW756" s="36">
        <f t="shared" si="731"/>
        <v>0</v>
      </c>
      <c r="AX756" s="36">
        <f t="shared" si="732"/>
        <v>0</v>
      </c>
      <c r="AY756" s="39" t="s">
        <v>2940</v>
      </c>
      <c r="AZ756" s="39" t="s">
        <v>2952</v>
      </c>
      <c r="BA756" s="35" t="s">
        <v>2967</v>
      </c>
      <c r="BC756" s="36">
        <f t="shared" si="733"/>
        <v>0</v>
      </c>
      <c r="BD756" s="36">
        <f t="shared" si="734"/>
        <v>0</v>
      </c>
      <c r="BE756" s="36">
        <v>0</v>
      </c>
      <c r="BF756" s="36">
        <f>756</f>
        <v>756</v>
      </c>
      <c r="BH756" s="20">
        <f t="shared" si="735"/>
        <v>0</v>
      </c>
      <c r="BI756" s="20">
        <f t="shared" si="736"/>
        <v>0</v>
      </c>
      <c r="BJ756" s="20">
        <f t="shared" si="737"/>
        <v>0</v>
      </c>
      <c r="BK756" s="20" t="s">
        <v>2978</v>
      </c>
      <c r="BL756" s="36" t="s">
        <v>1448</v>
      </c>
    </row>
    <row r="757" spans="1:64" x14ac:dyDescent="0.2">
      <c r="A757" s="86" t="s">
        <v>641</v>
      </c>
      <c r="B757" s="87" t="s">
        <v>1532</v>
      </c>
      <c r="C757" s="184" t="s">
        <v>2550</v>
      </c>
      <c r="D757" s="175"/>
      <c r="E757" s="175"/>
      <c r="F757" s="175"/>
      <c r="G757" s="87" t="s">
        <v>2852</v>
      </c>
      <c r="H757" s="88">
        <v>11</v>
      </c>
      <c r="I757" s="111">
        <v>0</v>
      </c>
      <c r="J757" s="96">
        <f t="shared" si="716"/>
        <v>0</v>
      </c>
      <c r="K757" s="96">
        <f t="shared" si="717"/>
        <v>0</v>
      </c>
      <c r="L757" s="96">
        <f t="shared" si="718"/>
        <v>0</v>
      </c>
      <c r="M757" s="97" t="s">
        <v>2884</v>
      </c>
      <c r="N757" s="5"/>
      <c r="Z757" s="36">
        <f t="shared" si="719"/>
        <v>0</v>
      </c>
      <c r="AB757" s="36">
        <f t="shared" si="720"/>
        <v>0</v>
      </c>
      <c r="AC757" s="36">
        <f t="shared" si="721"/>
        <v>0</v>
      </c>
      <c r="AD757" s="36">
        <f t="shared" si="722"/>
        <v>0</v>
      </c>
      <c r="AE757" s="36">
        <f t="shared" si="723"/>
        <v>0</v>
      </c>
      <c r="AF757" s="36">
        <f t="shared" si="724"/>
        <v>0</v>
      </c>
      <c r="AG757" s="36">
        <f t="shared" si="725"/>
        <v>0</v>
      </c>
      <c r="AH757" s="36">
        <f t="shared" si="726"/>
        <v>0</v>
      </c>
      <c r="AI757" s="35" t="s">
        <v>2894</v>
      </c>
      <c r="AJ757" s="20">
        <f t="shared" si="727"/>
        <v>0</v>
      </c>
      <c r="AK757" s="20">
        <f t="shared" si="728"/>
        <v>0</v>
      </c>
      <c r="AL757" s="20">
        <f t="shared" si="729"/>
        <v>0</v>
      </c>
      <c r="AN757" s="36">
        <v>21</v>
      </c>
      <c r="AO757" s="36">
        <f>I757*1</f>
        <v>0</v>
      </c>
      <c r="AP757" s="36">
        <f>I757*(1-1)</f>
        <v>0</v>
      </c>
      <c r="AQ757" s="37" t="s">
        <v>7</v>
      </c>
      <c r="AV757" s="36">
        <f t="shared" si="730"/>
        <v>0</v>
      </c>
      <c r="AW757" s="36">
        <f t="shared" si="731"/>
        <v>0</v>
      </c>
      <c r="AX757" s="36">
        <f t="shared" si="732"/>
        <v>0</v>
      </c>
      <c r="AY757" s="39" t="s">
        <v>2940</v>
      </c>
      <c r="AZ757" s="39" t="s">
        <v>2952</v>
      </c>
      <c r="BA757" s="35" t="s">
        <v>2967</v>
      </c>
      <c r="BC757" s="36">
        <f t="shared" si="733"/>
        <v>0</v>
      </c>
      <c r="BD757" s="36">
        <f t="shared" si="734"/>
        <v>0</v>
      </c>
      <c r="BE757" s="36">
        <v>0</v>
      </c>
      <c r="BF757" s="36">
        <f>757</f>
        <v>757</v>
      </c>
      <c r="BH757" s="20">
        <f t="shared" si="735"/>
        <v>0</v>
      </c>
      <c r="BI757" s="20">
        <f t="shared" si="736"/>
        <v>0</v>
      </c>
      <c r="BJ757" s="20">
        <f t="shared" si="737"/>
        <v>0</v>
      </c>
      <c r="BK757" s="20" t="s">
        <v>2978</v>
      </c>
      <c r="BL757" s="36" t="s">
        <v>1448</v>
      </c>
    </row>
    <row r="758" spans="1:64" x14ac:dyDescent="0.2">
      <c r="A758" s="4" t="s">
        <v>642</v>
      </c>
      <c r="B758" s="13" t="s">
        <v>1529</v>
      </c>
      <c r="C758" s="174" t="s">
        <v>2551</v>
      </c>
      <c r="D758" s="175"/>
      <c r="E758" s="175"/>
      <c r="F758" s="175"/>
      <c r="G758" s="13" t="s">
        <v>2852</v>
      </c>
      <c r="H758" s="82">
        <v>13</v>
      </c>
      <c r="I758" s="109">
        <v>0</v>
      </c>
      <c r="J758" s="20">
        <f t="shared" si="716"/>
        <v>0</v>
      </c>
      <c r="K758" s="20">
        <f t="shared" si="717"/>
        <v>0</v>
      </c>
      <c r="L758" s="20">
        <f t="shared" si="718"/>
        <v>0</v>
      </c>
      <c r="M758" s="31" t="s">
        <v>2884</v>
      </c>
      <c r="N758" s="5"/>
      <c r="Z758" s="36">
        <f t="shared" si="719"/>
        <v>0</v>
      </c>
      <c r="AB758" s="36">
        <f t="shared" si="720"/>
        <v>0</v>
      </c>
      <c r="AC758" s="36">
        <f t="shared" si="721"/>
        <v>0</v>
      </c>
      <c r="AD758" s="36">
        <f t="shared" si="722"/>
        <v>0</v>
      </c>
      <c r="AE758" s="36">
        <f t="shared" si="723"/>
        <v>0</v>
      </c>
      <c r="AF758" s="36">
        <f t="shared" si="724"/>
        <v>0</v>
      </c>
      <c r="AG758" s="36">
        <f t="shared" si="725"/>
        <v>0</v>
      </c>
      <c r="AH758" s="36">
        <f t="shared" si="726"/>
        <v>0</v>
      </c>
      <c r="AI758" s="35" t="s">
        <v>2894</v>
      </c>
      <c r="AJ758" s="20">
        <f t="shared" si="727"/>
        <v>0</v>
      </c>
      <c r="AK758" s="20">
        <f t="shared" si="728"/>
        <v>0</v>
      </c>
      <c r="AL758" s="20">
        <f t="shared" si="729"/>
        <v>0</v>
      </c>
      <c r="AN758" s="36">
        <v>21</v>
      </c>
      <c r="AO758" s="36">
        <f>I758*0</f>
        <v>0</v>
      </c>
      <c r="AP758" s="36">
        <f>I758*(1-0)</f>
        <v>0</v>
      </c>
      <c r="AQ758" s="37" t="s">
        <v>7</v>
      </c>
      <c r="AV758" s="36">
        <f t="shared" si="730"/>
        <v>0</v>
      </c>
      <c r="AW758" s="36">
        <f t="shared" si="731"/>
        <v>0</v>
      </c>
      <c r="AX758" s="36">
        <f t="shared" si="732"/>
        <v>0</v>
      </c>
      <c r="AY758" s="39" t="s">
        <v>2940</v>
      </c>
      <c r="AZ758" s="39" t="s">
        <v>2952</v>
      </c>
      <c r="BA758" s="35" t="s">
        <v>2967</v>
      </c>
      <c r="BC758" s="36">
        <f t="shared" si="733"/>
        <v>0</v>
      </c>
      <c r="BD758" s="36">
        <f t="shared" si="734"/>
        <v>0</v>
      </c>
      <c r="BE758" s="36">
        <v>0</v>
      </c>
      <c r="BF758" s="36">
        <f>758</f>
        <v>758</v>
      </c>
      <c r="BH758" s="20">
        <f t="shared" si="735"/>
        <v>0</v>
      </c>
      <c r="BI758" s="20">
        <f t="shared" si="736"/>
        <v>0</v>
      </c>
      <c r="BJ758" s="20">
        <f t="shared" si="737"/>
        <v>0</v>
      </c>
      <c r="BK758" s="20" t="s">
        <v>2978</v>
      </c>
      <c r="BL758" s="36" t="s">
        <v>1448</v>
      </c>
    </row>
    <row r="759" spans="1:64" x14ac:dyDescent="0.2">
      <c r="A759" s="86" t="s">
        <v>643</v>
      </c>
      <c r="B759" s="87" t="s">
        <v>1532</v>
      </c>
      <c r="C759" s="184" t="s">
        <v>2551</v>
      </c>
      <c r="D759" s="175"/>
      <c r="E759" s="175"/>
      <c r="F759" s="175"/>
      <c r="G759" s="87" t="s">
        <v>2852</v>
      </c>
      <c r="H759" s="88">
        <v>13</v>
      </c>
      <c r="I759" s="111">
        <v>0</v>
      </c>
      <c r="J759" s="96">
        <f t="shared" si="716"/>
        <v>0</v>
      </c>
      <c r="K759" s="96">
        <f t="shared" si="717"/>
        <v>0</v>
      </c>
      <c r="L759" s="96">
        <f t="shared" si="718"/>
        <v>0</v>
      </c>
      <c r="M759" s="97" t="s">
        <v>2884</v>
      </c>
      <c r="N759" s="5"/>
      <c r="Z759" s="36">
        <f t="shared" si="719"/>
        <v>0</v>
      </c>
      <c r="AB759" s="36">
        <f t="shared" si="720"/>
        <v>0</v>
      </c>
      <c r="AC759" s="36">
        <f t="shared" si="721"/>
        <v>0</v>
      </c>
      <c r="AD759" s="36">
        <f t="shared" si="722"/>
        <v>0</v>
      </c>
      <c r="AE759" s="36">
        <f t="shared" si="723"/>
        <v>0</v>
      </c>
      <c r="AF759" s="36">
        <f t="shared" si="724"/>
        <v>0</v>
      </c>
      <c r="AG759" s="36">
        <f t="shared" si="725"/>
        <v>0</v>
      </c>
      <c r="AH759" s="36">
        <f t="shared" si="726"/>
        <v>0</v>
      </c>
      <c r="AI759" s="35" t="s">
        <v>2894</v>
      </c>
      <c r="AJ759" s="20">
        <f t="shared" si="727"/>
        <v>0</v>
      </c>
      <c r="AK759" s="20">
        <f t="shared" si="728"/>
        <v>0</v>
      </c>
      <c r="AL759" s="20">
        <f t="shared" si="729"/>
        <v>0</v>
      </c>
      <c r="AN759" s="36">
        <v>21</v>
      </c>
      <c r="AO759" s="36">
        <f>I759*1</f>
        <v>0</v>
      </c>
      <c r="AP759" s="36">
        <f>I759*(1-1)</f>
        <v>0</v>
      </c>
      <c r="AQ759" s="37" t="s">
        <v>7</v>
      </c>
      <c r="AV759" s="36">
        <f t="shared" si="730"/>
        <v>0</v>
      </c>
      <c r="AW759" s="36">
        <f t="shared" si="731"/>
        <v>0</v>
      </c>
      <c r="AX759" s="36">
        <f t="shared" si="732"/>
        <v>0</v>
      </c>
      <c r="AY759" s="39" t="s">
        <v>2940</v>
      </c>
      <c r="AZ759" s="39" t="s">
        <v>2952</v>
      </c>
      <c r="BA759" s="35" t="s">
        <v>2967</v>
      </c>
      <c r="BC759" s="36">
        <f t="shared" si="733"/>
        <v>0</v>
      </c>
      <c r="BD759" s="36">
        <f t="shared" si="734"/>
        <v>0</v>
      </c>
      <c r="BE759" s="36">
        <v>0</v>
      </c>
      <c r="BF759" s="36">
        <f>759</f>
        <v>759</v>
      </c>
      <c r="BH759" s="20">
        <f t="shared" si="735"/>
        <v>0</v>
      </c>
      <c r="BI759" s="20">
        <f t="shared" si="736"/>
        <v>0</v>
      </c>
      <c r="BJ759" s="20">
        <f t="shared" si="737"/>
        <v>0</v>
      </c>
      <c r="BK759" s="20" t="s">
        <v>2978</v>
      </c>
      <c r="BL759" s="36" t="s">
        <v>1448</v>
      </c>
    </row>
    <row r="760" spans="1:64" x14ac:dyDescent="0.2">
      <c r="A760" s="4" t="s">
        <v>644</v>
      </c>
      <c r="B760" s="13" t="s">
        <v>1529</v>
      </c>
      <c r="C760" s="174" t="s">
        <v>2552</v>
      </c>
      <c r="D760" s="175"/>
      <c r="E760" s="175"/>
      <c r="F760" s="175"/>
      <c r="G760" s="13" t="s">
        <v>2852</v>
      </c>
      <c r="H760" s="82">
        <v>5</v>
      </c>
      <c r="I760" s="109">
        <v>0</v>
      </c>
      <c r="J760" s="20">
        <f t="shared" si="716"/>
        <v>0</v>
      </c>
      <c r="K760" s="20">
        <f t="shared" si="717"/>
        <v>0</v>
      </c>
      <c r="L760" s="20">
        <f t="shared" si="718"/>
        <v>0</v>
      </c>
      <c r="M760" s="31" t="s">
        <v>2884</v>
      </c>
      <c r="N760" s="5"/>
      <c r="Z760" s="36">
        <f t="shared" si="719"/>
        <v>0</v>
      </c>
      <c r="AB760" s="36">
        <f t="shared" si="720"/>
        <v>0</v>
      </c>
      <c r="AC760" s="36">
        <f t="shared" si="721"/>
        <v>0</v>
      </c>
      <c r="AD760" s="36">
        <f t="shared" si="722"/>
        <v>0</v>
      </c>
      <c r="AE760" s="36">
        <f t="shared" si="723"/>
        <v>0</v>
      </c>
      <c r="AF760" s="36">
        <f t="shared" si="724"/>
        <v>0</v>
      </c>
      <c r="AG760" s="36">
        <f t="shared" si="725"/>
        <v>0</v>
      </c>
      <c r="AH760" s="36">
        <f t="shared" si="726"/>
        <v>0</v>
      </c>
      <c r="AI760" s="35" t="s">
        <v>2894</v>
      </c>
      <c r="AJ760" s="20">
        <f t="shared" si="727"/>
        <v>0</v>
      </c>
      <c r="AK760" s="20">
        <f t="shared" si="728"/>
        <v>0</v>
      </c>
      <c r="AL760" s="20">
        <f t="shared" si="729"/>
        <v>0</v>
      </c>
      <c r="AN760" s="36">
        <v>21</v>
      </c>
      <c r="AO760" s="36">
        <f>I760*0</f>
        <v>0</v>
      </c>
      <c r="AP760" s="36">
        <f>I760*(1-0)</f>
        <v>0</v>
      </c>
      <c r="AQ760" s="37" t="s">
        <v>7</v>
      </c>
      <c r="AV760" s="36">
        <f t="shared" si="730"/>
        <v>0</v>
      </c>
      <c r="AW760" s="36">
        <f t="shared" si="731"/>
        <v>0</v>
      </c>
      <c r="AX760" s="36">
        <f t="shared" si="732"/>
        <v>0</v>
      </c>
      <c r="AY760" s="39" t="s">
        <v>2940</v>
      </c>
      <c r="AZ760" s="39" t="s">
        <v>2952</v>
      </c>
      <c r="BA760" s="35" t="s">
        <v>2967</v>
      </c>
      <c r="BC760" s="36">
        <f t="shared" si="733"/>
        <v>0</v>
      </c>
      <c r="BD760" s="36">
        <f t="shared" si="734"/>
        <v>0</v>
      </c>
      <c r="BE760" s="36">
        <v>0</v>
      </c>
      <c r="BF760" s="36">
        <f>760</f>
        <v>760</v>
      </c>
      <c r="BH760" s="20">
        <f t="shared" si="735"/>
        <v>0</v>
      </c>
      <c r="BI760" s="20">
        <f t="shared" si="736"/>
        <v>0</v>
      </c>
      <c r="BJ760" s="20">
        <f t="shared" si="737"/>
        <v>0</v>
      </c>
      <c r="BK760" s="20" t="s">
        <v>2978</v>
      </c>
      <c r="BL760" s="36" t="s">
        <v>1448</v>
      </c>
    </row>
    <row r="761" spans="1:64" x14ac:dyDescent="0.2">
      <c r="A761" s="86" t="s">
        <v>645</v>
      </c>
      <c r="B761" s="87" t="s">
        <v>1532</v>
      </c>
      <c r="C761" s="184" t="s">
        <v>2552</v>
      </c>
      <c r="D761" s="175"/>
      <c r="E761" s="175"/>
      <c r="F761" s="175"/>
      <c r="G761" s="87" t="s">
        <v>2852</v>
      </c>
      <c r="H761" s="88">
        <v>5</v>
      </c>
      <c r="I761" s="111">
        <v>0</v>
      </c>
      <c r="J761" s="96">
        <f t="shared" si="716"/>
        <v>0</v>
      </c>
      <c r="K761" s="96">
        <f t="shared" si="717"/>
        <v>0</v>
      </c>
      <c r="L761" s="96">
        <f t="shared" si="718"/>
        <v>0</v>
      </c>
      <c r="M761" s="97" t="s">
        <v>2884</v>
      </c>
      <c r="N761" s="5"/>
      <c r="Z761" s="36">
        <f t="shared" si="719"/>
        <v>0</v>
      </c>
      <c r="AB761" s="36">
        <f t="shared" si="720"/>
        <v>0</v>
      </c>
      <c r="AC761" s="36">
        <f t="shared" si="721"/>
        <v>0</v>
      </c>
      <c r="AD761" s="36">
        <f t="shared" si="722"/>
        <v>0</v>
      </c>
      <c r="AE761" s="36">
        <f t="shared" si="723"/>
        <v>0</v>
      </c>
      <c r="AF761" s="36">
        <f t="shared" si="724"/>
        <v>0</v>
      </c>
      <c r="AG761" s="36">
        <f t="shared" si="725"/>
        <v>0</v>
      </c>
      <c r="AH761" s="36">
        <f t="shared" si="726"/>
        <v>0</v>
      </c>
      <c r="AI761" s="35" t="s">
        <v>2894</v>
      </c>
      <c r="AJ761" s="20">
        <f t="shared" si="727"/>
        <v>0</v>
      </c>
      <c r="AK761" s="20">
        <f t="shared" si="728"/>
        <v>0</v>
      </c>
      <c r="AL761" s="20">
        <f t="shared" si="729"/>
        <v>0</v>
      </c>
      <c r="AN761" s="36">
        <v>21</v>
      </c>
      <c r="AO761" s="36">
        <f>I761*1</f>
        <v>0</v>
      </c>
      <c r="AP761" s="36">
        <f>I761*(1-1)</f>
        <v>0</v>
      </c>
      <c r="AQ761" s="37" t="s">
        <v>7</v>
      </c>
      <c r="AV761" s="36">
        <f t="shared" si="730"/>
        <v>0</v>
      </c>
      <c r="AW761" s="36">
        <f t="shared" si="731"/>
        <v>0</v>
      </c>
      <c r="AX761" s="36">
        <f t="shared" si="732"/>
        <v>0</v>
      </c>
      <c r="AY761" s="39" t="s">
        <v>2940</v>
      </c>
      <c r="AZ761" s="39" t="s">
        <v>2952</v>
      </c>
      <c r="BA761" s="35" t="s">
        <v>2967</v>
      </c>
      <c r="BC761" s="36">
        <f t="shared" si="733"/>
        <v>0</v>
      </c>
      <c r="BD761" s="36">
        <f t="shared" si="734"/>
        <v>0</v>
      </c>
      <c r="BE761" s="36">
        <v>0</v>
      </c>
      <c r="BF761" s="36">
        <f>761</f>
        <v>761</v>
      </c>
      <c r="BH761" s="20">
        <f t="shared" si="735"/>
        <v>0</v>
      </c>
      <c r="BI761" s="20">
        <f t="shared" si="736"/>
        <v>0</v>
      </c>
      <c r="BJ761" s="20">
        <f t="shared" si="737"/>
        <v>0</v>
      </c>
      <c r="BK761" s="20" t="s">
        <v>2978</v>
      </c>
      <c r="BL761" s="36" t="s">
        <v>1448</v>
      </c>
    </row>
    <row r="762" spans="1:64" x14ac:dyDescent="0.2">
      <c r="A762" s="4" t="s">
        <v>646</v>
      </c>
      <c r="B762" s="13" t="s">
        <v>1555</v>
      </c>
      <c r="C762" s="174" t="s">
        <v>2553</v>
      </c>
      <c r="D762" s="175"/>
      <c r="E762" s="175"/>
      <c r="F762" s="175"/>
      <c r="G762" s="13" t="s">
        <v>2852</v>
      </c>
      <c r="H762" s="82">
        <v>1</v>
      </c>
      <c r="I762" s="109">
        <v>0</v>
      </c>
      <c r="J762" s="20">
        <f t="shared" si="716"/>
        <v>0</v>
      </c>
      <c r="K762" s="20">
        <f t="shared" si="717"/>
        <v>0</v>
      </c>
      <c r="L762" s="20">
        <f t="shared" si="718"/>
        <v>0</v>
      </c>
      <c r="M762" s="31" t="s">
        <v>2884</v>
      </c>
      <c r="N762" s="5"/>
      <c r="Z762" s="36">
        <f t="shared" si="719"/>
        <v>0</v>
      </c>
      <c r="AB762" s="36">
        <f t="shared" si="720"/>
        <v>0</v>
      </c>
      <c r="AC762" s="36">
        <f t="shared" si="721"/>
        <v>0</v>
      </c>
      <c r="AD762" s="36">
        <f t="shared" si="722"/>
        <v>0</v>
      </c>
      <c r="AE762" s="36">
        <f t="shared" si="723"/>
        <v>0</v>
      </c>
      <c r="AF762" s="36">
        <f t="shared" si="724"/>
        <v>0</v>
      </c>
      <c r="AG762" s="36">
        <f t="shared" si="725"/>
        <v>0</v>
      </c>
      <c r="AH762" s="36">
        <f t="shared" si="726"/>
        <v>0</v>
      </c>
      <c r="AI762" s="35" t="s">
        <v>2894</v>
      </c>
      <c r="AJ762" s="20">
        <f t="shared" si="727"/>
        <v>0</v>
      </c>
      <c r="AK762" s="20">
        <f t="shared" si="728"/>
        <v>0</v>
      </c>
      <c r="AL762" s="20">
        <f t="shared" si="729"/>
        <v>0</v>
      </c>
      <c r="AN762" s="36">
        <v>21</v>
      </c>
      <c r="AO762" s="36">
        <f>I762*0</f>
        <v>0</v>
      </c>
      <c r="AP762" s="36">
        <f>I762*(1-0)</f>
        <v>0</v>
      </c>
      <c r="AQ762" s="37" t="s">
        <v>7</v>
      </c>
      <c r="AV762" s="36">
        <f t="shared" si="730"/>
        <v>0</v>
      </c>
      <c r="AW762" s="36">
        <f t="shared" si="731"/>
        <v>0</v>
      </c>
      <c r="AX762" s="36">
        <f t="shared" si="732"/>
        <v>0</v>
      </c>
      <c r="AY762" s="39" t="s">
        <v>2940</v>
      </c>
      <c r="AZ762" s="39" t="s">
        <v>2952</v>
      </c>
      <c r="BA762" s="35" t="s">
        <v>2967</v>
      </c>
      <c r="BC762" s="36">
        <f t="shared" si="733"/>
        <v>0</v>
      </c>
      <c r="BD762" s="36">
        <f t="shared" si="734"/>
        <v>0</v>
      </c>
      <c r="BE762" s="36">
        <v>0</v>
      </c>
      <c r="BF762" s="36">
        <f>762</f>
        <v>762</v>
      </c>
      <c r="BH762" s="20">
        <f t="shared" si="735"/>
        <v>0</v>
      </c>
      <c r="BI762" s="20">
        <f t="shared" si="736"/>
        <v>0</v>
      </c>
      <c r="BJ762" s="20">
        <f t="shared" si="737"/>
        <v>0</v>
      </c>
      <c r="BK762" s="20" t="s">
        <v>2978</v>
      </c>
      <c r="BL762" s="36" t="s">
        <v>1448</v>
      </c>
    </row>
    <row r="763" spans="1:64" x14ac:dyDescent="0.2">
      <c r="A763" s="4" t="s">
        <v>647</v>
      </c>
      <c r="B763" s="13" t="s">
        <v>1556</v>
      </c>
      <c r="C763" s="174" t="s">
        <v>2554</v>
      </c>
      <c r="D763" s="175"/>
      <c r="E763" s="175"/>
      <c r="F763" s="175"/>
      <c r="G763" s="13" t="s">
        <v>2852</v>
      </c>
      <c r="H763" s="82">
        <v>128</v>
      </c>
      <c r="I763" s="109">
        <v>0</v>
      </c>
      <c r="J763" s="20">
        <f t="shared" si="716"/>
        <v>0</v>
      </c>
      <c r="K763" s="20">
        <f t="shared" si="717"/>
        <v>0</v>
      </c>
      <c r="L763" s="20">
        <f t="shared" si="718"/>
        <v>0</v>
      </c>
      <c r="M763" s="31" t="s">
        <v>2884</v>
      </c>
      <c r="N763" s="5"/>
      <c r="Z763" s="36">
        <f t="shared" si="719"/>
        <v>0</v>
      </c>
      <c r="AB763" s="36">
        <f t="shared" si="720"/>
        <v>0</v>
      </c>
      <c r="AC763" s="36">
        <f t="shared" si="721"/>
        <v>0</v>
      </c>
      <c r="AD763" s="36">
        <f t="shared" si="722"/>
        <v>0</v>
      </c>
      <c r="AE763" s="36">
        <f t="shared" si="723"/>
        <v>0</v>
      </c>
      <c r="AF763" s="36">
        <f t="shared" si="724"/>
        <v>0</v>
      </c>
      <c r="AG763" s="36">
        <f t="shared" si="725"/>
        <v>0</v>
      </c>
      <c r="AH763" s="36">
        <f t="shared" si="726"/>
        <v>0</v>
      </c>
      <c r="AI763" s="35" t="s">
        <v>2894</v>
      </c>
      <c r="AJ763" s="20">
        <f t="shared" si="727"/>
        <v>0</v>
      </c>
      <c r="AK763" s="20">
        <f t="shared" si="728"/>
        <v>0</v>
      </c>
      <c r="AL763" s="20">
        <f t="shared" si="729"/>
        <v>0</v>
      </c>
      <c r="AN763" s="36">
        <v>21</v>
      </c>
      <c r="AO763" s="36">
        <f>I763*0</f>
        <v>0</v>
      </c>
      <c r="AP763" s="36">
        <f>I763*(1-0)</f>
        <v>0</v>
      </c>
      <c r="AQ763" s="37" t="s">
        <v>7</v>
      </c>
      <c r="AV763" s="36">
        <f t="shared" si="730"/>
        <v>0</v>
      </c>
      <c r="AW763" s="36">
        <f t="shared" si="731"/>
        <v>0</v>
      </c>
      <c r="AX763" s="36">
        <f t="shared" si="732"/>
        <v>0</v>
      </c>
      <c r="AY763" s="39" t="s">
        <v>2940</v>
      </c>
      <c r="AZ763" s="39" t="s">
        <v>2952</v>
      </c>
      <c r="BA763" s="35" t="s">
        <v>2967</v>
      </c>
      <c r="BC763" s="36">
        <f t="shared" si="733"/>
        <v>0</v>
      </c>
      <c r="BD763" s="36">
        <f t="shared" si="734"/>
        <v>0</v>
      </c>
      <c r="BE763" s="36">
        <v>0</v>
      </c>
      <c r="BF763" s="36">
        <f>763</f>
        <v>763</v>
      </c>
      <c r="BH763" s="20">
        <f t="shared" si="735"/>
        <v>0</v>
      </c>
      <c r="BI763" s="20">
        <f t="shared" si="736"/>
        <v>0</v>
      </c>
      <c r="BJ763" s="20">
        <f t="shared" si="737"/>
        <v>0</v>
      </c>
      <c r="BK763" s="20" t="s">
        <v>2978</v>
      </c>
      <c r="BL763" s="36" t="s">
        <v>1448</v>
      </c>
    </row>
    <row r="764" spans="1:64" x14ac:dyDescent="0.2">
      <c r="A764" s="86" t="s">
        <v>648</v>
      </c>
      <c r="B764" s="87" t="s">
        <v>1557</v>
      </c>
      <c r="C764" s="184" t="s">
        <v>2555</v>
      </c>
      <c r="D764" s="175"/>
      <c r="E764" s="175"/>
      <c r="F764" s="175"/>
      <c r="G764" s="87" t="s">
        <v>2852</v>
      </c>
      <c r="H764" s="88">
        <v>4</v>
      </c>
      <c r="I764" s="111">
        <v>0</v>
      </c>
      <c r="J764" s="96">
        <f t="shared" si="716"/>
        <v>0</v>
      </c>
      <c r="K764" s="96">
        <f t="shared" si="717"/>
        <v>0</v>
      </c>
      <c r="L764" s="96">
        <f t="shared" si="718"/>
        <v>0</v>
      </c>
      <c r="M764" s="97" t="s">
        <v>2884</v>
      </c>
      <c r="N764" s="5"/>
      <c r="Z764" s="36">
        <f t="shared" si="719"/>
        <v>0</v>
      </c>
      <c r="AB764" s="36">
        <f t="shared" si="720"/>
        <v>0</v>
      </c>
      <c r="AC764" s="36">
        <f t="shared" si="721"/>
        <v>0</v>
      </c>
      <c r="AD764" s="36">
        <f t="shared" si="722"/>
        <v>0</v>
      </c>
      <c r="AE764" s="36">
        <f t="shared" si="723"/>
        <v>0</v>
      </c>
      <c r="AF764" s="36">
        <f t="shared" si="724"/>
        <v>0</v>
      </c>
      <c r="AG764" s="36">
        <f t="shared" si="725"/>
        <v>0</v>
      </c>
      <c r="AH764" s="36">
        <f t="shared" si="726"/>
        <v>0</v>
      </c>
      <c r="AI764" s="35" t="s">
        <v>2894</v>
      </c>
      <c r="AJ764" s="20">
        <f t="shared" si="727"/>
        <v>0</v>
      </c>
      <c r="AK764" s="20">
        <f t="shared" si="728"/>
        <v>0</v>
      </c>
      <c r="AL764" s="20">
        <f t="shared" si="729"/>
        <v>0</v>
      </c>
      <c r="AN764" s="36">
        <v>21</v>
      </c>
      <c r="AO764" s="36">
        <f t="shared" ref="AO764:AO776" si="738">I764*1</f>
        <v>0</v>
      </c>
      <c r="AP764" s="36">
        <f t="shared" ref="AP764:AP776" si="739">I764*(1-1)</f>
        <v>0</v>
      </c>
      <c r="AQ764" s="37" t="s">
        <v>7</v>
      </c>
      <c r="AV764" s="36">
        <f t="shared" si="730"/>
        <v>0</v>
      </c>
      <c r="AW764" s="36">
        <f t="shared" si="731"/>
        <v>0</v>
      </c>
      <c r="AX764" s="36">
        <f t="shared" si="732"/>
        <v>0</v>
      </c>
      <c r="AY764" s="39" t="s">
        <v>2940</v>
      </c>
      <c r="AZ764" s="39" t="s">
        <v>2952</v>
      </c>
      <c r="BA764" s="35" t="s">
        <v>2967</v>
      </c>
      <c r="BC764" s="36">
        <f t="shared" si="733"/>
        <v>0</v>
      </c>
      <c r="BD764" s="36">
        <f t="shared" si="734"/>
        <v>0</v>
      </c>
      <c r="BE764" s="36">
        <v>0</v>
      </c>
      <c r="BF764" s="36">
        <f>764</f>
        <v>764</v>
      </c>
      <c r="BH764" s="20">
        <f t="shared" si="735"/>
        <v>0</v>
      </c>
      <c r="BI764" s="20">
        <f t="shared" si="736"/>
        <v>0</v>
      </c>
      <c r="BJ764" s="20">
        <f t="shared" si="737"/>
        <v>0</v>
      </c>
      <c r="BK764" s="20" t="s">
        <v>2978</v>
      </c>
      <c r="BL764" s="36" t="s">
        <v>1448</v>
      </c>
    </row>
    <row r="765" spans="1:64" x14ac:dyDescent="0.2">
      <c r="A765" s="86" t="s">
        <v>649</v>
      </c>
      <c r="B765" s="87" t="s">
        <v>1558</v>
      </c>
      <c r="C765" s="184" t="s">
        <v>2556</v>
      </c>
      <c r="D765" s="175"/>
      <c r="E765" s="175"/>
      <c r="F765" s="175"/>
      <c r="G765" s="87" t="s">
        <v>2852</v>
      </c>
      <c r="H765" s="88">
        <v>4</v>
      </c>
      <c r="I765" s="111">
        <v>0</v>
      </c>
      <c r="J765" s="96">
        <f t="shared" si="716"/>
        <v>0</v>
      </c>
      <c r="K765" s="96">
        <f t="shared" si="717"/>
        <v>0</v>
      </c>
      <c r="L765" s="96">
        <f t="shared" si="718"/>
        <v>0</v>
      </c>
      <c r="M765" s="97" t="s">
        <v>2884</v>
      </c>
      <c r="N765" s="5"/>
      <c r="Z765" s="36">
        <f t="shared" si="719"/>
        <v>0</v>
      </c>
      <c r="AB765" s="36">
        <f t="shared" si="720"/>
        <v>0</v>
      </c>
      <c r="AC765" s="36">
        <f t="shared" si="721"/>
        <v>0</v>
      </c>
      <c r="AD765" s="36">
        <f t="shared" si="722"/>
        <v>0</v>
      </c>
      <c r="AE765" s="36">
        <f t="shared" si="723"/>
        <v>0</v>
      </c>
      <c r="AF765" s="36">
        <f t="shared" si="724"/>
        <v>0</v>
      </c>
      <c r="AG765" s="36">
        <f t="shared" si="725"/>
        <v>0</v>
      </c>
      <c r="AH765" s="36">
        <f t="shared" si="726"/>
        <v>0</v>
      </c>
      <c r="AI765" s="35" t="s">
        <v>2894</v>
      </c>
      <c r="AJ765" s="20">
        <f t="shared" si="727"/>
        <v>0</v>
      </c>
      <c r="AK765" s="20">
        <f t="shared" si="728"/>
        <v>0</v>
      </c>
      <c r="AL765" s="20">
        <f t="shared" si="729"/>
        <v>0</v>
      </c>
      <c r="AN765" s="36">
        <v>21</v>
      </c>
      <c r="AO765" s="36">
        <f t="shared" si="738"/>
        <v>0</v>
      </c>
      <c r="AP765" s="36">
        <f t="shared" si="739"/>
        <v>0</v>
      </c>
      <c r="AQ765" s="37" t="s">
        <v>7</v>
      </c>
      <c r="AV765" s="36">
        <f t="shared" si="730"/>
        <v>0</v>
      </c>
      <c r="AW765" s="36">
        <f t="shared" si="731"/>
        <v>0</v>
      </c>
      <c r="AX765" s="36">
        <f t="shared" si="732"/>
        <v>0</v>
      </c>
      <c r="AY765" s="39" t="s">
        <v>2940</v>
      </c>
      <c r="AZ765" s="39" t="s">
        <v>2952</v>
      </c>
      <c r="BA765" s="35" t="s">
        <v>2967</v>
      </c>
      <c r="BC765" s="36">
        <f t="shared" si="733"/>
        <v>0</v>
      </c>
      <c r="BD765" s="36">
        <f t="shared" si="734"/>
        <v>0</v>
      </c>
      <c r="BE765" s="36">
        <v>0</v>
      </c>
      <c r="BF765" s="36">
        <f>765</f>
        <v>765</v>
      </c>
      <c r="BH765" s="20">
        <f t="shared" si="735"/>
        <v>0</v>
      </c>
      <c r="BI765" s="20">
        <f t="shared" si="736"/>
        <v>0</v>
      </c>
      <c r="BJ765" s="20">
        <f t="shared" si="737"/>
        <v>0</v>
      </c>
      <c r="BK765" s="20" t="s">
        <v>2978</v>
      </c>
      <c r="BL765" s="36" t="s">
        <v>1448</v>
      </c>
    </row>
    <row r="766" spans="1:64" x14ac:dyDescent="0.2">
      <c r="A766" s="86" t="s">
        <v>650</v>
      </c>
      <c r="B766" s="87" t="s">
        <v>1559</v>
      </c>
      <c r="C766" s="184" t="s">
        <v>2557</v>
      </c>
      <c r="D766" s="175"/>
      <c r="E766" s="175"/>
      <c r="F766" s="175"/>
      <c r="G766" s="87" t="s">
        <v>2852</v>
      </c>
      <c r="H766" s="88">
        <v>14</v>
      </c>
      <c r="I766" s="111">
        <v>0</v>
      </c>
      <c r="J766" s="96">
        <f t="shared" si="716"/>
        <v>0</v>
      </c>
      <c r="K766" s="96">
        <f t="shared" si="717"/>
        <v>0</v>
      </c>
      <c r="L766" s="96">
        <f t="shared" si="718"/>
        <v>0</v>
      </c>
      <c r="M766" s="97" t="s">
        <v>2884</v>
      </c>
      <c r="N766" s="5"/>
      <c r="Z766" s="36">
        <f t="shared" si="719"/>
        <v>0</v>
      </c>
      <c r="AB766" s="36">
        <f t="shared" si="720"/>
        <v>0</v>
      </c>
      <c r="AC766" s="36">
        <f t="shared" si="721"/>
        <v>0</v>
      </c>
      <c r="AD766" s="36">
        <f t="shared" si="722"/>
        <v>0</v>
      </c>
      <c r="AE766" s="36">
        <f t="shared" si="723"/>
        <v>0</v>
      </c>
      <c r="AF766" s="36">
        <f t="shared" si="724"/>
        <v>0</v>
      </c>
      <c r="AG766" s="36">
        <f t="shared" si="725"/>
        <v>0</v>
      </c>
      <c r="AH766" s="36">
        <f t="shared" si="726"/>
        <v>0</v>
      </c>
      <c r="AI766" s="35" t="s">
        <v>2894</v>
      </c>
      <c r="AJ766" s="20">
        <f t="shared" si="727"/>
        <v>0</v>
      </c>
      <c r="AK766" s="20">
        <f t="shared" si="728"/>
        <v>0</v>
      </c>
      <c r="AL766" s="20">
        <f t="shared" si="729"/>
        <v>0</v>
      </c>
      <c r="AN766" s="36">
        <v>21</v>
      </c>
      <c r="AO766" s="36">
        <f t="shared" si="738"/>
        <v>0</v>
      </c>
      <c r="AP766" s="36">
        <f t="shared" si="739"/>
        <v>0</v>
      </c>
      <c r="AQ766" s="37" t="s">
        <v>7</v>
      </c>
      <c r="AV766" s="36">
        <f t="shared" si="730"/>
        <v>0</v>
      </c>
      <c r="AW766" s="36">
        <f t="shared" si="731"/>
        <v>0</v>
      </c>
      <c r="AX766" s="36">
        <f t="shared" si="732"/>
        <v>0</v>
      </c>
      <c r="AY766" s="39" t="s">
        <v>2940</v>
      </c>
      <c r="AZ766" s="39" t="s">
        <v>2952</v>
      </c>
      <c r="BA766" s="35" t="s">
        <v>2967</v>
      </c>
      <c r="BC766" s="36">
        <f t="shared" si="733"/>
        <v>0</v>
      </c>
      <c r="BD766" s="36">
        <f t="shared" si="734"/>
        <v>0</v>
      </c>
      <c r="BE766" s="36">
        <v>0</v>
      </c>
      <c r="BF766" s="36">
        <f>766</f>
        <v>766</v>
      </c>
      <c r="BH766" s="20">
        <f t="shared" si="735"/>
        <v>0</v>
      </c>
      <c r="BI766" s="20">
        <f t="shared" si="736"/>
        <v>0</v>
      </c>
      <c r="BJ766" s="20">
        <f t="shared" si="737"/>
        <v>0</v>
      </c>
      <c r="BK766" s="20" t="s">
        <v>2978</v>
      </c>
      <c r="BL766" s="36" t="s">
        <v>1448</v>
      </c>
    </row>
    <row r="767" spans="1:64" x14ac:dyDescent="0.2">
      <c r="A767" s="86" t="s">
        <v>651</v>
      </c>
      <c r="B767" s="87" t="s">
        <v>1560</v>
      </c>
      <c r="C767" s="184" t="s">
        <v>2558</v>
      </c>
      <c r="D767" s="175"/>
      <c r="E767" s="175"/>
      <c r="F767" s="175"/>
      <c r="G767" s="87" t="s">
        <v>2852</v>
      </c>
      <c r="H767" s="88">
        <v>6</v>
      </c>
      <c r="I767" s="111">
        <v>0</v>
      </c>
      <c r="J767" s="96">
        <f t="shared" si="716"/>
        <v>0</v>
      </c>
      <c r="K767" s="96">
        <f t="shared" si="717"/>
        <v>0</v>
      </c>
      <c r="L767" s="96">
        <f t="shared" si="718"/>
        <v>0</v>
      </c>
      <c r="M767" s="97" t="s">
        <v>2884</v>
      </c>
      <c r="N767" s="5"/>
      <c r="Z767" s="36">
        <f t="shared" si="719"/>
        <v>0</v>
      </c>
      <c r="AB767" s="36">
        <f t="shared" si="720"/>
        <v>0</v>
      </c>
      <c r="AC767" s="36">
        <f t="shared" si="721"/>
        <v>0</v>
      </c>
      <c r="AD767" s="36">
        <f t="shared" si="722"/>
        <v>0</v>
      </c>
      <c r="AE767" s="36">
        <f t="shared" si="723"/>
        <v>0</v>
      </c>
      <c r="AF767" s="36">
        <f t="shared" si="724"/>
        <v>0</v>
      </c>
      <c r="AG767" s="36">
        <f t="shared" si="725"/>
        <v>0</v>
      </c>
      <c r="AH767" s="36">
        <f t="shared" si="726"/>
        <v>0</v>
      </c>
      <c r="AI767" s="35" t="s">
        <v>2894</v>
      </c>
      <c r="AJ767" s="20">
        <f t="shared" si="727"/>
        <v>0</v>
      </c>
      <c r="AK767" s="20">
        <f t="shared" si="728"/>
        <v>0</v>
      </c>
      <c r="AL767" s="20">
        <f t="shared" si="729"/>
        <v>0</v>
      </c>
      <c r="AN767" s="36">
        <v>21</v>
      </c>
      <c r="AO767" s="36">
        <f t="shared" si="738"/>
        <v>0</v>
      </c>
      <c r="AP767" s="36">
        <f t="shared" si="739"/>
        <v>0</v>
      </c>
      <c r="AQ767" s="37" t="s">
        <v>7</v>
      </c>
      <c r="AV767" s="36">
        <f t="shared" si="730"/>
        <v>0</v>
      </c>
      <c r="AW767" s="36">
        <f t="shared" si="731"/>
        <v>0</v>
      </c>
      <c r="AX767" s="36">
        <f t="shared" si="732"/>
        <v>0</v>
      </c>
      <c r="AY767" s="39" t="s">
        <v>2940</v>
      </c>
      <c r="AZ767" s="39" t="s">
        <v>2952</v>
      </c>
      <c r="BA767" s="35" t="s">
        <v>2967</v>
      </c>
      <c r="BC767" s="36">
        <f t="shared" si="733"/>
        <v>0</v>
      </c>
      <c r="BD767" s="36">
        <f t="shared" si="734"/>
        <v>0</v>
      </c>
      <c r="BE767" s="36">
        <v>0</v>
      </c>
      <c r="BF767" s="36">
        <f>767</f>
        <v>767</v>
      </c>
      <c r="BH767" s="20">
        <f t="shared" si="735"/>
        <v>0</v>
      </c>
      <c r="BI767" s="20">
        <f t="shared" si="736"/>
        <v>0</v>
      </c>
      <c r="BJ767" s="20">
        <f t="shared" si="737"/>
        <v>0</v>
      </c>
      <c r="BK767" s="20" t="s">
        <v>2978</v>
      </c>
      <c r="BL767" s="36" t="s">
        <v>1448</v>
      </c>
    </row>
    <row r="768" spans="1:64" x14ac:dyDescent="0.2">
      <c r="A768" s="86" t="s">
        <v>652</v>
      </c>
      <c r="B768" s="87" t="s">
        <v>1561</v>
      </c>
      <c r="C768" s="184" t="s">
        <v>2559</v>
      </c>
      <c r="D768" s="175"/>
      <c r="E768" s="175"/>
      <c r="F768" s="175"/>
      <c r="G768" s="87" t="s">
        <v>2852</v>
      </c>
      <c r="H768" s="88">
        <v>2</v>
      </c>
      <c r="I768" s="111">
        <v>0</v>
      </c>
      <c r="J768" s="96">
        <f t="shared" si="716"/>
        <v>0</v>
      </c>
      <c r="K768" s="96">
        <f t="shared" si="717"/>
        <v>0</v>
      </c>
      <c r="L768" s="96">
        <f t="shared" si="718"/>
        <v>0</v>
      </c>
      <c r="M768" s="97" t="s">
        <v>2884</v>
      </c>
      <c r="N768" s="5"/>
      <c r="Z768" s="36">
        <f t="shared" si="719"/>
        <v>0</v>
      </c>
      <c r="AB768" s="36">
        <f t="shared" si="720"/>
        <v>0</v>
      </c>
      <c r="AC768" s="36">
        <f t="shared" si="721"/>
        <v>0</v>
      </c>
      <c r="AD768" s="36">
        <f t="shared" si="722"/>
        <v>0</v>
      </c>
      <c r="AE768" s="36">
        <f t="shared" si="723"/>
        <v>0</v>
      </c>
      <c r="AF768" s="36">
        <f t="shared" si="724"/>
        <v>0</v>
      </c>
      <c r="AG768" s="36">
        <f t="shared" si="725"/>
        <v>0</v>
      </c>
      <c r="AH768" s="36">
        <f t="shared" si="726"/>
        <v>0</v>
      </c>
      <c r="AI768" s="35" t="s">
        <v>2894</v>
      </c>
      <c r="AJ768" s="20">
        <f t="shared" si="727"/>
        <v>0</v>
      </c>
      <c r="AK768" s="20">
        <f t="shared" si="728"/>
        <v>0</v>
      </c>
      <c r="AL768" s="20">
        <f t="shared" si="729"/>
        <v>0</v>
      </c>
      <c r="AN768" s="36">
        <v>21</v>
      </c>
      <c r="AO768" s="36">
        <f t="shared" si="738"/>
        <v>0</v>
      </c>
      <c r="AP768" s="36">
        <f t="shared" si="739"/>
        <v>0</v>
      </c>
      <c r="AQ768" s="37" t="s">
        <v>7</v>
      </c>
      <c r="AV768" s="36">
        <f t="shared" si="730"/>
        <v>0</v>
      </c>
      <c r="AW768" s="36">
        <f t="shared" si="731"/>
        <v>0</v>
      </c>
      <c r="AX768" s="36">
        <f t="shared" si="732"/>
        <v>0</v>
      </c>
      <c r="AY768" s="39" t="s">
        <v>2940</v>
      </c>
      <c r="AZ768" s="39" t="s">
        <v>2952</v>
      </c>
      <c r="BA768" s="35" t="s">
        <v>2967</v>
      </c>
      <c r="BC768" s="36">
        <f t="shared" si="733"/>
        <v>0</v>
      </c>
      <c r="BD768" s="36">
        <f t="shared" si="734"/>
        <v>0</v>
      </c>
      <c r="BE768" s="36">
        <v>0</v>
      </c>
      <c r="BF768" s="36">
        <f>768</f>
        <v>768</v>
      </c>
      <c r="BH768" s="20">
        <f t="shared" si="735"/>
        <v>0</v>
      </c>
      <c r="BI768" s="20">
        <f t="shared" si="736"/>
        <v>0</v>
      </c>
      <c r="BJ768" s="20">
        <f t="shared" si="737"/>
        <v>0</v>
      </c>
      <c r="BK768" s="20" t="s">
        <v>2978</v>
      </c>
      <c r="BL768" s="36" t="s">
        <v>1448</v>
      </c>
    </row>
    <row r="769" spans="1:64" x14ac:dyDescent="0.2">
      <c r="A769" s="86" t="s">
        <v>653</v>
      </c>
      <c r="B769" s="87" t="s">
        <v>1562</v>
      </c>
      <c r="C769" s="184" t="s">
        <v>2560</v>
      </c>
      <c r="D769" s="175"/>
      <c r="E769" s="175"/>
      <c r="F769" s="175"/>
      <c r="G769" s="87" t="s">
        <v>2860</v>
      </c>
      <c r="H769" s="88">
        <v>2</v>
      </c>
      <c r="I769" s="111">
        <v>0</v>
      </c>
      <c r="J769" s="96">
        <f t="shared" si="716"/>
        <v>0</v>
      </c>
      <c r="K769" s="96">
        <f t="shared" si="717"/>
        <v>0</v>
      </c>
      <c r="L769" s="96">
        <f t="shared" si="718"/>
        <v>0</v>
      </c>
      <c r="M769" s="97" t="s">
        <v>2884</v>
      </c>
      <c r="N769" s="5"/>
      <c r="Z769" s="36">
        <f t="shared" si="719"/>
        <v>0</v>
      </c>
      <c r="AB769" s="36">
        <f t="shared" si="720"/>
        <v>0</v>
      </c>
      <c r="AC769" s="36">
        <f t="shared" si="721"/>
        <v>0</v>
      </c>
      <c r="AD769" s="36">
        <f t="shared" si="722"/>
        <v>0</v>
      </c>
      <c r="AE769" s="36">
        <f t="shared" si="723"/>
        <v>0</v>
      </c>
      <c r="AF769" s="36">
        <f t="shared" si="724"/>
        <v>0</v>
      </c>
      <c r="AG769" s="36">
        <f t="shared" si="725"/>
        <v>0</v>
      </c>
      <c r="AH769" s="36">
        <f t="shared" si="726"/>
        <v>0</v>
      </c>
      <c r="AI769" s="35" t="s">
        <v>2894</v>
      </c>
      <c r="AJ769" s="20">
        <f t="shared" si="727"/>
        <v>0</v>
      </c>
      <c r="AK769" s="20">
        <f t="shared" si="728"/>
        <v>0</v>
      </c>
      <c r="AL769" s="20">
        <f t="shared" si="729"/>
        <v>0</v>
      </c>
      <c r="AN769" s="36">
        <v>21</v>
      </c>
      <c r="AO769" s="36">
        <f t="shared" si="738"/>
        <v>0</v>
      </c>
      <c r="AP769" s="36">
        <f t="shared" si="739"/>
        <v>0</v>
      </c>
      <c r="AQ769" s="37" t="s">
        <v>7</v>
      </c>
      <c r="AV769" s="36">
        <f t="shared" si="730"/>
        <v>0</v>
      </c>
      <c r="AW769" s="36">
        <f t="shared" si="731"/>
        <v>0</v>
      </c>
      <c r="AX769" s="36">
        <f t="shared" si="732"/>
        <v>0</v>
      </c>
      <c r="AY769" s="39" t="s">
        <v>2940</v>
      </c>
      <c r="AZ769" s="39" t="s">
        <v>2952</v>
      </c>
      <c r="BA769" s="35" t="s">
        <v>2967</v>
      </c>
      <c r="BC769" s="36">
        <f t="shared" si="733"/>
        <v>0</v>
      </c>
      <c r="BD769" s="36">
        <f t="shared" si="734"/>
        <v>0</v>
      </c>
      <c r="BE769" s="36">
        <v>0</v>
      </c>
      <c r="BF769" s="36">
        <f>769</f>
        <v>769</v>
      </c>
      <c r="BH769" s="20">
        <f t="shared" si="735"/>
        <v>0</v>
      </c>
      <c r="BI769" s="20">
        <f t="shared" si="736"/>
        <v>0</v>
      </c>
      <c r="BJ769" s="20">
        <f t="shared" si="737"/>
        <v>0</v>
      </c>
      <c r="BK769" s="20" t="s">
        <v>2978</v>
      </c>
      <c r="BL769" s="36" t="s">
        <v>1448</v>
      </c>
    </row>
    <row r="770" spans="1:64" x14ac:dyDescent="0.2">
      <c r="A770" s="86" t="s">
        <v>654</v>
      </c>
      <c r="B770" s="87" t="s">
        <v>1563</v>
      </c>
      <c r="C770" s="184" t="s">
        <v>2561</v>
      </c>
      <c r="D770" s="175"/>
      <c r="E770" s="175"/>
      <c r="F770" s="175"/>
      <c r="G770" s="87" t="s">
        <v>2860</v>
      </c>
      <c r="H770" s="88">
        <v>2</v>
      </c>
      <c r="I770" s="111">
        <v>0</v>
      </c>
      <c r="J770" s="96">
        <f t="shared" si="716"/>
        <v>0</v>
      </c>
      <c r="K770" s="96">
        <f t="shared" si="717"/>
        <v>0</v>
      </c>
      <c r="L770" s="96">
        <f t="shared" si="718"/>
        <v>0</v>
      </c>
      <c r="M770" s="97" t="s">
        <v>2884</v>
      </c>
      <c r="N770" s="5"/>
      <c r="Z770" s="36">
        <f t="shared" si="719"/>
        <v>0</v>
      </c>
      <c r="AB770" s="36">
        <f t="shared" si="720"/>
        <v>0</v>
      </c>
      <c r="AC770" s="36">
        <f t="shared" si="721"/>
        <v>0</v>
      </c>
      <c r="AD770" s="36">
        <f t="shared" si="722"/>
        <v>0</v>
      </c>
      <c r="AE770" s="36">
        <f t="shared" si="723"/>
        <v>0</v>
      </c>
      <c r="AF770" s="36">
        <f t="shared" si="724"/>
        <v>0</v>
      </c>
      <c r="AG770" s="36">
        <f t="shared" si="725"/>
        <v>0</v>
      </c>
      <c r="AH770" s="36">
        <f t="shared" si="726"/>
        <v>0</v>
      </c>
      <c r="AI770" s="35" t="s">
        <v>2894</v>
      </c>
      <c r="AJ770" s="20">
        <f t="shared" si="727"/>
        <v>0</v>
      </c>
      <c r="AK770" s="20">
        <f t="shared" si="728"/>
        <v>0</v>
      </c>
      <c r="AL770" s="20">
        <f t="shared" si="729"/>
        <v>0</v>
      </c>
      <c r="AN770" s="36">
        <v>21</v>
      </c>
      <c r="AO770" s="36">
        <f t="shared" si="738"/>
        <v>0</v>
      </c>
      <c r="AP770" s="36">
        <f t="shared" si="739"/>
        <v>0</v>
      </c>
      <c r="AQ770" s="37" t="s">
        <v>7</v>
      </c>
      <c r="AV770" s="36">
        <f t="shared" si="730"/>
        <v>0</v>
      </c>
      <c r="AW770" s="36">
        <f t="shared" si="731"/>
        <v>0</v>
      </c>
      <c r="AX770" s="36">
        <f t="shared" si="732"/>
        <v>0</v>
      </c>
      <c r="AY770" s="39" t="s">
        <v>2940</v>
      </c>
      <c r="AZ770" s="39" t="s">
        <v>2952</v>
      </c>
      <c r="BA770" s="35" t="s">
        <v>2967</v>
      </c>
      <c r="BC770" s="36">
        <f t="shared" si="733"/>
        <v>0</v>
      </c>
      <c r="BD770" s="36">
        <f t="shared" si="734"/>
        <v>0</v>
      </c>
      <c r="BE770" s="36">
        <v>0</v>
      </c>
      <c r="BF770" s="36">
        <f>770</f>
        <v>770</v>
      </c>
      <c r="BH770" s="20">
        <f t="shared" si="735"/>
        <v>0</v>
      </c>
      <c r="BI770" s="20">
        <f t="shared" si="736"/>
        <v>0</v>
      </c>
      <c r="BJ770" s="20">
        <f t="shared" si="737"/>
        <v>0</v>
      </c>
      <c r="BK770" s="20" t="s">
        <v>2978</v>
      </c>
      <c r="BL770" s="36" t="s">
        <v>1448</v>
      </c>
    </row>
    <row r="771" spans="1:64" x14ac:dyDescent="0.2">
      <c r="A771" s="86" t="s">
        <v>655</v>
      </c>
      <c r="B771" s="87" t="s">
        <v>1564</v>
      </c>
      <c r="C771" s="184" t="s">
        <v>2562</v>
      </c>
      <c r="D771" s="175"/>
      <c r="E771" s="175"/>
      <c r="F771" s="175"/>
      <c r="G771" s="87" t="s">
        <v>2860</v>
      </c>
      <c r="H771" s="88">
        <v>4</v>
      </c>
      <c r="I771" s="111">
        <v>0</v>
      </c>
      <c r="J771" s="96">
        <f t="shared" ref="J771:J802" si="740">H771*AO771</f>
        <v>0</v>
      </c>
      <c r="K771" s="96">
        <f t="shared" ref="K771:K802" si="741">H771*AP771</f>
        <v>0</v>
      </c>
      <c r="L771" s="96">
        <f t="shared" ref="L771:L802" si="742">H771*I771</f>
        <v>0</v>
      </c>
      <c r="M771" s="97" t="s">
        <v>2884</v>
      </c>
      <c r="N771" s="5"/>
      <c r="Z771" s="36">
        <f t="shared" ref="Z771:Z802" si="743">IF(AQ771="5",BJ771,0)</f>
        <v>0</v>
      </c>
      <c r="AB771" s="36">
        <f t="shared" ref="AB771:AB802" si="744">IF(AQ771="1",BH771,0)</f>
        <v>0</v>
      </c>
      <c r="AC771" s="36">
        <f t="shared" ref="AC771:AC802" si="745">IF(AQ771="1",BI771,0)</f>
        <v>0</v>
      </c>
      <c r="AD771" s="36">
        <f t="shared" ref="AD771:AD802" si="746">IF(AQ771="7",BH771,0)</f>
        <v>0</v>
      </c>
      <c r="AE771" s="36">
        <f t="shared" ref="AE771:AE802" si="747">IF(AQ771="7",BI771,0)</f>
        <v>0</v>
      </c>
      <c r="AF771" s="36">
        <f t="shared" ref="AF771:AF802" si="748">IF(AQ771="2",BH771,0)</f>
        <v>0</v>
      </c>
      <c r="AG771" s="36">
        <f t="shared" ref="AG771:AG802" si="749">IF(AQ771="2",BI771,0)</f>
        <v>0</v>
      </c>
      <c r="AH771" s="36">
        <f t="shared" ref="AH771:AH802" si="750">IF(AQ771="0",BJ771,0)</f>
        <v>0</v>
      </c>
      <c r="AI771" s="35" t="s">
        <v>2894</v>
      </c>
      <c r="AJ771" s="20">
        <f t="shared" ref="AJ771:AJ802" si="751">IF(AN771=0,L771,0)</f>
        <v>0</v>
      </c>
      <c r="AK771" s="20">
        <f t="shared" ref="AK771:AK802" si="752">IF(AN771=15,L771,0)</f>
        <v>0</v>
      </c>
      <c r="AL771" s="20">
        <f t="shared" ref="AL771:AL802" si="753">IF(AN771=21,L771,0)</f>
        <v>0</v>
      </c>
      <c r="AN771" s="36">
        <v>21</v>
      </c>
      <c r="AO771" s="36">
        <f t="shared" si="738"/>
        <v>0</v>
      </c>
      <c r="AP771" s="36">
        <f t="shared" si="739"/>
        <v>0</v>
      </c>
      <c r="AQ771" s="37" t="s">
        <v>7</v>
      </c>
      <c r="AV771" s="36">
        <f t="shared" ref="AV771:AV802" si="754">AW771+AX771</f>
        <v>0</v>
      </c>
      <c r="AW771" s="36">
        <f t="shared" ref="AW771:AW802" si="755">H771*AO771</f>
        <v>0</v>
      </c>
      <c r="AX771" s="36">
        <f t="shared" ref="AX771:AX802" si="756">H771*AP771</f>
        <v>0</v>
      </c>
      <c r="AY771" s="39" t="s">
        <v>2940</v>
      </c>
      <c r="AZ771" s="39" t="s">
        <v>2952</v>
      </c>
      <c r="BA771" s="35" t="s">
        <v>2967</v>
      </c>
      <c r="BC771" s="36">
        <f t="shared" ref="BC771:BC802" si="757">AW771+AX771</f>
        <v>0</v>
      </c>
      <c r="BD771" s="36">
        <f t="shared" ref="BD771:BD802" si="758">I771/(100-BE771)*100</f>
        <v>0</v>
      </c>
      <c r="BE771" s="36">
        <v>0</v>
      </c>
      <c r="BF771" s="36">
        <f>771</f>
        <v>771</v>
      </c>
      <c r="BH771" s="20">
        <f t="shared" ref="BH771:BH802" si="759">H771*AO771</f>
        <v>0</v>
      </c>
      <c r="BI771" s="20">
        <f t="shared" ref="BI771:BI802" si="760">H771*AP771</f>
        <v>0</v>
      </c>
      <c r="BJ771" s="20">
        <f t="shared" ref="BJ771:BJ802" si="761">H771*I771</f>
        <v>0</v>
      </c>
      <c r="BK771" s="20" t="s">
        <v>2978</v>
      </c>
      <c r="BL771" s="36" t="s">
        <v>1448</v>
      </c>
    </row>
    <row r="772" spans="1:64" x14ac:dyDescent="0.2">
      <c r="A772" s="86" t="s">
        <v>656</v>
      </c>
      <c r="B772" s="87" t="s">
        <v>1565</v>
      </c>
      <c r="C772" s="184" t="s">
        <v>2563</v>
      </c>
      <c r="D772" s="175"/>
      <c r="E772" s="175"/>
      <c r="F772" s="175"/>
      <c r="G772" s="87" t="s">
        <v>2860</v>
      </c>
      <c r="H772" s="88">
        <v>1</v>
      </c>
      <c r="I772" s="111">
        <v>0</v>
      </c>
      <c r="J772" s="96">
        <f t="shared" si="740"/>
        <v>0</v>
      </c>
      <c r="K772" s="96">
        <f t="shared" si="741"/>
        <v>0</v>
      </c>
      <c r="L772" s="96">
        <f t="shared" si="742"/>
        <v>0</v>
      </c>
      <c r="M772" s="97" t="s">
        <v>2884</v>
      </c>
      <c r="N772" s="5"/>
      <c r="Z772" s="36">
        <f t="shared" si="743"/>
        <v>0</v>
      </c>
      <c r="AB772" s="36">
        <f t="shared" si="744"/>
        <v>0</v>
      </c>
      <c r="AC772" s="36">
        <f t="shared" si="745"/>
        <v>0</v>
      </c>
      <c r="AD772" s="36">
        <f t="shared" si="746"/>
        <v>0</v>
      </c>
      <c r="AE772" s="36">
        <f t="shared" si="747"/>
        <v>0</v>
      </c>
      <c r="AF772" s="36">
        <f t="shared" si="748"/>
        <v>0</v>
      </c>
      <c r="AG772" s="36">
        <f t="shared" si="749"/>
        <v>0</v>
      </c>
      <c r="AH772" s="36">
        <f t="shared" si="750"/>
        <v>0</v>
      </c>
      <c r="AI772" s="35" t="s">
        <v>2894</v>
      </c>
      <c r="AJ772" s="20">
        <f t="shared" si="751"/>
        <v>0</v>
      </c>
      <c r="AK772" s="20">
        <f t="shared" si="752"/>
        <v>0</v>
      </c>
      <c r="AL772" s="20">
        <f t="shared" si="753"/>
        <v>0</v>
      </c>
      <c r="AN772" s="36">
        <v>21</v>
      </c>
      <c r="AO772" s="36">
        <f t="shared" si="738"/>
        <v>0</v>
      </c>
      <c r="AP772" s="36">
        <f t="shared" si="739"/>
        <v>0</v>
      </c>
      <c r="AQ772" s="37" t="s">
        <v>7</v>
      </c>
      <c r="AV772" s="36">
        <f t="shared" si="754"/>
        <v>0</v>
      </c>
      <c r="AW772" s="36">
        <f t="shared" si="755"/>
        <v>0</v>
      </c>
      <c r="AX772" s="36">
        <f t="shared" si="756"/>
        <v>0</v>
      </c>
      <c r="AY772" s="39" t="s">
        <v>2940</v>
      </c>
      <c r="AZ772" s="39" t="s">
        <v>2952</v>
      </c>
      <c r="BA772" s="35" t="s">
        <v>2967</v>
      </c>
      <c r="BC772" s="36">
        <f t="shared" si="757"/>
        <v>0</v>
      </c>
      <c r="BD772" s="36">
        <f t="shared" si="758"/>
        <v>0</v>
      </c>
      <c r="BE772" s="36">
        <v>0</v>
      </c>
      <c r="BF772" s="36">
        <f>772</f>
        <v>772</v>
      </c>
      <c r="BH772" s="20">
        <f t="shared" si="759"/>
        <v>0</v>
      </c>
      <c r="BI772" s="20">
        <f t="shared" si="760"/>
        <v>0</v>
      </c>
      <c r="BJ772" s="20">
        <f t="shared" si="761"/>
        <v>0</v>
      </c>
      <c r="BK772" s="20" t="s">
        <v>2978</v>
      </c>
      <c r="BL772" s="36" t="s">
        <v>1448</v>
      </c>
    </row>
    <row r="773" spans="1:64" x14ac:dyDescent="0.2">
      <c r="A773" s="86" t="s">
        <v>657</v>
      </c>
      <c r="B773" s="87" t="s">
        <v>1566</v>
      </c>
      <c r="C773" s="184" t="s">
        <v>2564</v>
      </c>
      <c r="D773" s="175"/>
      <c r="E773" s="175"/>
      <c r="F773" s="175"/>
      <c r="G773" s="87" t="s">
        <v>2860</v>
      </c>
      <c r="H773" s="88">
        <v>8</v>
      </c>
      <c r="I773" s="111">
        <v>0</v>
      </c>
      <c r="J773" s="96">
        <f t="shared" si="740"/>
        <v>0</v>
      </c>
      <c r="K773" s="96">
        <f t="shared" si="741"/>
        <v>0</v>
      </c>
      <c r="L773" s="96">
        <f t="shared" si="742"/>
        <v>0</v>
      </c>
      <c r="M773" s="97" t="s">
        <v>2884</v>
      </c>
      <c r="N773" s="5"/>
      <c r="Z773" s="36">
        <f t="shared" si="743"/>
        <v>0</v>
      </c>
      <c r="AB773" s="36">
        <f t="shared" si="744"/>
        <v>0</v>
      </c>
      <c r="AC773" s="36">
        <f t="shared" si="745"/>
        <v>0</v>
      </c>
      <c r="AD773" s="36">
        <f t="shared" si="746"/>
        <v>0</v>
      </c>
      <c r="AE773" s="36">
        <f t="shared" si="747"/>
        <v>0</v>
      </c>
      <c r="AF773" s="36">
        <f t="shared" si="748"/>
        <v>0</v>
      </c>
      <c r="AG773" s="36">
        <f t="shared" si="749"/>
        <v>0</v>
      </c>
      <c r="AH773" s="36">
        <f t="shared" si="750"/>
        <v>0</v>
      </c>
      <c r="AI773" s="35" t="s">
        <v>2894</v>
      </c>
      <c r="AJ773" s="20">
        <f t="shared" si="751"/>
        <v>0</v>
      </c>
      <c r="AK773" s="20">
        <f t="shared" si="752"/>
        <v>0</v>
      </c>
      <c r="AL773" s="20">
        <f t="shared" si="753"/>
        <v>0</v>
      </c>
      <c r="AN773" s="36">
        <v>21</v>
      </c>
      <c r="AO773" s="36">
        <f t="shared" si="738"/>
        <v>0</v>
      </c>
      <c r="AP773" s="36">
        <f t="shared" si="739"/>
        <v>0</v>
      </c>
      <c r="AQ773" s="37" t="s">
        <v>7</v>
      </c>
      <c r="AV773" s="36">
        <f t="shared" si="754"/>
        <v>0</v>
      </c>
      <c r="AW773" s="36">
        <f t="shared" si="755"/>
        <v>0</v>
      </c>
      <c r="AX773" s="36">
        <f t="shared" si="756"/>
        <v>0</v>
      </c>
      <c r="AY773" s="39" t="s">
        <v>2940</v>
      </c>
      <c r="AZ773" s="39" t="s">
        <v>2952</v>
      </c>
      <c r="BA773" s="35" t="s">
        <v>2967</v>
      </c>
      <c r="BC773" s="36">
        <f t="shared" si="757"/>
        <v>0</v>
      </c>
      <c r="BD773" s="36">
        <f t="shared" si="758"/>
        <v>0</v>
      </c>
      <c r="BE773" s="36">
        <v>0</v>
      </c>
      <c r="BF773" s="36">
        <f>773</f>
        <v>773</v>
      </c>
      <c r="BH773" s="20">
        <f t="shared" si="759"/>
        <v>0</v>
      </c>
      <c r="BI773" s="20">
        <f t="shared" si="760"/>
        <v>0</v>
      </c>
      <c r="BJ773" s="20">
        <f t="shared" si="761"/>
        <v>0</v>
      </c>
      <c r="BK773" s="20" t="s">
        <v>2978</v>
      </c>
      <c r="BL773" s="36" t="s">
        <v>1448</v>
      </c>
    </row>
    <row r="774" spans="1:64" x14ac:dyDescent="0.2">
      <c r="A774" s="86" t="s">
        <v>658</v>
      </c>
      <c r="B774" s="87" t="s">
        <v>1567</v>
      </c>
      <c r="C774" s="184" t="s">
        <v>2565</v>
      </c>
      <c r="D774" s="175"/>
      <c r="E774" s="175"/>
      <c r="F774" s="175"/>
      <c r="G774" s="87" t="s">
        <v>2860</v>
      </c>
      <c r="H774" s="88">
        <v>47</v>
      </c>
      <c r="I774" s="111">
        <v>0</v>
      </c>
      <c r="J774" s="96">
        <f t="shared" si="740"/>
        <v>0</v>
      </c>
      <c r="K774" s="96">
        <f t="shared" si="741"/>
        <v>0</v>
      </c>
      <c r="L774" s="96">
        <f t="shared" si="742"/>
        <v>0</v>
      </c>
      <c r="M774" s="97" t="s">
        <v>2884</v>
      </c>
      <c r="N774" s="5"/>
      <c r="Z774" s="36">
        <f t="shared" si="743"/>
        <v>0</v>
      </c>
      <c r="AB774" s="36">
        <f t="shared" si="744"/>
        <v>0</v>
      </c>
      <c r="AC774" s="36">
        <f t="shared" si="745"/>
        <v>0</v>
      </c>
      <c r="AD774" s="36">
        <f t="shared" si="746"/>
        <v>0</v>
      </c>
      <c r="AE774" s="36">
        <f t="shared" si="747"/>
        <v>0</v>
      </c>
      <c r="AF774" s="36">
        <f t="shared" si="748"/>
        <v>0</v>
      </c>
      <c r="AG774" s="36">
        <f t="shared" si="749"/>
        <v>0</v>
      </c>
      <c r="AH774" s="36">
        <f t="shared" si="750"/>
        <v>0</v>
      </c>
      <c r="AI774" s="35" t="s">
        <v>2894</v>
      </c>
      <c r="AJ774" s="20">
        <f t="shared" si="751"/>
        <v>0</v>
      </c>
      <c r="AK774" s="20">
        <f t="shared" si="752"/>
        <v>0</v>
      </c>
      <c r="AL774" s="20">
        <f t="shared" si="753"/>
        <v>0</v>
      </c>
      <c r="AN774" s="36">
        <v>21</v>
      </c>
      <c r="AO774" s="36">
        <f t="shared" si="738"/>
        <v>0</v>
      </c>
      <c r="AP774" s="36">
        <f t="shared" si="739"/>
        <v>0</v>
      </c>
      <c r="AQ774" s="37" t="s">
        <v>7</v>
      </c>
      <c r="AV774" s="36">
        <f t="shared" si="754"/>
        <v>0</v>
      </c>
      <c r="AW774" s="36">
        <f t="shared" si="755"/>
        <v>0</v>
      </c>
      <c r="AX774" s="36">
        <f t="shared" si="756"/>
        <v>0</v>
      </c>
      <c r="AY774" s="39" t="s">
        <v>2940</v>
      </c>
      <c r="AZ774" s="39" t="s">
        <v>2952</v>
      </c>
      <c r="BA774" s="35" t="s">
        <v>2967</v>
      </c>
      <c r="BC774" s="36">
        <f t="shared" si="757"/>
        <v>0</v>
      </c>
      <c r="BD774" s="36">
        <f t="shared" si="758"/>
        <v>0</v>
      </c>
      <c r="BE774" s="36">
        <v>0</v>
      </c>
      <c r="BF774" s="36">
        <f>774</f>
        <v>774</v>
      </c>
      <c r="BH774" s="20">
        <f t="shared" si="759"/>
        <v>0</v>
      </c>
      <c r="BI774" s="20">
        <f t="shared" si="760"/>
        <v>0</v>
      </c>
      <c r="BJ774" s="20">
        <f t="shared" si="761"/>
        <v>0</v>
      </c>
      <c r="BK774" s="20" t="s">
        <v>2978</v>
      </c>
      <c r="BL774" s="36" t="s">
        <v>1448</v>
      </c>
    </row>
    <row r="775" spans="1:64" x14ac:dyDescent="0.2">
      <c r="A775" s="86" t="s">
        <v>659</v>
      </c>
      <c r="B775" s="87" t="s">
        <v>1568</v>
      </c>
      <c r="C775" s="184" t="s">
        <v>2566</v>
      </c>
      <c r="D775" s="175"/>
      <c r="E775" s="175"/>
      <c r="F775" s="175"/>
      <c r="G775" s="87" t="s">
        <v>2860</v>
      </c>
      <c r="H775" s="88">
        <v>4</v>
      </c>
      <c r="I775" s="111">
        <v>0</v>
      </c>
      <c r="J775" s="96">
        <f t="shared" si="740"/>
        <v>0</v>
      </c>
      <c r="K775" s="96">
        <f t="shared" si="741"/>
        <v>0</v>
      </c>
      <c r="L775" s="96">
        <f t="shared" si="742"/>
        <v>0</v>
      </c>
      <c r="M775" s="97" t="s">
        <v>2884</v>
      </c>
      <c r="N775" s="5"/>
      <c r="Z775" s="36">
        <f t="shared" si="743"/>
        <v>0</v>
      </c>
      <c r="AB775" s="36">
        <f t="shared" si="744"/>
        <v>0</v>
      </c>
      <c r="AC775" s="36">
        <f t="shared" si="745"/>
        <v>0</v>
      </c>
      <c r="AD775" s="36">
        <f t="shared" si="746"/>
        <v>0</v>
      </c>
      <c r="AE775" s="36">
        <f t="shared" si="747"/>
        <v>0</v>
      </c>
      <c r="AF775" s="36">
        <f t="shared" si="748"/>
        <v>0</v>
      </c>
      <c r="AG775" s="36">
        <f t="shared" si="749"/>
        <v>0</v>
      </c>
      <c r="AH775" s="36">
        <f t="shared" si="750"/>
        <v>0</v>
      </c>
      <c r="AI775" s="35" t="s">
        <v>2894</v>
      </c>
      <c r="AJ775" s="20">
        <f t="shared" si="751"/>
        <v>0</v>
      </c>
      <c r="AK775" s="20">
        <f t="shared" si="752"/>
        <v>0</v>
      </c>
      <c r="AL775" s="20">
        <f t="shared" si="753"/>
        <v>0</v>
      </c>
      <c r="AN775" s="36">
        <v>21</v>
      </c>
      <c r="AO775" s="36">
        <f t="shared" si="738"/>
        <v>0</v>
      </c>
      <c r="AP775" s="36">
        <f t="shared" si="739"/>
        <v>0</v>
      </c>
      <c r="AQ775" s="37" t="s">
        <v>7</v>
      </c>
      <c r="AV775" s="36">
        <f t="shared" si="754"/>
        <v>0</v>
      </c>
      <c r="AW775" s="36">
        <f t="shared" si="755"/>
        <v>0</v>
      </c>
      <c r="AX775" s="36">
        <f t="shared" si="756"/>
        <v>0</v>
      </c>
      <c r="AY775" s="39" t="s">
        <v>2940</v>
      </c>
      <c r="AZ775" s="39" t="s">
        <v>2952</v>
      </c>
      <c r="BA775" s="35" t="s">
        <v>2967</v>
      </c>
      <c r="BC775" s="36">
        <f t="shared" si="757"/>
        <v>0</v>
      </c>
      <c r="BD775" s="36">
        <f t="shared" si="758"/>
        <v>0</v>
      </c>
      <c r="BE775" s="36">
        <v>0</v>
      </c>
      <c r="BF775" s="36">
        <f>775</f>
        <v>775</v>
      </c>
      <c r="BH775" s="20">
        <f t="shared" si="759"/>
        <v>0</v>
      </c>
      <c r="BI775" s="20">
        <f t="shared" si="760"/>
        <v>0</v>
      </c>
      <c r="BJ775" s="20">
        <f t="shared" si="761"/>
        <v>0</v>
      </c>
      <c r="BK775" s="20" t="s">
        <v>2978</v>
      </c>
      <c r="BL775" s="36" t="s">
        <v>1448</v>
      </c>
    </row>
    <row r="776" spans="1:64" x14ac:dyDescent="0.2">
      <c r="A776" s="86" t="s">
        <v>660</v>
      </c>
      <c r="B776" s="87" t="s">
        <v>1569</v>
      </c>
      <c r="C776" s="184" t="s">
        <v>2567</v>
      </c>
      <c r="D776" s="175"/>
      <c r="E776" s="175"/>
      <c r="F776" s="175"/>
      <c r="G776" s="87" t="s">
        <v>2860</v>
      </c>
      <c r="H776" s="88">
        <v>30</v>
      </c>
      <c r="I776" s="111">
        <v>0</v>
      </c>
      <c r="J776" s="96">
        <f t="shared" si="740"/>
        <v>0</v>
      </c>
      <c r="K776" s="96">
        <f t="shared" si="741"/>
        <v>0</v>
      </c>
      <c r="L776" s="96">
        <f t="shared" si="742"/>
        <v>0</v>
      </c>
      <c r="M776" s="97" t="s">
        <v>2884</v>
      </c>
      <c r="N776" s="5"/>
      <c r="Z776" s="36">
        <f t="shared" si="743"/>
        <v>0</v>
      </c>
      <c r="AB776" s="36">
        <f t="shared" si="744"/>
        <v>0</v>
      </c>
      <c r="AC776" s="36">
        <f t="shared" si="745"/>
        <v>0</v>
      </c>
      <c r="AD776" s="36">
        <f t="shared" si="746"/>
        <v>0</v>
      </c>
      <c r="AE776" s="36">
        <f t="shared" si="747"/>
        <v>0</v>
      </c>
      <c r="AF776" s="36">
        <f t="shared" si="748"/>
        <v>0</v>
      </c>
      <c r="AG776" s="36">
        <f t="shared" si="749"/>
        <v>0</v>
      </c>
      <c r="AH776" s="36">
        <f t="shared" si="750"/>
        <v>0</v>
      </c>
      <c r="AI776" s="35" t="s">
        <v>2894</v>
      </c>
      <c r="AJ776" s="20">
        <f t="shared" si="751"/>
        <v>0</v>
      </c>
      <c r="AK776" s="20">
        <f t="shared" si="752"/>
        <v>0</v>
      </c>
      <c r="AL776" s="20">
        <f t="shared" si="753"/>
        <v>0</v>
      </c>
      <c r="AN776" s="36">
        <v>21</v>
      </c>
      <c r="AO776" s="36">
        <f t="shared" si="738"/>
        <v>0</v>
      </c>
      <c r="AP776" s="36">
        <f t="shared" si="739"/>
        <v>0</v>
      </c>
      <c r="AQ776" s="37" t="s">
        <v>7</v>
      </c>
      <c r="AV776" s="36">
        <f t="shared" si="754"/>
        <v>0</v>
      </c>
      <c r="AW776" s="36">
        <f t="shared" si="755"/>
        <v>0</v>
      </c>
      <c r="AX776" s="36">
        <f t="shared" si="756"/>
        <v>0</v>
      </c>
      <c r="AY776" s="39" t="s">
        <v>2940</v>
      </c>
      <c r="AZ776" s="39" t="s">
        <v>2952</v>
      </c>
      <c r="BA776" s="35" t="s">
        <v>2967</v>
      </c>
      <c r="BC776" s="36">
        <f t="shared" si="757"/>
        <v>0</v>
      </c>
      <c r="BD776" s="36">
        <f t="shared" si="758"/>
        <v>0</v>
      </c>
      <c r="BE776" s="36">
        <v>0</v>
      </c>
      <c r="BF776" s="36">
        <f>776</f>
        <v>776</v>
      </c>
      <c r="BH776" s="20">
        <f t="shared" si="759"/>
        <v>0</v>
      </c>
      <c r="BI776" s="20">
        <f t="shared" si="760"/>
        <v>0</v>
      </c>
      <c r="BJ776" s="20">
        <f t="shared" si="761"/>
        <v>0</v>
      </c>
      <c r="BK776" s="20" t="s">
        <v>2978</v>
      </c>
      <c r="BL776" s="36" t="s">
        <v>1448</v>
      </c>
    </row>
    <row r="777" spans="1:64" x14ac:dyDescent="0.2">
      <c r="A777" s="4" t="s">
        <v>661</v>
      </c>
      <c r="B777" s="13" t="s">
        <v>1570</v>
      </c>
      <c r="C777" s="174" t="s">
        <v>2568</v>
      </c>
      <c r="D777" s="175"/>
      <c r="E777" s="175"/>
      <c r="F777" s="175"/>
      <c r="G777" s="13" t="s">
        <v>2852</v>
      </c>
      <c r="H777" s="82">
        <v>4</v>
      </c>
      <c r="I777" s="109">
        <v>0</v>
      </c>
      <c r="J777" s="20">
        <f t="shared" si="740"/>
        <v>0</v>
      </c>
      <c r="K777" s="20">
        <f t="shared" si="741"/>
        <v>0</v>
      </c>
      <c r="L777" s="20">
        <f t="shared" si="742"/>
        <v>0</v>
      </c>
      <c r="M777" s="31" t="s">
        <v>2884</v>
      </c>
      <c r="N777" s="5"/>
      <c r="Z777" s="36">
        <f t="shared" si="743"/>
        <v>0</v>
      </c>
      <c r="AB777" s="36">
        <f t="shared" si="744"/>
        <v>0</v>
      </c>
      <c r="AC777" s="36">
        <f t="shared" si="745"/>
        <v>0</v>
      </c>
      <c r="AD777" s="36">
        <f t="shared" si="746"/>
        <v>0</v>
      </c>
      <c r="AE777" s="36">
        <f t="shared" si="747"/>
        <v>0</v>
      </c>
      <c r="AF777" s="36">
        <f t="shared" si="748"/>
        <v>0</v>
      </c>
      <c r="AG777" s="36">
        <f t="shared" si="749"/>
        <v>0</v>
      </c>
      <c r="AH777" s="36">
        <f t="shared" si="750"/>
        <v>0</v>
      </c>
      <c r="AI777" s="35" t="s">
        <v>2894</v>
      </c>
      <c r="AJ777" s="20">
        <f t="shared" si="751"/>
        <v>0</v>
      </c>
      <c r="AK777" s="20">
        <f t="shared" si="752"/>
        <v>0</v>
      </c>
      <c r="AL777" s="20">
        <f t="shared" si="753"/>
        <v>0</v>
      </c>
      <c r="AN777" s="36">
        <v>21</v>
      </c>
      <c r="AO777" s="36">
        <f>I777*0</f>
        <v>0</v>
      </c>
      <c r="AP777" s="36">
        <f>I777*(1-0)</f>
        <v>0</v>
      </c>
      <c r="AQ777" s="37" t="s">
        <v>7</v>
      </c>
      <c r="AV777" s="36">
        <f t="shared" si="754"/>
        <v>0</v>
      </c>
      <c r="AW777" s="36">
        <f t="shared" si="755"/>
        <v>0</v>
      </c>
      <c r="AX777" s="36">
        <f t="shared" si="756"/>
        <v>0</v>
      </c>
      <c r="AY777" s="39" t="s">
        <v>2940</v>
      </c>
      <c r="AZ777" s="39" t="s">
        <v>2952</v>
      </c>
      <c r="BA777" s="35" t="s">
        <v>2967</v>
      </c>
      <c r="BC777" s="36">
        <f t="shared" si="757"/>
        <v>0</v>
      </c>
      <c r="BD777" s="36">
        <f t="shared" si="758"/>
        <v>0</v>
      </c>
      <c r="BE777" s="36">
        <v>0</v>
      </c>
      <c r="BF777" s="36">
        <f>777</f>
        <v>777</v>
      </c>
      <c r="BH777" s="20">
        <f t="shared" si="759"/>
        <v>0</v>
      </c>
      <c r="BI777" s="20">
        <f t="shared" si="760"/>
        <v>0</v>
      </c>
      <c r="BJ777" s="20">
        <f t="shared" si="761"/>
        <v>0</v>
      </c>
      <c r="BK777" s="20" t="s">
        <v>2978</v>
      </c>
      <c r="BL777" s="36" t="s">
        <v>1448</v>
      </c>
    </row>
    <row r="778" spans="1:64" x14ac:dyDescent="0.2">
      <c r="A778" s="86" t="s">
        <v>662</v>
      </c>
      <c r="B778" s="87" t="s">
        <v>1571</v>
      </c>
      <c r="C778" s="184" t="s">
        <v>2569</v>
      </c>
      <c r="D778" s="175"/>
      <c r="E778" s="175"/>
      <c r="F778" s="175"/>
      <c r="G778" s="87" t="s">
        <v>2860</v>
      </c>
      <c r="H778" s="88">
        <v>3</v>
      </c>
      <c r="I778" s="111">
        <v>0</v>
      </c>
      <c r="J778" s="96">
        <f t="shared" si="740"/>
        <v>0</v>
      </c>
      <c r="K778" s="96">
        <f t="shared" si="741"/>
        <v>0</v>
      </c>
      <c r="L778" s="96">
        <f t="shared" si="742"/>
        <v>0</v>
      </c>
      <c r="M778" s="97" t="s">
        <v>2884</v>
      </c>
      <c r="N778" s="5"/>
      <c r="Z778" s="36">
        <f t="shared" si="743"/>
        <v>0</v>
      </c>
      <c r="AB778" s="36">
        <f t="shared" si="744"/>
        <v>0</v>
      </c>
      <c r="AC778" s="36">
        <f t="shared" si="745"/>
        <v>0</v>
      </c>
      <c r="AD778" s="36">
        <f t="shared" si="746"/>
        <v>0</v>
      </c>
      <c r="AE778" s="36">
        <f t="shared" si="747"/>
        <v>0</v>
      </c>
      <c r="AF778" s="36">
        <f t="shared" si="748"/>
        <v>0</v>
      </c>
      <c r="AG778" s="36">
        <f t="shared" si="749"/>
        <v>0</v>
      </c>
      <c r="AH778" s="36">
        <f t="shared" si="750"/>
        <v>0</v>
      </c>
      <c r="AI778" s="35" t="s">
        <v>2894</v>
      </c>
      <c r="AJ778" s="20">
        <f t="shared" si="751"/>
        <v>0</v>
      </c>
      <c r="AK778" s="20">
        <f t="shared" si="752"/>
        <v>0</v>
      </c>
      <c r="AL778" s="20">
        <f t="shared" si="753"/>
        <v>0</v>
      </c>
      <c r="AN778" s="36">
        <v>21</v>
      </c>
      <c r="AO778" s="36">
        <f>I778*1</f>
        <v>0</v>
      </c>
      <c r="AP778" s="36">
        <f>I778*(1-1)</f>
        <v>0</v>
      </c>
      <c r="AQ778" s="37" t="s">
        <v>7</v>
      </c>
      <c r="AV778" s="36">
        <f t="shared" si="754"/>
        <v>0</v>
      </c>
      <c r="AW778" s="36">
        <f t="shared" si="755"/>
        <v>0</v>
      </c>
      <c r="AX778" s="36">
        <f t="shared" si="756"/>
        <v>0</v>
      </c>
      <c r="AY778" s="39" t="s">
        <v>2940</v>
      </c>
      <c r="AZ778" s="39" t="s">
        <v>2952</v>
      </c>
      <c r="BA778" s="35" t="s">
        <v>2967</v>
      </c>
      <c r="BC778" s="36">
        <f t="shared" si="757"/>
        <v>0</v>
      </c>
      <c r="BD778" s="36">
        <f t="shared" si="758"/>
        <v>0</v>
      </c>
      <c r="BE778" s="36">
        <v>0</v>
      </c>
      <c r="BF778" s="36">
        <f>778</f>
        <v>778</v>
      </c>
      <c r="BH778" s="20">
        <f t="shared" si="759"/>
        <v>0</v>
      </c>
      <c r="BI778" s="20">
        <f t="shared" si="760"/>
        <v>0</v>
      </c>
      <c r="BJ778" s="20">
        <f t="shared" si="761"/>
        <v>0</v>
      </c>
      <c r="BK778" s="20" t="s">
        <v>2978</v>
      </c>
      <c r="BL778" s="36" t="s">
        <v>1448</v>
      </c>
    </row>
    <row r="779" spans="1:64" x14ac:dyDescent="0.2">
      <c r="A779" s="86" t="s">
        <v>663</v>
      </c>
      <c r="B779" s="87" t="s">
        <v>1572</v>
      </c>
      <c r="C779" s="184" t="s">
        <v>2570</v>
      </c>
      <c r="D779" s="175"/>
      <c r="E779" s="175"/>
      <c r="F779" s="175"/>
      <c r="G779" s="87" t="s">
        <v>2866</v>
      </c>
      <c r="H779" s="88">
        <v>1</v>
      </c>
      <c r="I779" s="111">
        <v>0</v>
      </c>
      <c r="J779" s="96">
        <f t="shared" si="740"/>
        <v>0</v>
      </c>
      <c r="K779" s="96">
        <f t="shared" si="741"/>
        <v>0</v>
      </c>
      <c r="L779" s="96">
        <f t="shared" si="742"/>
        <v>0</v>
      </c>
      <c r="M779" s="97" t="s">
        <v>2884</v>
      </c>
      <c r="N779" s="5"/>
      <c r="Z779" s="36">
        <f t="shared" si="743"/>
        <v>0</v>
      </c>
      <c r="AB779" s="36">
        <f t="shared" si="744"/>
        <v>0</v>
      </c>
      <c r="AC779" s="36">
        <f t="shared" si="745"/>
        <v>0</v>
      </c>
      <c r="AD779" s="36">
        <f t="shared" si="746"/>
        <v>0</v>
      </c>
      <c r="AE779" s="36">
        <f t="shared" si="747"/>
        <v>0</v>
      </c>
      <c r="AF779" s="36">
        <f t="shared" si="748"/>
        <v>0</v>
      </c>
      <c r="AG779" s="36">
        <f t="shared" si="749"/>
        <v>0</v>
      </c>
      <c r="AH779" s="36">
        <f t="shared" si="750"/>
        <v>0</v>
      </c>
      <c r="AI779" s="35" t="s">
        <v>2894</v>
      </c>
      <c r="AJ779" s="20">
        <f t="shared" si="751"/>
        <v>0</v>
      </c>
      <c r="AK779" s="20">
        <f t="shared" si="752"/>
        <v>0</v>
      </c>
      <c r="AL779" s="20">
        <f t="shared" si="753"/>
        <v>0</v>
      </c>
      <c r="AN779" s="36">
        <v>21</v>
      </c>
      <c r="AO779" s="36">
        <f>I779*1</f>
        <v>0</v>
      </c>
      <c r="AP779" s="36">
        <f>I779*(1-1)</f>
        <v>0</v>
      </c>
      <c r="AQ779" s="37" t="s">
        <v>7</v>
      </c>
      <c r="AV779" s="36">
        <f t="shared" si="754"/>
        <v>0</v>
      </c>
      <c r="AW779" s="36">
        <f t="shared" si="755"/>
        <v>0</v>
      </c>
      <c r="AX779" s="36">
        <f t="shared" si="756"/>
        <v>0</v>
      </c>
      <c r="AY779" s="39" t="s">
        <v>2940</v>
      </c>
      <c r="AZ779" s="39" t="s">
        <v>2952</v>
      </c>
      <c r="BA779" s="35" t="s">
        <v>2967</v>
      </c>
      <c r="BC779" s="36">
        <f t="shared" si="757"/>
        <v>0</v>
      </c>
      <c r="BD779" s="36">
        <f t="shared" si="758"/>
        <v>0</v>
      </c>
      <c r="BE779" s="36">
        <v>0</v>
      </c>
      <c r="BF779" s="36">
        <f>779</f>
        <v>779</v>
      </c>
      <c r="BH779" s="20">
        <f t="shared" si="759"/>
        <v>0</v>
      </c>
      <c r="BI779" s="20">
        <f t="shared" si="760"/>
        <v>0</v>
      </c>
      <c r="BJ779" s="20">
        <f t="shared" si="761"/>
        <v>0</v>
      </c>
      <c r="BK779" s="20" t="s">
        <v>2978</v>
      </c>
      <c r="BL779" s="36" t="s">
        <v>1448</v>
      </c>
    </row>
    <row r="780" spans="1:64" x14ac:dyDescent="0.2">
      <c r="A780" s="4" t="s">
        <v>664</v>
      </c>
      <c r="B780" s="13" t="s">
        <v>1573</v>
      </c>
      <c r="C780" s="174" t="s">
        <v>2571</v>
      </c>
      <c r="D780" s="175"/>
      <c r="E780" s="175"/>
      <c r="F780" s="175"/>
      <c r="G780" s="13" t="s">
        <v>2852</v>
      </c>
      <c r="H780" s="82">
        <v>6</v>
      </c>
      <c r="I780" s="109">
        <v>0</v>
      </c>
      <c r="J780" s="20">
        <f t="shared" si="740"/>
        <v>0</v>
      </c>
      <c r="K780" s="20">
        <f t="shared" si="741"/>
        <v>0</v>
      </c>
      <c r="L780" s="20">
        <f t="shared" si="742"/>
        <v>0</v>
      </c>
      <c r="M780" s="31" t="s">
        <v>2884</v>
      </c>
      <c r="N780" s="5"/>
      <c r="Z780" s="36">
        <f t="shared" si="743"/>
        <v>0</v>
      </c>
      <c r="AB780" s="36">
        <f t="shared" si="744"/>
        <v>0</v>
      </c>
      <c r="AC780" s="36">
        <f t="shared" si="745"/>
        <v>0</v>
      </c>
      <c r="AD780" s="36">
        <f t="shared" si="746"/>
        <v>0</v>
      </c>
      <c r="AE780" s="36">
        <f t="shared" si="747"/>
        <v>0</v>
      </c>
      <c r="AF780" s="36">
        <f t="shared" si="748"/>
        <v>0</v>
      </c>
      <c r="AG780" s="36">
        <f t="shared" si="749"/>
        <v>0</v>
      </c>
      <c r="AH780" s="36">
        <f t="shared" si="750"/>
        <v>0</v>
      </c>
      <c r="AI780" s="35" t="s">
        <v>2894</v>
      </c>
      <c r="AJ780" s="20">
        <f t="shared" si="751"/>
        <v>0</v>
      </c>
      <c r="AK780" s="20">
        <f t="shared" si="752"/>
        <v>0</v>
      </c>
      <c r="AL780" s="20">
        <f t="shared" si="753"/>
        <v>0</v>
      </c>
      <c r="AN780" s="36">
        <v>21</v>
      </c>
      <c r="AO780" s="36">
        <f>I780*0</f>
        <v>0</v>
      </c>
      <c r="AP780" s="36">
        <f>I780*(1-0)</f>
        <v>0</v>
      </c>
      <c r="AQ780" s="37" t="s">
        <v>7</v>
      </c>
      <c r="AV780" s="36">
        <f t="shared" si="754"/>
        <v>0</v>
      </c>
      <c r="AW780" s="36">
        <f t="shared" si="755"/>
        <v>0</v>
      </c>
      <c r="AX780" s="36">
        <f t="shared" si="756"/>
        <v>0</v>
      </c>
      <c r="AY780" s="39" t="s">
        <v>2940</v>
      </c>
      <c r="AZ780" s="39" t="s">
        <v>2952</v>
      </c>
      <c r="BA780" s="35" t="s">
        <v>2967</v>
      </c>
      <c r="BC780" s="36">
        <f t="shared" si="757"/>
        <v>0</v>
      </c>
      <c r="BD780" s="36">
        <f t="shared" si="758"/>
        <v>0</v>
      </c>
      <c r="BE780" s="36">
        <v>0</v>
      </c>
      <c r="BF780" s="36">
        <f>780</f>
        <v>780</v>
      </c>
      <c r="BH780" s="20">
        <f t="shared" si="759"/>
        <v>0</v>
      </c>
      <c r="BI780" s="20">
        <f t="shared" si="760"/>
        <v>0</v>
      </c>
      <c r="BJ780" s="20">
        <f t="shared" si="761"/>
        <v>0</v>
      </c>
      <c r="BK780" s="20" t="s">
        <v>2978</v>
      </c>
      <c r="BL780" s="36" t="s">
        <v>1448</v>
      </c>
    </row>
    <row r="781" spans="1:64" x14ac:dyDescent="0.2">
      <c r="A781" s="86" t="s">
        <v>665</v>
      </c>
      <c r="B781" s="87" t="s">
        <v>1574</v>
      </c>
      <c r="C781" s="184" t="s">
        <v>2572</v>
      </c>
      <c r="D781" s="175"/>
      <c r="E781" s="175"/>
      <c r="F781" s="175"/>
      <c r="G781" s="87" t="s">
        <v>2852</v>
      </c>
      <c r="H781" s="88">
        <v>6</v>
      </c>
      <c r="I781" s="111">
        <v>0</v>
      </c>
      <c r="J781" s="96">
        <f t="shared" si="740"/>
        <v>0</v>
      </c>
      <c r="K781" s="96">
        <f t="shared" si="741"/>
        <v>0</v>
      </c>
      <c r="L781" s="96">
        <f t="shared" si="742"/>
        <v>0</v>
      </c>
      <c r="M781" s="97" t="s">
        <v>2884</v>
      </c>
      <c r="N781" s="5"/>
      <c r="Z781" s="36">
        <f t="shared" si="743"/>
        <v>0</v>
      </c>
      <c r="AB781" s="36">
        <f t="shared" si="744"/>
        <v>0</v>
      </c>
      <c r="AC781" s="36">
        <f t="shared" si="745"/>
        <v>0</v>
      </c>
      <c r="AD781" s="36">
        <f t="shared" si="746"/>
        <v>0</v>
      </c>
      <c r="AE781" s="36">
        <f t="shared" si="747"/>
        <v>0</v>
      </c>
      <c r="AF781" s="36">
        <f t="shared" si="748"/>
        <v>0</v>
      </c>
      <c r="AG781" s="36">
        <f t="shared" si="749"/>
        <v>0</v>
      </c>
      <c r="AH781" s="36">
        <f t="shared" si="750"/>
        <v>0</v>
      </c>
      <c r="AI781" s="35" t="s">
        <v>2894</v>
      </c>
      <c r="AJ781" s="20">
        <f t="shared" si="751"/>
        <v>0</v>
      </c>
      <c r="AK781" s="20">
        <f t="shared" si="752"/>
        <v>0</v>
      </c>
      <c r="AL781" s="20">
        <f t="shared" si="753"/>
        <v>0</v>
      </c>
      <c r="AN781" s="36">
        <v>21</v>
      </c>
      <c r="AO781" s="36">
        <f>I781*1</f>
        <v>0</v>
      </c>
      <c r="AP781" s="36">
        <f>I781*(1-1)</f>
        <v>0</v>
      </c>
      <c r="AQ781" s="37" t="s">
        <v>7</v>
      </c>
      <c r="AV781" s="36">
        <f t="shared" si="754"/>
        <v>0</v>
      </c>
      <c r="AW781" s="36">
        <f t="shared" si="755"/>
        <v>0</v>
      </c>
      <c r="AX781" s="36">
        <f t="shared" si="756"/>
        <v>0</v>
      </c>
      <c r="AY781" s="39" t="s">
        <v>2940</v>
      </c>
      <c r="AZ781" s="39" t="s">
        <v>2952</v>
      </c>
      <c r="BA781" s="35" t="s">
        <v>2967</v>
      </c>
      <c r="BC781" s="36">
        <f t="shared" si="757"/>
        <v>0</v>
      </c>
      <c r="BD781" s="36">
        <f t="shared" si="758"/>
        <v>0</v>
      </c>
      <c r="BE781" s="36">
        <v>0</v>
      </c>
      <c r="BF781" s="36">
        <f>781</f>
        <v>781</v>
      </c>
      <c r="BH781" s="20">
        <f t="shared" si="759"/>
        <v>0</v>
      </c>
      <c r="BI781" s="20">
        <f t="shared" si="760"/>
        <v>0</v>
      </c>
      <c r="BJ781" s="20">
        <f t="shared" si="761"/>
        <v>0</v>
      </c>
      <c r="BK781" s="20" t="s">
        <v>2978</v>
      </c>
      <c r="BL781" s="36" t="s">
        <v>1448</v>
      </c>
    </row>
    <row r="782" spans="1:64" x14ac:dyDescent="0.2">
      <c r="A782" s="4" t="s">
        <v>666</v>
      </c>
      <c r="B782" s="13" t="s">
        <v>1575</v>
      </c>
      <c r="C782" s="174" t="s">
        <v>2573</v>
      </c>
      <c r="D782" s="175"/>
      <c r="E782" s="175"/>
      <c r="F782" s="175"/>
      <c r="G782" s="13" t="s">
        <v>2866</v>
      </c>
      <c r="H782" s="82">
        <v>1</v>
      </c>
      <c r="I782" s="109">
        <v>0</v>
      </c>
      <c r="J782" s="20">
        <f t="shared" si="740"/>
        <v>0</v>
      </c>
      <c r="K782" s="20">
        <f t="shared" si="741"/>
        <v>0</v>
      </c>
      <c r="L782" s="20">
        <f t="shared" si="742"/>
        <v>0</v>
      </c>
      <c r="M782" s="31" t="s">
        <v>2884</v>
      </c>
      <c r="N782" s="5"/>
      <c r="Z782" s="36">
        <f t="shared" si="743"/>
        <v>0</v>
      </c>
      <c r="AB782" s="36">
        <f t="shared" si="744"/>
        <v>0</v>
      </c>
      <c r="AC782" s="36">
        <f t="shared" si="745"/>
        <v>0</v>
      </c>
      <c r="AD782" s="36">
        <f t="shared" si="746"/>
        <v>0</v>
      </c>
      <c r="AE782" s="36">
        <f t="shared" si="747"/>
        <v>0</v>
      </c>
      <c r="AF782" s="36">
        <f t="shared" si="748"/>
        <v>0</v>
      </c>
      <c r="AG782" s="36">
        <f t="shared" si="749"/>
        <v>0</v>
      </c>
      <c r="AH782" s="36">
        <f t="shared" si="750"/>
        <v>0</v>
      </c>
      <c r="AI782" s="35" t="s">
        <v>2894</v>
      </c>
      <c r="AJ782" s="20">
        <f t="shared" si="751"/>
        <v>0</v>
      </c>
      <c r="AK782" s="20">
        <f t="shared" si="752"/>
        <v>0</v>
      </c>
      <c r="AL782" s="20">
        <f t="shared" si="753"/>
        <v>0</v>
      </c>
      <c r="AN782" s="36">
        <v>21</v>
      </c>
      <c r="AO782" s="36">
        <f>I782*0</f>
        <v>0</v>
      </c>
      <c r="AP782" s="36">
        <f>I782*(1-0)</f>
        <v>0</v>
      </c>
      <c r="AQ782" s="37" t="s">
        <v>7</v>
      </c>
      <c r="AV782" s="36">
        <f t="shared" si="754"/>
        <v>0</v>
      </c>
      <c r="AW782" s="36">
        <f t="shared" si="755"/>
        <v>0</v>
      </c>
      <c r="AX782" s="36">
        <f t="shared" si="756"/>
        <v>0</v>
      </c>
      <c r="AY782" s="39" t="s">
        <v>2940</v>
      </c>
      <c r="AZ782" s="39" t="s">
        <v>2952</v>
      </c>
      <c r="BA782" s="35" t="s">
        <v>2967</v>
      </c>
      <c r="BC782" s="36">
        <f t="shared" si="757"/>
        <v>0</v>
      </c>
      <c r="BD782" s="36">
        <f t="shared" si="758"/>
        <v>0</v>
      </c>
      <c r="BE782" s="36">
        <v>0</v>
      </c>
      <c r="BF782" s="36">
        <f>782</f>
        <v>782</v>
      </c>
      <c r="BH782" s="20">
        <f t="shared" si="759"/>
        <v>0</v>
      </c>
      <c r="BI782" s="20">
        <f t="shared" si="760"/>
        <v>0</v>
      </c>
      <c r="BJ782" s="20">
        <f t="shared" si="761"/>
        <v>0</v>
      </c>
      <c r="BK782" s="20" t="s">
        <v>2978</v>
      </c>
      <c r="BL782" s="36" t="s">
        <v>1448</v>
      </c>
    </row>
    <row r="783" spans="1:64" x14ac:dyDescent="0.2">
      <c r="A783" s="4" t="s">
        <v>667</v>
      </c>
      <c r="B783" s="13" t="s">
        <v>1576</v>
      </c>
      <c r="C783" s="174" t="s">
        <v>2574</v>
      </c>
      <c r="D783" s="175"/>
      <c r="E783" s="175"/>
      <c r="F783" s="175"/>
      <c r="G783" s="13" t="s">
        <v>2866</v>
      </c>
      <c r="H783" s="82">
        <v>1</v>
      </c>
      <c r="I783" s="109">
        <v>0</v>
      </c>
      <c r="J783" s="20">
        <f t="shared" si="740"/>
        <v>0</v>
      </c>
      <c r="K783" s="20">
        <f t="shared" si="741"/>
        <v>0</v>
      </c>
      <c r="L783" s="20">
        <f t="shared" si="742"/>
        <v>0</v>
      </c>
      <c r="M783" s="31" t="s">
        <v>2884</v>
      </c>
      <c r="N783" s="5"/>
      <c r="Z783" s="36">
        <f t="shared" si="743"/>
        <v>0</v>
      </c>
      <c r="AB783" s="36">
        <f t="shared" si="744"/>
        <v>0</v>
      </c>
      <c r="AC783" s="36">
        <f t="shared" si="745"/>
        <v>0</v>
      </c>
      <c r="AD783" s="36">
        <f t="shared" si="746"/>
        <v>0</v>
      </c>
      <c r="AE783" s="36">
        <f t="shared" si="747"/>
        <v>0</v>
      </c>
      <c r="AF783" s="36">
        <f t="shared" si="748"/>
        <v>0</v>
      </c>
      <c r="AG783" s="36">
        <f t="shared" si="749"/>
        <v>0</v>
      </c>
      <c r="AH783" s="36">
        <f t="shared" si="750"/>
        <v>0</v>
      </c>
      <c r="AI783" s="35" t="s">
        <v>2894</v>
      </c>
      <c r="AJ783" s="20">
        <f t="shared" si="751"/>
        <v>0</v>
      </c>
      <c r="AK783" s="20">
        <f t="shared" si="752"/>
        <v>0</v>
      </c>
      <c r="AL783" s="20">
        <f t="shared" si="753"/>
        <v>0</v>
      </c>
      <c r="AN783" s="36">
        <v>21</v>
      </c>
      <c r="AO783" s="36">
        <f>I783*0</f>
        <v>0</v>
      </c>
      <c r="AP783" s="36">
        <f>I783*(1-0)</f>
        <v>0</v>
      </c>
      <c r="AQ783" s="37" t="s">
        <v>7</v>
      </c>
      <c r="AV783" s="36">
        <f t="shared" si="754"/>
        <v>0</v>
      </c>
      <c r="AW783" s="36">
        <f t="shared" si="755"/>
        <v>0</v>
      </c>
      <c r="AX783" s="36">
        <f t="shared" si="756"/>
        <v>0</v>
      </c>
      <c r="AY783" s="39" t="s">
        <v>2940</v>
      </c>
      <c r="AZ783" s="39" t="s">
        <v>2952</v>
      </c>
      <c r="BA783" s="35" t="s">
        <v>2967</v>
      </c>
      <c r="BC783" s="36">
        <f t="shared" si="757"/>
        <v>0</v>
      </c>
      <c r="BD783" s="36">
        <f t="shared" si="758"/>
        <v>0</v>
      </c>
      <c r="BE783" s="36">
        <v>0</v>
      </c>
      <c r="BF783" s="36">
        <f>783</f>
        <v>783</v>
      </c>
      <c r="BH783" s="20">
        <f t="shared" si="759"/>
        <v>0</v>
      </c>
      <c r="BI783" s="20">
        <f t="shared" si="760"/>
        <v>0</v>
      </c>
      <c r="BJ783" s="20">
        <f t="shared" si="761"/>
        <v>0</v>
      </c>
      <c r="BK783" s="20" t="s">
        <v>2978</v>
      </c>
      <c r="BL783" s="36" t="s">
        <v>1448</v>
      </c>
    </row>
    <row r="784" spans="1:64" x14ac:dyDescent="0.2">
      <c r="A784" s="4" t="s">
        <v>668</v>
      </c>
      <c r="B784" s="13" t="s">
        <v>1577</v>
      </c>
      <c r="C784" s="174" t="s">
        <v>2575</v>
      </c>
      <c r="D784" s="175"/>
      <c r="E784" s="175"/>
      <c r="F784" s="175"/>
      <c r="G784" s="13" t="s">
        <v>2855</v>
      </c>
      <c r="H784" s="82">
        <v>30</v>
      </c>
      <c r="I784" s="109">
        <v>0</v>
      </c>
      <c r="J784" s="20">
        <f t="shared" si="740"/>
        <v>0</v>
      </c>
      <c r="K784" s="20">
        <f t="shared" si="741"/>
        <v>0</v>
      </c>
      <c r="L784" s="20">
        <f t="shared" si="742"/>
        <v>0</v>
      </c>
      <c r="M784" s="31" t="s">
        <v>2884</v>
      </c>
      <c r="N784" s="5"/>
      <c r="Z784" s="36">
        <f t="shared" si="743"/>
        <v>0</v>
      </c>
      <c r="AB784" s="36">
        <f t="shared" si="744"/>
        <v>0</v>
      </c>
      <c r="AC784" s="36">
        <f t="shared" si="745"/>
        <v>0</v>
      </c>
      <c r="AD784" s="36">
        <f t="shared" si="746"/>
        <v>0</v>
      </c>
      <c r="AE784" s="36">
        <f t="shared" si="747"/>
        <v>0</v>
      </c>
      <c r="AF784" s="36">
        <f t="shared" si="748"/>
        <v>0</v>
      </c>
      <c r="AG784" s="36">
        <f t="shared" si="749"/>
        <v>0</v>
      </c>
      <c r="AH784" s="36">
        <f t="shared" si="750"/>
        <v>0</v>
      </c>
      <c r="AI784" s="35" t="s">
        <v>2894</v>
      </c>
      <c r="AJ784" s="20">
        <f t="shared" si="751"/>
        <v>0</v>
      </c>
      <c r="AK784" s="20">
        <f t="shared" si="752"/>
        <v>0</v>
      </c>
      <c r="AL784" s="20">
        <f t="shared" si="753"/>
        <v>0</v>
      </c>
      <c r="AN784" s="36">
        <v>21</v>
      </c>
      <c r="AO784" s="36">
        <f>I784*0</f>
        <v>0</v>
      </c>
      <c r="AP784" s="36">
        <f>I784*(1-0)</f>
        <v>0</v>
      </c>
      <c r="AQ784" s="37" t="s">
        <v>7</v>
      </c>
      <c r="AV784" s="36">
        <f t="shared" si="754"/>
        <v>0</v>
      </c>
      <c r="AW784" s="36">
        <f t="shared" si="755"/>
        <v>0</v>
      </c>
      <c r="AX784" s="36">
        <f t="shared" si="756"/>
        <v>0</v>
      </c>
      <c r="AY784" s="39" t="s">
        <v>2940</v>
      </c>
      <c r="AZ784" s="39" t="s">
        <v>2952</v>
      </c>
      <c r="BA784" s="35" t="s">
        <v>2967</v>
      </c>
      <c r="BC784" s="36">
        <f t="shared" si="757"/>
        <v>0</v>
      </c>
      <c r="BD784" s="36">
        <f t="shared" si="758"/>
        <v>0</v>
      </c>
      <c r="BE784" s="36">
        <v>0</v>
      </c>
      <c r="BF784" s="36">
        <f>784</f>
        <v>784</v>
      </c>
      <c r="BH784" s="20">
        <f t="shared" si="759"/>
        <v>0</v>
      </c>
      <c r="BI784" s="20">
        <f t="shared" si="760"/>
        <v>0</v>
      </c>
      <c r="BJ784" s="20">
        <f t="shared" si="761"/>
        <v>0</v>
      </c>
      <c r="BK784" s="20" t="s">
        <v>2978</v>
      </c>
      <c r="BL784" s="36" t="s">
        <v>1448</v>
      </c>
    </row>
    <row r="785" spans="1:64" x14ac:dyDescent="0.2">
      <c r="A785" s="86" t="s">
        <v>669</v>
      </c>
      <c r="B785" s="87" t="s">
        <v>1578</v>
      </c>
      <c r="C785" s="184" t="s">
        <v>2575</v>
      </c>
      <c r="D785" s="175"/>
      <c r="E785" s="175"/>
      <c r="F785" s="175"/>
      <c r="G785" s="87" t="s">
        <v>2855</v>
      </c>
      <c r="H785" s="88">
        <v>30</v>
      </c>
      <c r="I785" s="111">
        <v>0</v>
      </c>
      <c r="J785" s="96">
        <f t="shared" si="740"/>
        <v>0</v>
      </c>
      <c r="K785" s="96">
        <f t="shared" si="741"/>
        <v>0</v>
      </c>
      <c r="L785" s="96">
        <f t="shared" si="742"/>
        <v>0</v>
      </c>
      <c r="M785" s="97" t="s">
        <v>2884</v>
      </c>
      <c r="N785" s="5"/>
      <c r="Z785" s="36">
        <f t="shared" si="743"/>
        <v>0</v>
      </c>
      <c r="AB785" s="36">
        <f t="shared" si="744"/>
        <v>0</v>
      </c>
      <c r="AC785" s="36">
        <f t="shared" si="745"/>
        <v>0</v>
      </c>
      <c r="AD785" s="36">
        <f t="shared" si="746"/>
        <v>0</v>
      </c>
      <c r="AE785" s="36">
        <f t="shared" si="747"/>
        <v>0</v>
      </c>
      <c r="AF785" s="36">
        <f t="shared" si="748"/>
        <v>0</v>
      </c>
      <c r="AG785" s="36">
        <f t="shared" si="749"/>
        <v>0</v>
      </c>
      <c r="AH785" s="36">
        <f t="shared" si="750"/>
        <v>0</v>
      </c>
      <c r="AI785" s="35" t="s">
        <v>2894</v>
      </c>
      <c r="AJ785" s="20">
        <f t="shared" si="751"/>
        <v>0</v>
      </c>
      <c r="AK785" s="20">
        <f t="shared" si="752"/>
        <v>0</v>
      </c>
      <c r="AL785" s="20">
        <f t="shared" si="753"/>
        <v>0</v>
      </c>
      <c r="AN785" s="36">
        <v>21</v>
      </c>
      <c r="AO785" s="36">
        <f>I785*1</f>
        <v>0</v>
      </c>
      <c r="AP785" s="36">
        <f>I785*(1-1)</f>
        <v>0</v>
      </c>
      <c r="AQ785" s="37" t="s">
        <v>7</v>
      </c>
      <c r="AV785" s="36">
        <f t="shared" si="754"/>
        <v>0</v>
      </c>
      <c r="AW785" s="36">
        <f t="shared" si="755"/>
        <v>0</v>
      </c>
      <c r="AX785" s="36">
        <f t="shared" si="756"/>
        <v>0</v>
      </c>
      <c r="AY785" s="39" t="s">
        <v>2940</v>
      </c>
      <c r="AZ785" s="39" t="s">
        <v>2952</v>
      </c>
      <c r="BA785" s="35" t="s">
        <v>2967</v>
      </c>
      <c r="BC785" s="36">
        <f t="shared" si="757"/>
        <v>0</v>
      </c>
      <c r="BD785" s="36">
        <f t="shared" si="758"/>
        <v>0</v>
      </c>
      <c r="BE785" s="36">
        <v>0</v>
      </c>
      <c r="BF785" s="36">
        <f>785</f>
        <v>785</v>
      </c>
      <c r="BH785" s="20">
        <f t="shared" si="759"/>
        <v>0</v>
      </c>
      <c r="BI785" s="20">
        <f t="shared" si="760"/>
        <v>0</v>
      </c>
      <c r="BJ785" s="20">
        <f t="shared" si="761"/>
        <v>0</v>
      </c>
      <c r="BK785" s="20" t="s">
        <v>2978</v>
      </c>
      <c r="BL785" s="36" t="s">
        <v>1448</v>
      </c>
    </row>
    <row r="786" spans="1:64" x14ac:dyDescent="0.2">
      <c r="A786" s="4" t="s">
        <v>670</v>
      </c>
      <c r="B786" s="13" t="s">
        <v>1579</v>
      </c>
      <c r="C786" s="174" t="s">
        <v>2576</v>
      </c>
      <c r="D786" s="175"/>
      <c r="E786" s="175"/>
      <c r="F786" s="175"/>
      <c r="G786" s="13" t="s">
        <v>2860</v>
      </c>
      <c r="H786" s="82">
        <v>36</v>
      </c>
      <c r="I786" s="109">
        <v>0</v>
      </c>
      <c r="J786" s="20">
        <f t="shared" si="740"/>
        <v>0</v>
      </c>
      <c r="K786" s="20">
        <f t="shared" si="741"/>
        <v>0</v>
      </c>
      <c r="L786" s="20">
        <f t="shared" si="742"/>
        <v>0</v>
      </c>
      <c r="M786" s="31" t="s">
        <v>2884</v>
      </c>
      <c r="N786" s="5"/>
      <c r="Z786" s="36">
        <f t="shared" si="743"/>
        <v>0</v>
      </c>
      <c r="AB786" s="36">
        <f t="shared" si="744"/>
        <v>0</v>
      </c>
      <c r="AC786" s="36">
        <f t="shared" si="745"/>
        <v>0</v>
      </c>
      <c r="AD786" s="36">
        <f t="shared" si="746"/>
        <v>0</v>
      </c>
      <c r="AE786" s="36">
        <f t="shared" si="747"/>
        <v>0</v>
      </c>
      <c r="AF786" s="36">
        <f t="shared" si="748"/>
        <v>0</v>
      </c>
      <c r="AG786" s="36">
        <f t="shared" si="749"/>
        <v>0</v>
      </c>
      <c r="AH786" s="36">
        <f t="shared" si="750"/>
        <v>0</v>
      </c>
      <c r="AI786" s="35" t="s">
        <v>2894</v>
      </c>
      <c r="AJ786" s="20">
        <f t="shared" si="751"/>
        <v>0</v>
      </c>
      <c r="AK786" s="20">
        <f t="shared" si="752"/>
        <v>0</v>
      </c>
      <c r="AL786" s="20">
        <f t="shared" si="753"/>
        <v>0</v>
      </c>
      <c r="AN786" s="36">
        <v>21</v>
      </c>
      <c r="AO786" s="36">
        <f>I786*0</f>
        <v>0</v>
      </c>
      <c r="AP786" s="36">
        <f>I786*(1-0)</f>
        <v>0</v>
      </c>
      <c r="AQ786" s="37" t="s">
        <v>7</v>
      </c>
      <c r="AV786" s="36">
        <f t="shared" si="754"/>
        <v>0</v>
      </c>
      <c r="AW786" s="36">
        <f t="shared" si="755"/>
        <v>0</v>
      </c>
      <c r="AX786" s="36">
        <f t="shared" si="756"/>
        <v>0</v>
      </c>
      <c r="AY786" s="39" t="s">
        <v>2940</v>
      </c>
      <c r="AZ786" s="39" t="s">
        <v>2952</v>
      </c>
      <c r="BA786" s="35" t="s">
        <v>2967</v>
      </c>
      <c r="BC786" s="36">
        <f t="shared" si="757"/>
        <v>0</v>
      </c>
      <c r="BD786" s="36">
        <f t="shared" si="758"/>
        <v>0</v>
      </c>
      <c r="BE786" s="36">
        <v>0</v>
      </c>
      <c r="BF786" s="36">
        <f>786</f>
        <v>786</v>
      </c>
      <c r="BH786" s="20">
        <f t="shared" si="759"/>
        <v>0</v>
      </c>
      <c r="BI786" s="20">
        <f t="shared" si="760"/>
        <v>0</v>
      </c>
      <c r="BJ786" s="20">
        <f t="shared" si="761"/>
        <v>0</v>
      </c>
      <c r="BK786" s="20" t="s">
        <v>2978</v>
      </c>
      <c r="BL786" s="36" t="s">
        <v>1448</v>
      </c>
    </row>
    <row r="787" spans="1:64" x14ac:dyDescent="0.2">
      <c r="A787" s="86" t="s">
        <v>671</v>
      </c>
      <c r="B787" s="87" t="s">
        <v>1580</v>
      </c>
      <c r="C787" s="184" t="s">
        <v>2576</v>
      </c>
      <c r="D787" s="175"/>
      <c r="E787" s="175"/>
      <c r="F787" s="175"/>
      <c r="G787" s="87" t="s">
        <v>2860</v>
      </c>
      <c r="H787" s="88">
        <v>36</v>
      </c>
      <c r="I787" s="111">
        <v>0</v>
      </c>
      <c r="J787" s="96">
        <f t="shared" si="740"/>
        <v>0</v>
      </c>
      <c r="K787" s="96">
        <f t="shared" si="741"/>
        <v>0</v>
      </c>
      <c r="L787" s="96">
        <f t="shared" si="742"/>
        <v>0</v>
      </c>
      <c r="M787" s="97" t="s">
        <v>2884</v>
      </c>
      <c r="N787" s="5"/>
      <c r="Z787" s="36">
        <f t="shared" si="743"/>
        <v>0</v>
      </c>
      <c r="AB787" s="36">
        <f t="shared" si="744"/>
        <v>0</v>
      </c>
      <c r="AC787" s="36">
        <f t="shared" si="745"/>
        <v>0</v>
      </c>
      <c r="AD787" s="36">
        <f t="shared" si="746"/>
        <v>0</v>
      </c>
      <c r="AE787" s="36">
        <f t="shared" si="747"/>
        <v>0</v>
      </c>
      <c r="AF787" s="36">
        <f t="shared" si="748"/>
        <v>0</v>
      </c>
      <c r="AG787" s="36">
        <f t="shared" si="749"/>
        <v>0</v>
      </c>
      <c r="AH787" s="36">
        <f t="shared" si="750"/>
        <v>0</v>
      </c>
      <c r="AI787" s="35" t="s">
        <v>2894</v>
      </c>
      <c r="AJ787" s="20">
        <f t="shared" si="751"/>
        <v>0</v>
      </c>
      <c r="AK787" s="20">
        <f t="shared" si="752"/>
        <v>0</v>
      </c>
      <c r="AL787" s="20">
        <f t="shared" si="753"/>
        <v>0</v>
      </c>
      <c r="AN787" s="36">
        <v>21</v>
      </c>
      <c r="AO787" s="36">
        <f>I787*1</f>
        <v>0</v>
      </c>
      <c r="AP787" s="36">
        <f>I787*(1-1)</f>
        <v>0</v>
      </c>
      <c r="AQ787" s="37" t="s">
        <v>7</v>
      </c>
      <c r="AV787" s="36">
        <f t="shared" si="754"/>
        <v>0</v>
      </c>
      <c r="AW787" s="36">
        <f t="shared" si="755"/>
        <v>0</v>
      </c>
      <c r="AX787" s="36">
        <f t="shared" si="756"/>
        <v>0</v>
      </c>
      <c r="AY787" s="39" t="s">
        <v>2940</v>
      </c>
      <c r="AZ787" s="39" t="s">
        <v>2952</v>
      </c>
      <c r="BA787" s="35" t="s">
        <v>2967</v>
      </c>
      <c r="BC787" s="36">
        <f t="shared" si="757"/>
        <v>0</v>
      </c>
      <c r="BD787" s="36">
        <f t="shared" si="758"/>
        <v>0</v>
      </c>
      <c r="BE787" s="36">
        <v>0</v>
      </c>
      <c r="BF787" s="36">
        <f>787</f>
        <v>787</v>
      </c>
      <c r="BH787" s="20">
        <f t="shared" si="759"/>
        <v>0</v>
      </c>
      <c r="BI787" s="20">
        <f t="shared" si="760"/>
        <v>0</v>
      </c>
      <c r="BJ787" s="20">
        <f t="shared" si="761"/>
        <v>0</v>
      </c>
      <c r="BK787" s="20" t="s">
        <v>2978</v>
      </c>
      <c r="BL787" s="36" t="s">
        <v>1448</v>
      </c>
    </row>
    <row r="788" spans="1:64" x14ac:dyDescent="0.2">
      <c r="A788" s="4" t="s">
        <v>672</v>
      </c>
      <c r="B788" s="13" t="s">
        <v>1581</v>
      </c>
      <c r="C788" s="174" t="s">
        <v>2577</v>
      </c>
      <c r="D788" s="175"/>
      <c r="E788" s="175"/>
      <c r="F788" s="175"/>
      <c r="G788" s="13" t="s">
        <v>2860</v>
      </c>
      <c r="H788" s="82">
        <v>6</v>
      </c>
      <c r="I788" s="109">
        <v>0</v>
      </c>
      <c r="J788" s="20">
        <f t="shared" si="740"/>
        <v>0</v>
      </c>
      <c r="K788" s="20">
        <f t="shared" si="741"/>
        <v>0</v>
      </c>
      <c r="L788" s="20">
        <f t="shared" si="742"/>
        <v>0</v>
      </c>
      <c r="M788" s="31" t="s">
        <v>2884</v>
      </c>
      <c r="N788" s="5"/>
      <c r="Z788" s="36">
        <f t="shared" si="743"/>
        <v>0</v>
      </c>
      <c r="AB788" s="36">
        <f t="shared" si="744"/>
        <v>0</v>
      </c>
      <c r="AC788" s="36">
        <f t="shared" si="745"/>
        <v>0</v>
      </c>
      <c r="AD788" s="36">
        <f t="shared" si="746"/>
        <v>0</v>
      </c>
      <c r="AE788" s="36">
        <f t="shared" si="747"/>
        <v>0</v>
      </c>
      <c r="AF788" s="36">
        <f t="shared" si="748"/>
        <v>0</v>
      </c>
      <c r="AG788" s="36">
        <f t="shared" si="749"/>
        <v>0</v>
      </c>
      <c r="AH788" s="36">
        <f t="shared" si="750"/>
        <v>0</v>
      </c>
      <c r="AI788" s="35" t="s">
        <v>2894</v>
      </c>
      <c r="AJ788" s="20">
        <f t="shared" si="751"/>
        <v>0</v>
      </c>
      <c r="AK788" s="20">
        <f t="shared" si="752"/>
        <v>0</v>
      </c>
      <c r="AL788" s="20">
        <f t="shared" si="753"/>
        <v>0</v>
      </c>
      <c r="AN788" s="36">
        <v>21</v>
      </c>
      <c r="AO788" s="36">
        <f>I788*0</f>
        <v>0</v>
      </c>
      <c r="AP788" s="36">
        <f>I788*(1-0)</f>
        <v>0</v>
      </c>
      <c r="AQ788" s="37" t="s">
        <v>7</v>
      </c>
      <c r="AV788" s="36">
        <f t="shared" si="754"/>
        <v>0</v>
      </c>
      <c r="AW788" s="36">
        <f t="shared" si="755"/>
        <v>0</v>
      </c>
      <c r="AX788" s="36">
        <f t="shared" si="756"/>
        <v>0</v>
      </c>
      <c r="AY788" s="39" t="s">
        <v>2940</v>
      </c>
      <c r="AZ788" s="39" t="s">
        <v>2952</v>
      </c>
      <c r="BA788" s="35" t="s">
        <v>2967</v>
      </c>
      <c r="BC788" s="36">
        <f t="shared" si="757"/>
        <v>0</v>
      </c>
      <c r="BD788" s="36">
        <f t="shared" si="758"/>
        <v>0</v>
      </c>
      <c r="BE788" s="36">
        <v>0</v>
      </c>
      <c r="BF788" s="36">
        <f>788</f>
        <v>788</v>
      </c>
      <c r="BH788" s="20">
        <f t="shared" si="759"/>
        <v>0</v>
      </c>
      <c r="BI788" s="20">
        <f t="shared" si="760"/>
        <v>0</v>
      </c>
      <c r="BJ788" s="20">
        <f t="shared" si="761"/>
        <v>0</v>
      </c>
      <c r="BK788" s="20" t="s">
        <v>2978</v>
      </c>
      <c r="BL788" s="36" t="s">
        <v>1448</v>
      </c>
    </row>
    <row r="789" spans="1:64" x14ac:dyDescent="0.2">
      <c r="A789" s="86" t="s">
        <v>673</v>
      </c>
      <c r="B789" s="87" t="s">
        <v>1582</v>
      </c>
      <c r="C789" s="184" t="s">
        <v>2577</v>
      </c>
      <c r="D789" s="175"/>
      <c r="E789" s="175"/>
      <c r="F789" s="175"/>
      <c r="G789" s="87" t="s">
        <v>2860</v>
      </c>
      <c r="H789" s="88">
        <v>6</v>
      </c>
      <c r="I789" s="111">
        <v>0</v>
      </c>
      <c r="J789" s="96">
        <f t="shared" si="740"/>
        <v>0</v>
      </c>
      <c r="K789" s="96">
        <f t="shared" si="741"/>
        <v>0</v>
      </c>
      <c r="L789" s="96">
        <f t="shared" si="742"/>
        <v>0</v>
      </c>
      <c r="M789" s="97" t="s">
        <v>2884</v>
      </c>
      <c r="N789" s="5"/>
      <c r="Z789" s="36">
        <f t="shared" si="743"/>
        <v>0</v>
      </c>
      <c r="AB789" s="36">
        <f t="shared" si="744"/>
        <v>0</v>
      </c>
      <c r="AC789" s="36">
        <f t="shared" si="745"/>
        <v>0</v>
      </c>
      <c r="AD789" s="36">
        <f t="shared" si="746"/>
        <v>0</v>
      </c>
      <c r="AE789" s="36">
        <f t="shared" si="747"/>
        <v>0</v>
      </c>
      <c r="AF789" s="36">
        <f t="shared" si="748"/>
        <v>0</v>
      </c>
      <c r="AG789" s="36">
        <f t="shared" si="749"/>
        <v>0</v>
      </c>
      <c r="AH789" s="36">
        <f t="shared" si="750"/>
        <v>0</v>
      </c>
      <c r="AI789" s="35" t="s">
        <v>2894</v>
      </c>
      <c r="AJ789" s="20">
        <f t="shared" si="751"/>
        <v>0</v>
      </c>
      <c r="AK789" s="20">
        <f t="shared" si="752"/>
        <v>0</v>
      </c>
      <c r="AL789" s="20">
        <f t="shared" si="753"/>
        <v>0</v>
      </c>
      <c r="AN789" s="36">
        <v>21</v>
      </c>
      <c r="AO789" s="36">
        <f>I789*1</f>
        <v>0</v>
      </c>
      <c r="AP789" s="36">
        <f>I789*(1-1)</f>
        <v>0</v>
      </c>
      <c r="AQ789" s="37" t="s">
        <v>7</v>
      </c>
      <c r="AV789" s="36">
        <f t="shared" si="754"/>
        <v>0</v>
      </c>
      <c r="AW789" s="36">
        <f t="shared" si="755"/>
        <v>0</v>
      </c>
      <c r="AX789" s="36">
        <f t="shared" si="756"/>
        <v>0</v>
      </c>
      <c r="AY789" s="39" t="s">
        <v>2940</v>
      </c>
      <c r="AZ789" s="39" t="s">
        <v>2952</v>
      </c>
      <c r="BA789" s="35" t="s">
        <v>2967</v>
      </c>
      <c r="BC789" s="36">
        <f t="shared" si="757"/>
        <v>0</v>
      </c>
      <c r="BD789" s="36">
        <f t="shared" si="758"/>
        <v>0</v>
      </c>
      <c r="BE789" s="36">
        <v>0</v>
      </c>
      <c r="BF789" s="36">
        <f>789</f>
        <v>789</v>
      </c>
      <c r="BH789" s="20">
        <f t="shared" si="759"/>
        <v>0</v>
      </c>
      <c r="BI789" s="20">
        <f t="shared" si="760"/>
        <v>0</v>
      </c>
      <c r="BJ789" s="20">
        <f t="shared" si="761"/>
        <v>0</v>
      </c>
      <c r="BK789" s="20" t="s">
        <v>2978</v>
      </c>
      <c r="BL789" s="36" t="s">
        <v>1448</v>
      </c>
    </row>
    <row r="790" spans="1:64" x14ac:dyDescent="0.2">
      <c r="A790" s="4" t="s">
        <v>674</v>
      </c>
      <c r="B790" s="13" t="s">
        <v>1583</v>
      </c>
      <c r="C790" s="174" t="s">
        <v>2578</v>
      </c>
      <c r="D790" s="175"/>
      <c r="E790" s="175"/>
      <c r="F790" s="175"/>
      <c r="G790" s="13" t="s">
        <v>2855</v>
      </c>
      <c r="H790" s="82">
        <v>320</v>
      </c>
      <c r="I790" s="109">
        <v>0</v>
      </c>
      <c r="J790" s="20">
        <f t="shared" si="740"/>
        <v>0</v>
      </c>
      <c r="K790" s="20">
        <f t="shared" si="741"/>
        <v>0</v>
      </c>
      <c r="L790" s="20">
        <f t="shared" si="742"/>
        <v>0</v>
      </c>
      <c r="M790" s="31" t="s">
        <v>2884</v>
      </c>
      <c r="N790" s="5"/>
      <c r="Z790" s="36">
        <f t="shared" si="743"/>
        <v>0</v>
      </c>
      <c r="AB790" s="36">
        <f t="shared" si="744"/>
        <v>0</v>
      </c>
      <c r="AC790" s="36">
        <f t="shared" si="745"/>
        <v>0</v>
      </c>
      <c r="AD790" s="36">
        <f t="shared" si="746"/>
        <v>0</v>
      </c>
      <c r="AE790" s="36">
        <f t="shared" si="747"/>
        <v>0</v>
      </c>
      <c r="AF790" s="36">
        <f t="shared" si="748"/>
        <v>0</v>
      </c>
      <c r="AG790" s="36">
        <f t="shared" si="749"/>
        <v>0</v>
      </c>
      <c r="AH790" s="36">
        <f t="shared" si="750"/>
        <v>0</v>
      </c>
      <c r="AI790" s="35" t="s">
        <v>2894</v>
      </c>
      <c r="AJ790" s="20">
        <f t="shared" si="751"/>
        <v>0</v>
      </c>
      <c r="AK790" s="20">
        <f t="shared" si="752"/>
        <v>0</v>
      </c>
      <c r="AL790" s="20">
        <f t="shared" si="753"/>
        <v>0</v>
      </c>
      <c r="AN790" s="36">
        <v>21</v>
      </c>
      <c r="AO790" s="36">
        <f>I790*0</f>
        <v>0</v>
      </c>
      <c r="AP790" s="36">
        <f>I790*(1-0)</f>
        <v>0</v>
      </c>
      <c r="AQ790" s="37" t="s">
        <v>7</v>
      </c>
      <c r="AV790" s="36">
        <f t="shared" si="754"/>
        <v>0</v>
      </c>
      <c r="AW790" s="36">
        <f t="shared" si="755"/>
        <v>0</v>
      </c>
      <c r="AX790" s="36">
        <f t="shared" si="756"/>
        <v>0</v>
      </c>
      <c r="AY790" s="39" t="s">
        <v>2940</v>
      </c>
      <c r="AZ790" s="39" t="s">
        <v>2952</v>
      </c>
      <c r="BA790" s="35" t="s">
        <v>2967</v>
      </c>
      <c r="BC790" s="36">
        <f t="shared" si="757"/>
        <v>0</v>
      </c>
      <c r="BD790" s="36">
        <f t="shared" si="758"/>
        <v>0</v>
      </c>
      <c r="BE790" s="36">
        <v>0</v>
      </c>
      <c r="BF790" s="36">
        <f>790</f>
        <v>790</v>
      </c>
      <c r="BH790" s="20">
        <f t="shared" si="759"/>
        <v>0</v>
      </c>
      <c r="BI790" s="20">
        <f t="shared" si="760"/>
        <v>0</v>
      </c>
      <c r="BJ790" s="20">
        <f t="shared" si="761"/>
        <v>0</v>
      </c>
      <c r="BK790" s="20" t="s">
        <v>2978</v>
      </c>
      <c r="BL790" s="36" t="s">
        <v>1448</v>
      </c>
    </row>
    <row r="791" spans="1:64" x14ac:dyDescent="0.2">
      <c r="A791" s="86" t="s">
        <v>675</v>
      </c>
      <c r="B791" s="87" t="s">
        <v>1584</v>
      </c>
      <c r="C791" s="184" t="s">
        <v>2578</v>
      </c>
      <c r="D791" s="175"/>
      <c r="E791" s="175"/>
      <c r="F791" s="175"/>
      <c r="G791" s="87" t="s">
        <v>2855</v>
      </c>
      <c r="H791" s="88">
        <v>320</v>
      </c>
      <c r="I791" s="111">
        <v>0</v>
      </c>
      <c r="J791" s="96">
        <f t="shared" si="740"/>
        <v>0</v>
      </c>
      <c r="K791" s="96">
        <f t="shared" si="741"/>
        <v>0</v>
      </c>
      <c r="L791" s="96">
        <f t="shared" si="742"/>
        <v>0</v>
      </c>
      <c r="M791" s="97" t="s">
        <v>2884</v>
      </c>
      <c r="N791" s="5"/>
      <c r="Z791" s="36">
        <f t="shared" si="743"/>
        <v>0</v>
      </c>
      <c r="AB791" s="36">
        <f t="shared" si="744"/>
        <v>0</v>
      </c>
      <c r="AC791" s="36">
        <f t="shared" si="745"/>
        <v>0</v>
      </c>
      <c r="AD791" s="36">
        <f t="shared" si="746"/>
        <v>0</v>
      </c>
      <c r="AE791" s="36">
        <f t="shared" si="747"/>
        <v>0</v>
      </c>
      <c r="AF791" s="36">
        <f t="shared" si="748"/>
        <v>0</v>
      </c>
      <c r="AG791" s="36">
        <f t="shared" si="749"/>
        <v>0</v>
      </c>
      <c r="AH791" s="36">
        <f t="shared" si="750"/>
        <v>0</v>
      </c>
      <c r="AI791" s="35" t="s">
        <v>2894</v>
      </c>
      <c r="AJ791" s="20">
        <f t="shared" si="751"/>
        <v>0</v>
      </c>
      <c r="AK791" s="20">
        <f t="shared" si="752"/>
        <v>0</v>
      </c>
      <c r="AL791" s="20">
        <f t="shared" si="753"/>
        <v>0</v>
      </c>
      <c r="AN791" s="36">
        <v>21</v>
      </c>
      <c r="AO791" s="36">
        <f>I791*1</f>
        <v>0</v>
      </c>
      <c r="AP791" s="36">
        <f>I791*(1-1)</f>
        <v>0</v>
      </c>
      <c r="AQ791" s="37" t="s">
        <v>7</v>
      </c>
      <c r="AV791" s="36">
        <f t="shared" si="754"/>
        <v>0</v>
      </c>
      <c r="AW791" s="36">
        <f t="shared" si="755"/>
        <v>0</v>
      </c>
      <c r="AX791" s="36">
        <f t="shared" si="756"/>
        <v>0</v>
      </c>
      <c r="AY791" s="39" t="s">
        <v>2940</v>
      </c>
      <c r="AZ791" s="39" t="s">
        <v>2952</v>
      </c>
      <c r="BA791" s="35" t="s">
        <v>2967</v>
      </c>
      <c r="BC791" s="36">
        <f t="shared" si="757"/>
        <v>0</v>
      </c>
      <c r="BD791" s="36">
        <f t="shared" si="758"/>
        <v>0</v>
      </c>
      <c r="BE791" s="36">
        <v>0</v>
      </c>
      <c r="BF791" s="36">
        <f>791</f>
        <v>791</v>
      </c>
      <c r="BH791" s="20">
        <f t="shared" si="759"/>
        <v>0</v>
      </c>
      <c r="BI791" s="20">
        <f t="shared" si="760"/>
        <v>0</v>
      </c>
      <c r="BJ791" s="20">
        <f t="shared" si="761"/>
        <v>0</v>
      </c>
      <c r="BK791" s="20" t="s">
        <v>2978</v>
      </c>
      <c r="BL791" s="36" t="s">
        <v>1448</v>
      </c>
    </row>
    <row r="792" spans="1:64" x14ac:dyDescent="0.2">
      <c r="A792" s="4" t="s">
        <v>676</v>
      </c>
      <c r="B792" s="13" t="s">
        <v>1585</v>
      </c>
      <c r="C792" s="174" t="s">
        <v>2579</v>
      </c>
      <c r="D792" s="175"/>
      <c r="E792" s="175"/>
      <c r="F792" s="175"/>
      <c r="G792" s="13" t="s">
        <v>2855</v>
      </c>
      <c r="H792" s="82">
        <v>30</v>
      </c>
      <c r="I792" s="109">
        <v>0</v>
      </c>
      <c r="J792" s="20">
        <f t="shared" si="740"/>
        <v>0</v>
      </c>
      <c r="K792" s="20">
        <f t="shared" si="741"/>
        <v>0</v>
      </c>
      <c r="L792" s="20">
        <f t="shared" si="742"/>
        <v>0</v>
      </c>
      <c r="M792" s="31" t="s">
        <v>2884</v>
      </c>
      <c r="N792" s="5"/>
      <c r="Z792" s="36">
        <f t="shared" si="743"/>
        <v>0</v>
      </c>
      <c r="AB792" s="36">
        <f t="shared" si="744"/>
        <v>0</v>
      </c>
      <c r="AC792" s="36">
        <f t="shared" si="745"/>
        <v>0</v>
      </c>
      <c r="AD792" s="36">
        <f t="shared" si="746"/>
        <v>0</v>
      </c>
      <c r="AE792" s="36">
        <f t="shared" si="747"/>
        <v>0</v>
      </c>
      <c r="AF792" s="36">
        <f t="shared" si="748"/>
        <v>0</v>
      </c>
      <c r="AG792" s="36">
        <f t="shared" si="749"/>
        <v>0</v>
      </c>
      <c r="AH792" s="36">
        <f t="shared" si="750"/>
        <v>0</v>
      </c>
      <c r="AI792" s="35" t="s">
        <v>2894</v>
      </c>
      <c r="AJ792" s="20">
        <f t="shared" si="751"/>
        <v>0</v>
      </c>
      <c r="AK792" s="20">
        <f t="shared" si="752"/>
        <v>0</v>
      </c>
      <c r="AL792" s="20">
        <f t="shared" si="753"/>
        <v>0</v>
      </c>
      <c r="AN792" s="36">
        <v>21</v>
      </c>
      <c r="AO792" s="36">
        <f>I792*0</f>
        <v>0</v>
      </c>
      <c r="AP792" s="36">
        <f>I792*(1-0)</f>
        <v>0</v>
      </c>
      <c r="AQ792" s="37" t="s">
        <v>7</v>
      </c>
      <c r="AV792" s="36">
        <f t="shared" si="754"/>
        <v>0</v>
      </c>
      <c r="AW792" s="36">
        <f t="shared" si="755"/>
        <v>0</v>
      </c>
      <c r="AX792" s="36">
        <f t="shared" si="756"/>
        <v>0</v>
      </c>
      <c r="AY792" s="39" t="s">
        <v>2940</v>
      </c>
      <c r="AZ792" s="39" t="s">
        <v>2952</v>
      </c>
      <c r="BA792" s="35" t="s">
        <v>2967</v>
      </c>
      <c r="BC792" s="36">
        <f t="shared" si="757"/>
        <v>0</v>
      </c>
      <c r="BD792" s="36">
        <f t="shared" si="758"/>
        <v>0</v>
      </c>
      <c r="BE792" s="36">
        <v>0</v>
      </c>
      <c r="BF792" s="36">
        <f>792</f>
        <v>792</v>
      </c>
      <c r="BH792" s="20">
        <f t="shared" si="759"/>
        <v>0</v>
      </c>
      <c r="BI792" s="20">
        <f t="shared" si="760"/>
        <v>0</v>
      </c>
      <c r="BJ792" s="20">
        <f t="shared" si="761"/>
        <v>0</v>
      </c>
      <c r="BK792" s="20" t="s">
        <v>2978</v>
      </c>
      <c r="BL792" s="36" t="s">
        <v>1448</v>
      </c>
    </row>
    <row r="793" spans="1:64" x14ac:dyDescent="0.2">
      <c r="A793" s="86" t="s">
        <v>677</v>
      </c>
      <c r="B793" s="87" t="s">
        <v>1586</v>
      </c>
      <c r="C793" s="184" t="s">
        <v>2580</v>
      </c>
      <c r="D793" s="175"/>
      <c r="E793" s="175"/>
      <c r="F793" s="175"/>
      <c r="G793" s="87" t="s">
        <v>2855</v>
      </c>
      <c r="H793" s="88">
        <v>30</v>
      </c>
      <c r="I793" s="111">
        <v>0</v>
      </c>
      <c r="J793" s="96">
        <f t="shared" si="740"/>
        <v>0</v>
      </c>
      <c r="K793" s="96">
        <f t="shared" si="741"/>
        <v>0</v>
      </c>
      <c r="L793" s="96">
        <f t="shared" si="742"/>
        <v>0</v>
      </c>
      <c r="M793" s="97" t="s">
        <v>2884</v>
      </c>
      <c r="N793" s="5"/>
      <c r="Z793" s="36">
        <f t="shared" si="743"/>
        <v>0</v>
      </c>
      <c r="AB793" s="36">
        <f t="shared" si="744"/>
        <v>0</v>
      </c>
      <c r="AC793" s="36">
        <f t="shared" si="745"/>
        <v>0</v>
      </c>
      <c r="AD793" s="36">
        <f t="shared" si="746"/>
        <v>0</v>
      </c>
      <c r="AE793" s="36">
        <f t="shared" si="747"/>
        <v>0</v>
      </c>
      <c r="AF793" s="36">
        <f t="shared" si="748"/>
        <v>0</v>
      </c>
      <c r="AG793" s="36">
        <f t="shared" si="749"/>
        <v>0</v>
      </c>
      <c r="AH793" s="36">
        <f t="shared" si="750"/>
        <v>0</v>
      </c>
      <c r="AI793" s="35" t="s">
        <v>2894</v>
      </c>
      <c r="AJ793" s="20">
        <f t="shared" si="751"/>
        <v>0</v>
      </c>
      <c r="AK793" s="20">
        <f t="shared" si="752"/>
        <v>0</v>
      </c>
      <c r="AL793" s="20">
        <f t="shared" si="753"/>
        <v>0</v>
      </c>
      <c r="AN793" s="36">
        <v>21</v>
      </c>
      <c r="AO793" s="36">
        <f>I793*1</f>
        <v>0</v>
      </c>
      <c r="AP793" s="36">
        <f>I793*(1-1)</f>
        <v>0</v>
      </c>
      <c r="AQ793" s="37" t="s">
        <v>7</v>
      </c>
      <c r="AV793" s="36">
        <f t="shared" si="754"/>
        <v>0</v>
      </c>
      <c r="AW793" s="36">
        <f t="shared" si="755"/>
        <v>0</v>
      </c>
      <c r="AX793" s="36">
        <f t="shared" si="756"/>
        <v>0</v>
      </c>
      <c r="AY793" s="39" t="s">
        <v>2940</v>
      </c>
      <c r="AZ793" s="39" t="s">
        <v>2952</v>
      </c>
      <c r="BA793" s="35" t="s">
        <v>2967</v>
      </c>
      <c r="BC793" s="36">
        <f t="shared" si="757"/>
        <v>0</v>
      </c>
      <c r="BD793" s="36">
        <f t="shared" si="758"/>
        <v>0</v>
      </c>
      <c r="BE793" s="36">
        <v>0</v>
      </c>
      <c r="BF793" s="36">
        <f>793</f>
        <v>793</v>
      </c>
      <c r="BH793" s="20">
        <f t="shared" si="759"/>
        <v>0</v>
      </c>
      <c r="BI793" s="20">
        <f t="shared" si="760"/>
        <v>0</v>
      </c>
      <c r="BJ793" s="20">
        <f t="shared" si="761"/>
        <v>0</v>
      </c>
      <c r="BK793" s="20" t="s">
        <v>2978</v>
      </c>
      <c r="BL793" s="36" t="s">
        <v>1448</v>
      </c>
    </row>
    <row r="794" spans="1:64" x14ac:dyDescent="0.2">
      <c r="A794" s="4" t="s">
        <v>678</v>
      </c>
      <c r="B794" s="13" t="s">
        <v>1587</v>
      </c>
      <c r="C794" s="174" t="s">
        <v>2581</v>
      </c>
      <c r="D794" s="175"/>
      <c r="E794" s="175"/>
      <c r="F794" s="175"/>
      <c r="G794" s="13" t="s">
        <v>2860</v>
      </c>
      <c r="H794" s="82">
        <v>6</v>
      </c>
      <c r="I794" s="109">
        <v>0</v>
      </c>
      <c r="J794" s="20">
        <f t="shared" si="740"/>
        <v>0</v>
      </c>
      <c r="K794" s="20">
        <f t="shared" si="741"/>
        <v>0</v>
      </c>
      <c r="L794" s="20">
        <f t="shared" si="742"/>
        <v>0</v>
      </c>
      <c r="M794" s="31" t="s">
        <v>2884</v>
      </c>
      <c r="N794" s="5"/>
      <c r="Z794" s="36">
        <f t="shared" si="743"/>
        <v>0</v>
      </c>
      <c r="AB794" s="36">
        <f t="shared" si="744"/>
        <v>0</v>
      </c>
      <c r="AC794" s="36">
        <f t="shared" si="745"/>
        <v>0</v>
      </c>
      <c r="AD794" s="36">
        <f t="shared" si="746"/>
        <v>0</v>
      </c>
      <c r="AE794" s="36">
        <f t="shared" si="747"/>
        <v>0</v>
      </c>
      <c r="AF794" s="36">
        <f t="shared" si="748"/>
        <v>0</v>
      </c>
      <c r="AG794" s="36">
        <f t="shared" si="749"/>
        <v>0</v>
      </c>
      <c r="AH794" s="36">
        <f t="shared" si="750"/>
        <v>0</v>
      </c>
      <c r="AI794" s="35" t="s">
        <v>2894</v>
      </c>
      <c r="AJ794" s="20">
        <f t="shared" si="751"/>
        <v>0</v>
      </c>
      <c r="AK794" s="20">
        <f t="shared" si="752"/>
        <v>0</v>
      </c>
      <c r="AL794" s="20">
        <f t="shared" si="753"/>
        <v>0</v>
      </c>
      <c r="AN794" s="36">
        <v>21</v>
      </c>
      <c r="AO794" s="36">
        <f>I794*0</f>
        <v>0</v>
      </c>
      <c r="AP794" s="36">
        <f>I794*(1-0)</f>
        <v>0</v>
      </c>
      <c r="AQ794" s="37" t="s">
        <v>7</v>
      </c>
      <c r="AV794" s="36">
        <f t="shared" si="754"/>
        <v>0</v>
      </c>
      <c r="AW794" s="36">
        <f t="shared" si="755"/>
        <v>0</v>
      </c>
      <c r="AX794" s="36">
        <f t="shared" si="756"/>
        <v>0</v>
      </c>
      <c r="AY794" s="39" t="s">
        <v>2940</v>
      </c>
      <c r="AZ794" s="39" t="s">
        <v>2952</v>
      </c>
      <c r="BA794" s="35" t="s">
        <v>2967</v>
      </c>
      <c r="BC794" s="36">
        <f t="shared" si="757"/>
        <v>0</v>
      </c>
      <c r="BD794" s="36">
        <f t="shared" si="758"/>
        <v>0</v>
      </c>
      <c r="BE794" s="36">
        <v>0</v>
      </c>
      <c r="BF794" s="36">
        <f>794</f>
        <v>794</v>
      </c>
      <c r="BH794" s="20">
        <f t="shared" si="759"/>
        <v>0</v>
      </c>
      <c r="BI794" s="20">
        <f t="shared" si="760"/>
        <v>0</v>
      </c>
      <c r="BJ794" s="20">
        <f t="shared" si="761"/>
        <v>0</v>
      </c>
      <c r="BK794" s="20" t="s">
        <v>2978</v>
      </c>
      <c r="BL794" s="36" t="s">
        <v>1448</v>
      </c>
    </row>
    <row r="795" spans="1:64" x14ac:dyDescent="0.2">
      <c r="A795" s="86" t="s">
        <v>679</v>
      </c>
      <c r="B795" s="87" t="s">
        <v>1588</v>
      </c>
      <c r="C795" s="184" t="s">
        <v>2581</v>
      </c>
      <c r="D795" s="175"/>
      <c r="E795" s="175"/>
      <c r="F795" s="175"/>
      <c r="G795" s="87" t="s">
        <v>2860</v>
      </c>
      <c r="H795" s="88">
        <v>6</v>
      </c>
      <c r="I795" s="111">
        <v>0</v>
      </c>
      <c r="J795" s="96">
        <f t="shared" si="740"/>
        <v>0</v>
      </c>
      <c r="K795" s="96">
        <f t="shared" si="741"/>
        <v>0</v>
      </c>
      <c r="L795" s="96">
        <f t="shared" si="742"/>
        <v>0</v>
      </c>
      <c r="M795" s="97" t="s">
        <v>2884</v>
      </c>
      <c r="N795" s="5"/>
      <c r="Z795" s="36">
        <f t="shared" si="743"/>
        <v>0</v>
      </c>
      <c r="AB795" s="36">
        <f t="shared" si="744"/>
        <v>0</v>
      </c>
      <c r="AC795" s="36">
        <f t="shared" si="745"/>
        <v>0</v>
      </c>
      <c r="AD795" s="36">
        <f t="shared" si="746"/>
        <v>0</v>
      </c>
      <c r="AE795" s="36">
        <f t="shared" si="747"/>
        <v>0</v>
      </c>
      <c r="AF795" s="36">
        <f t="shared" si="748"/>
        <v>0</v>
      </c>
      <c r="AG795" s="36">
        <f t="shared" si="749"/>
        <v>0</v>
      </c>
      <c r="AH795" s="36">
        <f t="shared" si="750"/>
        <v>0</v>
      </c>
      <c r="AI795" s="35" t="s">
        <v>2894</v>
      </c>
      <c r="AJ795" s="20">
        <f t="shared" si="751"/>
        <v>0</v>
      </c>
      <c r="AK795" s="20">
        <f t="shared" si="752"/>
        <v>0</v>
      </c>
      <c r="AL795" s="20">
        <f t="shared" si="753"/>
        <v>0</v>
      </c>
      <c r="AN795" s="36">
        <v>21</v>
      </c>
      <c r="AO795" s="36">
        <f>I795*1</f>
        <v>0</v>
      </c>
      <c r="AP795" s="36">
        <f>I795*(1-1)</f>
        <v>0</v>
      </c>
      <c r="AQ795" s="37" t="s">
        <v>7</v>
      </c>
      <c r="AV795" s="36">
        <f t="shared" si="754"/>
        <v>0</v>
      </c>
      <c r="AW795" s="36">
        <f t="shared" si="755"/>
        <v>0</v>
      </c>
      <c r="AX795" s="36">
        <f t="shared" si="756"/>
        <v>0</v>
      </c>
      <c r="AY795" s="39" t="s">
        <v>2940</v>
      </c>
      <c r="AZ795" s="39" t="s">
        <v>2952</v>
      </c>
      <c r="BA795" s="35" t="s">
        <v>2967</v>
      </c>
      <c r="BC795" s="36">
        <f t="shared" si="757"/>
        <v>0</v>
      </c>
      <c r="BD795" s="36">
        <f t="shared" si="758"/>
        <v>0</v>
      </c>
      <c r="BE795" s="36">
        <v>0</v>
      </c>
      <c r="BF795" s="36">
        <f>795</f>
        <v>795</v>
      </c>
      <c r="BH795" s="20">
        <f t="shared" si="759"/>
        <v>0</v>
      </c>
      <c r="BI795" s="20">
        <f t="shared" si="760"/>
        <v>0</v>
      </c>
      <c r="BJ795" s="20">
        <f t="shared" si="761"/>
        <v>0</v>
      </c>
      <c r="BK795" s="20" t="s">
        <v>2978</v>
      </c>
      <c r="BL795" s="36" t="s">
        <v>1448</v>
      </c>
    </row>
    <row r="796" spans="1:64" x14ac:dyDescent="0.2">
      <c r="A796" s="4" t="s">
        <v>680</v>
      </c>
      <c r="B796" s="13" t="s">
        <v>1589</v>
      </c>
      <c r="C796" s="174" t="s">
        <v>2582</v>
      </c>
      <c r="D796" s="175"/>
      <c r="E796" s="175"/>
      <c r="F796" s="175"/>
      <c r="G796" s="13" t="s">
        <v>2860</v>
      </c>
      <c r="H796" s="82">
        <v>1</v>
      </c>
      <c r="I796" s="109">
        <v>0</v>
      </c>
      <c r="J796" s="20">
        <f t="shared" si="740"/>
        <v>0</v>
      </c>
      <c r="K796" s="20">
        <f t="shared" si="741"/>
        <v>0</v>
      </c>
      <c r="L796" s="20">
        <f t="shared" si="742"/>
        <v>0</v>
      </c>
      <c r="M796" s="31" t="s">
        <v>2884</v>
      </c>
      <c r="N796" s="5"/>
      <c r="Z796" s="36">
        <f t="shared" si="743"/>
        <v>0</v>
      </c>
      <c r="AB796" s="36">
        <f t="shared" si="744"/>
        <v>0</v>
      </c>
      <c r="AC796" s="36">
        <f t="shared" si="745"/>
        <v>0</v>
      </c>
      <c r="AD796" s="36">
        <f t="shared" si="746"/>
        <v>0</v>
      </c>
      <c r="AE796" s="36">
        <f t="shared" si="747"/>
        <v>0</v>
      </c>
      <c r="AF796" s="36">
        <f t="shared" si="748"/>
        <v>0</v>
      </c>
      <c r="AG796" s="36">
        <f t="shared" si="749"/>
        <v>0</v>
      </c>
      <c r="AH796" s="36">
        <f t="shared" si="750"/>
        <v>0</v>
      </c>
      <c r="AI796" s="35" t="s">
        <v>2894</v>
      </c>
      <c r="AJ796" s="20">
        <f t="shared" si="751"/>
        <v>0</v>
      </c>
      <c r="AK796" s="20">
        <f t="shared" si="752"/>
        <v>0</v>
      </c>
      <c r="AL796" s="20">
        <f t="shared" si="753"/>
        <v>0</v>
      </c>
      <c r="AN796" s="36">
        <v>21</v>
      </c>
      <c r="AO796" s="36">
        <f>I796*0</f>
        <v>0</v>
      </c>
      <c r="AP796" s="36">
        <f>I796*(1-0)</f>
        <v>0</v>
      </c>
      <c r="AQ796" s="37" t="s">
        <v>7</v>
      </c>
      <c r="AV796" s="36">
        <f t="shared" si="754"/>
        <v>0</v>
      </c>
      <c r="AW796" s="36">
        <f t="shared" si="755"/>
        <v>0</v>
      </c>
      <c r="AX796" s="36">
        <f t="shared" si="756"/>
        <v>0</v>
      </c>
      <c r="AY796" s="39" t="s">
        <v>2940</v>
      </c>
      <c r="AZ796" s="39" t="s">
        <v>2952</v>
      </c>
      <c r="BA796" s="35" t="s">
        <v>2967</v>
      </c>
      <c r="BC796" s="36">
        <f t="shared" si="757"/>
        <v>0</v>
      </c>
      <c r="BD796" s="36">
        <f t="shared" si="758"/>
        <v>0</v>
      </c>
      <c r="BE796" s="36">
        <v>0</v>
      </c>
      <c r="BF796" s="36">
        <f>796</f>
        <v>796</v>
      </c>
      <c r="BH796" s="20">
        <f t="shared" si="759"/>
        <v>0</v>
      </c>
      <c r="BI796" s="20">
        <f t="shared" si="760"/>
        <v>0</v>
      </c>
      <c r="BJ796" s="20">
        <f t="shared" si="761"/>
        <v>0</v>
      </c>
      <c r="BK796" s="20" t="s">
        <v>2978</v>
      </c>
      <c r="BL796" s="36" t="s">
        <v>1448</v>
      </c>
    </row>
    <row r="797" spans="1:64" x14ac:dyDescent="0.2">
      <c r="A797" s="86" t="s">
        <v>681</v>
      </c>
      <c r="B797" s="87" t="s">
        <v>1590</v>
      </c>
      <c r="C797" s="184" t="s">
        <v>2582</v>
      </c>
      <c r="D797" s="175"/>
      <c r="E797" s="175"/>
      <c r="F797" s="175"/>
      <c r="G797" s="87" t="s">
        <v>2860</v>
      </c>
      <c r="H797" s="88">
        <v>1</v>
      </c>
      <c r="I797" s="111">
        <v>0</v>
      </c>
      <c r="J797" s="96">
        <f t="shared" si="740"/>
        <v>0</v>
      </c>
      <c r="K797" s="96">
        <f t="shared" si="741"/>
        <v>0</v>
      </c>
      <c r="L797" s="96">
        <f t="shared" si="742"/>
        <v>0</v>
      </c>
      <c r="M797" s="97" t="s">
        <v>2884</v>
      </c>
      <c r="N797" s="5"/>
      <c r="Z797" s="36">
        <f t="shared" si="743"/>
        <v>0</v>
      </c>
      <c r="AB797" s="36">
        <f t="shared" si="744"/>
        <v>0</v>
      </c>
      <c r="AC797" s="36">
        <f t="shared" si="745"/>
        <v>0</v>
      </c>
      <c r="AD797" s="36">
        <f t="shared" si="746"/>
        <v>0</v>
      </c>
      <c r="AE797" s="36">
        <f t="shared" si="747"/>
        <v>0</v>
      </c>
      <c r="AF797" s="36">
        <f t="shared" si="748"/>
        <v>0</v>
      </c>
      <c r="AG797" s="36">
        <f t="shared" si="749"/>
        <v>0</v>
      </c>
      <c r="AH797" s="36">
        <f t="shared" si="750"/>
        <v>0</v>
      </c>
      <c r="AI797" s="35" t="s">
        <v>2894</v>
      </c>
      <c r="AJ797" s="20">
        <f t="shared" si="751"/>
        <v>0</v>
      </c>
      <c r="AK797" s="20">
        <f t="shared" si="752"/>
        <v>0</v>
      </c>
      <c r="AL797" s="20">
        <f t="shared" si="753"/>
        <v>0</v>
      </c>
      <c r="AN797" s="36">
        <v>21</v>
      </c>
      <c r="AO797" s="36">
        <f>I797*1</f>
        <v>0</v>
      </c>
      <c r="AP797" s="36">
        <f>I797*(1-1)</f>
        <v>0</v>
      </c>
      <c r="AQ797" s="37" t="s">
        <v>7</v>
      </c>
      <c r="AV797" s="36">
        <f t="shared" si="754"/>
        <v>0</v>
      </c>
      <c r="AW797" s="36">
        <f t="shared" si="755"/>
        <v>0</v>
      </c>
      <c r="AX797" s="36">
        <f t="shared" si="756"/>
        <v>0</v>
      </c>
      <c r="AY797" s="39" t="s">
        <v>2940</v>
      </c>
      <c r="AZ797" s="39" t="s">
        <v>2952</v>
      </c>
      <c r="BA797" s="35" t="s">
        <v>2967</v>
      </c>
      <c r="BC797" s="36">
        <f t="shared" si="757"/>
        <v>0</v>
      </c>
      <c r="BD797" s="36">
        <f t="shared" si="758"/>
        <v>0</v>
      </c>
      <c r="BE797" s="36">
        <v>0</v>
      </c>
      <c r="BF797" s="36">
        <f>797</f>
        <v>797</v>
      </c>
      <c r="BH797" s="20">
        <f t="shared" si="759"/>
        <v>0</v>
      </c>
      <c r="BI797" s="20">
        <f t="shared" si="760"/>
        <v>0</v>
      </c>
      <c r="BJ797" s="20">
        <f t="shared" si="761"/>
        <v>0</v>
      </c>
      <c r="BK797" s="20" t="s">
        <v>2978</v>
      </c>
      <c r="BL797" s="36" t="s">
        <v>1448</v>
      </c>
    </row>
    <row r="798" spans="1:64" x14ac:dyDescent="0.2">
      <c r="A798" s="4" t="s">
        <v>682</v>
      </c>
      <c r="B798" s="13" t="s">
        <v>1587</v>
      </c>
      <c r="C798" s="174" t="s">
        <v>2583</v>
      </c>
      <c r="D798" s="175"/>
      <c r="E798" s="175"/>
      <c r="F798" s="175"/>
      <c r="G798" s="13" t="s">
        <v>2860</v>
      </c>
      <c r="H798" s="82">
        <v>114</v>
      </c>
      <c r="I798" s="109">
        <v>0</v>
      </c>
      <c r="J798" s="20">
        <f t="shared" si="740"/>
        <v>0</v>
      </c>
      <c r="K798" s="20">
        <f t="shared" si="741"/>
        <v>0</v>
      </c>
      <c r="L798" s="20">
        <f t="shared" si="742"/>
        <v>0</v>
      </c>
      <c r="M798" s="31" t="s">
        <v>2884</v>
      </c>
      <c r="N798" s="5"/>
      <c r="Z798" s="36">
        <f t="shared" si="743"/>
        <v>0</v>
      </c>
      <c r="AB798" s="36">
        <f t="shared" si="744"/>
        <v>0</v>
      </c>
      <c r="AC798" s="36">
        <f t="shared" si="745"/>
        <v>0</v>
      </c>
      <c r="AD798" s="36">
        <f t="shared" si="746"/>
        <v>0</v>
      </c>
      <c r="AE798" s="36">
        <f t="shared" si="747"/>
        <v>0</v>
      </c>
      <c r="AF798" s="36">
        <f t="shared" si="748"/>
        <v>0</v>
      </c>
      <c r="AG798" s="36">
        <f t="shared" si="749"/>
        <v>0</v>
      </c>
      <c r="AH798" s="36">
        <f t="shared" si="750"/>
        <v>0</v>
      </c>
      <c r="AI798" s="35" t="s">
        <v>2894</v>
      </c>
      <c r="AJ798" s="20">
        <f t="shared" si="751"/>
        <v>0</v>
      </c>
      <c r="AK798" s="20">
        <f t="shared" si="752"/>
        <v>0</v>
      </c>
      <c r="AL798" s="20">
        <f t="shared" si="753"/>
        <v>0</v>
      </c>
      <c r="AN798" s="36">
        <v>21</v>
      </c>
      <c r="AO798" s="36">
        <f>I798*0</f>
        <v>0</v>
      </c>
      <c r="AP798" s="36">
        <f>I798*(1-0)</f>
        <v>0</v>
      </c>
      <c r="AQ798" s="37" t="s">
        <v>7</v>
      </c>
      <c r="AV798" s="36">
        <f t="shared" si="754"/>
        <v>0</v>
      </c>
      <c r="AW798" s="36">
        <f t="shared" si="755"/>
        <v>0</v>
      </c>
      <c r="AX798" s="36">
        <f t="shared" si="756"/>
        <v>0</v>
      </c>
      <c r="AY798" s="39" t="s">
        <v>2940</v>
      </c>
      <c r="AZ798" s="39" t="s">
        <v>2952</v>
      </c>
      <c r="BA798" s="35" t="s">
        <v>2967</v>
      </c>
      <c r="BC798" s="36">
        <f t="shared" si="757"/>
        <v>0</v>
      </c>
      <c r="BD798" s="36">
        <f t="shared" si="758"/>
        <v>0</v>
      </c>
      <c r="BE798" s="36">
        <v>0</v>
      </c>
      <c r="BF798" s="36">
        <f>798</f>
        <v>798</v>
      </c>
      <c r="BH798" s="20">
        <f t="shared" si="759"/>
        <v>0</v>
      </c>
      <c r="BI798" s="20">
        <f t="shared" si="760"/>
        <v>0</v>
      </c>
      <c r="BJ798" s="20">
        <f t="shared" si="761"/>
        <v>0</v>
      </c>
      <c r="BK798" s="20" t="s">
        <v>2978</v>
      </c>
      <c r="BL798" s="36" t="s">
        <v>1448</v>
      </c>
    </row>
    <row r="799" spans="1:64" x14ac:dyDescent="0.2">
      <c r="A799" s="86" t="s">
        <v>683</v>
      </c>
      <c r="B799" s="87" t="s">
        <v>1591</v>
      </c>
      <c r="C799" s="184" t="s">
        <v>2583</v>
      </c>
      <c r="D799" s="175"/>
      <c r="E799" s="175"/>
      <c r="F799" s="175"/>
      <c r="G799" s="87" t="s">
        <v>2860</v>
      </c>
      <c r="H799" s="88">
        <v>114</v>
      </c>
      <c r="I799" s="111">
        <v>0</v>
      </c>
      <c r="J799" s="96">
        <f t="shared" si="740"/>
        <v>0</v>
      </c>
      <c r="K799" s="96">
        <f t="shared" si="741"/>
        <v>0</v>
      </c>
      <c r="L799" s="96">
        <f t="shared" si="742"/>
        <v>0</v>
      </c>
      <c r="M799" s="97" t="s">
        <v>2884</v>
      </c>
      <c r="N799" s="5"/>
      <c r="Z799" s="36">
        <f t="shared" si="743"/>
        <v>0</v>
      </c>
      <c r="AB799" s="36">
        <f t="shared" si="744"/>
        <v>0</v>
      </c>
      <c r="AC799" s="36">
        <f t="shared" si="745"/>
        <v>0</v>
      </c>
      <c r="AD799" s="36">
        <f t="shared" si="746"/>
        <v>0</v>
      </c>
      <c r="AE799" s="36">
        <f t="shared" si="747"/>
        <v>0</v>
      </c>
      <c r="AF799" s="36">
        <f t="shared" si="748"/>
        <v>0</v>
      </c>
      <c r="AG799" s="36">
        <f t="shared" si="749"/>
        <v>0</v>
      </c>
      <c r="AH799" s="36">
        <f t="shared" si="750"/>
        <v>0</v>
      </c>
      <c r="AI799" s="35" t="s">
        <v>2894</v>
      </c>
      <c r="AJ799" s="20">
        <f t="shared" si="751"/>
        <v>0</v>
      </c>
      <c r="AK799" s="20">
        <f t="shared" si="752"/>
        <v>0</v>
      </c>
      <c r="AL799" s="20">
        <f t="shared" si="753"/>
        <v>0</v>
      </c>
      <c r="AN799" s="36">
        <v>21</v>
      </c>
      <c r="AO799" s="36">
        <f>I799*1</f>
        <v>0</v>
      </c>
      <c r="AP799" s="36">
        <f>I799*(1-1)</f>
        <v>0</v>
      </c>
      <c r="AQ799" s="37" t="s">
        <v>7</v>
      </c>
      <c r="AV799" s="36">
        <f t="shared" si="754"/>
        <v>0</v>
      </c>
      <c r="AW799" s="36">
        <f t="shared" si="755"/>
        <v>0</v>
      </c>
      <c r="AX799" s="36">
        <f t="shared" si="756"/>
        <v>0</v>
      </c>
      <c r="AY799" s="39" t="s">
        <v>2940</v>
      </c>
      <c r="AZ799" s="39" t="s">
        <v>2952</v>
      </c>
      <c r="BA799" s="35" t="s">
        <v>2967</v>
      </c>
      <c r="BC799" s="36">
        <f t="shared" si="757"/>
        <v>0</v>
      </c>
      <c r="BD799" s="36">
        <f t="shared" si="758"/>
        <v>0</v>
      </c>
      <c r="BE799" s="36">
        <v>0</v>
      </c>
      <c r="BF799" s="36">
        <f>799</f>
        <v>799</v>
      </c>
      <c r="BH799" s="20">
        <f t="shared" si="759"/>
        <v>0</v>
      </c>
      <c r="BI799" s="20">
        <f t="shared" si="760"/>
        <v>0</v>
      </c>
      <c r="BJ799" s="20">
        <f t="shared" si="761"/>
        <v>0</v>
      </c>
      <c r="BK799" s="20" t="s">
        <v>2978</v>
      </c>
      <c r="BL799" s="36" t="s">
        <v>1448</v>
      </c>
    </row>
    <row r="800" spans="1:64" x14ac:dyDescent="0.2">
      <c r="A800" s="4" t="s">
        <v>684</v>
      </c>
      <c r="B800" s="13" t="s">
        <v>1589</v>
      </c>
      <c r="C800" s="174" t="s">
        <v>2584</v>
      </c>
      <c r="D800" s="175"/>
      <c r="E800" s="175"/>
      <c r="F800" s="175"/>
      <c r="G800" s="13" t="s">
        <v>2860</v>
      </c>
      <c r="H800" s="82">
        <v>18</v>
      </c>
      <c r="I800" s="109">
        <v>0</v>
      </c>
      <c r="J800" s="20">
        <f t="shared" si="740"/>
        <v>0</v>
      </c>
      <c r="K800" s="20">
        <f t="shared" si="741"/>
        <v>0</v>
      </c>
      <c r="L800" s="20">
        <f t="shared" si="742"/>
        <v>0</v>
      </c>
      <c r="M800" s="31" t="s">
        <v>2884</v>
      </c>
      <c r="N800" s="5"/>
      <c r="Z800" s="36">
        <f t="shared" si="743"/>
        <v>0</v>
      </c>
      <c r="AB800" s="36">
        <f t="shared" si="744"/>
        <v>0</v>
      </c>
      <c r="AC800" s="36">
        <f t="shared" si="745"/>
        <v>0</v>
      </c>
      <c r="AD800" s="36">
        <f t="shared" si="746"/>
        <v>0</v>
      </c>
      <c r="AE800" s="36">
        <f t="shared" si="747"/>
        <v>0</v>
      </c>
      <c r="AF800" s="36">
        <f t="shared" si="748"/>
        <v>0</v>
      </c>
      <c r="AG800" s="36">
        <f t="shared" si="749"/>
        <v>0</v>
      </c>
      <c r="AH800" s="36">
        <f t="shared" si="750"/>
        <v>0</v>
      </c>
      <c r="AI800" s="35" t="s">
        <v>2894</v>
      </c>
      <c r="AJ800" s="20">
        <f t="shared" si="751"/>
        <v>0</v>
      </c>
      <c r="AK800" s="20">
        <f t="shared" si="752"/>
        <v>0</v>
      </c>
      <c r="AL800" s="20">
        <f t="shared" si="753"/>
        <v>0</v>
      </c>
      <c r="AN800" s="36">
        <v>21</v>
      </c>
      <c r="AO800" s="36">
        <f>I800*0</f>
        <v>0</v>
      </c>
      <c r="AP800" s="36">
        <f>I800*(1-0)</f>
        <v>0</v>
      </c>
      <c r="AQ800" s="37" t="s">
        <v>7</v>
      </c>
      <c r="AV800" s="36">
        <f t="shared" si="754"/>
        <v>0</v>
      </c>
      <c r="AW800" s="36">
        <f t="shared" si="755"/>
        <v>0</v>
      </c>
      <c r="AX800" s="36">
        <f t="shared" si="756"/>
        <v>0</v>
      </c>
      <c r="AY800" s="39" t="s">
        <v>2940</v>
      </c>
      <c r="AZ800" s="39" t="s">
        <v>2952</v>
      </c>
      <c r="BA800" s="35" t="s">
        <v>2967</v>
      </c>
      <c r="BC800" s="36">
        <f t="shared" si="757"/>
        <v>0</v>
      </c>
      <c r="BD800" s="36">
        <f t="shared" si="758"/>
        <v>0</v>
      </c>
      <c r="BE800" s="36">
        <v>0</v>
      </c>
      <c r="BF800" s="36">
        <f>800</f>
        <v>800</v>
      </c>
      <c r="BH800" s="20">
        <f t="shared" si="759"/>
        <v>0</v>
      </c>
      <c r="BI800" s="20">
        <f t="shared" si="760"/>
        <v>0</v>
      </c>
      <c r="BJ800" s="20">
        <f t="shared" si="761"/>
        <v>0</v>
      </c>
      <c r="BK800" s="20" t="s">
        <v>2978</v>
      </c>
      <c r="BL800" s="36" t="s">
        <v>1448</v>
      </c>
    </row>
    <row r="801" spans="1:64" x14ac:dyDescent="0.2">
      <c r="A801" s="86" t="s">
        <v>685</v>
      </c>
      <c r="B801" s="87" t="s">
        <v>1592</v>
      </c>
      <c r="C801" s="184" t="s">
        <v>2584</v>
      </c>
      <c r="D801" s="175"/>
      <c r="E801" s="175"/>
      <c r="F801" s="175"/>
      <c r="G801" s="87" t="s">
        <v>2860</v>
      </c>
      <c r="H801" s="88">
        <v>18</v>
      </c>
      <c r="I801" s="111">
        <v>0</v>
      </c>
      <c r="J801" s="96">
        <f t="shared" si="740"/>
        <v>0</v>
      </c>
      <c r="K801" s="96">
        <f t="shared" si="741"/>
        <v>0</v>
      </c>
      <c r="L801" s="96">
        <f t="shared" si="742"/>
        <v>0</v>
      </c>
      <c r="M801" s="97" t="s">
        <v>2884</v>
      </c>
      <c r="N801" s="5"/>
      <c r="Z801" s="36">
        <f t="shared" si="743"/>
        <v>0</v>
      </c>
      <c r="AB801" s="36">
        <f t="shared" si="744"/>
        <v>0</v>
      </c>
      <c r="AC801" s="36">
        <f t="shared" si="745"/>
        <v>0</v>
      </c>
      <c r="AD801" s="36">
        <f t="shared" si="746"/>
        <v>0</v>
      </c>
      <c r="AE801" s="36">
        <f t="shared" si="747"/>
        <v>0</v>
      </c>
      <c r="AF801" s="36">
        <f t="shared" si="748"/>
        <v>0</v>
      </c>
      <c r="AG801" s="36">
        <f t="shared" si="749"/>
        <v>0</v>
      </c>
      <c r="AH801" s="36">
        <f t="shared" si="750"/>
        <v>0</v>
      </c>
      <c r="AI801" s="35" t="s">
        <v>2894</v>
      </c>
      <c r="AJ801" s="20">
        <f t="shared" si="751"/>
        <v>0</v>
      </c>
      <c r="AK801" s="20">
        <f t="shared" si="752"/>
        <v>0</v>
      </c>
      <c r="AL801" s="20">
        <f t="shared" si="753"/>
        <v>0</v>
      </c>
      <c r="AN801" s="36">
        <v>21</v>
      </c>
      <c r="AO801" s="36">
        <f>I801*1</f>
        <v>0</v>
      </c>
      <c r="AP801" s="36">
        <f>I801*(1-1)</f>
        <v>0</v>
      </c>
      <c r="AQ801" s="37" t="s">
        <v>7</v>
      </c>
      <c r="AV801" s="36">
        <f t="shared" si="754"/>
        <v>0</v>
      </c>
      <c r="AW801" s="36">
        <f t="shared" si="755"/>
        <v>0</v>
      </c>
      <c r="AX801" s="36">
        <f t="shared" si="756"/>
        <v>0</v>
      </c>
      <c r="AY801" s="39" t="s">
        <v>2940</v>
      </c>
      <c r="AZ801" s="39" t="s">
        <v>2952</v>
      </c>
      <c r="BA801" s="35" t="s">
        <v>2967</v>
      </c>
      <c r="BC801" s="36">
        <f t="shared" si="757"/>
        <v>0</v>
      </c>
      <c r="BD801" s="36">
        <f t="shared" si="758"/>
        <v>0</v>
      </c>
      <c r="BE801" s="36">
        <v>0</v>
      </c>
      <c r="BF801" s="36">
        <f>801</f>
        <v>801</v>
      </c>
      <c r="BH801" s="20">
        <f t="shared" si="759"/>
        <v>0</v>
      </c>
      <c r="BI801" s="20">
        <f t="shared" si="760"/>
        <v>0</v>
      </c>
      <c r="BJ801" s="20">
        <f t="shared" si="761"/>
        <v>0</v>
      </c>
      <c r="BK801" s="20" t="s">
        <v>2978</v>
      </c>
      <c r="BL801" s="36" t="s">
        <v>1448</v>
      </c>
    </row>
    <row r="802" spans="1:64" x14ac:dyDescent="0.2">
      <c r="A802" s="4" t="s">
        <v>686</v>
      </c>
      <c r="B802" s="13" t="s">
        <v>1589</v>
      </c>
      <c r="C802" s="174" t="s">
        <v>2585</v>
      </c>
      <c r="D802" s="175"/>
      <c r="E802" s="175"/>
      <c r="F802" s="175"/>
      <c r="G802" s="13" t="s">
        <v>2860</v>
      </c>
      <c r="H802" s="82">
        <v>6</v>
      </c>
      <c r="I802" s="109">
        <v>0</v>
      </c>
      <c r="J802" s="20">
        <f t="shared" si="740"/>
        <v>0</v>
      </c>
      <c r="K802" s="20">
        <f t="shared" si="741"/>
        <v>0</v>
      </c>
      <c r="L802" s="20">
        <f t="shared" si="742"/>
        <v>0</v>
      </c>
      <c r="M802" s="31" t="s">
        <v>2884</v>
      </c>
      <c r="N802" s="5"/>
      <c r="Z802" s="36">
        <f t="shared" si="743"/>
        <v>0</v>
      </c>
      <c r="AB802" s="36">
        <f t="shared" si="744"/>
        <v>0</v>
      </c>
      <c r="AC802" s="36">
        <f t="shared" si="745"/>
        <v>0</v>
      </c>
      <c r="AD802" s="36">
        <f t="shared" si="746"/>
        <v>0</v>
      </c>
      <c r="AE802" s="36">
        <f t="shared" si="747"/>
        <v>0</v>
      </c>
      <c r="AF802" s="36">
        <f t="shared" si="748"/>
        <v>0</v>
      </c>
      <c r="AG802" s="36">
        <f t="shared" si="749"/>
        <v>0</v>
      </c>
      <c r="AH802" s="36">
        <f t="shared" si="750"/>
        <v>0</v>
      </c>
      <c r="AI802" s="35" t="s">
        <v>2894</v>
      </c>
      <c r="AJ802" s="20">
        <f t="shared" si="751"/>
        <v>0</v>
      </c>
      <c r="AK802" s="20">
        <f t="shared" si="752"/>
        <v>0</v>
      </c>
      <c r="AL802" s="20">
        <f t="shared" si="753"/>
        <v>0</v>
      </c>
      <c r="AN802" s="36">
        <v>21</v>
      </c>
      <c r="AO802" s="36">
        <f>I802*0</f>
        <v>0</v>
      </c>
      <c r="AP802" s="36">
        <f>I802*(1-0)</f>
        <v>0</v>
      </c>
      <c r="AQ802" s="37" t="s">
        <v>7</v>
      </c>
      <c r="AV802" s="36">
        <f t="shared" si="754"/>
        <v>0</v>
      </c>
      <c r="AW802" s="36">
        <f t="shared" si="755"/>
        <v>0</v>
      </c>
      <c r="AX802" s="36">
        <f t="shared" si="756"/>
        <v>0</v>
      </c>
      <c r="AY802" s="39" t="s">
        <v>2940</v>
      </c>
      <c r="AZ802" s="39" t="s">
        <v>2952</v>
      </c>
      <c r="BA802" s="35" t="s">
        <v>2967</v>
      </c>
      <c r="BC802" s="36">
        <f t="shared" si="757"/>
        <v>0</v>
      </c>
      <c r="BD802" s="36">
        <f t="shared" si="758"/>
        <v>0</v>
      </c>
      <c r="BE802" s="36">
        <v>0</v>
      </c>
      <c r="BF802" s="36">
        <f>802</f>
        <v>802</v>
      </c>
      <c r="BH802" s="20">
        <f t="shared" si="759"/>
        <v>0</v>
      </c>
      <c r="BI802" s="20">
        <f t="shared" si="760"/>
        <v>0</v>
      </c>
      <c r="BJ802" s="20">
        <f t="shared" si="761"/>
        <v>0</v>
      </c>
      <c r="BK802" s="20" t="s">
        <v>2978</v>
      </c>
      <c r="BL802" s="36" t="s">
        <v>1448</v>
      </c>
    </row>
    <row r="803" spans="1:64" x14ac:dyDescent="0.2">
      <c r="A803" s="4" t="s">
        <v>687</v>
      </c>
      <c r="B803" s="13" t="s">
        <v>1593</v>
      </c>
      <c r="C803" s="174" t="s">
        <v>2586</v>
      </c>
      <c r="D803" s="175"/>
      <c r="E803" s="175"/>
      <c r="F803" s="175"/>
      <c r="G803" s="13" t="s">
        <v>2852</v>
      </c>
      <c r="H803" s="82">
        <v>1</v>
      </c>
      <c r="I803" s="109">
        <v>0</v>
      </c>
      <c r="J803" s="20">
        <f t="shared" ref="J803:J814" si="762">H803*AO803</f>
        <v>0</v>
      </c>
      <c r="K803" s="20">
        <f t="shared" ref="K803:K814" si="763">H803*AP803</f>
        <v>0</v>
      </c>
      <c r="L803" s="20">
        <f t="shared" ref="L803:L814" si="764">H803*I803</f>
        <v>0</v>
      </c>
      <c r="M803" s="31" t="s">
        <v>2884</v>
      </c>
      <c r="N803" s="5"/>
      <c r="Z803" s="36">
        <f t="shared" ref="Z803:Z814" si="765">IF(AQ803="5",BJ803,0)</f>
        <v>0</v>
      </c>
      <c r="AB803" s="36">
        <f t="shared" ref="AB803:AB814" si="766">IF(AQ803="1",BH803,0)</f>
        <v>0</v>
      </c>
      <c r="AC803" s="36">
        <f t="shared" ref="AC803:AC814" si="767">IF(AQ803="1",BI803,0)</f>
        <v>0</v>
      </c>
      <c r="AD803" s="36">
        <f t="shared" ref="AD803:AD814" si="768">IF(AQ803="7",BH803,0)</f>
        <v>0</v>
      </c>
      <c r="AE803" s="36">
        <f t="shared" ref="AE803:AE814" si="769">IF(AQ803="7",BI803,0)</f>
        <v>0</v>
      </c>
      <c r="AF803" s="36">
        <f t="shared" ref="AF803:AF814" si="770">IF(AQ803="2",BH803,0)</f>
        <v>0</v>
      </c>
      <c r="AG803" s="36">
        <f t="shared" ref="AG803:AG814" si="771">IF(AQ803="2",BI803,0)</f>
        <v>0</v>
      </c>
      <c r="AH803" s="36">
        <f t="shared" ref="AH803:AH814" si="772">IF(AQ803="0",BJ803,0)</f>
        <v>0</v>
      </c>
      <c r="AI803" s="35" t="s">
        <v>2894</v>
      </c>
      <c r="AJ803" s="20">
        <f t="shared" ref="AJ803:AJ814" si="773">IF(AN803=0,L803,0)</f>
        <v>0</v>
      </c>
      <c r="AK803" s="20">
        <f t="shared" ref="AK803:AK814" si="774">IF(AN803=15,L803,0)</f>
        <v>0</v>
      </c>
      <c r="AL803" s="20">
        <f t="shared" ref="AL803:AL814" si="775">IF(AN803=21,L803,0)</f>
        <v>0</v>
      </c>
      <c r="AN803" s="36">
        <v>21</v>
      </c>
      <c r="AO803" s="36">
        <f>I803*0</f>
        <v>0</v>
      </c>
      <c r="AP803" s="36">
        <f>I803*(1-0)</f>
        <v>0</v>
      </c>
      <c r="AQ803" s="37" t="s">
        <v>7</v>
      </c>
      <c r="AV803" s="36">
        <f t="shared" ref="AV803:AV814" si="776">AW803+AX803</f>
        <v>0</v>
      </c>
      <c r="AW803" s="36">
        <f t="shared" ref="AW803:AW814" si="777">H803*AO803</f>
        <v>0</v>
      </c>
      <c r="AX803" s="36">
        <f t="shared" ref="AX803:AX814" si="778">H803*AP803</f>
        <v>0</v>
      </c>
      <c r="AY803" s="39" t="s">
        <v>2940</v>
      </c>
      <c r="AZ803" s="39" t="s">
        <v>2952</v>
      </c>
      <c r="BA803" s="35" t="s">
        <v>2967</v>
      </c>
      <c r="BC803" s="36">
        <f t="shared" ref="BC803:BC814" si="779">AW803+AX803</f>
        <v>0</v>
      </c>
      <c r="BD803" s="36">
        <f t="shared" ref="BD803:BD814" si="780">I803/(100-BE803)*100</f>
        <v>0</v>
      </c>
      <c r="BE803" s="36">
        <v>0</v>
      </c>
      <c r="BF803" s="36">
        <f>803</f>
        <v>803</v>
      </c>
      <c r="BH803" s="20">
        <f t="shared" ref="BH803:BH814" si="781">H803*AO803</f>
        <v>0</v>
      </c>
      <c r="BI803" s="20">
        <f t="shared" ref="BI803:BI814" si="782">H803*AP803</f>
        <v>0</v>
      </c>
      <c r="BJ803" s="20">
        <f t="shared" ref="BJ803:BJ814" si="783">H803*I803</f>
        <v>0</v>
      </c>
      <c r="BK803" s="20" t="s">
        <v>2978</v>
      </c>
      <c r="BL803" s="36" t="s">
        <v>1448</v>
      </c>
    </row>
    <row r="804" spans="1:64" x14ac:dyDescent="0.2">
      <c r="A804" s="86" t="s">
        <v>688</v>
      </c>
      <c r="B804" s="87" t="s">
        <v>1594</v>
      </c>
      <c r="C804" s="184" t="s">
        <v>2586</v>
      </c>
      <c r="D804" s="175"/>
      <c r="E804" s="175"/>
      <c r="F804" s="175"/>
      <c r="G804" s="87" t="s">
        <v>2860</v>
      </c>
      <c r="H804" s="88">
        <v>1</v>
      </c>
      <c r="I804" s="111">
        <v>0</v>
      </c>
      <c r="J804" s="96">
        <f t="shared" si="762"/>
        <v>0</v>
      </c>
      <c r="K804" s="96">
        <f t="shared" si="763"/>
        <v>0</v>
      </c>
      <c r="L804" s="96">
        <f t="shared" si="764"/>
        <v>0</v>
      </c>
      <c r="M804" s="97" t="s">
        <v>2884</v>
      </c>
      <c r="N804" s="5"/>
      <c r="Z804" s="36">
        <f t="shared" si="765"/>
        <v>0</v>
      </c>
      <c r="AB804" s="36">
        <f t="shared" si="766"/>
        <v>0</v>
      </c>
      <c r="AC804" s="36">
        <f t="shared" si="767"/>
        <v>0</v>
      </c>
      <c r="AD804" s="36">
        <f t="shared" si="768"/>
        <v>0</v>
      </c>
      <c r="AE804" s="36">
        <f t="shared" si="769"/>
        <v>0</v>
      </c>
      <c r="AF804" s="36">
        <f t="shared" si="770"/>
        <v>0</v>
      </c>
      <c r="AG804" s="36">
        <f t="shared" si="771"/>
        <v>0</v>
      </c>
      <c r="AH804" s="36">
        <f t="shared" si="772"/>
        <v>0</v>
      </c>
      <c r="AI804" s="35" t="s">
        <v>2894</v>
      </c>
      <c r="AJ804" s="20">
        <f t="shared" si="773"/>
        <v>0</v>
      </c>
      <c r="AK804" s="20">
        <f t="shared" si="774"/>
        <v>0</v>
      </c>
      <c r="AL804" s="20">
        <f t="shared" si="775"/>
        <v>0</v>
      </c>
      <c r="AN804" s="36">
        <v>21</v>
      </c>
      <c r="AO804" s="36">
        <f>I804*1</f>
        <v>0</v>
      </c>
      <c r="AP804" s="36">
        <f>I804*(1-1)</f>
        <v>0</v>
      </c>
      <c r="AQ804" s="37" t="s">
        <v>7</v>
      </c>
      <c r="AV804" s="36">
        <f t="shared" si="776"/>
        <v>0</v>
      </c>
      <c r="AW804" s="36">
        <f t="shared" si="777"/>
        <v>0</v>
      </c>
      <c r="AX804" s="36">
        <f t="shared" si="778"/>
        <v>0</v>
      </c>
      <c r="AY804" s="39" t="s">
        <v>2940</v>
      </c>
      <c r="AZ804" s="39" t="s">
        <v>2952</v>
      </c>
      <c r="BA804" s="35" t="s">
        <v>2967</v>
      </c>
      <c r="BC804" s="36">
        <f t="shared" si="779"/>
        <v>0</v>
      </c>
      <c r="BD804" s="36">
        <f t="shared" si="780"/>
        <v>0</v>
      </c>
      <c r="BE804" s="36">
        <v>0</v>
      </c>
      <c r="BF804" s="36">
        <f>804</f>
        <v>804</v>
      </c>
      <c r="BH804" s="20">
        <f t="shared" si="781"/>
        <v>0</v>
      </c>
      <c r="BI804" s="20">
        <f t="shared" si="782"/>
        <v>0</v>
      </c>
      <c r="BJ804" s="20">
        <f t="shared" si="783"/>
        <v>0</v>
      </c>
      <c r="BK804" s="20" t="s">
        <v>2978</v>
      </c>
      <c r="BL804" s="36" t="s">
        <v>1448</v>
      </c>
    </row>
    <row r="805" spans="1:64" x14ac:dyDescent="0.2">
      <c r="A805" s="4" t="s">
        <v>689</v>
      </c>
      <c r="B805" s="13" t="s">
        <v>1595</v>
      </c>
      <c r="C805" s="174" t="s">
        <v>2587</v>
      </c>
      <c r="D805" s="175"/>
      <c r="E805" s="175"/>
      <c r="F805" s="175"/>
      <c r="G805" s="13" t="s">
        <v>2866</v>
      </c>
      <c r="H805" s="82">
        <v>1</v>
      </c>
      <c r="I805" s="109">
        <v>0</v>
      </c>
      <c r="J805" s="20">
        <f t="shared" si="762"/>
        <v>0</v>
      </c>
      <c r="K805" s="20">
        <f t="shared" si="763"/>
        <v>0</v>
      </c>
      <c r="L805" s="20">
        <f t="shared" si="764"/>
        <v>0</v>
      </c>
      <c r="M805" s="31" t="s">
        <v>2884</v>
      </c>
      <c r="N805" s="5"/>
      <c r="Z805" s="36">
        <f t="shared" si="765"/>
        <v>0</v>
      </c>
      <c r="AB805" s="36">
        <f t="shared" si="766"/>
        <v>0</v>
      </c>
      <c r="AC805" s="36">
        <f t="shared" si="767"/>
        <v>0</v>
      </c>
      <c r="AD805" s="36">
        <f t="shared" si="768"/>
        <v>0</v>
      </c>
      <c r="AE805" s="36">
        <f t="shared" si="769"/>
        <v>0</v>
      </c>
      <c r="AF805" s="36">
        <f t="shared" si="770"/>
        <v>0</v>
      </c>
      <c r="AG805" s="36">
        <f t="shared" si="771"/>
        <v>0</v>
      </c>
      <c r="AH805" s="36">
        <f t="shared" si="772"/>
        <v>0</v>
      </c>
      <c r="AI805" s="35" t="s">
        <v>2894</v>
      </c>
      <c r="AJ805" s="20">
        <f t="shared" si="773"/>
        <v>0</v>
      </c>
      <c r="AK805" s="20">
        <f t="shared" si="774"/>
        <v>0</v>
      </c>
      <c r="AL805" s="20">
        <f t="shared" si="775"/>
        <v>0</v>
      </c>
      <c r="AN805" s="36">
        <v>21</v>
      </c>
      <c r="AO805" s="36">
        <f>I805*0</f>
        <v>0</v>
      </c>
      <c r="AP805" s="36">
        <f>I805*(1-0)</f>
        <v>0</v>
      </c>
      <c r="AQ805" s="37" t="s">
        <v>7</v>
      </c>
      <c r="AV805" s="36">
        <f t="shared" si="776"/>
        <v>0</v>
      </c>
      <c r="AW805" s="36">
        <f t="shared" si="777"/>
        <v>0</v>
      </c>
      <c r="AX805" s="36">
        <f t="shared" si="778"/>
        <v>0</v>
      </c>
      <c r="AY805" s="39" t="s">
        <v>2940</v>
      </c>
      <c r="AZ805" s="39" t="s">
        <v>2952</v>
      </c>
      <c r="BA805" s="35" t="s">
        <v>2967</v>
      </c>
      <c r="BC805" s="36">
        <f t="shared" si="779"/>
        <v>0</v>
      </c>
      <c r="BD805" s="36">
        <f t="shared" si="780"/>
        <v>0</v>
      </c>
      <c r="BE805" s="36">
        <v>0</v>
      </c>
      <c r="BF805" s="36">
        <f>805</f>
        <v>805</v>
      </c>
      <c r="BH805" s="20">
        <f t="shared" si="781"/>
        <v>0</v>
      </c>
      <c r="BI805" s="20">
        <f t="shared" si="782"/>
        <v>0</v>
      </c>
      <c r="BJ805" s="20">
        <f t="shared" si="783"/>
        <v>0</v>
      </c>
      <c r="BK805" s="20" t="s">
        <v>2978</v>
      </c>
      <c r="BL805" s="36" t="s">
        <v>1448</v>
      </c>
    </row>
    <row r="806" spans="1:64" x14ac:dyDescent="0.2">
      <c r="A806" s="4" t="s">
        <v>690</v>
      </c>
      <c r="B806" s="13" t="s">
        <v>1596</v>
      </c>
      <c r="C806" s="174" t="s">
        <v>2588</v>
      </c>
      <c r="D806" s="175"/>
      <c r="E806" s="175"/>
      <c r="F806" s="175"/>
      <c r="G806" s="13" t="s">
        <v>2866</v>
      </c>
      <c r="H806" s="82">
        <v>1</v>
      </c>
      <c r="I806" s="109">
        <v>0</v>
      </c>
      <c r="J806" s="20">
        <f t="shared" si="762"/>
        <v>0</v>
      </c>
      <c r="K806" s="20">
        <f t="shared" si="763"/>
        <v>0</v>
      </c>
      <c r="L806" s="20">
        <f t="shared" si="764"/>
        <v>0</v>
      </c>
      <c r="M806" s="31" t="s">
        <v>2884</v>
      </c>
      <c r="N806" s="5"/>
      <c r="Z806" s="36">
        <f t="shared" si="765"/>
        <v>0</v>
      </c>
      <c r="AB806" s="36">
        <f t="shared" si="766"/>
        <v>0</v>
      </c>
      <c r="AC806" s="36">
        <f t="shared" si="767"/>
        <v>0</v>
      </c>
      <c r="AD806" s="36">
        <f t="shared" si="768"/>
        <v>0</v>
      </c>
      <c r="AE806" s="36">
        <f t="shared" si="769"/>
        <v>0</v>
      </c>
      <c r="AF806" s="36">
        <f t="shared" si="770"/>
        <v>0</v>
      </c>
      <c r="AG806" s="36">
        <f t="shared" si="771"/>
        <v>0</v>
      </c>
      <c r="AH806" s="36">
        <f t="shared" si="772"/>
        <v>0</v>
      </c>
      <c r="AI806" s="35" t="s">
        <v>2894</v>
      </c>
      <c r="AJ806" s="20">
        <f t="shared" si="773"/>
        <v>0</v>
      </c>
      <c r="AK806" s="20">
        <f t="shared" si="774"/>
        <v>0</v>
      </c>
      <c r="AL806" s="20">
        <f t="shared" si="775"/>
        <v>0</v>
      </c>
      <c r="AN806" s="36">
        <v>21</v>
      </c>
      <c r="AO806" s="36">
        <f>I806*0</f>
        <v>0</v>
      </c>
      <c r="AP806" s="36">
        <f>I806*(1-0)</f>
        <v>0</v>
      </c>
      <c r="AQ806" s="37" t="s">
        <v>7</v>
      </c>
      <c r="AV806" s="36">
        <f t="shared" si="776"/>
        <v>0</v>
      </c>
      <c r="AW806" s="36">
        <f t="shared" si="777"/>
        <v>0</v>
      </c>
      <c r="AX806" s="36">
        <f t="shared" si="778"/>
        <v>0</v>
      </c>
      <c r="AY806" s="39" t="s">
        <v>2940</v>
      </c>
      <c r="AZ806" s="39" t="s">
        <v>2952</v>
      </c>
      <c r="BA806" s="35" t="s">
        <v>2967</v>
      </c>
      <c r="BC806" s="36">
        <f t="shared" si="779"/>
        <v>0</v>
      </c>
      <c r="BD806" s="36">
        <f t="shared" si="780"/>
        <v>0</v>
      </c>
      <c r="BE806" s="36">
        <v>0</v>
      </c>
      <c r="BF806" s="36">
        <f>806</f>
        <v>806</v>
      </c>
      <c r="BH806" s="20">
        <f t="shared" si="781"/>
        <v>0</v>
      </c>
      <c r="BI806" s="20">
        <f t="shared" si="782"/>
        <v>0</v>
      </c>
      <c r="BJ806" s="20">
        <f t="shared" si="783"/>
        <v>0</v>
      </c>
      <c r="BK806" s="20" t="s">
        <v>2978</v>
      </c>
      <c r="BL806" s="36" t="s">
        <v>1448</v>
      </c>
    </row>
    <row r="807" spans="1:64" x14ac:dyDescent="0.2">
      <c r="A807" s="4" t="s">
        <v>691</v>
      </c>
      <c r="B807" s="13" t="s">
        <v>1597</v>
      </c>
      <c r="C807" s="174" t="s">
        <v>2589</v>
      </c>
      <c r="D807" s="175"/>
      <c r="E807" s="175"/>
      <c r="F807" s="175"/>
      <c r="G807" s="13" t="s">
        <v>2866</v>
      </c>
      <c r="H807" s="82">
        <v>1</v>
      </c>
      <c r="I807" s="109">
        <v>0</v>
      </c>
      <c r="J807" s="20">
        <f t="shared" si="762"/>
        <v>0</v>
      </c>
      <c r="K807" s="20">
        <f t="shared" si="763"/>
        <v>0</v>
      </c>
      <c r="L807" s="20">
        <f t="shared" si="764"/>
        <v>0</v>
      </c>
      <c r="M807" s="31" t="s">
        <v>2884</v>
      </c>
      <c r="N807" s="5"/>
      <c r="Z807" s="36">
        <f t="shared" si="765"/>
        <v>0</v>
      </c>
      <c r="AB807" s="36">
        <f t="shared" si="766"/>
        <v>0</v>
      </c>
      <c r="AC807" s="36">
        <f t="shared" si="767"/>
        <v>0</v>
      </c>
      <c r="AD807" s="36">
        <f t="shared" si="768"/>
        <v>0</v>
      </c>
      <c r="AE807" s="36">
        <f t="shared" si="769"/>
        <v>0</v>
      </c>
      <c r="AF807" s="36">
        <f t="shared" si="770"/>
        <v>0</v>
      </c>
      <c r="AG807" s="36">
        <f t="shared" si="771"/>
        <v>0</v>
      </c>
      <c r="AH807" s="36">
        <f t="shared" si="772"/>
        <v>0</v>
      </c>
      <c r="AI807" s="35" t="s">
        <v>2894</v>
      </c>
      <c r="AJ807" s="20">
        <f t="shared" si="773"/>
        <v>0</v>
      </c>
      <c r="AK807" s="20">
        <f t="shared" si="774"/>
        <v>0</v>
      </c>
      <c r="AL807" s="20">
        <f t="shared" si="775"/>
        <v>0</v>
      </c>
      <c r="AN807" s="36">
        <v>21</v>
      </c>
      <c r="AO807" s="36">
        <f>I807*0</f>
        <v>0</v>
      </c>
      <c r="AP807" s="36">
        <f>I807*(1-0)</f>
        <v>0</v>
      </c>
      <c r="AQ807" s="37" t="s">
        <v>7</v>
      </c>
      <c r="AV807" s="36">
        <f t="shared" si="776"/>
        <v>0</v>
      </c>
      <c r="AW807" s="36">
        <f t="shared" si="777"/>
        <v>0</v>
      </c>
      <c r="AX807" s="36">
        <f t="shared" si="778"/>
        <v>0</v>
      </c>
      <c r="AY807" s="39" t="s">
        <v>2940</v>
      </c>
      <c r="AZ807" s="39" t="s">
        <v>2952</v>
      </c>
      <c r="BA807" s="35" t="s">
        <v>2967</v>
      </c>
      <c r="BC807" s="36">
        <f t="shared" si="779"/>
        <v>0</v>
      </c>
      <c r="BD807" s="36">
        <f t="shared" si="780"/>
        <v>0</v>
      </c>
      <c r="BE807" s="36">
        <v>0</v>
      </c>
      <c r="BF807" s="36">
        <f>807</f>
        <v>807</v>
      </c>
      <c r="BH807" s="20">
        <f t="shared" si="781"/>
        <v>0</v>
      </c>
      <c r="BI807" s="20">
        <f t="shared" si="782"/>
        <v>0</v>
      </c>
      <c r="BJ807" s="20">
        <f t="shared" si="783"/>
        <v>0</v>
      </c>
      <c r="BK807" s="20" t="s">
        <v>2978</v>
      </c>
      <c r="BL807" s="36" t="s">
        <v>1448</v>
      </c>
    </row>
    <row r="808" spans="1:64" x14ac:dyDescent="0.2">
      <c r="A808" s="4" t="s">
        <v>692</v>
      </c>
      <c r="B808" s="13" t="s">
        <v>1598</v>
      </c>
      <c r="C808" s="174" t="s">
        <v>2590</v>
      </c>
      <c r="D808" s="175"/>
      <c r="E808" s="175"/>
      <c r="F808" s="175"/>
      <c r="G808" s="13" t="s">
        <v>2866</v>
      </c>
      <c r="H808" s="82">
        <v>1</v>
      </c>
      <c r="I808" s="109">
        <v>0</v>
      </c>
      <c r="J808" s="20">
        <f t="shared" si="762"/>
        <v>0</v>
      </c>
      <c r="K808" s="20">
        <f t="shared" si="763"/>
        <v>0</v>
      </c>
      <c r="L808" s="20">
        <f t="shared" si="764"/>
        <v>0</v>
      </c>
      <c r="M808" s="31" t="s">
        <v>2884</v>
      </c>
      <c r="N808" s="5"/>
      <c r="Z808" s="36">
        <f t="shared" si="765"/>
        <v>0</v>
      </c>
      <c r="AB808" s="36">
        <f t="shared" si="766"/>
        <v>0</v>
      </c>
      <c r="AC808" s="36">
        <f t="shared" si="767"/>
        <v>0</v>
      </c>
      <c r="AD808" s="36">
        <f t="shared" si="768"/>
        <v>0</v>
      </c>
      <c r="AE808" s="36">
        <f t="shared" si="769"/>
        <v>0</v>
      </c>
      <c r="AF808" s="36">
        <f t="shared" si="770"/>
        <v>0</v>
      </c>
      <c r="AG808" s="36">
        <f t="shared" si="771"/>
        <v>0</v>
      </c>
      <c r="AH808" s="36">
        <f t="shared" si="772"/>
        <v>0</v>
      </c>
      <c r="AI808" s="35" t="s">
        <v>2894</v>
      </c>
      <c r="AJ808" s="20">
        <f t="shared" si="773"/>
        <v>0</v>
      </c>
      <c r="AK808" s="20">
        <f t="shared" si="774"/>
        <v>0</v>
      </c>
      <c r="AL808" s="20">
        <f t="shared" si="775"/>
        <v>0</v>
      </c>
      <c r="AN808" s="36">
        <v>21</v>
      </c>
      <c r="AO808" s="36">
        <f>I808*0</f>
        <v>0</v>
      </c>
      <c r="AP808" s="36">
        <f>I808*(1-0)</f>
        <v>0</v>
      </c>
      <c r="AQ808" s="37" t="s">
        <v>7</v>
      </c>
      <c r="AV808" s="36">
        <f t="shared" si="776"/>
        <v>0</v>
      </c>
      <c r="AW808" s="36">
        <f t="shared" si="777"/>
        <v>0</v>
      </c>
      <c r="AX808" s="36">
        <f t="shared" si="778"/>
        <v>0</v>
      </c>
      <c r="AY808" s="39" t="s">
        <v>2940</v>
      </c>
      <c r="AZ808" s="39" t="s">
        <v>2952</v>
      </c>
      <c r="BA808" s="35" t="s">
        <v>2967</v>
      </c>
      <c r="BC808" s="36">
        <f t="shared" si="779"/>
        <v>0</v>
      </c>
      <c r="BD808" s="36">
        <f t="shared" si="780"/>
        <v>0</v>
      </c>
      <c r="BE808" s="36">
        <v>0</v>
      </c>
      <c r="BF808" s="36">
        <f>808</f>
        <v>808</v>
      </c>
      <c r="BH808" s="20">
        <f t="shared" si="781"/>
        <v>0</v>
      </c>
      <c r="BI808" s="20">
        <f t="shared" si="782"/>
        <v>0</v>
      </c>
      <c r="BJ808" s="20">
        <f t="shared" si="783"/>
        <v>0</v>
      </c>
      <c r="BK808" s="20" t="s">
        <v>2978</v>
      </c>
      <c r="BL808" s="36" t="s">
        <v>1448</v>
      </c>
    </row>
    <row r="809" spans="1:64" x14ac:dyDescent="0.2">
      <c r="A809" s="4" t="s">
        <v>693</v>
      </c>
      <c r="B809" s="13" t="s">
        <v>1599</v>
      </c>
      <c r="C809" s="174" t="s">
        <v>2591</v>
      </c>
      <c r="D809" s="175"/>
      <c r="E809" s="175"/>
      <c r="F809" s="175"/>
      <c r="G809" s="13" t="s">
        <v>2862</v>
      </c>
      <c r="H809" s="82">
        <v>90</v>
      </c>
      <c r="I809" s="109">
        <v>0</v>
      </c>
      <c r="J809" s="20">
        <f t="shared" si="762"/>
        <v>0</v>
      </c>
      <c r="K809" s="20">
        <f t="shared" si="763"/>
        <v>0</v>
      </c>
      <c r="L809" s="20">
        <f t="shared" si="764"/>
        <v>0</v>
      </c>
      <c r="M809" s="31" t="s">
        <v>2884</v>
      </c>
      <c r="N809" s="5"/>
      <c r="Z809" s="36">
        <f t="shared" si="765"/>
        <v>0</v>
      </c>
      <c r="AB809" s="36">
        <f t="shared" si="766"/>
        <v>0</v>
      </c>
      <c r="AC809" s="36">
        <f t="shared" si="767"/>
        <v>0</v>
      </c>
      <c r="AD809" s="36">
        <f t="shared" si="768"/>
        <v>0</v>
      </c>
      <c r="AE809" s="36">
        <f t="shared" si="769"/>
        <v>0</v>
      </c>
      <c r="AF809" s="36">
        <f t="shared" si="770"/>
        <v>0</v>
      </c>
      <c r="AG809" s="36">
        <f t="shared" si="771"/>
        <v>0</v>
      </c>
      <c r="AH809" s="36">
        <f t="shared" si="772"/>
        <v>0</v>
      </c>
      <c r="AI809" s="35" t="s">
        <v>2894</v>
      </c>
      <c r="AJ809" s="20">
        <f t="shared" si="773"/>
        <v>0</v>
      </c>
      <c r="AK809" s="20">
        <f t="shared" si="774"/>
        <v>0</v>
      </c>
      <c r="AL809" s="20">
        <f t="shared" si="775"/>
        <v>0</v>
      </c>
      <c r="AN809" s="36">
        <v>21</v>
      </c>
      <c r="AO809" s="36">
        <f>I809*0</f>
        <v>0</v>
      </c>
      <c r="AP809" s="36">
        <f>I809*(1-0)</f>
        <v>0</v>
      </c>
      <c r="AQ809" s="37" t="s">
        <v>7</v>
      </c>
      <c r="AV809" s="36">
        <f t="shared" si="776"/>
        <v>0</v>
      </c>
      <c r="AW809" s="36">
        <f t="shared" si="777"/>
        <v>0</v>
      </c>
      <c r="AX809" s="36">
        <f t="shared" si="778"/>
        <v>0</v>
      </c>
      <c r="AY809" s="39" t="s">
        <v>2940</v>
      </c>
      <c r="AZ809" s="39" t="s">
        <v>2952</v>
      </c>
      <c r="BA809" s="35" t="s">
        <v>2967</v>
      </c>
      <c r="BC809" s="36">
        <f t="shared" si="779"/>
        <v>0</v>
      </c>
      <c r="BD809" s="36">
        <f t="shared" si="780"/>
        <v>0</v>
      </c>
      <c r="BE809" s="36">
        <v>0</v>
      </c>
      <c r="BF809" s="36">
        <f>809</f>
        <v>809</v>
      </c>
      <c r="BH809" s="20">
        <f t="shared" si="781"/>
        <v>0</v>
      </c>
      <c r="BI809" s="20">
        <f t="shared" si="782"/>
        <v>0</v>
      </c>
      <c r="BJ809" s="20">
        <f t="shared" si="783"/>
        <v>0</v>
      </c>
      <c r="BK809" s="20" t="s">
        <v>2978</v>
      </c>
      <c r="BL809" s="36" t="s">
        <v>1448</v>
      </c>
    </row>
    <row r="810" spans="1:64" x14ac:dyDescent="0.2">
      <c r="A810" s="86" t="s">
        <v>694</v>
      </c>
      <c r="B810" s="87" t="s">
        <v>1600</v>
      </c>
      <c r="C810" s="184" t="s">
        <v>2592</v>
      </c>
      <c r="D810" s="175"/>
      <c r="E810" s="175"/>
      <c r="F810" s="175"/>
      <c r="G810" s="87" t="s">
        <v>2854</v>
      </c>
      <c r="H810" s="88">
        <v>420</v>
      </c>
      <c r="I810" s="111">
        <v>0</v>
      </c>
      <c r="J810" s="96">
        <f t="shared" si="762"/>
        <v>0</v>
      </c>
      <c r="K810" s="96">
        <f t="shared" si="763"/>
        <v>0</v>
      </c>
      <c r="L810" s="96">
        <f t="shared" si="764"/>
        <v>0</v>
      </c>
      <c r="M810" s="97" t="s">
        <v>2884</v>
      </c>
      <c r="N810" s="5"/>
      <c r="Z810" s="36">
        <f t="shared" si="765"/>
        <v>0</v>
      </c>
      <c r="AB810" s="36">
        <f t="shared" si="766"/>
        <v>0</v>
      </c>
      <c r="AC810" s="36">
        <f t="shared" si="767"/>
        <v>0</v>
      </c>
      <c r="AD810" s="36">
        <f t="shared" si="768"/>
        <v>0</v>
      </c>
      <c r="AE810" s="36">
        <f t="shared" si="769"/>
        <v>0</v>
      </c>
      <c r="AF810" s="36">
        <f t="shared" si="770"/>
        <v>0</v>
      </c>
      <c r="AG810" s="36">
        <f t="shared" si="771"/>
        <v>0</v>
      </c>
      <c r="AH810" s="36">
        <f t="shared" si="772"/>
        <v>0</v>
      </c>
      <c r="AI810" s="35" t="s">
        <v>2894</v>
      </c>
      <c r="AJ810" s="20">
        <f t="shared" si="773"/>
        <v>0</v>
      </c>
      <c r="AK810" s="20">
        <f t="shared" si="774"/>
        <v>0</v>
      </c>
      <c r="AL810" s="20">
        <f t="shared" si="775"/>
        <v>0</v>
      </c>
      <c r="AN810" s="36">
        <v>21</v>
      </c>
      <c r="AO810" s="36">
        <f>I810*1</f>
        <v>0</v>
      </c>
      <c r="AP810" s="36">
        <f>I810*(1-1)</f>
        <v>0</v>
      </c>
      <c r="AQ810" s="37" t="s">
        <v>7</v>
      </c>
      <c r="AV810" s="36">
        <f t="shared" si="776"/>
        <v>0</v>
      </c>
      <c r="AW810" s="36">
        <f t="shared" si="777"/>
        <v>0</v>
      </c>
      <c r="AX810" s="36">
        <f t="shared" si="778"/>
        <v>0</v>
      </c>
      <c r="AY810" s="39" t="s">
        <v>2940</v>
      </c>
      <c r="AZ810" s="39" t="s">
        <v>2952</v>
      </c>
      <c r="BA810" s="35" t="s">
        <v>2967</v>
      </c>
      <c r="BC810" s="36">
        <f t="shared" si="779"/>
        <v>0</v>
      </c>
      <c r="BD810" s="36">
        <f t="shared" si="780"/>
        <v>0</v>
      </c>
      <c r="BE810" s="36">
        <v>0</v>
      </c>
      <c r="BF810" s="36">
        <f>810</f>
        <v>810</v>
      </c>
      <c r="BH810" s="20">
        <f t="shared" si="781"/>
        <v>0</v>
      </c>
      <c r="BI810" s="20">
        <f t="shared" si="782"/>
        <v>0</v>
      </c>
      <c r="BJ810" s="20">
        <f t="shared" si="783"/>
        <v>0</v>
      </c>
      <c r="BK810" s="20" t="s">
        <v>2978</v>
      </c>
      <c r="BL810" s="36" t="s">
        <v>1448</v>
      </c>
    </row>
    <row r="811" spans="1:64" x14ac:dyDescent="0.2">
      <c r="A811" s="4" t="s">
        <v>695</v>
      </c>
      <c r="B811" s="13" t="s">
        <v>1599</v>
      </c>
      <c r="C811" s="174" t="s">
        <v>2593</v>
      </c>
      <c r="D811" s="175"/>
      <c r="E811" s="175"/>
      <c r="F811" s="175"/>
      <c r="G811" s="13" t="s">
        <v>2862</v>
      </c>
      <c r="H811" s="82">
        <v>40</v>
      </c>
      <c r="I811" s="109">
        <v>0</v>
      </c>
      <c r="J811" s="20">
        <f t="shared" si="762"/>
        <v>0</v>
      </c>
      <c r="K811" s="20">
        <f t="shared" si="763"/>
        <v>0</v>
      </c>
      <c r="L811" s="20">
        <f t="shared" si="764"/>
        <v>0</v>
      </c>
      <c r="M811" s="31" t="s">
        <v>2884</v>
      </c>
      <c r="N811" s="5"/>
      <c r="Z811" s="36">
        <f t="shared" si="765"/>
        <v>0</v>
      </c>
      <c r="AB811" s="36">
        <f t="shared" si="766"/>
        <v>0</v>
      </c>
      <c r="AC811" s="36">
        <f t="shared" si="767"/>
        <v>0</v>
      </c>
      <c r="AD811" s="36">
        <f t="shared" si="768"/>
        <v>0</v>
      </c>
      <c r="AE811" s="36">
        <f t="shared" si="769"/>
        <v>0</v>
      </c>
      <c r="AF811" s="36">
        <f t="shared" si="770"/>
        <v>0</v>
      </c>
      <c r="AG811" s="36">
        <f t="shared" si="771"/>
        <v>0</v>
      </c>
      <c r="AH811" s="36">
        <f t="shared" si="772"/>
        <v>0</v>
      </c>
      <c r="AI811" s="35" t="s">
        <v>2894</v>
      </c>
      <c r="AJ811" s="20">
        <f t="shared" si="773"/>
        <v>0</v>
      </c>
      <c r="AK811" s="20">
        <f t="shared" si="774"/>
        <v>0</v>
      </c>
      <c r="AL811" s="20">
        <f t="shared" si="775"/>
        <v>0</v>
      </c>
      <c r="AN811" s="36">
        <v>21</v>
      </c>
      <c r="AO811" s="36">
        <f>I811*0</f>
        <v>0</v>
      </c>
      <c r="AP811" s="36">
        <f>I811*(1-0)</f>
        <v>0</v>
      </c>
      <c r="AQ811" s="37" t="s">
        <v>7</v>
      </c>
      <c r="AV811" s="36">
        <f t="shared" si="776"/>
        <v>0</v>
      </c>
      <c r="AW811" s="36">
        <f t="shared" si="777"/>
        <v>0</v>
      </c>
      <c r="AX811" s="36">
        <f t="shared" si="778"/>
        <v>0</v>
      </c>
      <c r="AY811" s="39" t="s">
        <v>2940</v>
      </c>
      <c r="AZ811" s="39" t="s">
        <v>2952</v>
      </c>
      <c r="BA811" s="35" t="s">
        <v>2967</v>
      </c>
      <c r="BC811" s="36">
        <f t="shared" si="779"/>
        <v>0</v>
      </c>
      <c r="BD811" s="36">
        <f t="shared" si="780"/>
        <v>0</v>
      </c>
      <c r="BE811" s="36">
        <v>0</v>
      </c>
      <c r="BF811" s="36">
        <f>811</f>
        <v>811</v>
      </c>
      <c r="BH811" s="20">
        <f t="shared" si="781"/>
        <v>0</v>
      </c>
      <c r="BI811" s="20">
        <f t="shared" si="782"/>
        <v>0</v>
      </c>
      <c r="BJ811" s="20">
        <f t="shared" si="783"/>
        <v>0</v>
      </c>
      <c r="BK811" s="20" t="s">
        <v>2978</v>
      </c>
      <c r="BL811" s="36" t="s">
        <v>1448</v>
      </c>
    </row>
    <row r="812" spans="1:64" x14ac:dyDescent="0.2">
      <c r="A812" s="86" t="s">
        <v>696</v>
      </c>
      <c r="B812" s="87" t="s">
        <v>1600</v>
      </c>
      <c r="C812" s="184" t="s">
        <v>2593</v>
      </c>
      <c r="D812" s="175"/>
      <c r="E812" s="175"/>
      <c r="F812" s="175"/>
      <c r="G812" s="87" t="s">
        <v>2860</v>
      </c>
      <c r="H812" s="88">
        <v>1</v>
      </c>
      <c r="I812" s="111">
        <v>0</v>
      </c>
      <c r="J812" s="96">
        <f t="shared" si="762"/>
        <v>0</v>
      </c>
      <c r="K812" s="96">
        <f t="shared" si="763"/>
        <v>0</v>
      </c>
      <c r="L812" s="96">
        <f t="shared" si="764"/>
        <v>0</v>
      </c>
      <c r="M812" s="97" t="s">
        <v>2884</v>
      </c>
      <c r="N812" s="5"/>
      <c r="Z812" s="36">
        <f t="shared" si="765"/>
        <v>0</v>
      </c>
      <c r="AB812" s="36">
        <f t="shared" si="766"/>
        <v>0</v>
      </c>
      <c r="AC812" s="36">
        <f t="shared" si="767"/>
        <v>0</v>
      </c>
      <c r="AD812" s="36">
        <f t="shared" si="768"/>
        <v>0</v>
      </c>
      <c r="AE812" s="36">
        <f t="shared" si="769"/>
        <v>0</v>
      </c>
      <c r="AF812" s="36">
        <f t="shared" si="770"/>
        <v>0</v>
      </c>
      <c r="AG812" s="36">
        <f t="shared" si="771"/>
        <v>0</v>
      </c>
      <c r="AH812" s="36">
        <f t="shared" si="772"/>
        <v>0</v>
      </c>
      <c r="AI812" s="35" t="s">
        <v>2894</v>
      </c>
      <c r="AJ812" s="20">
        <f t="shared" si="773"/>
        <v>0</v>
      </c>
      <c r="AK812" s="20">
        <f t="shared" si="774"/>
        <v>0</v>
      </c>
      <c r="AL812" s="20">
        <f t="shared" si="775"/>
        <v>0</v>
      </c>
      <c r="AN812" s="36">
        <v>21</v>
      </c>
      <c r="AO812" s="36">
        <f>I812*1</f>
        <v>0</v>
      </c>
      <c r="AP812" s="36">
        <f>I812*(1-1)</f>
        <v>0</v>
      </c>
      <c r="AQ812" s="37" t="s">
        <v>7</v>
      </c>
      <c r="AV812" s="36">
        <f t="shared" si="776"/>
        <v>0</v>
      </c>
      <c r="AW812" s="36">
        <f t="shared" si="777"/>
        <v>0</v>
      </c>
      <c r="AX812" s="36">
        <f t="shared" si="778"/>
        <v>0</v>
      </c>
      <c r="AY812" s="39" t="s">
        <v>2940</v>
      </c>
      <c r="AZ812" s="39" t="s">
        <v>2952</v>
      </c>
      <c r="BA812" s="35" t="s">
        <v>2967</v>
      </c>
      <c r="BC812" s="36">
        <f t="shared" si="779"/>
        <v>0</v>
      </c>
      <c r="BD812" s="36">
        <f t="shared" si="780"/>
        <v>0</v>
      </c>
      <c r="BE812" s="36">
        <v>0</v>
      </c>
      <c r="BF812" s="36">
        <f>812</f>
        <v>812</v>
      </c>
      <c r="BH812" s="20">
        <f t="shared" si="781"/>
        <v>0</v>
      </c>
      <c r="BI812" s="20">
        <f t="shared" si="782"/>
        <v>0</v>
      </c>
      <c r="BJ812" s="20">
        <f t="shared" si="783"/>
        <v>0</v>
      </c>
      <c r="BK812" s="20" t="s">
        <v>2978</v>
      </c>
      <c r="BL812" s="36" t="s">
        <v>1448</v>
      </c>
    </row>
    <row r="813" spans="1:64" x14ac:dyDescent="0.2">
      <c r="A813" s="4" t="s">
        <v>697</v>
      </c>
      <c r="B813" s="13" t="s">
        <v>1601</v>
      </c>
      <c r="C813" s="174" t="s">
        <v>2594</v>
      </c>
      <c r="D813" s="175"/>
      <c r="E813" s="175"/>
      <c r="F813" s="175"/>
      <c r="G813" s="13" t="s">
        <v>2866</v>
      </c>
      <c r="H813" s="82">
        <v>2</v>
      </c>
      <c r="I813" s="109">
        <v>0</v>
      </c>
      <c r="J813" s="20">
        <f t="shared" si="762"/>
        <v>0</v>
      </c>
      <c r="K813" s="20">
        <f t="shared" si="763"/>
        <v>0</v>
      </c>
      <c r="L813" s="20">
        <f t="shared" si="764"/>
        <v>0</v>
      </c>
      <c r="M813" s="31" t="s">
        <v>2884</v>
      </c>
      <c r="N813" s="5"/>
      <c r="Z813" s="36">
        <f t="shared" si="765"/>
        <v>0</v>
      </c>
      <c r="AB813" s="36">
        <f t="shared" si="766"/>
        <v>0</v>
      </c>
      <c r="AC813" s="36">
        <f t="shared" si="767"/>
        <v>0</v>
      </c>
      <c r="AD813" s="36">
        <f t="shared" si="768"/>
        <v>0</v>
      </c>
      <c r="AE813" s="36">
        <f t="shared" si="769"/>
        <v>0</v>
      </c>
      <c r="AF813" s="36">
        <f t="shared" si="770"/>
        <v>0</v>
      </c>
      <c r="AG813" s="36">
        <f t="shared" si="771"/>
        <v>0</v>
      </c>
      <c r="AH813" s="36">
        <f t="shared" si="772"/>
        <v>0</v>
      </c>
      <c r="AI813" s="35" t="s">
        <v>2894</v>
      </c>
      <c r="AJ813" s="20">
        <f t="shared" si="773"/>
        <v>0</v>
      </c>
      <c r="AK813" s="20">
        <f t="shared" si="774"/>
        <v>0</v>
      </c>
      <c r="AL813" s="20">
        <f t="shared" si="775"/>
        <v>0</v>
      </c>
      <c r="AN813" s="36">
        <v>21</v>
      </c>
      <c r="AO813" s="36">
        <f>I813*0</f>
        <v>0</v>
      </c>
      <c r="AP813" s="36">
        <f>I813*(1-0)</f>
        <v>0</v>
      </c>
      <c r="AQ813" s="37" t="s">
        <v>7</v>
      </c>
      <c r="AV813" s="36">
        <f t="shared" si="776"/>
        <v>0</v>
      </c>
      <c r="AW813" s="36">
        <f t="shared" si="777"/>
        <v>0</v>
      </c>
      <c r="AX813" s="36">
        <f t="shared" si="778"/>
        <v>0</v>
      </c>
      <c r="AY813" s="39" t="s">
        <v>2940</v>
      </c>
      <c r="AZ813" s="39" t="s">
        <v>2952</v>
      </c>
      <c r="BA813" s="35" t="s">
        <v>2967</v>
      </c>
      <c r="BC813" s="36">
        <f t="shared" si="779"/>
        <v>0</v>
      </c>
      <c r="BD813" s="36">
        <f t="shared" si="780"/>
        <v>0</v>
      </c>
      <c r="BE813" s="36">
        <v>0</v>
      </c>
      <c r="BF813" s="36">
        <f>813</f>
        <v>813</v>
      </c>
      <c r="BH813" s="20">
        <f t="shared" si="781"/>
        <v>0</v>
      </c>
      <c r="BI813" s="20">
        <f t="shared" si="782"/>
        <v>0</v>
      </c>
      <c r="BJ813" s="20">
        <f t="shared" si="783"/>
        <v>0</v>
      </c>
      <c r="BK813" s="20" t="s">
        <v>2978</v>
      </c>
      <c r="BL813" s="36" t="s">
        <v>1448</v>
      </c>
    </row>
    <row r="814" spans="1:64" x14ac:dyDescent="0.2">
      <c r="A814" s="4" t="s">
        <v>698</v>
      </c>
      <c r="B814" s="13" t="s">
        <v>1602</v>
      </c>
      <c r="C814" s="174" t="s">
        <v>2595</v>
      </c>
      <c r="D814" s="175"/>
      <c r="E814" s="175"/>
      <c r="F814" s="175"/>
      <c r="G814" s="13" t="s">
        <v>2866</v>
      </c>
      <c r="H814" s="82">
        <v>1</v>
      </c>
      <c r="I814" s="109">
        <v>0</v>
      </c>
      <c r="J814" s="20">
        <f t="shared" si="762"/>
        <v>0</v>
      </c>
      <c r="K814" s="20">
        <f t="shared" si="763"/>
        <v>0</v>
      </c>
      <c r="L814" s="20">
        <f t="shared" si="764"/>
        <v>0</v>
      </c>
      <c r="M814" s="31" t="s">
        <v>2884</v>
      </c>
      <c r="N814" s="5"/>
      <c r="Z814" s="36">
        <f t="shared" si="765"/>
        <v>0</v>
      </c>
      <c r="AB814" s="36">
        <f t="shared" si="766"/>
        <v>0</v>
      </c>
      <c r="AC814" s="36">
        <f t="shared" si="767"/>
        <v>0</v>
      </c>
      <c r="AD814" s="36">
        <f t="shared" si="768"/>
        <v>0</v>
      </c>
      <c r="AE814" s="36">
        <f t="shared" si="769"/>
        <v>0</v>
      </c>
      <c r="AF814" s="36">
        <f t="shared" si="770"/>
        <v>0</v>
      </c>
      <c r="AG814" s="36">
        <f t="shared" si="771"/>
        <v>0</v>
      </c>
      <c r="AH814" s="36">
        <f t="shared" si="772"/>
        <v>0</v>
      </c>
      <c r="AI814" s="35" t="s">
        <v>2894</v>
      </c>
      <c r="AJ814" s="20">
        <f t="shared" si="773"/>
        <v>0</v>
      </c>
      <c r="AK814" s="20">
        <f t="shared" si="774"/>
        <v>0</v>
      </c>
      <c r="AL814" s="20">
        <f t="shared" si="775"/>
        <v>0</v>
      </c>
      <c r="AN814" s="36">
        <v>21</v>
      </c>
      <c r="AO814" s="36">
        <f>I814*0</f>
        <v>0</v>
      </c>
      <c r="AP814" s="36">
        <f>I814*(1-0)</f>
        <v>0</v>
      </c>
      <c r="AQ814" s="37" t="s">
        <v>7</v>
      </c>
      <c r="AV814" s="36">
        <f t="shared" si="776"/>
        <v>0</v>
      </c>
      <c r="AW814" s="36">
        <f t="shared" si="777"/>
        <v>0</v>
      </c>
      <c r="AX814" s="36">
        <f t="shared" si="778"/>
        <v>0</v>
      </c>
      <c r="AY814" s="39" t="s">
        <v>2940</v>
      </c>
      <c r="AZ814" s="39" t="s">
        <v>2952</v>
      </c>
      <c r="BA814" s="35" t="s">
        <v>2967</v>
      </c>
      <c r="BC814" s="36">
        <f t="shared" si="779"/>
        <v>0</v>
      </c>
      <c r="BD814" s="36">
        <f t="shared" si="780"/>
        <v>0</v>
      </c>
      <c r="BE814" s="36">
        <v>0</v>
      </c>
      <c r="BF814" s="36">
        <f>814</f>
        <v>814</v>
      </c>
      <c r="BH814" s="20">
        <f t="shared" si="781"/>
        <v>0</v>
      </c>
      <c r="BI814" s="20">
        <f t="shared" si="782"/>
        <v>0</v>
      </c>
      <c r="BJ814" s="20">
        <f t="shared" si="783"/>
        <v>0</v>
      </c>
      <c r="BK814" s="20" t="s">
        <v>2978</v>
      </c>
      <c r="BL814" s="36" t="s">
        <v>1448</v>
      </c>
    </row>
    <row r="815" spans="1:64" x14ac:dyDescent="0.2">
      <c r="A815" s="98"/>
      <c r="B815" s="99"/>
      <c r="C815" s="185" t="s">
        <v>2596</v>
      </c>
      <c r="D815" s="186"/>
      <c r="E815" s="186"/>
      <c r="F815" s="186"/>
      <c r="G815" s="100" t="s">
        <v>6</v>
      </c>
      <c r="H815" s="100" t="s">
        <v>6</v>
      </c>
      <c r="I815" s="100" t="s">
        <v>6</v>
      </c>
      <c r="J815" s="101">
        <f>J816+J829+J832+J837+J840+J844+J846+J918</f>
        <v>0</v>
      </c>
      <c r="K815" s="101">
        <f>K816+K829+K832+K837+K840+K844+K846+K918</f>
        <v>0</v>
      </c>
      <c r="L815" s="101">
        <f>L816+L829+L832+L837+L840+L844+L846+L918</f>
        <v>0</v>
      </c>
      <c r="M815" s="102"/>
      <c r="N815" s="5"/>
    </row>
    <row r="816" spans="1:64" x14ac:dyDescent="0.2">
      <c r="A816" s="3"/>
      <c r="B816" s="12" t="s">
        <v>17</v>
      </c>
      <c r="C816" s="172" t="s">
        <v>1858</v>
      </c>
      <c r="D816" s="173"/>
      <c r="E816" s="173"/>
      <c r="F816" s="173"/>
      <c r="G816" s="18" t="s">
        <v>6</v>
      </c>
      <c r="H816" s="18" t="s">
        <v>6</v>
      </c>
      <c r="I816" s="18" t="s">
        <v>6</v>
      </c>
      <c r="J816" s="41">
        <f>SUM(J817:J828)</f>
        <v>0</v>
      </c>
      <c r="K816" s="41">
        <f>SUM(K817:K828)</f>
        <v>0</v>
      </c>
      <c r="L816" s="41">
        <f>SUM(L817:L828)</f>
        <v>0</v>
      </c>
      <c r="M816" s="30"/>
      <c r="N816" s="5"/>
      <c r="AI816" s="35" t="s">
        <v>2895</v>
      </c>
      <c r="AS816" s="41">
        <f>SUM(AJ817:AJ828)</f>
        <v>0</v>
      </c>
      <c r="AT816" s="41">
        <f>SUM(AK817:AK828)</f>
        <v>0</v>
      </c>
      <c r="AU816" s="41">
        <f>SUM(AL817:AL828)</f>
        <v>0</v>
      </c>
    </row>
    <row r="817" spans="1:64" x14ac:dyDescent="0.2">
      <c r="A817" s="4" t="s">
        <v>699</v>
      </c>
      <c r="B817" s="13" t="s">
        <v>1603</v>
      </c>
      <c r="C817" s="174" t="s">
        <v>2597</v>
      </c>
      <c r="D817" s="175"/>
      <c r="E817" s="175"/>
      <c r="F817" s="175"/>
      <c r="G817" s="13" t="s">
        <v>2867</v>
      </c>
      <c r="H817" s="82">
        <v>4</v>
      </c>
      <c r="I817" s="109">
        <v>0</v>
      </c>
      <c r="J817" s="20">
        <f t="shared" ref="J817:J828" si="784">H817*AO817</f>
        <v>0</v>
      </c>
      <c r="K817" s="20">
        <f t="shared" ref="K817:K828" si="785">H817*AP817</f>
        <v>0</v>
      </c>
      <c r="L817" s="20">
        <f t="shared" ref="L817:L828" si="786">H817*I817</f>
        <v>0</v>
      </c>
      <c r="M817" s="31" t="s">
        <v>2884</v>
      </c>
      <c r="N817" s="5"/>
      <c r="Z817" s="36">
        <f t="shared" ref="Z817:Z828" si="787">IF(AQ817="5",BJ817,0)</f>
        <v>0</v>
      </c>
      <c r="AB817" s="36">
        <f t="shared" ref="AB817:AB828" si="788">IF(AQ817="1",BH817,0)</f>
        <v>0</v>
      </c>
      <c r="AC817" s="36">
        <f t="shared" ref="AC817:AC828" si="789">IF(AQ817="1",BI817,0)</f>
        <v>0</v>
      </c>
      <c r="AD817" s="36">
        <f t="shared" ref="AD817:AD828" si="790">IF(AQ817="7",BH817,0)</f>
        <v>0</v>
      </c>
      <c r="AE817" s="36">
        <f t="shared" ref="AE817:AE828" si="791">IF(AQ817="7",BI817,0)</f>
        <v>0</v>
      </c>
      <c r="AF817" s="36">
        <f t="shared" ref="AF817:AF828" si="792">IF(AQ817="2",BH817,0)</f>
        <v>0</v>
      </c>
      <c r="AG817" s="36">
        <f t="shared" ref="AG817:AG828" si="793">IF(AQ817="2",BI817,0)</f>
        <v>0</v>
      </c>
      <c r="AH817" s="36">
        <f t="shared" ref="AH817:AH828" si="794">IF(AQ817="0",BJ817,0)</f>
        <v>0</v>
      </c>
      <c r="AI817" s="35" t="s">
        <v>2895</v>
      </c>
      <c r="AJ817" s="20">
        <f t="shared" ref="AJ817:AJ828" si="795">IF(AN817=0,L817,0)</f>
        <v>0</v>
      </c>
      <c r="AK817" s="20">
        <f t="shared" ref="AK817:AK828" si="796">IF(AN817=15,L817,0)</f>
        <v>0</v>
      </c>
      <c r="AL817" s="20">
        <f t="shared" ref="AL817:AL828" si="797">IF(AN817=21,L817,0)</f>
        <v>0</v>
      </c>
      <c r="AN817" s="36">
        <v>21</v>
      </c>
      <c r="AO817" s="36">
        <f t="shared" ref="AO817:AO826" si="798">I817*0</f>
        <v>0</v>
      </c>
      <c r="AP817" s="36">
        <f t="shared" ref="AP817:AP826" si="799">I817*(1-0)</f>
        <v>0</v>
      </c>
      <c r="AQ817" s="37" t="s">
        <v>7</v>
      </c>
      <c r="AV817" s="36">
        <f t="shared" ref="AV817:AV828" si="800">AW817+AX817</f>
        <v>0</v>
      </c>
      <c r="AW817" s="36">
        <f t="shared" ref="AW817:AW828" si="801">H817*AO817</f>
        <v>0</v>
      </c>
      <c r="AX817" s="36">
        <f t="shared" ref="AX817:AX828" si="802">H817*AP817</f>
        <v>0</v>
      </c>
      <c r="AY817" s="39" t="s">
        <v>2901</v>
      </c>
      <c r="AZ817" s="39" t="s">
        <v>2960</v>
      </c>
      <c r="BA817" s="35" t="s">
        <v>2968</v>
      </c>
      <c r="BC817" s="36">
        <f t="shared" ref="BC817:BC828" si="803">AW817+AX817</f>
        <v>0</v>
      </c>
      <c r="BD817" s="36">
        <f t="shared" ref="BD817:BD828" si="804">I817/(100-BE817)*100</f>
        <v>0</v>
      </c>
      <c r="BE817" s="36">
        <v>0</v>
      </c>
      <c r="BF817" s="36">
        <f>817</f>
        <v>817</v>
      </c>
      <c r="BH817" s="20">
        <f t="shared" ref="BH817:BH828" si="805">H817*AO817</f>
        <v>0</v>
      </c>
      <c r="BI817" s="20">
        <f t="shared" ref="BI817:BI828" si="806">H817*AP817</f>
        <v>0</v>
      </c>
      <c r="BJ817" s="20">
        <f t="shared" ref="BJ817:BJ828" si="807">H817*I817</f>
        <v>0</v>
      </c>
      <c r="BK817" s="20" t="s">
        <v>2978</v>
      </c>
      <c r="BL817" s="36">
        <v>11</v>
      </c>
    </row>
    <row r="818" spans="1:64" x14ac:dyDescent="0.2">
      <c r="A818" s="4" t="s">
        <v>700</v>
      </c>
      <c r="B818" s="13" t="s">
        <v>1604</v>
      </c>
      <c r="C818" s="174" t="s">
        <v>2598</v>
      </c>
      <c r="D818" s="175"/>
      <c r="E818" s="175"/>
      <c r="F818" s="175"/>
      <c r="G818" s="13" t="s">
        <v>2867</v>
      </c>
      <c r="H818" s="82">
        <v>4</v>
      </c>
      <c r="I818" s="109">
        <v>0</v>
      </c>
      <c r="J818" s="20">
        <f t="shared" si="784"/>
        <v>0</v>
      </c>
      <c r="K818" s="20">
        <f t="shared" si="785"/>
        <v>0</v>
      </c>
      <c r="L818" s="20">
        <f t="shared" si="786"/>
        <v>0</v>
      </c>
      <c r="M818" s="31" t="s">
        <v>2884</v>
      </c>
      <c r="N818" s="5"/>
      <c r="Z818" s="36">
        <f t="shared" si="787"/>
        <v>0</v>
      </c>
      <c r="AB818" s="36">
        <f t="shared" si="788"/>
        <v>0</v>
      </c>
      <c r="AC818" s="36">
        <f t="shared" si="789"/>
        <v>0</v>
      </c>
      <c r="AD818" s="36">
        <f t="shared" si="790"/>
        <v>0</v>
      </c>
      <c r="AE818" s="36">
        <f t="shared" si="791"/>
        <v>0</v>
      </c>
      <c r="AF818" s="36">
        <f t="shared" si="792"/>
        <v>0</v>
      </c>
      <c r="AG818" s="36">
        <f t="shared" si="793"/>
        <v>0</v>
      </c>
      <c r="AH818" s="36">
        <f t="shared" si="794"/>
        <v>0</v>
      </c>
      <c r="AI818" s="35" t="s">
        <v>2895</v>
      </c>
      <c r="AJ818" s="20">
        <f t="shared" si="795"/>
        <v>0</v>
      </c>
      <c r="AK818" s="20">
        <f t="shared" si="796"/>
        <v>0</v>
      </c>
      <c r="AL818" s="20">
        <f t="shared" si="797"/>
        <v>0</v>
      </c>
      <c r="AN818" s="36">
        <v>21</v>
      </c>
      <c r="AO818" s="36">
        <f t="shared" si="798"/>
        <v>0</v>
      </c>
      <c r="AP818" s="36">
        <f t="shared" si="799"/>
        <v>0</v>
      </c>
      <c r="AQ818" s="37" t="s">
        <v>7</v>
      </c>
      <c r="AV818" s="36">
        <f t="shared" si="800"/>
        <v>0</v>
      </c>
      <c r="AW818" s="36">
        <f t="shared" si="801"/>
        <v>0</v>
      </c>
      <c r="AX818" s="36">
        <f t="shared" si="802"/>
        <v>0</v>
      </c>
      <c r="AY818" s="39" t="s">
        <v>2901</v>
      </c>
      <c r="AZ818" s="39" t="s">
        <v>2960</v>
      </c>
      <c r="BA818" s="35" t="s">
        <v>2968</v>
      </c>
      <c r="BC818" s="36">
        <f t="shared" si="803"/>
        <v>0</v>
      </c>
      <c r="BD818" s="36">
        <f t="shared" si="804"/>
        <v>0</v>
      </c>
      <c r="BE818" s="36">
        <v>0</v>
      </c>
      <c r="BF818" s="36">
        <f>818</f>
        <v>818</v>
      </c>
      <c r="BH818" s="20">
        <f t="shared" si="805"/>
        <v>0</v>
      </c>
      <c r="BI818" s="20">
        <f t="shared" si="806"/>
        <v>0</v>
      </c>
      <c r="BJ818" s="20">
        <f t="shared" si="807"/>
        <v>0</v>
      </c>
      <c r="BK818" s="20" t="s">
        <v>2978</v>
      </c>
      <c r="BL818" s="36">
        <v>11</v>
      </c>
    </row>
    <row r="819" spans="1:64" x14ac:dyDescent="0.2">
      <c r="A819" s="4" t="s">
        <v>701</v>
      </c>
      <c r="B819" s="13" t="s">
        <v>1605</v>
      </c>
      <c r="C819" s="174" t="s">
        <v>2599</v>
      </c>
      <c r="D819" s="175"/>
      <c r="E819" s="175"/>
      <c r="F819" s="175"/>
      <c r="G819" s="13" t="s">
        <v>2867</v>
      </c>
      <c r="H819" s="82">
        <v>6</v>
      </c>
      <c r="I819" s="109">
        <v>0</v>
      </c>
      <c r="J819" s="20">
        <f t="shared" si="784"/>
        <v>0</v>
      </c>
      <c r="K819" s="20">
        <f t="shared" si="785"/>
        <v>0</v>
      </c>
      <c r="L819" s="20">
        <f t="shared" si="786"/>
        <v>0</v>
      </c>
      <c r="M819" s="31" t="s">
        <v>2884</v>
      </c>
      <c r="N819" s="5"/>
      <c r="Z819" s="36">
        <f t="shared" si="787"/>
        <v>0</v>
      </c>
      <c r="AB819" s="36">
        <f t="shared" si="788"/>
        <v>0</v>
      </c>
      <c r="AC819" s="36">
        <f t="shared" si="789"/>
        <v>0</v>
      </c>
      <c r="AD819" s="36">
        <f t="shared" si="790"/>
        <v>0</v>
      </c>
      <c r="AE819" s="36">
        <f t="shared" si="791"/>
        <v>0</v>
      </c>
      <c r="AF819" s="36">
        <f t="shared" si="792"/>
        <v>0</v>
      </c>
      <c r="AG819" s="36">
        <f t="shared" si="793"/>
        <v>0</v>
      </c>
      <c r="AH819" s="36">
        <f t="shared" si="794"/>
        <v>0</v>
      </c>
      <c r="AI819" s="35" t="s">
        <v>2895</v>
      </c>
      <c r="AJ819" s="20">
        <f t="shared" si="795"/>
        <v>0</v>
      </c>
      <c r="AK819" s="20">
        <f t="shared" si="796"/>
        <v>0</v>
      </c>
      <c r="AL819" s="20">
        <f t="shared" si="797"/>
        <v>0</v>
      </c>
      <c r="AN819" s="36">
        <v>21</v>
      </c>
      <c r="AO819" s="36">
        <f t="shared" si="798"/>
        <v>0</v>
      </c>
      <c r="AP819" s="36">
        <f t="shared" si="799"/>
        <v>0</v>
      </c>
      <c r="AQ819" s="37" t="s">
        <v>7</v>
      </c>
      <c r="AV819" s="36">
        <f t="shared" si="800"/>
        <v>0</v>
      </c>
      <c r="AW819" s="36">
        <f t="shared" si="801"/>
        <v>0</v>
      </c>
      <c r="AX819" s="36">
        <f t="shared" si="802"/>
        <v>0</v>
      </c>
      <c r="AY819" s="39" t="s">
        <v>2901</v>
      </c>
      <c r="AZ819" s="39" t="s">
        <v>2960</v>
      </c>
      <c r="BA819" s="35" t="s">
        <v>2968</v>
      </c>
      <c r="BC819" s="36">
        <f t="shared" si="803"/>
        <v>0</v>
      </c>
      <c r="BD819" s="36">
        <f t="shared" si="804"/>
        <v>0</v>
      </c>
      <c r="BE819" s="36">
        <v>0</v>
      </c>
      <c r="BF819" s="36">
        <f>819</f>
        <v>819</v>
      </c>
      <c r="BH819" s="20">
        <f t="shared" si="805"/>
        <v>0</v>
      </c>
      <c r="BI819" s="20">
        <f t="shared" si="806"/>
        <v>0</v>
      </c>
      <c r="BJ819" s="20">
        <f t="shared" si="807"/>
        <v>0</v>
      </c>
      <c r="BK819" s="20" t="s">
        <v>2978</v>
      </c>
      <c r="BL819" s="36">
        <v>11</v>
      </c>
    </row>
    <row r="820" spans="1:64" x14ac:dyDescent="0.2">
      <c r="A820" s="4" t="s">
        <v>702</v>
      </c>
      <c r="B820" s="13" t="s">
        <v>1606</v>
      </c>
      <c r="C820" s="174" t="s">
        <v>2600</v>
      </c>
      <c r="D820" s="175"/>
      <c r="E820" s="175"/>
      <c r="F820" s="175"/>
      <c r="G820" s="13" t="s">
        <v>2852</v>
      </c>
      <c r="H820" s="82">
        <v>1</v>
      </c>
      <c r="I820" s="109">
        <v>0</v>
      </c>
      <c r="J820" s="20">
        <f t="shared" si="784"/>
        <v>0</v>
      </c>
      <c r="K820" s="20">
        <f t="shared" si="785"/>
        <v>0</v>
      </c>
      <c r="L820" s="20">
        <f t="shared" si="786"/>
        <v>0</v>
      </c>
      <c r="M820" s="31" t="s">
        <v>2884</v>
      </c>
      <c r="N820" s="5"/>
      <c r="Z820" s="36">
        <f t="shared" si="787"/>
        <v>0</v>
      </c>
      <c r="AB820" s="36">
        <f t="shared" si="788"/>
        <v>0</v>
      </c>
      <c r="AC820" s="36">
        <f t="shared" si="789"/>
        <v>0</v>
      </c>
      <c r="AD820" s="36">
        <f t="shared" si="790"/>
        <v>0</v>
      </c>
      <c r="AE820" s="36">
        <f t="shared" si="791"/>
        <v>0</v>
      </c>
      <c r="AF820" s="36">
        <f t="shared" si="792"/>
        <v>0</v>
      </c>
      <c r="AG820" s="36">
        <f t="shared" si="793"/>
        <v>0</v>
      </c>
      <c r="AH820" s="36">
        <f t="shared" si="794"/>
        <v>0</v>
      </c>
      <c r="AI820" s="35" t="s">
        <v>2895</v>
      </c>
      <c r="AJ820" s="20">
        <f t="shared" si="795"/>
        <v>0</v>
      </c>
      <c r="AK820" s="20">
        <f t="shared" si="796"/>
        <v>0</v>
      </c>
      <c r="AL820" s="20">
        <f t="shared" si="797"/>
        <v>0</v>
      </c>
      <c r="AN820" s="36">
        <v>21</v>
      </c>
      <c r="AO820" s="36">
        <f t="shared" si="798"/>
        <v>0</v>
      </c>
      <c r="AP820" s="36">
        <f t="shared" si="799"/>
        <v>0</v>
      </c>
      <c r="AQ820" s="37" t="s">
        <v>7</v>
      </c>
      <c r="AV820" s="36">
        <f t="shared" si="800"/>
        <v>0</v>
      </c>
      <c r="AW820" s="36">
        <f t="shared" si="801"/>
        <v>0</v>
      </c>
      <c r="AX820" s="36">
        <f t="shared" si="802"/>
        <v>0</v>
      </c>
      <c r="AY820" s="39" t="s">
        <v>2901</v>
      </c>
      <c r="AZ820" s="39" t="s">
        <v>2960</v>
      </c>
      <c r="BA820" s="35" t="s">
        <v>2968</v>
      </c>
      <c r="BC820" s="36">
        <f t="shared" si="803"/>
        <v>0</v>
      </c>
      <c r="BD820" s="36">
        <f t="shared" si="804"/>
        <v>0</v>
      </c>
      <c r="BE820" s="36">
        <v>0</v>
      </c>
      <c r="BF820" s="36">
        <f>820</f>
        <v>820</v>
      </c>
      <c r="BH820" s="20">
        <f t="shared" si="805"/>
        <v>0</v>
      </c>
      <c r="BI820" s="20">
        <f t="shared" si="806"/>
        <v>0</v>
      </c>
      <c r="BJ820" s="20">
        <f t="shared" si="807"/>
        <v>0</v>
      </c>
      <c r="BK820" s="20" t="s">
        <v>2978</v>
      </c>
      <c r="BL820" s="36">
        <v>11</v>
      </c>
    </row>
    <row r="821" spans="1:64" x14ac:dyDescent="0.2">
      <c r="A821" s="4" t="s">
        <v>703</v>
      </c>
      <c r="B821" s="13" t="s">
        <v>1607</v>
      </c>
      <c r="C821" s="174" t="s">
        <v>2601</v>
      </c>
      <c r="D821" s="175"/>
      <c r="E821" s="175"/>
      <c r="F821" s="175"/>
      <c r="G821" s="13" t="s">
        <v>2855</v>
      </c>
      <c r="H821" s="82">
        <v>4.5999999999999996</v>
      </c>
      <c r="I821" s="109">
        <v>0</v>
      </c>
      <c r="J821" s="20">
        <f t="shared" si="784"/>
        <v>0</v>
      </c>
      <c r="K821" s="20">
        <f t="shared" si="785"/>
        <v>0</v>
      </c>
      <c r="L821" s="20">
        <f t="shared" si="786"/>
        <v>0</v>
      </c>
      <c r="M821" s="31" t="s">
        <v>2884</v>
      </c>
      <c r="N821" s="5"/>
      <c r="Z821" s="36">
        <f t="shared" si="787"/>
        <v>0</v>
      </c>
      <c r="AB821" s="36">
        <f t="shared" si="788"/>
        <v>0</v>
      </c>
      <c r="AC821" s="36">
        <f t="shared" si="789"/>
        <v>0</v>
      </c>
      <c r="AD821" s="36">
        <f t="shared" si="790"/>
        <v>0</v>
      </c>
      <c r="AE821" s="36">
        <f t="shared" si="791"/>
        <v>0</v>
      </c>
      <c r="AF821" s="36">
        <f t="shared" si="792"/>
        <v>0</v>
      </c>
      <c r="AG821" s="36">
        <f t="shared" si="793"/>
        <v>0</v>
      </c>
      <c r="AH821" s="36">
        <f t="shared" si="794"/>
        <v>0</v>
      </c>
      <c r="AI821" s="35" t="s">
        <v>2895</v>
      </c>
      <c r="AJ821" s="20">
        <f t="shared" si="795"/>
        <v>0</v>
      </c>
      <c r="AK821" s="20">
        <f t="shared" si="796"/>
        <v>0</v>
      </c>
      <c r="AL821" s="20">
        <f t="shared" si="797"/>
        <v>0</v>
      </c>
      <c r="AN821" s="36">
        <v>21</v>
      </c>
      <c r="AO821" s="36">
        <f t="shared" si="798"/>
        <v>0</v>
      </c>
      <c r="AP821" s="36">
        <f t="shared" si="799"/>
        <v>0</v>
      </c>
      <c r="AQ821" s="37" t="s">
        <v>7</v>
      </c>
      <c r="AV821" s="36">
        <f t="shared" si="800"/>
        <v>0</v>
      </c>
      <c r="AW821" s="36">
        <f t="shared" si="801"/>
        <v>0</v>
      </c>
      <c r="AX821" s="36">
        <f t="shared" si="802"/>
        <v>0</v>
      </c>
      <c r="AY821" s="39" t="s">
        <v>2901</v>
      </c>
      <c r="AZ821" s="39" t="s">
        <v>2960</v>
      </c>
      <c r="BA821" s="35" t="s">
        <v>2968</v>
      </c>
      <c r="BC821" s="36">
        <f t="shared" si="803"/>
        <v>0</v>
      </c>
      <c r="BD821" s="36">
        <f t="shared" si="804"/>
        <v>0</v>
      </c>
      <c r="BE821" s="36">
        <v>0</v>
      </c>
      <c r="BF821" s="36">
        <f>821</f>
        <v>821</v>
      </c>
      <c r="BH821" s="20">
        <f t="shared" si="805"/>
        <v>0</v>
      </c>
      <c r="BI821" s="20">
        <f t="shared" si="806"/>
        <v>0</v>
      </c>
      <c r="BJ821" s="20">
        <f t="shared" si="807"/>
        <v>0</v>
      </c>
      <c r="BK821" s="20" t="s">
        <v>2978</v>
      </c>
      <c r="BL821" s="36">
        <v>11</v>
      </c>
    </row>
    <row r="822" spans="1:64" x14ac:dyDescent="0.2">
      <c r="A822" s="4" t="s">
        <v>704</v>
      </c>
      <c r="B822" s="13" t="s">
        <v>1608</v>
      </c>
      <c r="C822" s="174" t="s">
        <v>2602</v>
      </c>
      <c r="D822" s="175"/>
      <c r="E822" s="175"/>
      <c r="F822" s="175"/>
      <c r="G822" s="13" t="s">
        <v>2854</v>
      </c>
      <c r="H822" s="82">
        <v>26.4</v>
      </c>
      <c r="I822" s="109">
        <v>0</v>
      </c>
      <c r="J822" s="20">
        <f t="shared" si="784"/>
        <v>0</v>
      </c>
      <c r="K822" s="20">
        <f t="shared" si="785"/>
        <v>0</v>
      </c>
      <c r="L822" s="20">
        <f t="shared" si="786"/>
        <v>0</v>
      </c>
      <c r="M822" s="31" t="s">
        <v>2884</v>
      </c>
      <c r="N822" s="5"/>
      <c r="Z822" s="36">
        <f t="shared" si="787"/>
        <v>0</v>
      </c>
      <c r="AB822" s="36">
        <f t="shared" si="788"/>
        <v>0</v>
      </c>
      <c r="AC822" s="36">
        <f t="shared" si="789"/>
        <v>0</v>
      </c>
      <c r="AD822" s="36">
        <f t="shared" si="790"/>
        <v>0</v>
      </c>
      <c r="AE822" s="36">
        <f t="shared" si="791"/>
        <v>0</v>
      </c>
      <c r="AF822" s="36">
        <f t="shared" si="792"/>
        <v>0</v>
      </c>
      <c r="AG822" s="36">
        <f t="shared" si="793"/>
        <v>0</v>
      </c>
      <c r="AH822" s="36">
        <f t="shared" si="794"/>
        <v>0</v>
      </c>
      <c r="AI822" s="35" t="s">
        <v>2895</v>
      </c>
      <c r="AJ822" s="20">
        <f t="shared" si="795"/>
        <v>0</v>
      </c>
      <c r="AK822" s="20">
        <f t="shared" si="796"/>
        <v>0</v>
      </c>
      <c r="AL822" s="20">
        <f t="shared" si="797"/>
        <v>0</v>
      </c>
      <c r="AN822" s="36">
        <v>21</v>
      </c>
      <c r="AO822" s="36">
        <f t="shared" si="798"/>
        <v>0</v>
      </c>
      <c r="AP822" s="36">
        <f t="shared" si="799"/>
        <v>0</v>
      </c>
      <c r="AQ822" s="37" t="s">
        <v>7</v>
      </c>
      <c r="AV822" s="36">
        <f t="shared" si="800"/>
        <v>0</v>
      </c>
      <c r="AW822" s="36">
        <f t="shared" si="801"/>
        <v>0</v>
      </c>
      <c r="AX822" s="36">
        <f t="shared" si="802"/>
        <v>0</v>
      </c>
      <c r="AY822" s="39" t="s">
        <v>2901</v>
      </c>
      <c r="AZ822" s="39" t="s">
        <v>2960</v>
      </c>
      <c r="BA822" s="35" t="s">
        <v>2968</v>
      </c>
      <c r="BC822" s="36">
        <f t="shared" si="803"/>
        <v>0</v>
      </c>
      <c r="BD822" s="36">
        <f t="shared" si="804"/>
        <v>0</v>
      </c>
      <c r="BE822" s="36">
        <v>0</v>
      </c>
      <c r="BF822" s="36">
        <f>822</f>
        <v>822</v>
      </c>
      <c r="BH822" s="20">
        <f t="shared" si="805"/>
        <v>0</v>
      </c>
      <c r="BI822" s="20">
        <f t="shared" si="806"/>
        <v>0</v>
      </c>
      <c r="BJ822" s="20">
        <f t="shared" si="807"/>
        <v>0</v>
      </c>
      <c r="BK822" s="20" t="s">
        <v>2978</v>
      </c>
      <c r="BL822" s="36">
        <v>11</v>
      </c>
    </row>
    <row r="823" spans="1:64" x14ac:dyDescent="0.2">
      <c r="A823" s="4" t="s">
        <v>705</v>
      </c>
      <c r="B823" s="13" t="s">
        <v>1609</v>
      </c>
      <c r="C823" s="174" t="s">
        <v>2603</v>
      </c>
      <c r="D823" s="175"/>
      <c r="E823" s="175"/>
      <c r="F823" s="175"/>
      <c r="G823" s="13" t="s">
        <v>2854</v>
      </c>
      <c r="H823" s="82">
        <v>329.5</v>
      </c>
      <c r="I823" s="109">
        <v>0</v>
      </c>
      <c r="J823" s="20">
        <f t="shared" si="784"/>
        <v>0</v>
      </c>
      <c r="K823" s="20">
        <f t="shared" si="785"/>
        <v>0</v>
      </c>
      <c r="L823" s="20">
        <f t="shared" si="786"/>
        <v>0</v>
      </c>
      <c r="M823" s="31" t="s">
        <v>2884</v>
      </c>
      <c r="N823" s="5"/>
      <c r="Z823" s="36">
        <f t="shared" si="787"/>
        <v>0</v>
      </c>
      <c r="AB823" s="36">
        <f t="shared" si="788"/>
        <v>0</v>
      </c>
      <c r="AC823" s="36">
        <f t="shared" si="789"/>
        <v>0</v>
      </c>
      <c r="AD823" s="36">
        <f t="shared" si="790"/>
        <v>0</v>
      </c>
      <c r="AE823" s="36">
        <f t="shared" si="791"/>
        <v>0</v>
      </c>
      <c r="AF823" s="36">
        <f t="shared" si="792"/>
        <v>0</v>
      </c>
      <c r="AG823" s="36">
        <f t="shared" si="793"/>
        <v>0</v>
      </c>
      <c r="AH823" s="36">
        <f t="shared" si="794"/>
        <v>0</v>
      </c>
      <c r="AI823" s="35" t="s">
        <v>2895</v>
      </c>
      <c r="AJ823" s="20">
        <f t="shared" si="795"/>
        <v>0</v>
      </c>
      <c r="AK823" s="20">
        <f t="shared" si="796"/>
        <v>0</v>
      </c>
      <c r="AL823" s="20">
        <f t="shared" si="797"/>
        <v>0</v>
      </c>
      <c r="AN823" s="36">
        <v>21</v>
      </c>
      <c r="AO823" s="36">
        <f t="shared" si="798"/>
        <v>0</v>
      </c>
      <c r="AP823" s="36">
        <f t="shared" si="799"/>
        <v>0</v>
      </c>
      <c r="AQ823" s="37" t="s">
        <v>7</v>
      </c>
      <c r="AV823" s="36">
        <f t="shared" si="800"/>
        <v>0</v>
      </c>
      <c r="AW823" s="36">
        <f t="shared" si="801"/>
        <v>0</v>
      </c>
      <c r="AX823" s="36">
        <f t="shared" si="802"/>
        <v>0</v>
      </c>
      <c r="AY823" s="39" t="s">
        <v>2901</v>
      </c>
      <c r="AZ823" s="39" t="s">
        <v>2960</v>
      </c>
      <c r="BA823" s="35" t="s">
        <v>2968</v>
      </c>
      <c r="BC823" s="36">
        <f t="shared" si="803"/>
        <v>0</v>
      </c>
      <c r="BD823" s="36">
        <f t="shared" si="804"/>
        <v>0</v>
      </c>
      <c r="BE823" s="36">
        <v>0</v>
      </c>
      <c r="BF823" s="36">
        <f>823</f>
        <v>823</v>
      </c>
      <c r="BH823" s="20">
        <f t="shared" si="805"/>
        <v>0</v>
      </c>
      <c r="BI823" s="20">
        <f t="shared" si="806"/>
        <v>0</v>
      </c>
      <c r="BJ823" s="20">
        <f t="shared" si="807"/>
        <v>0</v>
      </c>
      <c r="BK823" s="20" t="s">
        <v>2978</v>
      </c>
      <c r="BL823" s="36">
        <v>11</v>
      </c>
    </row>
    <row r="824" spans="1:64" x14ac:dyDescent="0.2">
      <c r="A824" s="4" t="s">
        <v>706</v>
      </c>
      <c r="B824" s="13" t="s">
        <v>1610</v>
      </c>
      <c r="C824" s="174" t="s">
        <v>2604</v>
      </c>
      <c r="D824" s="175"/>
      <c r="E824" s="175"/>
      <c r="F824" s="175"/>
      <c r="G824" s="13" t="s">
        <v>2854</v>
      </c>
      <c r="H824" s="82">
        <v>10</v>
      </c>
      <c r="I824" s="109">
        <v>0</v>
      </c>
      <c r="J824" s="20">
        <f t="shared" si="784"/>
        <v>0</v>
      </c>
      <c r="K824" s="20">
        <f t="shared" si="785"/>
        <v>0</v>
      </c>
      <c r="L824" s="20">
        <f t="shared" si="786"/>
        <v>0</v>
      </c>
      <c r="M824" s="31" t="s">
        <v>2884</v>
      </c>
      <c r="N824" s="5"/>
      <c r="Z824" s="36">
        <f t="shared" si="787"/>
        <v>0</v>
      </c>
      <c r="AB824" s="36">
        <f t="shared" si="788"/>
        <v>0</v>
      </c>
      <c r="AC824" s="36">
        <f t="shared" si="789"/>
        <v>0</v>
      </c>
      <c r="AD824" s="36">
        <f t="shared" si="790"/>
        <v>0</v>
      </c>
      <c r="AE824" s="36">
        <f t="shared" si="791"/>
        <v>0</v>
      </c>
      <c r="AF824" s="36">
        <f t="shared" si="792"/>
        <v>0</v>
      </c>
      <c r="AG824" s="36">
        <f t="shared" si="793"/>
        <v>0</v>
      </c>
      <c r="AH824" s="36">
        <f t="shared" si="794"/>
        <v>0</v>
      </c>
      <c r="AI824" s="35" t="s">
        <v>2895</v>
      </c>
      <c r="AJ824" s="20">
        <f t="shared" si="795"/>
        <v>0</v>
      </c>
      <c r="AK824" s="20">
        <f t="shared" si="796"/>
        <v>0</v>
      </c>
      <c r="AL824" s="20">
        <f t="shared" si="797"/>
        <v>0</v>
      </c>
      <c r="AN824" s="36">
        <v>21</v>
      </c>
      <c r="AO824" s="36">
        <f t="shared" si="798"/>
        <v>0</v>
      </c>
      <c r="AP824" s="36">
        <f t="shared" si="799"/>
        <v>0</v>
      </c>
      <c r="AQ824" s="37" t="s">
        <v>7</v>
      </c>
      <c r="AV824" s="36">
        <f t="shared" si="800"/>
        <v>0</v>
      </c>
      <c r="AW824" s="36">
        <f t="shared" si="801"/>
        <v>0</v>
      </c>
      <c r="AX824" s="36">
        <f t="shared" si="802"/>
        <v>0</v>
      </c>
      <c r="AY824" s="39" t="s">
        <v>2901</v>
      </c>
      <c r="AZ824" s="39" t="s">
        <v>2960</v>
      </c>
      <c r="BA824" s="35" t="s">
        <v>2968</v>
      </c>
      <c r="BC824" s="36">
        <f t="shared" si="803"/>
        <v>0</v>
      </c>
      <c r="BD824" s="36">
        <f t="shared" si="804"/>
        <v>0</v>
      </c>
      <c r="BE824" s="36">
        <v>0</v>
      </c>
      <c r="BF824" s="36">
        <f>824</f>
        <v>824</v>
      </c>
      <c r="BH824" s="20">
        <f t="shared" si="805"/>
        <v>0</v>
      </c>
      <c r="BI824" s="20">
        <f t="shared" si="806"/>
        <v>0</v>
      </c>
      <c r="BJ824" s="20">
        <f t="shared" si="807"/>
        <v>0</v>
      </c>
      <c r="BK824" s="20" t="s">
        <v>2978</v>
      </c>
      <c r="BL824" s="36">
        <v>11</v>
      </c>
    </row>
    <row r="825" spans="1:64" x14ac:dyDescent="0.2">
      <c r="A825" s="4" t="s">
        <v>707</v>
      </c>
      <c r="B825" s="13" t="s">
        <v>1611</v>
      </c>
      <c r="C825" s="174" t="s">
        <v>2605</v>
      </c>
      <c r="D825" s="175"/>
      <c r="E825" s="175"/>
      <c r="F825" s="175"/>
      <c r="G825" s="13" t="s">
        <v>2854</v>
      </c>
      <c r="H825" s="82">
        <v>10</v>
      </c>
      <c r="I825" s="109">
        <v>0</v>
      </c>
      <c r="J825" s="20">
        <f t="shared" si="784"/>
        <v>0</v>
      </c>
      <c r="K825" s="20">
        <f t="shared" si="785"/>
        <v>0</v>
      </c>
      <c r="L825" s="20">
        <f t="shared" si="786"/>
        <v>0</v>
      </c>
      <c r="M825" s="31" t="s">
        <v>2884</v>
      </c>
      <c r="N825" s="5"/>
      <c r="Z825" s="36">
        <f t="shared" si="787"/>
        <v>0</v>
      </c>
      <c r="AB825" s="36">
        <f t="shared" si="788"/>
        <v>0</v>
      </c>
      <c r="AC825" s="36">
        <f t="shared" si="789"/>
        <v>0</v>
      </c>
      <c r="AD825" s="36">
        <f t="shared" si="790"/>
        <v>0</v>
      </c>
      <c r="AE825" s="36">
        <f t="shared" si="791"/>
        <v>0</v>
      </c>
      <c r="AF825" s="36">
        <f t="shared" si="792"/>
        <v>0</v>
      </c>
      <c r="AG825" s="36">
        <f t="shared" si="793"/>
        <v>0</v>
      </c>
      <c r="AH825" s="36">
        <f t="shared" si="794"/>
        <v>0</v>
      </c>
      <c r="AI825" s="35" t="s">
        <v>2895</v>
      </c>
      <c r="AJ825" s="20">
        <f t="shared" si="795"/>
        <v>0</v>
      </c>
      <c r="AK825" s="20">
        <f t="shared" si="796"/>
        <v>0</v>
      </c>
      <c r="AL825" s="20">
        <f t="shared" si="797"/>
        <v>0</v>
      </c>
      <c r="AN825" s="36">
        <v>21</v>
      </c>
      <c r="AO825" s="36">
        <f t="shared" si="798"/>
        <v>0</v>
      </c>
      <c r="AP825" s="36">
        <f t="shared" si="799"/>
        <v>0</v>
      </c>
      <c r="AQ825" s="37" t="s">
        <v>7</v>
      </c>
      <c r="AV825" s="36">
        <f t="shared" si="800"/>
        <v>0</v>
      </c>
      <c r="AW825" s="36">
        <f t="shared" si="801"/>
        <v>0</v>
      </c>
      <c r="AX825" s="36">
        <f t="shared" si="802"/>
        <v>0</v>
      </c>
      <c r="AY825" s="39" t="s">
        <v>2901</v>
      </c>
      <c r="AZ825" s="39" t="s">
        <v>2960</v>
      </c>
      <c r="BA825" s="35" t="s">
        <v>2968</v>
      </c>
      <c r="BC825" s="36">
        <f t="shared" si="803"/>
        <v>0</v>
      </c>
      <c r="BD825" s="36">
        <f t="shared" si="804"/>
        <v>0</v>
      </c>
      <c r="BE825" s="36">
        <v>0</v>
      </c>
      <c r="BF825" s="36">
        <f>825</f>
        <v>825</v>
      </c>
      <c r="BH825" s="20">
        <f t="shared" si="805"/>
        <v>0</v>
      </c>
      <c r="BI825" s="20">
        <f t="shared" si="806"/>
        <v>0</v>
      </c>
      <c r="BJ825" s="20">
        <f t="shared" si="807"/>
        <v>0</v>
      </c>
      <c r="BK825" s="20" t="s">
        <v>2978</v>
      </c>
      <c r="BL825" s="36">
        <v>11</v>
      </c>
    </row>
    <row r="826" spans="1:64" x14ac:dyDescent="0.2">
      <c r="A826" s="4" t="s">
        <v>708</v>
      </c>
      <c r="B826" s="13" t="s">
        <v>1612</v>
      </c>
      <c r="C826" s="174" t="s">
        <v>2606</v>
      </c>
      <c r="D826" s="175"/>
      <c r="E826" s="175"/>
      <c r="F826" s="175"/>
      <c r="G826" s="13" t="s">
        <v>2852</v>
      </c>
      <c r="H826" s="82">
        <v>3</v>
      </c>
      <c r="I826" s="109">
        <v>0</v>
      </c>
      <c r="J826" s="20">
        <f t="shared" si="784"/>
        <v>0</v>
      </c>
      <c r="K826" s="20">
        <f t="shared" si="785"/>
        <v>0</v>
      </c>
      <c r="L826" s="20">
        <f t="shared" si="786"/>
        <v>0</v>
      </c>
      <c r="M826" s="31" t="s">
        <v>2884</v>
      </c>
      <c r="N826" s="5"/>
      <c r="Z826" s="36">
        <f t="shared" si="787"/>
        <v>0</v>
      </c>
      <c r="AB826" s="36">
        <f t="shared" si="788"/>
        <v>0</v>
      </c>
      <c r="AC826" s="36">
        <f t="shared" si="789"/>
        <v>0</v>
      </c>
      <c r="AD826" s="36">
        <f t="shared" si="790"/>
        <v>0</v>
      </c>
      <c r="AE826" s="36">
        <f t="shared" si="791"/>
        <v>0</v>
      </c>
      <c r="AF826" s="36">
        <f t="shared" si="792"/>
        <v>0</v>
      </c>
      <c r="AG826" s="36">
        <f t="shared" si="793"/>
        <v>0</v>
      </c>
      <c r="AH826" s="36">
        <f t="shared" si="794"/>
        <v>0</v>
      </c>
      <c r="AI826" s="35" t="s">
        <v>2895</v>
      </c>
      <c r="AJ826" s="20">
        <f t="shared" si="795"/>
        <v>0</v>
      </c>
      <c r="AK826" s="20">
        <f t="shared" si="796"/>
        <v>0</v>
      </c>
      <c r="AL826" s="20">
        <f t="shared" si="797"/>
        <v>0</v>
      </c>
      <c r="AN826" s="36">
        <v>21</v>
      </c>
      <c r="AO826" s="36">
        <f t="shared" si="798"/>
        <v>0</v>
      </c>
      <c r="AP826" s="36">
        <f t="shared" si="799"/>
        <v>0</v>
      </c>
      <c r="AQ826" s="37" t="s">
        <v>7</v>
      </c>
      <c r="AV826" s="36">
        <f t="shared" si="800"/>
        <v>0</v>
      </c>
      <c r="AW826" s="36">
        <f t="shared" si="801"/>
        <v>0</v>
      </c>
      <c r="AX826" s="36">
        <f t="shared" si="802"/>
        <v>0</v>
      </c>
      <c r="AY826" s="39" t="s">
        <v>2901</v>
      </c>
      <c r="AZ826" s="39" t="s">
        <v>2960</v>
      </c>
      <c r="BA826" s="35" t="s">
        <v>2968</v>
      </c>
      <c r="BC826" s="36">
        <f t="shared" si="803"/>
        <v>0</v>
      </c>
      <c r="BD826" s="36">
        <f t="shared" si="804"/>
        <v>0</v>
      </c>
      <c r="BE826" s="36">
        <v>0</v>
      </c>
      <c r="BF826" s="36">
        <f>826</f>
        <v>826</v>
      </c>
      <c r="BH826" s="20">
        <f t="shared" si="805"/>
        <v>0</v>
      </c>
      <c r="BI826" s="20">
        <f t="shared" si="806"/>
        <v>0</v>
      </c>
      <c r="BJ826" s="20">
        <f t="shared" si="807"/>
        <v>0</v>
      </c>
      <c r="BK826" s="20" t="s">
        <v>2978</v>
      </c>
      <c r="BL826" s="36">
        <v>11</v>
      </c>
    </row>
    <row r="827" spans="1:64" x14ac:dyDescent="0.2">
      <c r="A827" s="4" t="s">
        <v>709</v>
      </c>
      <c r="B827" s="13" t="s">
        <v>1613</v>
      </c>
      <c r="C827" s="174" t="s">
        <v>2607</v>
      </c>
      <c r="D827" s="175"/>
      <c r="E827" s="175"/>
      <c r="F827" s="175"/>
      <c r="G827" s="13" t="s">
        <v>2852</v>
      </c>
      <c r="H827" s="82">
        <v>3</v>
      </c>
      <c r="I827" s="109">
        <v>0</v>
      </c>
      <c r="J827" s="20">
        <f t="shared" si="784"/>
        <v>0</v>
      </c>
      <c r="K827" s="20">
        <f t="shared" si="785"/>
        <v>0</v>
      </c>
      <c r="L827" s="20">
        <f t="shared" si="786"/>
        <v>0</v>
      </c>
      <c r="M827" s="31" t="s">
        <v>2884</v>
      </c>
      <c r="N827" s="5"/>
      <c r="Z827" s="36">
        <f t="shared" si="787"/>
        <v>0</v>
      </c>
      <c r="AB827" s="36">
        <f t="shared" si="788"/>
        <v>0</v>
      </c>
      <c r="AC827" s="36">
        <f t="shared" si="789"/>
        <v>0</v>
      </c>
      <c r="AD827" s="36">
        <f t="shared" si="790"/>
        <v>0</v>
      </c>
      <c r="AE827" s="36">
        <f t="shared" si="791"/>
        <v>0</v>
      </c>
      <c r="AF827" s="36">
        <f t="shared" si="792"/>
        <v>0</v>
      </c>
      <c r="AG827" s="36">
        <f t="shared" si="793"/>
        <v>0</v>
      </c>
      <c r="AH827" s="36">
        <f t="shared" si="794"/>
        <v>0</v>
      </c>
      <c r="AI827" s="35" t="s">
        <v>2895</v>
      </c>
      <c r="AJ827" s="20">
        <f t="shared" si="795"/>
        <v>0</v>
      </c>
      <c r="AK827" s="20">
        <f t="shared" si="796"/>
        <v>0</v>
      </c>
      <c r="AL827" s="20">
        <f t="shared" si="797"/>
        <v>0</v>
      </c>
      <c r="AN827" s="36">
        <v>21</v>
      </c>
      <c r="AO827" s="36">
        <f>I827*0.00741410488245931</f>
        <v>0</v>
      </c>
      <c r="AP827" s="36">
        <f>I827*(1-0.00741410488245931)</f>
        <v>0</v>
      </c>
      <c r="AQ827" s="37" t="s">
        <v>7</v>
      </c>
      <c r="AV827" s="36">
        <f t="shared" si="800"/>
        <v>0</v>
      </c>
      <c r="AW827" s="36">
        <f t="shared" si="801"/>
        <v>0</v>
      </c>
      <c r="AX827" s="36">
        <f t="shared" si="802"/>
        <v>0</v>
      </c>
      <c r="AY827" s="39" t="s">
        <v>2901</v>
      </c>
      <c r="AZ827" s="39" t="s">
        <v>2960</v>
      </c>
      <c r="BA827" s="35" t="s">
        <v>2968</v>
      </c>
      <c r="BC827" s="36">
        <f t="shared" si="803"/>
        <v>0</v>
      </c>
      <c r="BD827" s="36">
        <f t="shared" si="804"/>
        <v>0</v>
      </c>
      <c r="BE827" s="36">
        <v>0</v>
      </c>
      <c r="BF827" s="36">
        <f>827</f>
        <v>827</v>
      </c>
      <c r="BH827" s="20">
        <f t="shared" si="805"/>
        <v>0</v>
      </c>
      <c r="BI827" s="20">
        <f t="shared" si="806"/>
        <v>0</v>
      </c>
      <c r="BJ827" s="20">
        <f t="shared" si="807"/>
        <v>0</v>
      </c>
      <c r="BK827" s="20" t="s">
        <v>2978</v>
      </c>
      <c r="BL827" s="36">
        <v>11</v>
      </c>
    </row>
    <row r="828" spans="1:64" x14ac:dyDescent="0.2">
      <c r="A828" s="4" t="s">
        <v>710</v>
      </c>
      <c r="B828" s="13" t="s">
        <v>1614</v>
      </c>
      <c r="C828" s="174" t="s">
        <v>2608</v>
      </c>
      <c r="D828" s="175"/>
      <c r="E828" s="175"/>
      <c r="F828" s="175"/>
      <c r="G828" s="13" t="s">
        <v>2852</v>
      </c>
      <c r="H828" s="82">
        <v>1</v>
      </c>
      <c r="I828" s="109">
        <v>0</v>
      </c>
      <c r="J828" s="20">
        <f t="shared" si="784"/>
        <v>0</v>
      </c>
      <c r="K828" s="20">
        <f t="shared" si="785"/>
        <v>0</v>
      </c>
      <c r="L828" s="20">
        <f t="shared" si="786"/>
        <v>0</v>
      </c>
      <c r="M828" s="31" t="s">
        <v>2884</v>
      </c>
      <c r="N828" s="5"/>
      <c r="Z828" s="36">
        <f t="shared" si="787"/>
        <v>0</v>
      </c>
      <c r="AB828" s="36">
        <f t="shared" si="788"/>
        <v>0</v>
      </c>
      <c r="AC828" s="36">
        <f t="shared" si="789"/>
        <v>0</v>
      </c>
      <c r="AD828" s="36">
        <f t="shared" si="790"/>
        <v>0</v>
      </c>
      <c r="AE828" s="36">
        <f t="shared" si="791"/>
        <v>0</v>
      </c>
      <c r="AF828" s="36">
        <f t="shared" si="792"/>
        <v>0</v>
      </c>
      <c r="AG828" s="36">
        <f t="shared" si="793"/>
        <v>0</v>
      </c>
      <c r="AH828" s="36">
        <f t="shared" si="794"/>
        <v>0</v>
      </c>
      <c r="AI828" s="35" t="s">
        <v>2895</v>
      </c>
      <c r="AJ828" s="20">
        <f t="shared" si="795"/>
        <v>0</v>
      </c>
      <c r="AK828" s="20">
        <f t="shared" si="796"/>
        <v>0</v>
      </c>
      <c r="AL828" s="20">
        <f t="shared" si="797"/>
        <v>0</v>
      </c>
      <c r="AN828" s="36">
        <v>21</v>
      </c>
      <c r="AO828" s="36">
        <f>I828*0</f>
        <v>0</v>
      </c>
      <c r="AP828" s="36">
        <f>I828*(1-0)</f>
        <v>0</v>
      </c>
      <c r="AQ828" s="37" t="s">
        <v>7</v>
      </c>
      <c r="AV828" s="36">
        <f t="shared" si="800"/>
        <v>0</v>
      </c>
      <c r="AW828" s="36">
        <f t="shared" si="801"/>
        <v>0</v>
      </c>
      <c r="AX828" s="36">
        <f t="shared" si="802"/>
        <v>0</v>
      </c>
      <c r="AY828" s="39" t="s">
        <v>2901</v>
      </c>
      <c r="AZ828" s="39" t="s">
        <v>2960</v>
      </c>
      <c r="BA828" s="35" t="s">
        <v>2968</v>
      </c>
      <c r="BC828" s="36">
        <f t="shared" si="803"/>
        <v>0</v>
      </c>
      <c r="BD828" s="36">
        <f t="shared" si="804"/>
        <v>0</v>
      </c>
      <c r="BE828" s="36">
        <v>0</v>
      </c>
      <c r="BF828" s="36">
        <f>828</f>
        <v>828</v>
      </c>
      <c r="BH828" s="20">
        <f t="shared" si="805"/>
        <v>0</v>
      </c>
      <c r="BI828" s="20">
        <f t="shared" si="806"/>
        <v>0</v>
      </c>
      <c r="BJ828" s="20">
        <f t="shared" si="807"/>
        <v>0</v>
      </c>
      <c r="BK828" s="20" t="s">
        <v>2978</v>
      </c>
      <c r="BL828" s="36">
        <v>11</v>
      </c>
    </row>
    <row r="829" spans="1:64" x14ac:dyDescent="0.2">
      <c r="A829" s="3"/>
      <c r="B829" s="12" t="s">
        <v>19</v>
      </c>
      <c r="C829" s="172" t="s">
        <v>1862</v>
      </c>
      <c r="D829" s="173"/>
      <c r="E829" s="173"/>
      <c r="F829" s="173"/>
      <c r="G829" s="18" t="s">
        <v>6</v>
      </c>
      <c r="H829" s="18" t="s">
        <v>6</v>
      </c>
      <c r="I829" s="18" t="s">
        <v>6</v>
      </c>
      <c r="J829" s="41">
        <f>SUM(J830:J831)</f>
        <v>0</v>
      </c>
      <c r="K829" s="41">
        <f>SUM(K830:K831)</f>
        <v>0</v>
      </c>
      <c r="L829" s="41">
        <f>SUM(L830:L831)</f>
        <v>0</v>
      </c>
      <c r="M829" s="30"/>
      <c r="N829" s="5"/>
      <c r="AI829" s="35" t="s">
        <v>2895</v>
      </c>
      <c r="AS829" s="41">
        <f>SUM(AJ830:AJ831)</f>
        <v>0</v>
      </c>
      <c r="AT829" s="41">
        <f>SUM(AK830:AK831)</f>
        <v>0</v>
      </c>
      <c r="AU829" s="41">
        <f>SUM(AL830:AL831)</f>
        <v>0</v>
      </c>
    </row>
    <row r="830" spans="1:64" x14ac:dyDescent="0.2">
      <c r="A830" s="4" t="s">
        <v>711</v>
      </c>
      <c r="B830" s="13" t="s">
        <v>1615</v>
      </c>
      <c r="C830" s="174" t="s">
        <v>2609</v>
      </c>
      <c r="D830" s="175"/>
      <c r="E830" s="175"/>
      <c r="F830" s="175"/>
      <c r="G830" s="13" t="s">
        <v>2853</v>
      </c>
      <c r="H830" s="82">
        <v>87.224999999999994</v>
      </c>
      <c r="I830" s="109">
        <v>0</v>
      </c>
      <c r="J830" s="20">
        <f>H830*AO830</f>
        <v>0</v>
      </c>
      <c r="K830" s="20">
        <f>H830*AP830</f>
        <v>0</v>
      </c>
      <c r="L830" s="20">
        <f>H830*I830</f>
        <v>0</v>
      </c>
      <c r="M830" s="31" t="s">
        <v>2884</v>
      </c>
      <c r="N830" s="5"/>
      <c r="Z830" s="36">
        <f>IF(AQ830="5",BJ830,0)</f>
        <v>0</v>
      </c>
      <c r="AB830" s="36">
        <f>IF(AQ830="1",BH830,0)</f>
        <v>0</v>
      </c>
      <c r="AC830" s="36">
        <f>IF(AQ830="1",BI830,0)</f>
        <v>0</v>
      </c>
      <c r="AD830" s="36">
        <f>IF(AQ830="7",BH830,0)</f>
        <v>0</v>
      </c>
      <c r="AE830" s="36">
        <f>IF(AQ830="7",BI830,0)</f>
        <v>0</v>
      </c>
      <c r="AF830" s="36">
        <f>IF(AQ830="2",BH830,0)</f>
        <v>0</v>
      </c>
      <c r="AG830" s="36">
        <f>IF(AQ830="2",BI830,0)</f>
        <v>0</v>
      </c>
      <c r="AH830" s="36">
        <f>IF(AQ830="0",BJ830,0)</f>
        <v>0</v>
      </c>
      <c r="AI830" s="35" t="s">
        <v>2895</v>
      </c>
      <c r="AJ830" s="20">
        <f>IF(AN830=0,L830,0)</f>
        <v>0</v>
      </c>
      <c r="AK830" s="20">
        <f>IF(AN830=15,L830,0)</f>
        <v>0</v>
      </c>
      <c r="AL830" s="20">
        <f>IF(AN830=21,L830,0)</f>
        <v>0</v>
      </c>
      <c r="AN830" s="36">
        <v>21</v>
      </c>
      <c r="AO830" s="36">
        <f>I830*0</f>
        <v>0</v>
      </c>
      <c r="AP830" s="36">
        <f>I830*(1-0)</f>
        <v>0</v>
      </c>
      <c r="AQ830" s="37" t="s">
        <v>7</v>
      </c>
      <c r="AV830" s="36">
        <f>AW830+AX830</f>
        <v>0</v>
      </c>
      <c r="AW830" s="36">
        <f>H830*AO830</f>
        <v>0</v>
      </c>
      <c r="AX830" s="36">
        <f>H830*AP830</f>
        <v>0</v>
      </c>
      <c r="AY830" s="39" t="s">
        <v>2903</v>
      </c>
      <c r="AZ830" s="39" t="s">
        <v>2960</v>
      </c>
      <c r="BA830" s="35" t="s">
        <v>2968</v>
      </c>
      <c r="BC830" s="36">
        <f>AW830+AX830</f>
        <v>0</v>
      </c>
      <c r="BD830" s="36">
        <f>I830/(100-BE830)*100</f>
        <v>0</v>
      </c>
      <c r="BE830" s="36">
        <v>0</v>
      </c>
      <c r="BF830" s="36">
        <f>830</f>
        <v>830</v>
      </c>
      <c r="BH830" s="20">
        <f>H830*AO830</f>
        <v>0</v>
      </c>
      <c r="BI830" s="20">
        <f>H830*AP830</f>
        <v>0</v>
      </c>
      <c r="BJ830" s="20">
        <f>H830*I830</f>
        <v>0</v>
      </c>
      <c r="BK830" s="20" t="s">
        <v>2978</v>
      </c>
      <c r="BL830" s="36">
        <v>13</v>
      </c>
    </row>
    <row r="831" spans="1:64" x14ac:dyDescent="0.2">
      <c r="A831" s="4" t="s">
        <v>712</v>
      </c>
      <c r="B831" s="13" t="s">
        <v>1616</v>
      </c>
      <c r="C831" s="174" t="s">
        <v>2610</v>
      </c>
      <c r="D831" s="175"/>
      <c r="E831" s="175"/>
      <c r="F831" s="175"/>
      <c r="G831" s="13" t="s">
        <v>2853</v>
      </c>
      <c r="H831" s="82">
        <v>87.225999999999999</v>
      </c>
      <c r="I831" s="109">
        <v>0</v>
      </c>
      <c r="J831" s="20">
        <f>H831*AO831</f>
        <v>0</v>
      </c>
      <c r="K831" s="20">
        <f>H831*AP831</f>
        <v>0</v>
      </c>
      <c r="L831" s="20">
        <f>H831*I831</f>
        <v>0</v>
      </c>
      <c r="M831" s="31" t="s">
        <v>2884</v>
      </c>
      <c r="N831" s="5"/>
      <c r="Z831" s="36">
        <f>IF(AQ831="5",BJ831,0)</f>
        <v>0</v>
      </c>
      <c r="AB831" s="36">
        <f>IF(AQ831="1",BH831,0)</f>
        <v>0</v>
      </c>
      <c r="AC831" s="36">
        <f>IF(AQ831="1",BI831,0)</f>
        <v>0</v>
      </c>
      <c r="AD831" s="36">
        <f>IF(AQ831="7",BH831,0)</f>
        <v>0</v>
      </c>
      <c r="AE831" s="36">
        <f>IF(AQ831="7",BI831,0)</f>
        <v>0</v>
      </c>
      <c r="AF831" s="36">
        <f>IF(AQ831="2",BH831,0)</f>
        <v>0</v>
      </c>
      <c r="AG831" s="36">
        <f>IF(AQ831="2",BI831,0)</f>
        <v>0</v>
      </c>
      <c r="AH831" s="36">
        <f>IF(AQ831="0",BJ831,0)</f>
        <v>0</v>
      </c>
      <c r="AI831" s="35" t="s">
        <v>2895</v>
      </c>
      <c r="AJ831" s="20">
        <f>IF(AN831=0,L831,0)</f>
        <v>0</v>
      </c>
      <c r="AK831" s="20">
        <f>IF(AN831=15,L831,0)</f>
        <v>0</v>
      </c>
      <c r="AL831" s="20">
        <f>IF(AN831=21,L831,0)</f>
        <v>0</v>
      </c>
      <c r="AN831" s="36">
        <v>21</v>
      </c>
      <c r="AO831" s="36">
        <f>I831*0</f>
        <v>0</v>
      </c>
      <c r="AP831" s="36">
        <f>I831*(1-0)</f>
        <v>0</v>
      </c>
      <c r="AQ831" s="37" t="s">
        <v>7</v>
      </c>
      <c r="AV831" s="36">
        <f>AW831+AX831</f>
        <v>0</v>
      </c>
      <c r="AW831" s="36">
        <f>H831*AO831</f>
        <v>0</v>
      </c>
      <c r="AX831" s="36">
        <f>H831*AP831</f>
        <v>0</v>
      </c>
      <c r="AY831" s="39" t="s">
        <v>2903</v>
      </c>
      <c r="AZ831" s="39" t="s">
        <v>2960</v>
      </c>
      <c r="BA831" s="35" t="s">
        <v>2968</v>
      </c>
      <c r="BC831" s="36">
        <f>AW831+AX831</f>
        <v>0</v>
      </c>
      <c r="BD831" s="36">
        <f>I831/(100-BE831)*100</f>
        <v>0</v>
      </c>
      <c r="BE831" s="36">
        <v>0</v>
      </c>
      <c r="BF831" s="36">
        <f>831</f>
        <v>831</v>
      </c>
      <c r="BH831" s="20">
        <f>H831*AO831</f>
        <v>0</v>
      </c>
      <c r="BI831" s="20">
        <f>H831*AP831</f>
        <v>0</v>
      </c>
      <c r="BJ831" s="20">
        <f>H831*I831</f>
        <v>0</v>
      </c>
      <c r="BK831" s="20" t="s">
        <v>2978</v>
      </c>
      <c r="BL831" s="36">
        <v>13</v>
      </c>
    </row>
    <row r="832" spans="1:64" x14ac:dyDescent="0.2">
      <c r="A832" s="3"/>
      <c r="B832" s="12" t="s">
        <v>22</v>
      </c>
      <c r="C832" s="172" t="s">
        <v>1870</v>
      </c>
      <c r="D832" s="173"/>
      <c r="E832" s="173"/>
      <c r="F832" s="173"/>
      <c r="G832" s="18" t="s">
        <v>6</v>
      </c>
      <c r="H832" s="18" t="s">
        <v>6</v>
      </c>
      <c r="I832" s="18" t="s">
        <v>6</v>
      </c>
      <c r="J832" s="41">
        <f>SUM(J833:J836)</f>
        <v>0</v>
      </c>
      <c r="K832" s="41">
        <f>SUM(K833:K836)</f>
        <v>0</v>
      </c>
      <c r="L832" s="41">
        <f>SUM(L833:L836)</f>
        <v>0</v>
      </c>
      <c r="M832" s="30"/>
      <c r="N832" s="5"/>
      <c r="AI832" s="35" t="s">
        <v>2895</v>
      </c>
      <c r="AS832" s="41">
        <f>SUM(AJ833:AJ836)</f>
        <v>0</v>
      </c>
      <c r="AT832" s="41">
        <f>SUM(AK833:AK836)</f>
        <v>0</v>
      </c>
      <c r="AU832" s="41">
        <f>SUM(AL833:AL836)</f>
        <v>0</v>
      </c>
    </row>
    <row r="833" spans="1:64" x14ac:dyDescent="0.2">
      <c r="A833" s="4" t="s">
        <v>713</v>
      </c>
      <c r="B833" s="13" t="s">
        <v>968</v>
      </c>
      <c r="C833" s="174" t="s">
        <v>2611</v>
      </c>
      <c r="D833" s="175"/>
      <c r="E833" s="175"/>
      <c r="F833" s="175"/>
      <c r="G833" s="13" t="s">
        <v>2853</v>
      </c>
      <c r="H833" s="82">
        <v>87.225999999999999</v>
      </c>
      <c r="I833" s="109">
        <v>0</v>
      </c>
      <c r="J833" s="20">
        <f>H833*AO833</f>
        <v>0</v>
      </c>
      <c r="K833" s="20">
        <f>H833*AP833</f>
        <v>0</v>
      </c>
      <c r="L833" s="20">
        <f>H833*I833</f>
        <v>0</v>
      </c>
      <c r="M833" s="31" t="s">
        <v>2884</v>
      </c>
      <c r="N833" s="5"/>
      <c r="Z833" s="36">
        <f>IF(AQ833="5",BJ833,0)</f>
        <v>0</v>
      </c>
      <c r="AB833" s="36">
        <f>IF(AQ833="1",BH833,0)</f>
        <v>0</v>
      </c>
      <c r="AC833" s="36">
        <f>IF(AQ833="1",BI833,0)</f>
        <v>0</v>
      </c>
      <c r="AD833" s="36">
        <f>IF(AQ833="7",BH833,0)</f>
        <v>0</v>
      </c>
      <c r="AE833" s="36">
        <f>IF(AQ833="7",BI833,0)</f>
        <v>0</v>
      </c>
      <c r="AF833" s="36">
        <f>IF(AQ833="2",BH833,0)</f>
        <v>0</v>
      </c>
      <c r="AG833" s="36">
        <f>IF(AQ833="2",BI833,0)</f>
        <v>0</v>
      </c>
      <c r="AH833" s="36">
        <f>IF(AQ833="0",BJ833,0)</f>
        <v>0</v>
      </c>
      <c r="AI833" s="35" t="s">
        <v>2895</v>
      </c>
      <c r="AJ833" s="20">
        <f>IF(AN833=0,L833,0)</f>
        <v>0</v>
      </c>
      <c r="AK833" s="20">
        <f>IF(AN833=15,L833,0)</f>
        <v>0</v>
      </c>
      <c r="AL833" s="20">
        <f>IF(AN833=21,L833,0)</f>
        <v>0</v>
      </c>
      <c r="AN833" s="36">
        <v>21</v>
      </c>
      <c r="AO833" s="36">
        <f>I833*0</f>
        <v>0</v>
      </c>
      <c r="AP833" s="36">
        <f>I833*(1-0)</f>
        <v>0</v>
      </c>
      <c r="AQ833" s="37" t="s">
        <v>7</v>
      </c>
      <c r="AV833" s="36">
        <f>AW833+AX833</f>
        <v>0</v>
      </c>
      <c r="AW833" s="36">
        <f>H833*AO833</f>
        <v>0</v>
      </c>
      <c r="AX833" s="36">
        <f>H833*AP833</f>
        <v>0</v>
      </c>
      <c r="AY833" s="39" t="s">
        <v>2904</v>
      </c>
      <c r="AZ833" s="39" t="s">
        <v>2960</v>
      </c>
      <c r="BA833" s="35" t="s">
        <v>2968</v>
      </c>
      <c r="BC833" s="36">
        <f>AW833+AX833</f>
        <v>0</v>
      </c>
      <c r="BD833" s="36">
        <f>I833/(100-BE833)*100</f>
        <v>0</v>
      </c>
      <c r="BE833" s="36">
        <v>0</v>
      </c>
      <c r="BF833" s="36">
        <f>833</f>
        <v>833</v>
      </c>
      <c r="BH833" s="20">
        <f>H833*AO833</f>
        <v>0</v>
      </c>
      <c r="BI833" s="20">
        <f>H833*AP833</f>
        <v>0</v>
      </c>
      <c r="BJ833" s="20">
        <f>H833*I833</f>
        <v>0</v>
      </c>
      <c r="BK833" s="20" t="s">
        <v>2978</v>
      </c>
      <c r="BL833" s="36">
        <v>16</v>
      </c>
    </row>
    <row r="834" spans="1:64" x14ac:dyDescent="0.2">
      <c r="A834" s="4" t="s">
        <v>714</v>
      </c>
      <c r="B834" s="13" t="s">
        <v>968</v>
      </c>
      <c r="C834" s="174" t="s">
        <v>2612</v>
      </c>
      <c r="D834" s="175"/>
      <c r="E834" s="175"/>
      <c r="F834" s="175"/>
      <c r="G834" s="13" t="s">
        <v>2853</v>
      </c>
      <c r="H834" s="82">
        <v>87.225999999999999</v>
      </c>
      <c r="I834" s="109">
        <v>0</v>
      </c>
      <c r="J834" s="20">
        <f>H834*AO834</f>
        <v>0</v>
      </c>
      <c r="K834" s="20">
        <f>H834*AP834</f>
        <v>0</v>
      </c>
      <c r="L834" s="20">
        <f>H834*I834</f>
        <v>0</v>
      </c>
      <c r="M834" s="31" t="s">
        <v>2884</v>
      </c>
      <c r="N834" s="5"/>
      <c r="Z834" s="36">
        <f>IF(AQ834="5",BJ834,0)</f>
        <v>0</v>
      </c>
      <c r="AB834" s="36">
        <f>IF(AQ834="1",BH834,0)</f>
        <v>0</v>
      </c>
      <c r="AC834" s="36">
        <f>IF(AQ834="1",BI834,0)</f>
        <v>0</v>
      </c>
      <c r="AD834" s="36">
        <f>IF(AQ834="7",BH834,0)</f>
        <v>0</v>
      </c>
      <c r="AE834" s="36">
        <f>IF(AQ834="7",BI834,0)</f>
        <v>0</v>
      </c>
      <c r="AF834" s="36">
        <f>IF(AQ834="2",BH834,0)</f>
        <v>0</v>
      </c>
      <c r="AG834" s="36">
        <f>IF(AQ834="2",BI834,0)</f>
        <v>0</v>
      </c>
      <c r="AH834" s="36">
        <f>IF(AQ834="0",BJ834,0)</f>
        <v>0</v>
      </c>
      <c r="AI834" s="35" t="s">
        <v>2895</v>
      </c>
      <c r="AJ834" s="20">
        <f>IF(AN834=0,L834,0)</f>
        <v>0</v>
      </c>
      <c r="AK834" s="20">
        <f>IF(AN834=15,L834,0)</f>
        <v>0</v>
      </c>
      <c r="AL834" s="20">
        <f>IF(AN834=21,L834,0)</f>
        <v>0</v>
      </c>
      <c r="AN834" s="36">
        <v>21</v>
      </c>
      <c r="AO834" s="36">
        <f>I834*0</f>
        <v>0</v>
      </c>
      <c r="AP834" s="36">
        <f>I834*(1-0)</f>
        <v>0</v>
      </c>
      <c r="AQ834" s="37" t="s">
        <v>7</v>
      </c>
      <c r="AV834" s="36">
        <f>AW834+AX834</f>
        <v>0</v>
      </c>
      <c r="AW834" s="36">
        <f>H834*AO834</f>
        <v>0</v>
      </c>
      <c r="AX834" s="36">
        <f>H834*AP834</f>
        <v>0</v>
      </c>
      <c r="AY834" s="39" t="s">
        <v>2904</v>
      </c>
      <c r="AZ834" s="39" t="s">
        <v>2960</v>
      </c>
      <c r="BA834" s="35" t="s">
        <v>2968</v>
      </c>
      <c r="BC834" s="36">
        <f>AW834+AX834</f>
        <v>0</v>
      </c>
      <c r="BD834" s="36">
        <f>I834/(100-BE834)*100</f>
        <v>0</v>
      </c>
      <c r="BE834" s="36">
        <v>0</v>
      </c>
      <c r="BF834" s="36">
        <f>834</f>
        <v>834</v>
      </c>
      <c r="BH834" s="20">
        <f>H834*AO834</f>
        <v>0</v>
      </c>
      <c r="BI834" s="20">
        <f>H834*AP834</f>
        <v>0</v>
      </c>
      <c r="BJ834" s="20">
        <f>H834*I834</f>
        <v>0</v>
      </c>
      <c r="BK834" s="20" t="s">
        <v>2978</v>
      </c>
      <c r="BL834" s="36">
        <v>16</v>
      </c>
    </row>
    <row r="835" spans="1:64" x14ac:dyDescent="0.2">
      <c r="A835" s="4" t="s">
        <v>715</v>
      </c>
      <c r="B835" s="13" t="s">
        <v>1617</v>
      </c>
      <c r="C835" s="174" t="s">
        <v>2613</v>
      </c>
      <c r="D835" s="175"/>
      <c r="E835" s="175"/>
      <c r="F835" s="175"/>
      <c r="G835" s="13" t="s">
        <v>2853</v>
      </c>
      <c r="H835" s="82">
        <v>87.225999999999999</v>
      </c>
      <c r="I835" s="109">
        <v>0</v>
      </c>
      <c r="J835" s="20">
        <f>H835*AO835</f>
        <v>0</v>
      </c>
      <c r="K835" s="20">
        <f>H835*AP835</f>
        <v>0</v>
      </c>
      <c r="L835" s="20">
        <f>H835*I835</f>
        <v>0</v>
      </c>
      <c r="M835" s="31" t="s">
        <v>2884</v>
      </c>
      <c r="N835" s="5"/>
      <c r="Z835" s="36">
        <f>IF(AQ835="5",BJ835,0)</f>
        <v>0</v>
      </c>
      <c r="AB835" s="36">
        <f>IF(AQ835="1",BH835,0)</f>
        <v>0</v>
      </c>
      <c r="AC835" s="36">
        <f>IF(AQ835="1",BI835,0)</f>
        <v>0</v>
      </c>
      <c r="AD835" s="36">
        <f>IF(AQ835="7",BH835,0)</f>
        <v>0</v>
      </c>
      <c r="AE835" s="36">
        <f>IF(AQ835="7",BI835,0)</f>
        <v>0</v>
      </c>
      <c r="AF835" s="36">
        <f>IF(AQ835="2",BH835,0)</f>
        <v>0</v>
      </c>
      <c r="AG835" s="36">
        <f>IF(AQ835="2",BI835,0)</f>
        <v>0</v>
      </c>
      <c r="AH835" s="36">
        <f>IF(AQ835="0",BJ835,0)</f>
        <v>0</v>
      </c>
      <c r="AI835" s="35" t="s">
        <v>2895</v>
      </c>
      <c r="AJ835" s="20">
        <f>IF(AN835=0,L835,0)</f>
        <v>0</v>
      </c>
      <c r="AK835" s="20">
        <f>IF(AN835=15,L835,0)</f>
        <v>0</v>
      </c>
      <c r="AL835" s="20">
        <f>IF(AN835=21,L835,0)</f>
        <v>0</v>
      </c>
      <c r="AN835" s="36">
        <v>21</v>
      </c>
      <c r="AO835" s="36">
        <f>I835*0</f>
        <v>0</v>
      </c>
      <c r="AP835" s="36">
        <f>I835*(1-0)</f>
        <v>0</v>
      </c>
      <c r="AQ835" s="37" t="s">
        <v>7</v>
      </c>
      <c r="AV835" s="36">
        <f>AW835+AX835</f>
        <v>0</v>
      </c>
      <c r="AW835" s="36">
        <f>H835*AO835</f>
        <v>0</v>
      </c>
      <c r="AX835" s="36">
        <f>H835*AP835</f>
        <v>0</v>
      </c>
      <c r="AY835" s="39" t="s">
        <v>2904</v>
      </c>
      <c r="AZ835" s="39" t="s">
        <v>2960</v>
      </c>
      <c r="BA835" s="35" t="s">
        <v>2968</v>
      </c>
      <c r="BC835" s="36">
        <f>AW835+AX835</f>
        <v>0</v>
      </c>
      <c r="BD835" s="36">
        <f>I835/(100-BE835)*100</f>
        <v>0</v>
      </c>
      <c r="BE835" s="36">
        <v>0</v>
      </c>
      <c r="BF835" s="36">
        <f>835</f>
        <v>835</v>
      </c>
      <c r="BH835" s="20">
        <f>H835*AO835</f>
        <v>0</v>
      </c>
      <c r="BI835" s="20">
        <f>H835*AP835</f>
        <v>0</v>
      </c>
      <c r="BJ835" s="20">
        <f>H835*I835</f>
        <v>0</v>
      </c>
      <c r="BK835" s="20" t="s">
        <v>2978</v>
      </c>
      <c r="BL835" s="36">
        <v>16</v>
      </c>
    </row>
    <row r="836" spans="1:64" x14ac:dyDescent="0.2">
      <c r="A836" s="4" t="s">
        <v>716</v>
      </c>
      <c r="B836" s="13" t="s">
        <v>1617</v>
      </c>
      <c r="C836" s="174" t="s">
        <v>2614</v>
      </c>
      <c r="D836" s="175"/>
      <c r="E836" s="175"/>
      <c r="F836" s="175"/>
      <c r="G836" s="13" t="s">
        <v>2853</v>
      </c>
      <c r="H836" s="82">
        <v>87.225999999999999</v>
      </c>
      <c r="I836" s="109">
        <v>0</v>
      </c>
      <c r="J836" s="20">
        <f>H836*AO836</f>
        <v>0</v>
      </c>
      <c r="K836" s="20">
        <f>H836*AP836</f>
        <v>0</v>
      </c>
      <c r="L836" s="20">
        <f>H836*I836</f>
        <v>0</v>
      </c>
      <c r="M836" s="31" t="s">
        <v>2884</v>
      </c>
      <c r="N836" s="5"/>
      <c r="Z836" s="36">
        <f>IF(AQ836="5",BJ836,0)</f>
        <v>0</v>
      </c>
      <c r="AB836" s="36">
        <f>IF(AQ836="1",BH836,0)</f>
        <v>0</v>
      </c>
      <c r="AC836" s="36">
        <f>IF(AQ836="1",BI836,0)</f>
        <v>0</v>
      </c>
      <c r="AD836" s="36">
        <f>IF(AQ836="7",BH836,0)</f>
        <v>0</v>
      </c>
      <c r="AE836" s="36">
        <f>IF(AQ836="7",BI836,0)</f>
        <v>0</v>
      </c>
      <c r="AF836" s="36">
        <f>IF(AQ836="2",BH836,0)</f>
        <v>0</v>
      </c>
      <c r="AG836" s="36">
        <f>IF(AQ836="2",BI836,0)</f>
        <v>0</v>
      </c>
      <c r="AH836" s="36">
        <f>IF(AQ836="0",BJ836,0)</f>
        <v>0</v>
      </c>
      <c r="AI836" s="35" t="s">
        <v>2895</v>
      </c>
      <c r="AJ836" s="20">
        <f>IF(AN836=0,L836,0)</f>
        <v>0</v>
      </c>
      <c r="AK836" s="20">
        <f>IF(AN836=15,L836,0)</f>
        <v>0</v>
      </c>
      <c r="AL836" s="20">
        <f>IF(AN836=21,L836,0)</f>
        <v>0</v>
      </c>
      <c r="AN836" s="36">
        <v>21</v>
      </c>
      <c r="AO836" s="36">
        <f>I836*0</f>
        <v>0</v>
      </c>
      <c r="AP836" s="36">
        <f>I836*(1-0)</f>
        <v>0</v>
      </c>
      <c r="AQ836" s="37" t="s">
        <v>7</v>
      </c>
      <c r="AV836" s="36">
        <f>AW836+AX836</f>
        <v>0</v>
      </c>
      <c r="AW836" s="36">
        <f>H836*AO836</f>
        <v>0</v>
      </c>
      <c r="AX836" s="36">
        <f>H836*AP836</f>
        <v>0</v>
      </c>
      <c r="AY836" s="39" t="s">
        <v>2904</v>
      </c>
      <c r="AZ836" s="39" t="s">
        <v>2960</v>
      </c>
      <c r="BA836" s="35" t="s">
        <v>2968</v>
      </c>
      <c r="BC836" s="36">
        <f>AW836+AX836</f>
        <v>0</v>
      </c>
      <c r="BD836" s="36">
        <f>I836/(100-BE836)*100</f>
        <v>0</v>
      </c>
      <c r="BE836" s="36">
        <v>0</v>
      </c>
      <c r="BF836" s="36">
        <f>836</f>
        <v>836</v>
      </c>
      <c r="BH836" s="20">
        <f>H836*AO836</f>
        <v>0</v>
      </c>
      <c r="BI836" s="20">
        <f>H836*AP836</f>
        <v>0</v>
      </c>
      <c r="BJ836" s="20">
        <f>H836*I836</f>
        <v>0</v>
      </c>
      <c r="BK836" s="20" t="s">
        <v>2978</v>
      </c>
      <c r="BL836" s="36">
        <v>16</v>
      </c>
    </row>
    <row r="837" spans="1:64" x14ac:dyDescent="0.2">
      <c r="A837" s="3"/>
      <c r="B837" s="12" t="s">
        <v>23</v>
      </c>
      <c r="C837" s="172" t="s">
        <v>1876</v>
      </c>
      <c r="D837" s="173"/>
      <c r="E837" s="173"/>
      <c r="F837" s="173"/>
      <c r="G837" s="18" t="s">
        <v>6</v>
      </c>
      <c r="H837" s="18" t="s">
        <v>6</v>
      </c>
      <c r="I837" s="18" t="s">
        <v>6</v>
      </c>
      <c r="J837" s="41">
        <f>SUM(J838:J839)</f>
        <v>0</v>
      </c>
      <c r="K837" s="41">
        <f>SUM(K838:K839)</f>
        <v>0</v>
      </c>
      <c r="L837" s="41">
        <f>SUM(L838:L839)</f>
        <v>0</v>
      </c>
      <c r="M837" s="30"/>
      <c r="N837" s="5"/>
      <c r="AI837" s="35" t="s">
        <v>2895</v>
      </c>
      <c r="AS837" s="41">
        <f>SUM(AJ838:AJ839)</f>
        <v>0</v>
      </c>
      <c r="AT837" s="41">
        <f>SUM(AK838:AK839)</f>
        <v>0</v>
      </c>
      <c r="AU837" s="41">
        <f>SUM(AL838:AL839)</f>
        <v>0</v>
      </c>
    </row>
    <row r="838" spans="1:64" x14ac:dyDescent="0.2">
      <c r="A838" s="4" t="s">
        <v>717</v>
      </c>
      <c r="B838" s="13" t="s">
        <v>972</v>
      </c>
      <c r="C838" s="174" t="s">
        <v>2615</v>
      </c>
      <c r="D838" s="175"/>
      <c r="E838" s="175"/>
      <c r="F838" s="175"/>
      <c r="G838" s="13" t="s">
        <v>2853</v>
      </c>
      <c r="H838" s="82">
        <v>87.225999999999999</v>
      </c>
      <c r="I838" s="109">
        <v>0</v>
      </c>
      <c r="J838" s="20">
        <f>H838*AO838</f>
        <v>0</v>
      </c>
      <c r="K838" s="20">
        <f>H838*AP838</f>
        <v>0</v>
      </c>
      <c r="L838" s="20">
        <f>H838*I838</f>
        <v>0</v>
      </c>
      <c r="M838" s="31" t="s">
        <v>2884</v>
      </c>
      <c r="N838" s="5"/>
      <c r="Z838" s="36">
        <f>IF(AQ838="5",BJ838,0)</f>
        <v>0</v>
      </c>
      <c r="AB838" s="36">
        <f>IF(AQ838="1",BH838,0)</f>
        <v>0</v>
      </c>
      <c r="AC838" s="36">
        <f>IF(AQ838="1",BI838,0)</f>
        <v>0</v>
      </c>
      <c r="AD838" s="36">
        <f>IF(AQ838="7",BH838,0)</f>
        <v>0</v>
      </c>
      <c r="AE838" s="36">
        <f>IF(AQ838="7",BI838,0)</f>
        <v>0</v>
      </c>
      <c r="AF838" s="36">
        <f>IF(AQ838="2",BH838,0)</f>
        <v>0</v>
      </c>
      <c r="AG838" s="36">
        <f>IF(AQ838="2",BI838,0)</f>
        <v>0</v>
      </c>
      <c r="AH838" s="36">
        <f>IF(AQ838="0",BJ838,0)</f>
        <v>0</v>
      </c>
      <c r="AI838" s="35" t="s">
        <v>2895</v>
      </c>
      <c r="AJ838" s="20">
        <f>IF(AN838=0,L838,0)</f>
        <v>0</v>
      </c>
      <c r="AK838" s="20">
        <f>IF(AN838=15,L838,0)</f>
        <v>0</v>
      </c>
      <c r="AL838" s="20">
        <f>IF(AN838=21,L838,0)</f>
        <v>0</v>
      </c>
      <c r="AN838" s="36">
        <v>21</v>
      </c>
      <c r="AO838" s="36">
        <f>I838*0</f>
        <v>0</v>
      </c>
      <c r="AP838" s="36">
        <f>I838*(1-0)</f>
        <v>0</v>
      </c>
      <c r="AQ838" s="37" t="s">
        <v>7</v>
      </c>
      <c r="AV838" s="36">
        <f>AW838+AX838</f>
        <v>0</v>
      </c>
      <c r="AW838" s="36">
        <f>H838*AO838</f>
        <v>0</v>
      </c>
      <c r="AX838" s="36">
        <f>H838*AP838</f>
        <v>0</v>
      </c>
      <c r="AY838" s="39" t="s">
        <v>2905</v>
      </c>
      <c r="AZ838" s="39" t="s">
        <v>2960</v>
      </c>
      <c r="BA838" s="35" t="s">
        <v>2968</v>
      </c>
      <c r="BC838" s="36">
        <f>AW838+AX838</f>
        <v>0</v>
      </c>
      <c r="BD838" s="36">
        <f>I838/(100-BE838)*100</f>
        <v>0</v>
      </c>
      <c r="BE838" s="36">
        <v>0</v>
      </c>
      <c r="BF838" s="36">
        <f>838</f>
        <v>838</v>
      </c>
      <c r="BH838" s="20">
        <f>H838*AO838</f>
        <v>0</v>
      </c>
      <c r="BI838" s="20">
        <f>H838*AP838</f>
        <v>0</v>
      </c>
      <c r="BJ838" s="20">
        <f>H838*I838</f>
        <v>0</v>
      </c>
      <c r="BK838" s="20" t="s">
        <v>2978</v>
      </c>
      <c r="BL838" s="36">
        <v>17</v>
      </c>
    </row>
    <row r="839" spans="1:64" x14ac:dyDescent="0.2">
      <c r="A839" s="4" t="s">
        <v>718</v>
      </c>
      <c r="B839" s="13" t="s">
        <v>973</v>
      </c>
      <c r="C839" s="174" t="s">
        <v>2616</v>
      </c>
      <c r="D839" s="175"/>
      <c r="E839" s="175"/>
      <c r="F839" s="175"/>
      <c r="G839" s="13" t="s">
        <v>2853</v>
      </c>
      <c r="H839" s="82">
        <v>108.52</v>
      </c>
      <c r="I839" s="109">
        <v>0</v>
      </c>
      <c r="J839" s="20">
        <f>H839*AO839</f>
        <v>0</v>
      </c>
      <c r="K839" s="20">
        <f>H839*AP839</f>
        <v>0</v>
      </c>
      <c r="L839" s="20">
        <f>H839*I839</f>
        <v>0</v>
      </c>
      <c r="M839" s="31" t="s">
        <v>2884</v>
      </c>
      <c r="N839" s="5"/>
      <c r="Z839" s="36">
        <f>IF(AQ839="5",BJ839,0)</f>
        <v>0</v>
      </c>
      <c r="AB839" s="36">
        <f>IF(AQ839="1",BH839,0)</f>
        <v>0</v>
      </c>
      <c r="AC839" s="36">
        <f>IF(AQ839="1",BI839,0)</f>
        <v>0</v>
      </c>
      <c r="AD839" s="36">
        <f>IF(AQ839="7",BH839,0)</f>
        <v>0</v>
      </c>
      <c r="AE839" s="36">
        <f>IF(AQ839="7",BI839,0)</f>
        <v>0</v>
      </c>
      <c r="AF839" s="36">
        <f>IF(AQ839="2",BH839,0)</f>
        <v>0</v>
      </c>
      <c r="AG839" s="36">
        <f>IF(AQ839="2",BI839,0)</f>
        <v>0</v>
      </c>
      <c r="AH839" s="36">
        <f>IF(AQ839="0",BJ839,0)</f>
        <v>0</v>
      </c>
      <c r="AI839" s="35" t="s">
        <v>2895</v>
      </c>
      <c r="AJ839" s="20">
        <f>IF(AN839=0,L839,0)</f>
        <v>0</v>
      </c>
      <c r="AK839" s="20">
        <f>IF(AN839=15,L839,0)</f>
        <v>0</v>
      </c>
      <c r="AL839" s="20">
        <f>IF(AN839=21,L839,0)</f>
        <v>0</v>
      </c>
      <c r="AN839" s="36">
        <v>21</v>
      </c>
      <c r="AO839" s="36">
        <f>I839*0</f>
        <v>0</v>
      </c>
      <c r="AP839" s="36">
        <f>I839*(1-0)</f>
        <v>0</v>
      </c>
      <c r="AQ839" s="37" t="s">
        <v>7</v>
      </c>
      <c r="AV839" s="36">
        <f>AW839+AX839</f>
        <v>0</v>
      </c>
      <c r="AW839" s="36">
        <f>H839*AO839</f>
        <v>0</v>
      </c>
      <c r="AX839" s="36">
        <f>H839*AP839</f>
        <v>0</v>
      </c>
      <c r="AY839" s="39" t="s">
        <v>2905</v>
      </c>
      <c r="AZ839" s="39" t="s">
        <v>2960</v>
      </c>
      <c r="BA839" s="35" t="s">
        <v>2968</v>
      </c>
      <c r="BC839" s="36">
        <f>AW839+AX839</f>
        <v>0</v>
      </c>
      <c r="BD839" s="36">
        <f>I839/(100-BE839)*100</f>
        <v>0</v>
      </c>
      <c r="BE839" s="36">
        <v>0</v>
      </c>
      <c r="BF839" s="36">
        <f>839</f>
        <v>839</v>
      </c>
      <c r="BH839" s="20">
        <f>H839*AO839</f>
        <v>0</v>
      </c>
      <c r="BI839" s="20">
        <f>H839*AP839</f>
        <v>0</v>
      </c>
      <c r="BJ839" s="20">
        <f>H839*I839</f>
        <v>0</v>
      </c>
      <c r="BK839" s="20" t="s">
        <v>2978</v>
      </c>
      <c r="BL839" s="36">
        <v>17</v>
      </c>
    </row>
    <row r="840" spans="1:64" x14ac:dyDescent="0.2">
      <c r="A840" s="3"/>
      <c r="B840" s="12" t="s">
        <v>24</v>
      </c>
      <c r="C840" s="172" t="s">
        <v>1882</v>
      </c>
      <c r="D840" s="173"/>
      <c r="E840" s="173"/>
      <c r="F840" s="173"/>
      <c r="G840" s="18" t="s">
        <v>6</v>
      </c>
      <c r="H840" s="18" t="s">
        <v>6</v>
      </c>
      <c r="I840" s="18" t="s">
        <v>6</v>
      </c>
      <c r="J840" s="41">
        <f>SUM(J841:J843)</f>
        <v>0</v>
      </c>
      <c r="K840" s="41">
        <f>SUM(K841:K843)</f>
        <v>0</v>
      </c>
      <c r="L840" s="41">
        <f>SUM(L841:L843)</f>
        <v>0</v>
      </c>
      <c r="M840" s="30"/>
      <c r="N840" s="5"/>
      <c r="AI840" s="35" t="s">
        <v>2895</v>
      </c>
      <c r="AS840" s="41">
        <f>SUM(AJ841:AJ843)</f>
        <v>0</v>
      </c>
      <c r="AT840" s="41">
        <f>SUM(AK841:AK843)</f>
        <v>0</v>
      </c>
      <c r="AU840" s="41">
        <f>SUM(AL841:AL843)</f>
        <v>0</v>
      </c>
    </row>
    <row r="841" spans="1:64" x14ac:dyDescent="0.2">
      <c r="A841" s="4" t="s">
        <v>719</v>
      </c>
      <c r="B841" s="13" t="s">
        <v>1618</v>
      </c>
      <c r="C841" s="174" t="s">
        <v>2617</v>
      </c>
      <c r="D841" s="175"/>
      <c r="E841" s="175"/>
      <c r="F841" s="175"/>
      <c r="G841" s="13" t="s">
        <v>2854</v>
      </c>
      <c r="H841" s="82">
        <v>43.2</v>
      </c>
      <c r="I841" s="109">
        <v>0</v>
      </c>
      <c r="J841" s="20">
        <f>H841*AO841</f>
        <v>0</v>
      </c>
      <c r="K841" s="20">
        <f>H841*AP841</f>
        <v>0</v>
      </c>
      <c r="L841" s="20">
        <f>H841*I841</f>
        <v>0</v>
      </c>
      <c r="M841" s="31" t="s">
        <v>2884</v>
      </c>
      <c r="N841" s="5"/>
      <c r="Z841" s="36">
        <f>IF(AQ841="5",BJ841,0)</f>
        <v>0</v>
      </c>
      <c r="AB841" s="36">
        <f>IF(AQ841="1",BH841,0)</f>
        <v>0</v>
      </c>
      <c r="AC841" s="36">
        <f>IF(AQ841="1",BI841,0)</f>
        <v>0</v>
      </c>
      <c r="AD841" s="36">
        <f>IF(AQ841="7",BH841,0)</f>
        <v>0</v>
      </c>
      <c r="AE841" s="36">
        <f>IF(AQ841="7",BI841,0)</f>
        <v>0</v>
      </c>
      <c r="AF841" s="36">
        <f>IF(AQ841="2",BH841,0)</f>
        <v>0</v>
      </c>
      <c r="AG841" s="36">
        <f>IF(AQ841="2",BI841,0)</f>
        <v>0</v>
      </c>
      <c r="AH841" s="36">
        <f>IF(AQ841="0",BJ841,0)</f>
        <v>0</v>
      </c>
      <c r="AI841" s="35" t="s">
        <v>2895</v>
      </c>
      <c r="AJ841" s="20">
        <f>IF(AN841=0,L841,0)</f>
        <v>0</v>
      </c>
      <c r="AK841" s="20">
        <f>IF(AN841=15,L841,0)</f>
        <v>0</v>
      </c>
      <c r="AL841" s="20">
        <f>IF(AN841=21,L841,0)</f>
        <v>0</v>
      </c>
      <c r="AN841" s="36">
        <v>21</v>
      </c>
      <c r="AO841" s="36">
        <f>I841*0.219036777583187</f>
        <v>0</v>
      </c>
      <c r="AP841" s="36">
        <f>I841*(1-0.219036777583187)</f>
        <v>0</v>
      </c>
      <c r="AQ841" s="37" t="s">
        <v>7</v>
      </c>
      <c r="AV841" s="36">
        <f>AW841+AX841</f>
        <v>0</v>
      </c>
      <c r="AW841" s="36">
        <f>H841*AO841</f>
        <v>0</v>
      </c>
      <c r="AX841" s="36">
        <f>H841*AP841</f>
        <v>0</v>
      </c>
      <c r="AY841" s="39" t="s">
        <v>2906</v>
      </c>
      <c r="AZ841" s="39" t="s">
        <v>2960</v>
      </c>
      <c r="BA841" s="35" t="s">
        <v>2968</v>
      </c>
      <c r="BC841" s="36">
        <f>AW841+AX841</f>
        <v>0</v>
      </c>
      <c r="BD841" s="36">
        <f>I841/(100-BE841)*100</f>
        <v>0</v>
      </c>
      <c r="BE841" s="36">
        <v>0</v>
      </c>
      <c r="BF841" s="36">
        <f>841</f>
        <v>841</v>
      </c>
      <c r="BH841" s="20">
        <f>H841*AO841</f>
        <v>0</v>
      </c>
      <c r="BI841" s="20">
        <f>H841*AP841</f>
        <v>0</v>
      </c>
      <c r="BJ841" s="20">
        <f>H841*I841</f>
        <v>0</v>
      </c>
      <c r="BK841" s="20" t="s">
        <v>2978</v>
      </c>
      <c r="BL841" s="36">
        <v>18</v>
      </c>
    </row>
    <row r="842" spans="1:64" x14ac:dyDescent="0.2">
      <c r="A842" s="4" t="s">
        <v>720</v>
      </c>
      <c r="B842" s="13" t="s">
        <v>1619</v>
      </c>
      <c r="C842" s="174" t="s">
        <v>2618</v>
      </c>
      <c r="D842" s="175"/>
      <c r="E842" s="175"/>
      <c r="F842" s="175"/>
      <c r="G842" s="13" t="s">
        <v>2854</v>
      </c>
      <c r="H842" s="82">
        <v>43.2</v>
      </c>
      <c r="I842" s="109">
        <v>0</v>
      </c>
      <c r="J842" s="20">
        <f>H842*AO842</f>
        <v>0</v>
      </c>
      <c r="K842" s="20">
        <f>H842*AP842</f>
        <v>0</v>
      </c>
      <c r="L842" s="20">
        <f>H842*I842</f>
        <v>0</v>
      </c>
      <c r="M842" s="31" t="s">
        <v>2884</v>
      </c>
      <c r="N842" s="5"/>
      <c r="Z842" s="36">
        <f>IF(AQ842="5",BJ842,0)</f>
        <v>0</v>
      </c>
      <c r="AB842" s="36">
        <f>IF(AQ842="1",BH842,0)</f>
        <v>0</v>
      </c>
      <c r="AC842" s="36">
        <f>IF(AQ842="1",BI842,0)</f>
        <v>0</v>
      </c>
      <c r="AD842" s="36">
        <f>IF(AQ842="7",BH842,0)</f>
        <v>0</v>
      </c>
      <c r="AE842" s="36">
        <f>IF(AQ842="7",BI842,0)</f>
        <v>0</v>
      </c>
      <c r="AF842" s="36">
        <f>IF(AQ842="2",BH842,0)</f>
        <v>0</v>
      </c>
      <c r="AG842" s="36">
        <f>IF(AQ842="2",BI842,0)</f>
        <v>0</v>
      </c>
      <c r="AH842" s="36">
        <f>IF(AQ842="0",BJ842,0)</f>
        <v>0</v>
      </c>
      <c r="AI842" s="35" t="s">
        <v>2895</v>
      </c>
      <c r="AJ842" s="20">
        <f>IF(AN842=0,L842,0)</f>
        <v>0</v>
      </c>
      <c r="AK842" s="20">
        <f>IF(AN842=15,L842,0)</f>
        <v>0</v>
      </c>
      <c r="AL842" s="20">
        <f>IF(AN842=21,L842,0)</f>
        <v>0</v>
      </c>
      <c r="AN842" s="36">
        <v>21</v>
      </c>
      <c r="AO842" s="36">
        <f>I842*0</f>
        <v>0</v>
      </c>
      <c r="AP842" s="36">
        <f>I842*(1-0)</f>
        <v>0</v>
      </c>
      <c r="AQ842" s="37" t="s">
        <v>7</v>
      </c>
      <c r="AV842" s="36">
        <f>AW842+AX842</f>
        <v>0</v>
      </c>
      <c r="AW842" s="36">
        <f>H842*AO842</f>
        <v>0</v>
      </c>
      <c r="AX842" s="36">
        <f>H842*AP842</f>
        <v>0</v>
      </c>
      <c r="AY842" s="39" t="s">
        <v>2906</v>
      </c>
      <c r="AZ842" s="39" t="s">
        <v>2960</v>
      </c>
      <c r="BA842" s="35" t="s">
        <v>2968</v>
      </c>
      <c r="BC842" s="36">
        <f>AW842+AX842</f>
        <v>0</v>
      </c>
      <c r="BD842" s="36">
        <f>I842/(100-BE842)*100</f>
        <v>0</v>
      </c>
      <c r="BE842" s="36">
        <v>0</v>
      </c>
      <c r="BF842" s="36">
        <f>842</f>
        <v>842</v>
      </c>
      <c r="BH842" s="20">
        <f>H842*AO842</f>
        <v>0</v>
      </c>
      <c r="BI842" s="20">
        <f>H842*AP842</f>
        <v>0</v>
      </c>
      <c r="BJ842" s="20">
        <f>H842*I842</f>
        <v>0</v>
      </c>
      <c r="BK842" s="20" t="s">
        <v>2978</v>
      </c>
      <c r="BL842" s="36">
        <v>18</v>
      </c>
    </row>
    <row r="843" spans="1:64" x14ac:dyDescent="0.2">
      <c r="A843" s="4" t="s">
        <v>721</v>
      </c>
      <c r="B843" s="13" t="s">
        <v>1620</v>
      </c>
      <c r="C843" s="174" t="s">
        <v>2619</v>
      </c>
      <c r="D843" s="175"/>
      <c r="E843" s="175"/>
      <c r="F843" s="175"/>
      <c r="G843" s="13" t="s">
        <v>2854</v>
      </c>
      <c r="H843" s="82">
        <v>40</v>
      </c>
      <c r="I843" s="109">
        <v>0</v>
      </c>
      <c r="J843" s="20">
        <f>H843*AO843</f>
        <v>0</v>
      </c>
      <c r="K843" s="20">
        <f>H843*AP843</f>
        <v>0</v>
      </c>
      <c r="L843" s="20">
        <f>H843*I843</f>
        <v>0</v>
      </c>
      <c r="M843" s="31" t="s">
        <v>2884</v>
      </c>
      <c r="N843" s="5"/>
      <c r="Z843" s="36">
        <f>IF(AQ843="5",BJ843,0)</f>
        <v>0</v>
      </c>
      <c r="AB843" s="36">
        <f>IF(AQ843="1",BH843,0)</f>
        <v>0</v>
      </c>
      <c r="AC843" s="36">
        <f>IF(AQ843="1",BI843,0)</f>
        <v>0</v>
      </c>
      <c r="AD843" s="36">
        <f>IF(AQ843="7",BH843,0)</f>
        <v>0</v>
      </c>
      <c r="AE843" s="36">
        <f>IF(AQ843="7",BI843,0)</f>
        <v>0</v>
      </c>
      <c r="AF843" s="36">
        <f>IF(AQ843="2",BH843,0)</f>
        <v>0</v>
      </c>
      <c r="AG843" s="36">
        <f>IF(AQ843="2",BI843,0)</f>
        <v>0</v>
      </c>
      <c r="AH843" s="36">
        <f>IF(AQ843="0",BJ843,0)</f>
        <v>0</v>
      </c>
      <c r="AI843" s="35" t="s">
        <v>2895</v>
      </c>
      <c r="AJ843" s="20">
        <f>IF(AN843=0,L843,0)</f>
        <v>0</v>
      </c>
      <c r="AK843" s="20">
        <f>IF(AN843=15,L843,0)</f>
        <v>0</v>
      </c>
      <c r="AL843" s="20">
        <f>IF(AN843=21,L843,0)</f>
        <v>0</v>
      </c>
      <c r="AN843" s="36">
        <v>21</v>
      </c>
      <c r="AO843" s="36">
        <f>I843*0</f>
        <v>0</v>
      </c>
      <c r="AP843" s="36">
        <f>I843*(1-0)</f>
        <v>0</v>
      </c>
      <c r="AQ843" s="37" t="s">
        <v>7</v>
      </c>
      <c r="AV843" s="36">
        <f>AW843+AX843</f>
        <v>0</v>
      </c>
      <c r="AW843" s="36">
        <f>H843*AO843</f>
        <v>0</v>
      </c>
      <c r="AX843" s="36">
        <f>H843*AP843</f>
        <v>0</v>
      </c>
      <c r="AY843" s="39" t="s">
        <v>2906</v>
      </c>
      <c r="AZ843" s="39" t="s">
        <v>2960</v>
      </c>
      <c r="BA843" s="35" t="s">
        <v>2968</v>
      </c>
      <c r="BC843" s="36">
        <f>AW843+AX843</f>
        <v>0</v>
      </c>
      <c r="BD843" s="36">
        <f>I843/(100-BE843)*100</f>
        <v>0</v>
      </c>
      <c r="BE843" s="36">
        <v>0</v>
      </c>
      <c r="BF843" s="36">
        <f>843</f>
        <v>843</v>
      </c>
      <c r="BH843" s="20">
        <f>H843*AO843</f>
        <v>0</v>
      </c>
      <c r="BI843" s="20">
        <f>H843*AP843</f>
        <v>0</v>
      </c>
      <c r="BJ843" s="20">
        <f>H843*I843</f>
        <v>0</v>
      </c>
      <c r="BK843" s="20" t="s">
        <v>2978</v>
      </c>
      <c r="BL843" s="36">
        <v>18</v>
      </c>
    </row>
    <row r="844" spans="1:64" x14ac:dyDescent="0.2">
      <c r="A844" s="3"/>
      <c r="B844" s="12" t="s">
        <v>100</v>
      </c>
      <c r="C844" s="172" t="s">
        <v>1999</v>
      </c>
      <c r="D844" s="173"/>
      <c r="E844" s="173"/>
      <c r="F844" s="173"/>
      <c r="G844" s="18" t="s">
        <v>6</v>
      </c>
      <c r="H844" s="18" t="s">
        <v>6</v>
      </c>
      <c r="I844" s="18" t="s">
        <v>6</v>
      </c>
      <c r="J844" s="41">
        <f>SUM(J845:J845)</f>
        <v>0</v>
      </c>
      <c r="K844" s="41">
        <f>SUM(K845:K845)</f>
        <v>0</v>
      </c>
      <c r="L844" s="41">
        <f>SUM(L845:L845)</f>
        <v>0</v>
      </c>
      <c r="M844" s="30"/>
      <c r="N844" s="5"/>
      <c r="AI844" s="35" t="s">
        <v>2895</v>
      </c>
      <c r="AS844" s="41">
        <f>SUM(AJ845:AJ845)</f>
        <v>0</v>
      </c>
      <c r="AT844" s="41">
        <f>SUM(AK845:AK845)</f>
        <v>0</v>
      </c>
      <c r="AU844" s="41">
        <f>SUM(AL845:AL845)</f>
        <v>0</v>
      </c>
    </row>
    <row r="845" spans="1:64" x14ac:dyDescent="0.2">
      <c r="A845" s="4" t="s">
        <v>722</v>
      </c>
      <c r="B845" s="13" t="s">
        <v>1068</v>
      </c>
      <c r="C845" s="174" t="s">
        <v>2620</v>
      </c>
      <c r="D845" s="175"/>
      <c r="E845" s="175"/>
      <c r="F845" s="175"/>
      <c r="G845" s="13" t="s">
        <v>2854</v>
      </c>
      <c r="H845" s="82">
        <v>350.54</v>
      </c>
      <c r="I845" s="109">
        <v>0</v>
      </c>
      <c r="J845" s="20">
        <f>H845*AO845</f>
        <v>0</v>
      </c>
      <c r="K845" s="20">
        <f>H845*AP845</f>
        <v>0</v>
      </c>
      <c r="L845" s="20">
        <f>H845*I845</f>
        <v>0</v>
      </c>
      <c r="M845" s="31" t="s">
        <v>2884</v>
      </c>
      <c r="N845" s="5"/>
      <c r="Z845" s="36">
        <f>IF(AQ845="5",BJ845,0)</f>
        <v>0</v>
      </c>
      <c r="AB845" s="36">
        <f>IF(AQ845="1",BH845,0)</f>
        <v>0</v>
      </c>
      <c r="AC845" s="36">
        <f>IF(AQ845="1",BI845,0)</f>
        <v>0</v>
      </c>
      <c r="AD845" s="36">
        <f>IF(AQ845="7",BH845,0)</f>
        <v>0</v>
      </c>
      <c r="AE845" s="36">
        <f>IF(AQ845="7",BI845,0)</f>
        <v>0</v>
      </c>
      <c r="AF845" s="36">
        <f>IF(AQ845="2",BH845,0)</f>
        <v>0</v>
      </c>
      <c r="AG845" s="36">
        <f>IF(AQ845="2",BI845,0)</f>
        <v>0</v>
      </c>
      <c r="AH845" s="36">
        <f>IF(AQ845="0",BJ845,0)</f>
        <v>0</v>
      </c>
      <c r="AI845" s="35" t="s">
        <v>2895</v>
      </c>
      <c r="AJ845" s="20">
        <f>IF(AN845=0,L845,0)</f>
        <v>0</v>
      </c>
      <c r="AK845" s="20">
        <f>IF(AN845=15,L845,0)</f>
        <v>0</v>
      </c>
      <c r="AL845" s="20">
        <f>IF(AN845=21,L845,0)</f>
        <v>0</v>
      </c>
      <c r="AN845" s="36">
        <v>21</v>
      </c>
      <c r="AO845" s="36">
        <f>I845*0</f>
        <v>0</v>
      </c>
      <c r="AP845" s="36">
        <f>I845*(1-0)</f>
        <v>0</v>
      </c>
      <c r="AQ845" s="37" t="s">
        <v>7</v>
      </c>
      <c r="AV845" s="36">
        <f>AW845+AX845</f>
        <v>0</v>
      </c>
      <c r="AW845" s="36">
        <f>H845*AO845</f>
        <v>0</v>
      </c>
      <c r="AX845" s="36">
        <f>H845*AP845</f>
        <v>0</v>
      </c>
      <c r="AY845" s="39" t="s">
        <v>2921</v>
      </c>
      <c r="AZ845" s="39" t="s">
        <v>2961</v>
      </c>
      <c r="BA845" s="35" t="s">
        <v>2968</v>
      </c>
      <c r="BC845" s="36">
        <f>AW845+AX845</f>
        <v>0</v>
      </c>
      <c r="BD845" s="36">
        <f>I845/(100-BE845)*100</f>
        <v>0</v>
      </c>
      <c r="BE845" s="36">
        <v>0</v>
      </c>
      <c r="BF845" s="36">
        <f>845</f>
        <v>845</v>
      </c>
      <c r="BH845" s="20">
        <f>H845*AO845</f>
        <v>0</v>
      </c>
      <c r="BI845" s="20">
        <f>H845*AP845</f>
        <v>0</v>
      </c>
      <c r="BJ845" s="20">
        <f>H845*I845</f>
        <v>0</v>
      </c>
      <c r="BK845" s="20" t="s">
        <v>2978</v>
      </c>
      <c r="BL845" s="36">
        <v>94</v>
      </c>
    </row>
    <row r="846" spans="1:64" x14ac:dyDescent="0.2">
      <c r="A846" s="3"/>
      <c r="B846" s="12" t="s">
        <v>102</v>
      </c>
      <c r="C846" s="172" t="s">
        <v>2621</v>
      </c>
      <c r="D846" s="173"/>
      <c r="E846" s="173"/>
      <c r="F846" s="173"/>
      <c r="G846" s="18" t="s">
        <v>6</v>
      </c>
      <c r="H846" s="18" t="s">
        <v>6</v>
      </c>
      <c r="I846" s="18" t="s">
        <v>6</v>
      </c>
      <c r="J846" s="41">
        <f>SUM(J847:J917)</f>
        <v>0</v>
      </c>
      <c r="K846" s="41">
        <f>SUM(K847:K917)</f>
        <v>0</v>
      </c>
      <c r="L846" s="41">
        <f>SUM(L847:L917)</f>
        <v>0</v>
      </c>
      <c r="M846" s="30"/>
      <c r="N846" s="5"/>
      <c r="AI846" s="35" t="s">
        <v>2895</v>
      </c>
      <c r="AS846" s="41">
        <f>SUM(AJ847:AJ917)</f>
        <v>0</v>
      </c>
      <c r="AT846" s="41">
        <f>SUM(AK847:AK917)</f>
        <v>0</v>
      </c>
      <c r="AU846" s="41">
        <f>SUM(AL847:AL917)</f>
        <v>0</v>
      </c>
    </row>
    <row r="847" spans="1:64" x14ac:dyDescent="0.2">
      <c r="A847" s="4" t="s">
        <v>723</v>
      </c>
      <c r="B847" s="13" t="s">
        <v>1621</v>
      </c>
      <c r="C847" s="174" t="s">
        <v>2622</v>
      </c>
      <c r="D847" s="175"/>
      <c r="E847" s="175"/>
      <c r="F847" s="175"/>
      <c r="G847" s="13" t="s">
        <v>2854</v>
      </c>
      <c r="H847" s="82">
        <v>67.397999999999996</v>
      </c>
      <c r="I847" s="109">
        <v>0</v>
      </c>
      <c r="J847" s="20">
        <f t="shared" ref="J847:J878" si="808">H847*AO847</f>
        <v>0</v>
      </c>
      <c r="K847" s="20">
        <f t="shared" ref="K847:K878" si="809">H847*AP847</f>
        <v>0</v>
      </c>
      <c r="L847" s="20">
        <f t="shared" ref="L847:L878" si="810">H847*I847</f>
        <v>0</v>
      </c>
      <c r="M847" s="31" t="s">
        <v>2884</v>
      </c>
      <c r="N847" s="5"/>
      <c r="Z847" s="36">
        <f t="shared" ref="Z847:Z878" si="811">IF(AQ847="5",BJ847,0)</f>
        <v>0</v>
      </c>
      <c r="AB847" s="36">
        <f t="shared" ref="AB847:AB878" si="812">IF(AQ847="1",BH847,0)</f>
        <v>0</v>
      </c>
      <c r="AC847" s="36">
        <f t="shared" ref="AC847:AC878" si="813">IF(AQ847="1",BI847,0)</f>
        <v>0</v>
      </c>
      <c r="AD847" s="36">
        <f t="shared" ref="AD847:AD878" si="814">IF(AQ847="7",BH847,0)</f>
        <v>0</v>
      </c>
      <c r="AE847" s="36">
        <f t="shared" ref="AE847:AE878" si="815">IF(AQ847="7",BI847,0)</f>
        <v>0</v>
      </c>
      <c r="AF847" s="36">
        <f t="shared" ref="AF847:AF878" si="816">IF(AQ847="2",BH847,0)</f>
        <v>0</v>
      </c>
      <c r="AG847" s="36">
        <f t="shared" ref="AG847:AG878" si="817">IF(AQ847="2",BI847,0)</f>
        <v>0</v>
      </c>
      <c r="AH847" s="36">
        <f t="shared" ref="AH847:AH878" si="818">IF(AQ847="0",BJ847,0)</f>
        <v>0</v>
      </c>
      <c r="AI847" s="35" t="s">
        <v>2895</v>
      </c>
      <c r="AJ847" s="20">
        <f t="shared" ref="AJ847:AJ878" si="819">IF(AN847=0,L847,0)</f>
        <v>0</v>
      </c>
      <c r="AK847" s="20">
        <f t="shared" ref="AK847:AK878" si="820">IF(AN847=15,L847,0)</f>
        <v>0</v>
      </c>
      <c r="AL847" s="20">
        <f t="shared" ref="AL847:AL878" si="821">IF(AN847=21,L847,0)</f>
        <v>0</v>
      </c>
      <c r="AN847" s="36">
        <v>21</v>
      </c>
      <c r="AO847" s="36">
        <f t="shared" ref="AO847:AO854" si="822">I847*0</f>
        <v>0</v>
      </c>
      <c r="AP847" s="36">
        <f t="shared" ref="AP847:AP854" si="823">I847*(1-0)</f>
        <v>0</v>
      </c>
      <c r="AQ847" s="37" t="s">
        <v>7</v>
      </c>
      <c r="AV847" s="36">
        <f t="shared" ref="AV847:AV878" si="824">AW847+AX847</f>
        <v>0</v>
      </c>
      <c r="AW847" s="36">
        <f t="shared" ref="AW847:AW878" si="825">H847*AO847</f>
        <v>0</v>
      </c>
      <c r="AX847" s="36">
        <f t="shared" ref="AX847:AX878" si="826">H847*AP847</f>
        <v>0</v>
      </c>
      <c r="AY847" s="39" t="s">
        <v>2941</v>
      </c>
      <c r="AZ847" s="39" t="s">
        <v>2961</v>
      </c>
      <c r="BA847" s="35" t="s">
        <v>2968</v>
      </c>
      <c r="BC847" s="36">
        <f t="shared" ref="BC847:BC878" si="827">AW847+AX847</f>
        <v>0</v>
      </c>
      <c r="BD847" s="36">
        <f t="shared" ref="BD847:BD878" si="828">I847/(100-BE847)*100</f>
        <v>0</v>
      </c>
      <c r="BE847" s="36">
        <v>0</v>
      </c>
      <c r="BF847" s="36">
        <f>847</f>
        <v>847</v>
      </c>
      <c r="BH847" s="20">
        <f t="shared" ref="BH847:BH878" si="829">H847*AO847</f>
        <v>0</v>
      </c>
      <c r="BI847" s="20">
        <f t="shared" ref="BI847:BI878" si="830">H847*AP847</f>
        <v>0</v>
      </c>
      <c r="BJ847" s="20">
        <f t="shared" ref="BJ847:BJ878" si="831">H847*I847</f>
        <v>0</v>
      </c>
      <c r="BK847" s="20" t="s">
        <v>2978</v>
      </c>
      <c r="BL847" s="36">
        <v>96</v>
      </c>
    </row>
    <row r="848" spans="1:64" x14ac:dyDescent="0.2">
      <c r="A848" s="4" t="s">
        <v>724</v>
      </c>
      <c r="B848" s="13" t="s">
        <v>1622</v>
      </c>
      <c r="C848" s="174" t="s">
        <v>2623</v>
      </c>
      <c r="D848" s="175"/>
      <c r="E848" s="175"/>
      <c r="F848" s="175"/>
      <c r="G848" s="13" t="s">
        <v>2854</v>
      </c>
      <c r="H848" s="82">
        <v>67.397999999999996</v>
      </c>
      <c r="I848" s="109">
        <v>0</v>
      </c>
      <c r="J848" s="20">
        <f t="shared" si="808"/>
        <v>0</v>
      </c>
      <c r="K848" s="20">
        <f t="shared" si="809"/>
        <v>0</v>
      </c>
      <c r="L848" s="20">
        <f t="shared" si="810"/>
        <v>0</v>
      </c>
      <c r="M848" s="31" t="s">
        <v>2884</v>
      </c>
      <c r="N848" s="5"/>
      <c r="Z848" s="36">
        <f t="shared" si="811"/>
        <v>0</v>
      </c>
      <c r="AB848" s="36">
        <f t="shared" si="812"/>
        <v>0</v>
      </c>
      <c r="AC848" s="36">
        <f t="shared" si="813"/>
        <v>0</v>
      </c>
      <c r="AD848" s="36">
        <f t="shared" si="814"/>
        <v>0</v>
      </c>
      <c r="AE848" s="36">
        <f t="shared" si="815"/>
        <v>0</v>
      </c>
      <c r="AF848" s="36">
        <f t="shared" si="816"/>
        <v>0</v>
      </c>
      <c r="AG848" s="36">
        <f t="shared" si="817"/>
        <v>0</v>
      </c>
      <c r="AH848" s="36">
        <f t="shared" si="818"/>
        <v>0</v>
      </c>
      <c r="AI848" s="35" t="s">
        <v>2895</v>
      </c>
      <c r="AJ848" s="20">
        <f t="shared" si="819"/>
        <v>0</v>
      </c>
      <c r="AK848" s="20">
        <f t="shared" si="820"/>
        <v>0</v>
      </c>
      <c r="AL848" s="20">
        <f t="shared" si="821"/>
        <v>0</v>
      </c>
      <c r="AN848" s="36">
        <v>21</v>
      </c>
      <c r="AO848" s="36">
        <f t="shared" si="822"/>
        <v>0</v>
      </c>
      <c r="AP848" s="36">
        <f t="shared" si="823"/>
        <v>0</v>
      </c>
      <c r="AQ848" s="37" t="s">
        <v>7</v>
      </c>
      <c r="AV848" s="36">
        <f t="shared" si="824"/>
        <v>0</v>
      </c>
      <c r="AW848" s="36">
        <f t="shared" si="825"/>
        <v>0</v>
      </c>
      <c r="AX848" s="36">
        <f t="shared" si="826"/>
        <v>0</v>
      </c>
      <c r="AY848" s="39" t="s">
        <v>2941</v>
      </c>
      <c r="AZ848" s="39" t="s">
        <v>2961</v>
      </c>
      <c r="BA848" s="35" t="s">
        <v>2968</v>
      </c>
      <c r="BC848" s="36">
        <f t="shared" si="827"/>
        <v>0</v>
      </c>
      <c r="BD848" s="36">
        <f t="shared" si="828"/>
        <v>0</v>
      </c>
      <c r="BE848" s="36">
        <v>0</v>
      </c>
      <c r="BF848" s="36">
        <f>848</f>
        <v>848</v>
      </c>
      <c r="BH848" s="20">
        <f t="shared" si="829"/>
        <v>0</v>
      </c>
      <c r="BI848" s="20">
        <f t="shared" si="830"/>
        <v>0</v>
      </c>
      <c r="BJ848" s="20">
        <f t="shared" si="831"/>
        <v>0</v>
      </c>
      <c r="BK848" s="20" t="s">
        <v>2978</v>
      </c>
      <c r="BL848" s="36">
        <v>96</v>
      </c>
    </row>
    <row r="849" spans="1:64" x14ac:dyDescent="0.2">
      <c r="A849" s="4" t="s">
        <v>725</v>
      </c>
      <c r="B849" s="13" t="s">
        <v>1623</v>
      </c>
      <c r="C849" s="174" t="s">
        <v>2624</v>
      </c>
      <c r="D849" s="175"/>
      <c r="E849" s="175"/>
      <c r="F849" s="175"/>
      <c r="G849" s="13" t="s">
        <v>2854</v>
      </c>
      <c r="H849" s="82">
        <v>247.71</v>
      </c>
      <c r="I849" s="109">
        <v>0</v>
      </c>
      <c r="J849" s="20">
        <f t="shared" si="808"/>
        <v>0</v>
      </c>
      <c r="K849" s="20">
        <f t="shared" si="809"/>
        <v>0</v>
      </c>
      <c r="L849" s="20">
        <f t="shared" si="810"/>
        <v>0</v>
      </c>
      <c r="M849" s="31" t="s">
        <v>2884</v>
      </c>
      <c r="N849" s="5"/>
      <c r="Z849" s="36">
        <f t="shared" si="811"/>
        <v>0</v>
      </c>
      <c r="AB849" s="36">
        <f t="shared" si="812"/>
        <v>0</v>
      </c>
      <c r="AC849" s="36">
        <f t="shared" si="813"/>
        <v>0</v>
      </c>
      <c r="AD849" s="36">
        <f t="shared" si="814"/>
        <v>0</v>
      </c>
      <c r="AE849" s="36">
        <f t="shared" si="815"/>
        <v>0</v>
      </c>
      <c r="AF849" s="36">
        <f t="shared" si="816"/>
        <v>0</v>
      </c>
      <c r="AG849" s="36">
        <f t="shared" si="817"/>
        <v>0</v>
      </c>
      <c r="AH849" s="36">
        <f t="shared" si="818"/>
        <v>0</v>
      </c>
      <c r="AI849" s="35" t="s">
        <v>2895</v>
      </c>
      <c r="AJ849" s="20">
        <f t="shared" si="819"/>
        <v>0</v>
      </c>
      <c r="AK849" s="20">
        <f t="shared" si="820"/>
        <v>0</v>
      </c>
      <c r="AL849" s="20">
        <f t="shared" si="821"/>
        <v>0</v>
      </c>
      <c r="AN849" s="36">
        <v>21</v>
      </c>
      <c r="AO849" s="36">
        <f t="shared" si="822"/>
        <v>0</v>
      </c>
      <c r="AP849" s="36">
        <f t="shared" si="823"/>
        <v>0</v>
      </c>
      <c r="AQ849" s="37" t="s">
        <v>7</v>
      </c>
      <c r="AV849" s="36">
        <f t="shared" si="824"/>
        <v>0</v>
      </c>
      <c r="AW849" s="36">
        <f t="shared" si="825"/>
        <v>0</v>
      </c>
      <c r="AX849" s="36">
        <f t="shared" si="826"/>
        <v>0</v>
      </c>
      <c r="AY849" s="39" t="s">
        <v>2941</v>
      </c>
      <c r="AZ849" s="39" t="s">
        <v>2961</v>
      </c>
      <c r="BA849" s="35" t="s">
        <v>2968</v>
      </c>
      <c r="BC849" s="36">
        <f t="shared" si="827"/>
        <v>0</v>
      </c>
      <c r="BD849" s="36">
        <f t="shared" si="828"/>
        <v>0</v>
      </c>
      <c r="BE849" s="36">
        <v>0</v>
      </c>
      <c r="BF849" s="36">
        <f>849</f>
        <v>849</v>
      </c>
      <c r="BH849" s="20">
        <f t="shared" si="829"/>
        <v>0</v>
      </c>
      <c r="BI849" s="20">
        <f t="shared" si="830"/>
        <v>0</v>
      </c>
      <c r="BJ849" s="20">
        <f t="shared" si="831"/>
        <v>0</v>
      </c>
      <c r="BK849" s="20" t="s">
        <v>2978</v>
      </c>
      <c r="BL849" s="36">
        <v>96</v>
      </c>
    </row>
    <row r="850" spans="1:64" x14ac:dyDescent="0.2">
      <c r="A850" s="4" t="s">
        <v>726</v>
      </c>
      <c r="B850" s="13" t="s">
        <v>1623</v>
      </c>
      <c r="C850" s="174" t="s">
        <v>2625</v>
      </c>
      <c r="D850" s="175"/>
      <c r="E850" s="175"/>
      <c r="F850" s="175"/>
      <c r="G850" s="13" t="s">
        <v>2854</v>
      </c>
      <c r="H850" s="82">
        <v>247.71</v>
      </c>
      <c r="I850" s="109">
        <v>0</v>
      </c>
      <c r="J850" s="20">
        <f t="shared" si="808"/>
        <v>0</v>
      </c>
      <c r="K850" s="20">
        <f t="shared" si="809"/>
        <v>0</v>
      </c>
      <c r="L850" s="20">
        <f t="shared" si="810"/>
        <v>0</v>
      </c>
      <c r="M850" s="31" t="s">
        <v>2884</v>
      </c>
      <c r="N850" s="5"/>
      <c r="Z850" s="36">
        <f t="shared" si="811"/>
        <v>0</v>
      </c>
      <c r="AB850" s="36">
        <f t="shared" si="812"/>
        <v>0</v>
      </c>
      <c r="AC850" s="36">
        <f t="shared" si="813"/>
        <v>0</v>
      </c>
      <c r="AD850" s="36">
        <f t="shared" si="814"/>
        <v>0</v>
      </c>
      <c r="AE850" s="36">
        <f t="shared" si="815"/>
        <v>0</v>
      </c>
      <c r="AF850" s="36">
        <f t="shared" si="816"/>
        <v>0</v>
      </c>
      <c r="AG850" s="36">
        <f t="shared" si="817"/>
        <v>0</v>
      </c>
      <c r="AH850" s="36">
        <f t="shared" si="818"/>
        <v>0</v>
      </c>
      <c r="AI850" s="35" t="s">
        <v>2895</v>
      </c>
      <c r="AJ850" s="20">
        <f t="shared" si="819"/>
        <v>0</v>
      </c>
      <c r="AK850" s="20">
        <f t="shared" si="820"/>
        <v>0</v>
      </c>
      <c r="AL850" s="20">
        <f t="shared" si="821"/>
        <v>0</v>
      </c>
      <c r="AN850" s="36">
        <v>21</v>
      </c>
      <c r="AO850" s="36">
        <f t="shared" si="822"/>
        <v>0</v>
      </c>
      <c r="AP850" s="36">
        <f t="shared" si="823"/>
        <v>0</v>
      </c>
      <c r="AQ850" s="37" t="s">
        <v>7</v>
      </c>
      <c r="AV850" s="36">
        <f t="shared" si="824"/>
        <v>0</v>
      </c>
      <c r="AW850" s="36">
        <f t="shared" si="825"/>
        <v>0</v>
      </c>
      <c r="AX850" s="36">
        <f t="shared" si="826"/>
        <v>0</v>
      </c>
      <c r="AY850" s="39" t="s">
        <v>2941</v>
      </c>
      <c r="AZ850" s="39" t="s">
        <v>2961</v>
      </c>
      <c r="BA850" s="35" t="s">
        <v>2968</v>
      </c>
      <c r="BC850" s="36">
        <f t="shared" si="827"/>
        <v>0</v>
      </c>
      <c r="BD850" s="36">
        <f t="shared" si="828"/>
        <v>0</v>
      </c>
      <c r="BE850" s="36">
        <v>0</v>
      </c>
      <c r="BF850" s="36">
        <f>850</f>
        <v>850</v>
      </c>
      <c r="BH850" s="20">
        <f t="shared" si="829"/>
        <v>0</v>
      </c>
      <c r="BI850" s="20">
        <f t="shared" si="830"/>
        <v>0</v>
      </c>
      <c r="BJ850" s="20">
        <f t="shared" si="831"/>
        <v>0</v>
      </c>
      <c r="BK850" s="20" t="s">
        <v>2978</v>
      </c>
      <c r="BL850" s="36">
        <v>96</v>
      </c>
    </row>
    <row r="851" spans="1:64" x14ac:dyDescent="0.2">
      <c r="A851" s="4" t="s">
        <v>727</v>
      </c>
      <c r="B851" s="13" t="s">
        <v>1624</v>
      </c>
      <c r="C851" s="174" t="s">
        <v>2626</v>
      </c>
      <c r="D851" s="175"/>
      <c r="E851" s="175"/>
      <c r="F851" s="175"/>
      <c r="G851" s="13" t="s">
        <v>2853</v>
      </c>
      <c r="H851" s="82">
        <v>23.48</v>
      </c>
      <c r="I851" s="109">
        <v>0</v>
      </c>
      <c r="J851" s="20">
        <f t="shared" si="808"/>
        <v>0</v>
      </c>
      <c r="K851" s="20">
        <f t="shared" si="809"/>
        <v>0</v>
      </c>
      <c r="L851" s="20">
        <f t="shared" si="810"/>
        <v>0</v>
      </c>
      <c r="M851" s="31" t="s">
        <v>2884</v>
      </c>
      <c r="N851" s="5"/>
      <c r="Z851" s="36">
        <f t="shared" si="811"/>
        <v>0</v>
      </c>
      <c r="AB851" s="36">
        <f t="shared" si="812"/>
        <v>0</v>
      </c>
      <c r="AC851" s="36">
        <f t="shared" si="813"/>
        <v>0</v>
      </c>
      <c r="AD851" s="36">
        <f t="shared" si="814"/>
        <v>0</v>
      </c>
      <c r="AE851" s="36">
        <f t="shared" si="815"/>
        <v>0</v>
      </c>
      <c r="AF851" s="36">
        <f t="shared" si="816"/>
        <v>0</v>
      </c>
      <c r="AG851" s="36">
        <f t="shared" si="817"/>
        <v>0</v>
      </c>
      <c r="AH851" s="36">
        <f t="shared" si="818"/>
        <v>0</v>
      </c>
      <c r="AI851" s="35" t="s">
        <v>2895</v>
      </c>
      <c r="AJ851" s="20">
        <f t="shared" si="819"/>
        <v>0</v>
      </c>
      <c r="AK851" s="20">
        <f t="shared" si="820"/>
        <v>0</v>
      </c>
      <c r="AL851" s="20">
        <f t="shared" si="821"/>
        <v>0</v>
      </c>
      <c r="AN851" s="36">
        <v>21</v>
      </c>
      <c r="AO851" s="36">
        <f t="shared" si="822"/>
        <v>0</v>
      </c>
      <c r="AP851" s="36">
        <f t="shared" si="823"/>
        <v>0</v>
      </c>
      <c r="AQ851" s="37" t="s">
        <v>7</v>
      </c>
      <c r="AV851" s="36">
        <f t="shared" si="824"/>
        <v>0</v>
      </c>
      <c r="AW851" s="36">
        <f t="shared" si="825"/>
        <v>0</v>
      </c>
      <c r="AX851" s="36">
        <f t="shared" si="826"/>
        <v>0</v>
      </c>
      <c r="AY851" s="39" t="s">
        <v>2941</v>
      </c>
      <c r="AZ851" s="39" t="s">
        <v>2961</v>
      </c>
      <c r="BA851" s="35" t="s">
        <v>2968</v>
      </c>
      <c r="BC851" s="36">
        <f t="shared" si="827"/>
        <v>0</v>
      </c>
      <c r="BD851" s="36">
        <f t="shared" si="828"/>
        <v>0</v>
      </c>
      <c r="BE851" s="36">
        <v>0</v>
      </c>
      <c r="BF851" s="36">
        <f>851</f>
        <v>851</v>
      </c>
      <c r="BH851" s="20">
        <f t="shared" si="829"/>
        <v>0</v>
      </c>
      <c r="BI851" s="20">
        <f t="shared" si="830"/>
        <v>0</v>
      </c>
      <c r="BJ851" s="20">
        <f t="shared" si="831"/>
        <v>0</v>
      </c>
      <c r="BK851" s="20" t="s">
        <v>2978</v>
      </c>
      <c r="BL851" s="36">
        <v>96</v>
      </c>
    </row>
    <row r="852" spans="1:64" x14ac:dyDescent="0.2">
      <c r="A852" s="4" t="s">
        <v>728</v>
      </c>
      <c r="B852" s="13" t="s">
        <v>1625</v>
      </c>
      <c r="C852" s="174" t="s">
        <v>2627</v>
      </c>
      <c r="D852" s="175"/>
      <c r="E852" s="175"/>
      <c r="F852" s="175"/>
      <c r="G852" s="13" t="s">
        <v>2853</v>
      </c>
      <c r="H852" s="82">
        <v>8.6159999999999997</v>
      </c>
      <c r="I852" s="109">
        <v>0</v>
      </c>
      <c r="J852" s="20">
        <f t="shared" si="808"/>
        <v>0</v>
      </c>
      <c r="K852" s="20">
        <f t="shared" si="809"/>
        <v>0</v>
      </c>
      <c r="L852" s="20">
        <f t="shared" si="810"/>
        <v>0</v>
      </c>
      <c r="M852" s="31" t="s">
        <v>2884</v>
      </c>
      <c r="N852" s="5"/>
      <c r="Z852" s="36">
        <f t="shared" si="811"/>
        <v>0</v>
      </c>
      <c r="AB852" s="36">
        <f t="shared" si="812"/>
        <v>0</v>
      </c>
      <c r="AC852" s="36">
        <f t="shared" si="813"/>
        <v>0</v>
      </c>
      <c r="AD852" s="36">
        <f t="shared" si="814"/>
        <v>0</v>
      </c>
      <c r="AE852" s="36">
        <f t="shared" si="815"/>
        <v>0</v>
      </c>
      <c r="AF852" s="36">
        <f t="shared" si="816"/>
        <v>0</v>
      </c>
      <c r="AG852" s="36">
        <f t="shared" si="817"/>
        <v>0</v>
      </c>
      <c r="AH852" s="36">
        <f t="shared" si="818"/>
        <v>0</v>
      </c>
      <c r="AI852" s="35" t="s">
        <v>2895</v>
      </c>
      <c r="AJ852" s="20">
        <f t="shared" si="819"/>
        <v>0</v>
      </c>
      <c r="AK852" s="20">
        <f t="shared" si="820"/>
        <v>0</v>
      </c>
      <c r="AL852" s="20">
        <f t="shared" si="821"/>
        <v>0</v>
      </c>
      <c r="AN852" s="36">
        <v>21</v>
      </c>
      <c r="AO852" s="36">
        <f t="shared" si="822"/>
        <v>0</v>
      </c>
      <c r="AP852" s="36">
        <f t="shared" si="823"/>
        <v>0</v>
      </c>
      <c r="AQ852" s="37" t="s">
        <v>7</v>
      </c>
      <c r="AV852" s="36">
        <f t="shared" si="824"/>
        <v>0</v>
      </c>
      <c r="AW852" s="36">
        <f t="shared" si="825"/>
        <v>0</v>
      </c>
      <c r="AX852" s="36">
        <f t="shared" si="826"/>
        <v>0</v>
      </c>
      <c r="AY852" s="39" t="s">
        <v>2941</v>
      </c>
      <c r="AZ852" s="39" t="s">
        <v>2961</v>
      </c>
      <c r="BA852" s="35" t="s">
        <v>2968</v>
      </c>
      <c r="BC852" s="36">
        <f t="shared" si="827"/>
        <v>0</v>
      </c>
      <c r="BD852" s="36">
        <f t="shared" si="828"/>
        <v>0</v>
      </c>
      <c r="BE852" s="36">
        <v>0</v>
      </c>
      <c r="BF852" s="36">
        <f>852</f>
        <v>852</v>
      </c>
      <c r="BH852" s="20">
        <f t="shared" si="829"/>
        <v>0</v>
      </c>
      <c r="BI852" s="20">
        <f t="shared" si="830"/>
        <v>0</v>
      </c>
      <c r="BJ852" s="20">
        <f t="shared" si="831"/>
        <v>0</v>
      </c>
      <c r="BK852" s="20" t="s">
        <v>2978</v>
      </c>
      <c r="BL852" s="36">
        <v>96</v>
      </c>
    </row>
    <row r="853" spans="1:64" x14ac:dyDescent="0.2">
      <c r="A853" s="4" t="s">
        <v>729</v>
      </c>
      <c r="B853" s="13" t="s">
        <v>1626</v>
      </c>
      <c r="C853" s="174" t="s">
        <v>2628</v>
      </c>
      <c r="D853" s="175"/>
      <c r="E853" s="175"/>
      <c r="F853" s="175"/>
      <c r="G853" s="13" t="s">
        <v>2853</v>
      </c>
      <c r="H853" s="82">
        <v>8.3320000000000007</v>
      </c>
      <c r="I853" s="109">
        <v>0</v>
      </c>
      <c r="J853" s="20">
        <f t="shared" si="808"/>
        <v>0</v>
      </c>
      <c r="K853" s="20">
        <f t="shared" si="809"/>
        <v>0</v>
      </c>
      <c r="L853" s="20">
        <f t="shared" si="810"/>
        <v>0</v>
      </c>
      <c r="M853" s="31" t="s">
        <v>2884</v>
      </c>
      <c r="N853" s="5"/>
      <c r="Z853" s="36">
        <f t="shared" si="811"/>
        <v>0</v>
      </c>
      <c r="AB853" s="36">
        <f t="shared" si="812"/>
        <v>0</v>
      </c>
      <c r="AC853" s="36">
        <f t="shared" si="813"/>
        <v>0</v>
      </c>
      <c r="AD853" s="36">
        <f t="shared" si="814"/>
        <v>0</v>
      </c>
      <c r="AE853" s="36">
        <f t="shared" si="815"/>
        <v>0</v>
      </c>
      <c r="AF853" s="36">
        <f t="shared" si="816"/>
        <v>0</v>
      </c>
      <c r="AG853" s="36">
        <f t="shared" si="817"/>
        <v>0</v>
      </c>
      <c r="AH853" s="36">
        <f t="shared" si="818"/>
        <v>0</v>
      </c>
      <c r="AI853" s="35" t="s">
        <v>2895</v>
      </c>
      <c r="AJ853" s="20">
        <f t="shared" si="819"/>
        <v>0</v>
      </c>
      <c r="AK853" s="20">
        <f t="shared" si="820"/>
        <v>0</v>
      </c>
      <c r="AL853" s="20">
        <f t="shared" si="821"/>
        <v>0</v>
      </c>
      <c r="AN853" s="36">
        <v>21</v>
      </c>
      <c r="AO853" s="36">
        <f t="shared" si="822"/>
        <v>0</v>
      </c>
      <c r="AP853" s="36">
        <f t="shared" si="823"/>
        <v>0</v>
      </c>
      <c r="AQ853" s="37" t="s">
        <v>7</v>
      </c>
      <c r="AV853" s="36">
        <f t="shared" si="824"/>
        <v>0</v>
      </c>
      <c r="AW853" s="36">
        <f t="shared" si="825"/>
        <v>0</v>
      </c>
      <c r="AX853" s="36">
        <f t="shared" si="826"/>
        <v>0</v>
      </c>
      <c r="AY853" s="39" t="s">
        <v>2941</v>
      </c>
      <c r="AZ853" s="39" t="s">
        <v>2961</v>
      </c>
      <c r="BA853" s="35" t="s">
        <v>2968</v>
      </c>
      <c r="BC853" s="36">
        <f t="shared" si="827"/>
        <v>0</v>
      </c>
      <c r="BD853" s="36">
        <f t="shared" si="828"/>
        <v>0</v>
      </c>
      <c r="BE853" s="36">
        <v>0</v>
      </c>
      <c r="BF853" s="36">
        <f>853</f>
        <v>853</v>
      </c>
      <c r="BH853" s="20">
        <f t="shared" si="829"/>
        <v>0</v>
      </c>
      <c r="BI853" s="20">
        <f t="shared" si="830"/>
        <v>0</v>
      </c>
      <c r="BJ853" s="20">
        <f t="shared" si="831"/>
        <v>0</v>
      </c>
      <c r="BK853" s="20" t="s">
        <v>2978</v>
      </c>
      <c r="BL853" s="36">
        <v>96</v>
      </c>
    </row>
    <row r="854" spans="1:64" x14ac:dyDescent="0.2">
      <c r="A854" s="4" t="s">
        <v>730</v>
      </c>
      <c r="B854" s="13" t="s">
        <v>1627</v>
      </c>
      <c r="C854" s="174" t="s">
        <v>2629</v>
      </c>
      <c r="D854" s="175"/>
      <c r="E854" s="175"/>
      <c r="F854" s="175"/>
      <c r="G854" s="13" t="s">
        <v>2853</v>
      </c>
      <c r="H854" s="82">
        <v>0.72599999999999998</v>
      </c>
      <c r="I854" s="109">
        <v>0</v>
      </c>
      <c r="J854" s="20">
        <f t="shared" si="808"/>
        <v>0</v>
      </c>
      <c r="K854" s="20">
        <f t="shared" si="809"/>
        <v>0</v>
      </c>
      <c r="L854" s="20">
        <f t="shared" si="810"/>
        <v>0</v>
      </c>
      <c r="M854" s="31" t="s">
        <v>2884</v>
      </c>
      <c r="N854" s="5"/>
      <c r="Z854" s="36">
        <f t="shared" si="811"/>
        <v>0</v>
      </c>
      <c r="AB854" s="36">
        <f t="shared" si="812"/>
        <v>0</v>
      </c>
      <c r="AC854" s="36">
        <f t="shared" si="813"/>
        <v>0</v>
      </c>
      <c r="AD854" s="36">
        <f t="shared" si="814"/>
        <v>0</v>
      </c>
      <c r="AE854" s="36">
        <f t="shared" si="815"/>
        <v>0</v>
      </c>
      <c r="AF854" s="36">
        <f t="shared" si="816"/>
        <v>0</v>
      </c>
      <c r="AG854" s="36">
        <f t="shared" si="817"/>
        <v>0</v>
      </c>
      <c r="AH854" s="36">
        <f t="shared" si="818"/>
        <v>0</v>
      </c>
      <c r="AI854" s="35" t="s">
        <v>2895</v>
      </c>
      <c r="AJ854" s="20">
        <f t="shared" si="819"/>
        <v>0</v>
      </c>
      <c r="AK854" s="20">
        <f t="shared" si="820"/>
        <v>0</v>
      </c>
      <c r="AL854" s="20">
        <f t="shared" si="821"/>
        <v>0</v>
      </c>
      <c r="AN854" s="36">
        <v>21</v>
      </c>
      <c r="AO854" s="36">
        <f t="shared" si="822"/>
        <v>0</v>
      </c>
      <c r="AP854" s="36">
        <f t="shared" si="823"/>
        <v>0</v>
      </c>
      <c r="AQ854" s="37" t="s">
        <v>7</v>
      </c>
      <c r="AV854" s="36">
        <f t="shared" si="824"/>
        <v>0</v>
      </c>
      <c r="AW854" s="36">
        <f t="shared" si="825"/>
        <v>0</v>
      </c>
      <c r="AX854" s="36">
        <f t="shared" si="826"/>
        <v>0</v>
      </c>
      <c r="AY854" s="39" t="s">
        <v>2941</v>
      </c>
      <c r="AZ854" s="39" t="s">
        <v>2961</v>
      </c>
      <c r="BA854" s="35" t="s">
        <v>2968</v>
      </c>
      <c r="BC854" s="36">
        <f t="shared" si="827"/>
        <v>0</v>
      </c>
      <c r="BD854" s="36">
        <f t="shared" si="828"/>
        <v>0</v>
      </c>
      <c r="BE854" s="36">
        <v>0</v>
      </c>
      <c r="BF854" s="36">
        <f>854</f>
        <v>854</v>
      </c>
      <c r="BH854" s="20">
        <f t="shared" si="829"/>
        <v>0</v>
      </c>
      <c r="BI854" s="20">
        <f t="shared" si="830"/>
        <v>0</v>
      </c>
      <c r="BJ854" s="20">
        <f t="shared" si="831"/>
        <v>0</v>
      </c>
      <c r="BK854" s="20" t="s">
        <v>2978</v>
      </c>
      <c r="BL854" s="36">
        <v>96</v>
      </c>
    </row>
    <row r="855" spans="1:64" x14ac:dyDescent="0.2">
      <c r="A855" s="4" t="s">
        <v>731</v>
      </c>
      <c r="B855" s="13" t="s">
        <v>1628</v>
      </c>
      <c r="C855" s="174" t="s">
        <v>2630</v>
      </c>
      <c r="D855" s="175"/>
      <c r="E855" s="175"/>
      <c r="F855" s="175"/>
      <c r="G855" s="13" t="s">
        <v>2854</v>
      </c>
      <c r="H855" s="82">
        <v>15.423999999999999</v>
      </c>
      <c r="I855" s="109">
        <v>0</v>
      </c>
      <c r="J855" s="20">
        <f t="shared" si="808"/>
        <v>0</v>
      </c>
      <c r="K855" s="20">
        <f t="shared" si="809"/>
        <v>0</v>
      </c>
      <c r="L855" s="20">
        <f t="shared" si="810"/>
        <v>0</v>
      </c>
      <c r="M855" s="31" t="s">
        <v>2884</v>
      </c>
      <c r="N855" s="5"/>
      <c r="Z855" s="36">
        <f t="shared" si="811"/>
        <v>0</v>
      </c>
      <c r="AB855" s="36">
        <f t="shared" si="812"/>
        <v>0</v>
      </c>
      <c r="AC855" s="36">
        <f t="shared" si="813"/>
        <v>0</v>
      </c>
      <c r="AD855" s="36">
        <f t="shared" si="814"/>
        <v>0</v>
      </c>
      <c r="AE855" s="36">
        <f t="shared" si="815"/>
        <v>0</v>
      </c>
      <c r="AF855" s="36">
        <f t="shared" si="816"/>
        <v>0</v>
      </c>
      <c r="AG855" s="36">
        <f t="shared" si="817"/>
        <v>0</v>
      </c>
      <c r="AH855" s="36">
        <f t="shared" si="818"/>
        <v>0</v>
      </c>
      <c r="AI855" s="35" t="s">
        <v>2895</v>
      </c>
      <c r="AJ855" s="20">
        <f t="shared" si="819"/>
        <v>0</v>
      </c>
      <c r="AK855" s="20">
        <f t="shared" si="820"/>
        <v>0</v>
      </c>
      <c r="AL855" s="20">
        <f t="shared" si="821"/>
        <v>0</v>
      </c>
      <c r="AN855" s="36">
        <v>21</v>
      </c>
      <c r="AO855" s="36">
        <f>I855*0.140317749122681</f>
        <v>0</v>
      </c>
      <c r="AP855" s="36">
        <f>I855*(1-0.140317749122681)</f>
        <v>0</v>
      </c>
      <c r="AQ855" s="37" t="s">
        <v>7</v>
      </c>
      <c r="AV855" s="36">
        <f t="shared" si="824"/>
        <v>0</v>
      </c>
      <c r="AW855" s="36">
        <f t="shared" si="825"/>
        <v>0</v>
      </c>
      <c r="AX855" s="36">
        <f t="shared" si="826"/>
        <v>0</v>
      </c>
      <c r="AY855" s="39" t="s">
        <v>2941</v>
      </c>
      <c r="AZ855" s="39" t="s">
        <v>2961</v>
      </c>
      <c r="BA855" s="35" t="s">
        <v>2968</v>
      </c>
      <c r="BC855" s="36">
        <f t="shared" si="827"/>
        <v>0</v>
      </c>
      <c r="BD855" s="36">
        <f t="shared" si="828"/>
        <v>0</v>
      </c>
      <c r="BE855" s="36">
        <v>0</v>
      </c>
      <c r="BF855" s="36">
        <f>855</f>
        <v>855</v>
      </c>
      <c r="BH855" s="20">
        <f t="shared" si="829"/>
        <v>0</v>
      </c>
      <c r="BI855" s="20">
        <f t="shared" si="830"/>
        <v>0</v>
      </c>
      <c r="BJ855" s="20">
        <f t="shared" si="831"/>
        <v>0</v>
      </c>
      <c r="BK855" s="20" t="s">
        <v>2978</v>
      </c>
      <c r="BL855" s="36">
        <v>96</v>
      </c>
    </row>
    <row r="856" spans="1:64" x14ac:dyDescent="0.2">
      <c r="A856" s="4" t="s">
        <v>732</v>
      </c>
      <c r="B856" s="13" t="s">
        <v>1629</v>
      </c>
      <c r="C856" s="174" t="s">
        <v>2631</v>
      </c>
      <c r="D856" s="175"/>
      <c r="E856" s="175"/>
      <c r="F856" s="175"/>
      <c r="G856" s="13" t="s">
        <v>2854</v>
      </c>
      <c r="H856" s="82">
        <v>4.0750000000000002</v>
      </c>
      <c r="I856" s="109">
        <v>0</v>
      </c>
      <c r="J856" s="20">
        <f t="shared" si="808"/>
        <v>0</v>
      </c>
      <c r="K856" s="20">
        <f t="shared" si="809"/>
        <v>0</v>
      </c>
      <c r="L856" s="20">
        <f t="shared" si="810"/>
        <v>0</v>
      </c>
      <c r="M856" s="31" t="s">
        <v>2884</v>
      </c>
      <c r="N856" s="5"/>
      <c r="Z856" s="36">
        <f t="shared" si="811"/>
        <v>0</v>
      </c>
      <c r="AB856" s="36">
        <f t="shared" si="812"/>
        <v>0</v>
      </c>
      <c r="AC856" s="36">
        <f t="shared" si="813"/>
        <v>0</v>
      </c>
      <c r="AD856" s="36">
        <f t="shared" si="814"/>
        <v>0</v>
      </c>
      <c r="AE856" s="36">
        <f t="shared" si="815"/>
        <v>0</v>
      </c>
      <c r="AF856" s="36">
        <f t="shared" si="816"/>
        <v>0</v>
      </c>
      <c r="AG856" s="36">
        <f t="shared" si="817"/>
        <v>0</v>
      </c>
      <c r="AH856" s="36">
        <f t="shared" si="818"/>
        <v>0</v>
      </c>
      <c r="AI856" s="35" t="s">
        <v>2895</v>
      </c>
      <c r="AJ856" s="20">
        <f t="shared" si="819"/>
        <v>0</v>
      </c>
      <c r="AK856" s="20">
        <f t="shared" si="820"/>
        <v>0</v>
      </c>
      <c r="AL856" s="20">
        <f t="shared" si="821"/>
        <v>0</v>
      </c>
      <c r="AN856" s="36">
        <v>21</v>
      </c>
      <c r="AO856" s="36">
        <f>I856*0</f>
        <v>0</v>
      </c>
      <c r="AP856" s="36">
        <f>I856*(1-0)</f>
        <v>0</v>
      </c>
      <c r="AQ856" s="37" t="s">
        <v>7</v>
      </c>
      <c r="AV856" s="36">
        <f t="shared" si="824"/>
        <v>0</v>
      </c>
      <c r="AW856" s="36">
        <f t="shared" si="825"/>
        <v>0</v>
      </c>
      <c r="AX856" s="36">
        <f t="shared" si="826"/>
        <v>0</v>
      </c>
      <c r="AY856" s="39" t="s">
        <v>2941</v>
      </c>
      <c r="AZ856" s="39" t="s">
        <v>2961</v>
      </c>
      <c r="BA856" s="35" t="s">
        <v>2968</v>
      </c>
      <c r="BC856" s="36">
        <f t="shared" si="827"/>
        <v>0</v>
      </c>
      <c r="BD856" s="36">
        <f t="shared" si="828"/>
        <v>0</v>
      </c>
      <c r="BE856" s="36">
        <v>0</v>
      </c>
      <c r="BF856" s="36">
        <f>856</f>
        <v>856</v>
      </c>
      <c r="BH856" s="20">
        <f t="shared" si="829"/>
        <v>0</v>
      </c>
      <c r="BI856" s="20">
        <f t="shared" si="830"/>
        <v>0</v>
      </c>
      <c r="BJ856" s="20">
        <f t="shared" si="831"/>
        <v>0</v>
      </c>
      <c r="BK856" s="20" t="s">
        <v>2978</v>
      </c>
      <c r="BL856" s="36">
        <v>96</v>
      </c>
    </row>
    <row r="857" spans="1:64" x14ac:dyDescent="0.2">
      <c r="A857" s="4" t="s">
        <v>733</v>
      </c>
      <c r="B857" s="13" t="s">
        <v>1630</v>
      </c>
      <c r="C857" s="174" t="s">
        <v>2632</v>
      </c>
      <c r="D857" s="175"/>
      <c r="E857" s="175"/>
      <c r="F857" s="175"/>
      <c r="G857" s="13" t="s">
        <v>2854</v>
      </c>
      <c r="H857" s="82">
        <v>94.816999999999993</v>
      </c>
      <c r="I857" s="109">
        <v>0</v>
      </c>
      <c r="J857" s="20">
        <f t="shared" si="808"/>
        <v>0</v>
      </c>
      <c r="K857" s="20">
        <f t="shared" si="809"/>
        <v>0</v>
      </c>
      <c r="L857" s="20">
        <f t="shared" si="810"/>
        <v>0</v>
      </c>
      <c r="M857" s="31" t="s">
        <v>2884</v>
      </c>
      <c r="N857" s="5"/>
      <c r="Z857" s="36">
        <f t="shared" si="811"/>
        <v>0</v>
      </c>
      <c r="AB857" s="36">
        <f t="shared" si="812"/>
        <v>0</v>
      </c>
      <c r="AC857" s="36">
        <f t="shared" si="813"/>
        <v>0</v>
      </c>
      <c r="AD857" s="36">
        <f t="shared" si="814"/>
        <v>0</v>
      </c>
      <c r="AE857" s="36">
        <f t="shared" si="815"/>
        <v>0</v>
      </c>
      <c r="AF857" s="36">
        <f t="shared" si="816"/>
        <v>0</v>
      </c>
      <c r="AG857" s="36">
        <f t="shared" si="817"/>
        <v>0</v>
      </c>
      <c r="AH857" s="36">
        <f t="shared" si="818"/>
        <v>0</v>
      </c>
      <c r="AI857" s="35" t="s">
        <v>2895</v>
      </c>
      <c r="AJ857" s="20">
        <f t="shared" si="819"/>
        <v>0</v>
      </c>
      <c r="AK857" s="20">
        <f t="shared" si="820"/>
        <v>0</v>
      </c>
      <c r="AL857" s="20">
        <f t="shared" si="821"/>
        <v>0</v>
      </c>
      <c r="AN857" s="36">
        <v>21</v>
      </c>
      <c r="AO857" s="36">
        <f>I857*0</f>
        <v>0</v>
      </c>
      <c r="AP857" s="36">
        <f>I857*(1-0)</f>
        <v>0</v>
      </c>
      <c r="AQ857" s="37" t="s">
        <v>7</v>
      </c>
      <c r="AV857" s="36">
        <f t="shared" si="824"/>
        <v>0</v>
      </c>
      <c r="AW857" s="36">
        <f t="shared" si="825"/>
        <v>0</v>
      </c>
      <c r="AX857" s="36">
        <f t="shared" si="826"/>
        <v>0</v>
      </c>
      <c r="AY857" s="39" t="s">
        <v>2941</v>
      </c>
      <c r="AZ857" s="39" t="s">
        <v>2961</v>
      </c>
      <c r="BA857" s="35" t="s">
        <v>2968</v>
      </c>
      <c r="BC857" s="36">
        <f t="shared" si="827"/>
        <v>0</v>
      </c>
      <c r="BD857" s="36">
        <f t="shared" si="828"/>
        <v>0</v>
      </c>
      <c r="BE857" s="36">
        <v>0</v>
      </c>
      <c r="BF857" s="36">
        <f>857</f>
        <v>857</v>
      </c>
      <c r="BH857" s="20">
        <f t="shared" si="829"/>
        <v>0</v>
      </c>
      <c r="BI857" s="20">
        <f t="shared" si="830"/>
        <v>0</v>
      </c>
      <c r="BJ857" s="20">
        <f t="shared" si="831"/>
        <v>0</v>
      </c>
      <c r="BK857" s="20" t="s">
        <v>2978</v>
      </c>
      <c r="BL857" s="36">
        <v>96</v>
      </c>
    </row>
    <row r="858" spans="1:64" x14ac:dyDescent="0.2">
      <c r="A858" s="4" t="s">
        <v>734</v>
      </c>
      <c r="B858" s="13" t="s">
        <v>1631</v>
      </c>
      <c r="C858" s="174" t="s">
        <v>2633</v>
      </c>
      <c r="D858" s="175"/>
      <c r="E858" s="175"/>
      <c r="F858" s="175"/>
      <c r="G858" s="13" t="s">
        <v>2854</v>
      </c>
      <c r="H858" s="82">
        <v>6.7169999999999996</v>
      </c>
      <c r="I858" s="109">
        <v>0</v>
      </c>
      <c r="J858" s="20">
        <f t="shared" si="808"/>
        <v>0</v>
      </c>
      <c r="K858" s="20">
        <f t="shared" si="809"/>
        <v>0</v>
      </c>
      <c r="L858" s="20">
        <f t="shared" si="810"/>
        <v>0</v>
      </c>
      <c r="M858" s="31" t="s">
        <v>2884</v>
      </c>
      <c r="N858" s="5"/>
      <c r="Z858" s="36">
        <f t="shared" si="811"/>
        <v>0</v>
      </c>
      <c r="AB858" s="36">
        <f t="shared" si="812"/>
        <v>0</v>
      </c>
      <c r="AC858" s="36">
        <f t="shared" si="813"/>
        <v>0</v>
      </c>
      <c r="AD858" s="36">
        <f t="shared" si="814"/>
        <v>0</v>
      </c>
      <c r="AE858" s="36">
        <f t="shared" si="815"/>
        <v>0</v>
      </c>
      <c r="AF858" s="36">
        <f t="shared" si="816"/>
        <v>0</v>
      </c>
      <c r="AG858" s="36">
        <f t="shared" si="817"/>
        <v>0</v>
      </c>
      <c r="AH858" s="36">
        <f t="shared" si="818"/>
        <v>0</v>
      </c>
      <c r="AI858" s="35" t="s">
        <v>2895</v>
      </c>
      <c r="AJ858" s="20">
        <f t="shared" si="819"/>
        <v>0</v>
      </c>
      <c r="AK858" s="20">
        <f t="shared" si="820"/>
        <v>0</v>
      </c>
      <c r="AL858" s="20">
        <f t="shared" si="821"/>
        <v>0</v>
      </c>
      <c r="AN858" s="36">
        <v>21</v>
      </c>
      <c r="AO858" s="36">
        <f>I858*0</f>
        <v>0</v>
      </c>
      <c r="AP858" s="36">
        <f>I858*(1-0)</f>
        <v>0</v>
      </c>
      <c r="AQ858" s="37" t="s">
        <v>7</v>
      </c>
      <c r="AV858" s="36">
        <f t="shared" si="824"/>
        <v>0</v>
      </c>
      <c r="AW858" s="36">
        <f t="shared" si="825"/>
        <v>0</v>
      </c>
      <c r="AX858" s="36">
        <f t="shared" si="826"/>
        <v>0</v>
      </c>
      <c r="AY858" s="39" t="s">
        <v>2941</v>
      </c>
      <c r="AZ858" s="39" t="s">
        <v>2961</v>
      </c>
      <c r="BA858" s="35" t="s">
        <v>2968</v>
      </c>
      <c r="BC858" s="36">
        <f t="shared" si="827"/>
        <v>0</v>
      </c>
      <c r="BD858" s="36">
        <f t="shared" si="828"/>
        <v>0</v>
      </c>
      <c r="BE858" s="36">
        <v>0</v>
      </c>
      <c r="BF858" s="36">
        <f>858</f>
        <v>858</v>
      </c>
      <c r="BH858" s="20">
        <f t="shared" si="829"/>
        <v>0</v>
      </c>
      <c r="BI858" s="20">
        <f t="shared" si="830"/>
        <v>0</v>
      </c>
      <c r="BJ858" s="20">
        <f t="shared" si="831"/>
        <v>0</v>
      </c>
      <c r="BK858" s="20" t="s">
        <v>2978</v>
      </c>
      <c r="BL858" s="36">
        <v>96</v>
      </c>
    </row>
    <row r="859" spans="1:64" x14ac:dyDescent="0.2">
      <c r="A859" s="4" t="s">
        <v>735</v>
      </c>
      <c r="B859" s="13" t="s">
        <v>1632</v>
      </c>
      <c r="C859" s="174" t="s">
        <v>2634</v>
      </c>
      <c r="D859" s="175"/>
      <c r="E859" s="175"/>
      <c r="F859" s="175"/>
      <c r="G859" s="13" t="s">
        <v>2854</v>
      </c>
      <c r="H859" s="82">
        <v>18.373000000000001</v>
      </c>
      <c r="I859" s="109">
        <v>0</v>
      </c>
      <c r="J859" s="20">
        <f t="shared" si="808"/>
        <v>0</v>
      </c>
      <c r="K859" s="20">
        <f t="shared" si="809"/>
        <v>0</v>
      </c>
      <c r="L859" s="20">
        <f t="shared" si="810"/>
        <v>0</v>
      </c>
      <c r="M859" s="31" t="s">
        <v>2884</v>
      </c>
      <c r="N859" s="5"/>
      <c r="Z859" s="36">
        <f t="shared" si="811"/>
        <v>0</v>
      </c>
      <c r="AB859" s="36">
        <f t="shared" si="812"/>
        <v>0</v>
      </c>
      <c r="AC859" s="36">
        <f t="shared" si="813"/>
        <v>0</v>
      </c>
      <c r="AD859" s="36">
        <f t="shared" si="814"/>
        <v>0</v>
      </c>
      <c r="AE859" s="36">
        <f t="shared" si="815"/>
        <v>0</v>
      </c>
      <c r="AF859" s="36">
        <f t="shared" si="816"/>
        <v>0</v>
      </c>
      <c r="AG859" s="36">
        <f t="shared" si="817"/>
        <v>0</v>
      </c>
      <c r="AH859" s="36">
        <f t="shared" si="818"/>
        <v>0</v>
      </c>
      <c r="AI859" s="35" t="s">
        <v>2895</v>
      </c>
      <c r="AJ859" s="20">
        <f t="shared" si="819"/>
        <v>0</v>
      </c>
      <c r="AK859" s="20">
        <f t="shared" si="820"/>
        <v>0</v>
      </c>
      <c r="AL859" s="20">
        <f t="shared" si="821"/>
        <v>0</v>
      </c>
      <c r="AN859" s="36">
        <v>21</v>
      </c>
      <c r="AO859" s="36">
        <f>I859*0.104621685427637</f>
        <v>0</v>
      </c>
      <c r="AP859" s="36">
        <f>I859*(1-0.104621685427637)</f>
        <v>0</v>
      </c>
      <c r="AQ859" s="37" t="s">
        <v>7</v>
      </c>
      <c r="AV859" s="36">
        <f t="shared" si="824"/>
        <v>0</v>
      </c>
      <c r="AW859" s="36">
        <f t="shared" si="825"/>
        <v>0</v>
      </c>
      <c r="AX859" s="36">
        <f t="shared" si="826"/>
        <v>0</v>
      </c>
      <c r="AY859" s="39" t="s">
        <v>2941</v>
      </c>
      <c r="AZ859" s="39" t="s">
        <v>2961</v>
      </c>
      <c r="BA859" s="35" t="s">
        <v>2968</v>
      </c>
      <c r="BC859" s="36">
        <f t="shared" si="827"/>
        <v>0</v>
      </c>
      <c r="BD859" s="36">
        <f t="shared" si="828"/>
        <v>0</v>
      </c>
      <c r="BE859" s="36">
        <v>0</v>
      </c>
      <c r="BF859" s="36">
        <f>859</f>
        <v>859</v>
      </c>
      <c r="BH859" s="20">
        <f t="shared" si="829"/>
        <v>0</v>
      </c>
      <c r="BI859" s="20">
        <f t="shared" si="830"/>
        <v>0</v>
      </c>
      <c r="BJ859" s="20">
        <f t="shared" si="831"/>
        <v>0</v>
      </c>
      <c r="BK859" s="20" t="s">
        <v>2978</v>
      </c>
      <c r="BL859" s="36">
        <v>96</v>
      </c>
    </row>
    <row r="860" spans="1:64" x14ac:dyDescent="0.2">
      <c r="A860" s="4" t="s">
        <v>736</v>
      </c>
      <c r="B860" s="13" t="s">
        <v>1633</v>
      </c>
      <c r="C860" s="174" t="s">
        <v>2635</v>
      </c>
      <c r="D860" s="175"/>
      <c r="E860" s="175"/>
      <c r="F860" s="175"/>
      <c r="G860" s="13" t="s">
        <v>2854</v>
      </c>
      <c r="H860" s="82">
        <v>4.0190000000000001</v>
      </c>
      <c r="I860" s="109">
        <v>0</v>
      </c>
      <c r="J860" s="20">
        <f t="shared" si="808"/>
        <v>0</v>
      </c>
      <c r="K860" s="20">
        <f t="shared" si="809"/>
        <v>0</v>
      </c>
      <c r="L860" s="20">
        <f t="shared" si="810"/>
        <v>0</v>
      </c>
      <c r="M860" s="31" t="s">
        <v>2884</v>
      </c>
      <c r="N860" s="5"/>
      <c r="Z860" s="36">
        <f t="shared" si="811"/>
        <v>0</v>
      </c>
      <c r="AB860" s="36">
        <f t="shared" si="812"/>
        <v>0</v>
      </c>
      <c r="AC860" s="36">
        <f t="shared" si="813"/>
        <v>0</v>
      </c>
      <c r="AD860" s="36">
        <f t="shared" si="814"/>
        <v>0</v>
      </c>
      <c r="AE860" s="36">
        <f t="shared" si="815"/>
        <v>0</v>
      </c>
      <c r="AF860" s="36">
        <f t="shared" si="816"/>
        <v>0</v>
      </c>
      <c r="AG860" s="36">
        <f t="shared" si="817"/>
        <v>0</v>
      </c>
      <c r="AH860" s="36">
        <f t="shared" si="818"/>
        <v>0</v>
      </c>
      <c r="AI860" s="35" t="s">
        <v>2895</v>
      </c>
      <c r="AJ860" s="20">
        <f t="shared" si="819"/>
        <v>0</v>
      </c>
      <c r="AK860" s="20">
        <f t="shared" si="820"/>
        <v>0</v>
      </c>
      <c r="AL860" s="20">
        <f t="shared" si="821"/>
        <v>0</v>
      </c>
      <c r="AN860" s="36">
        <v>21</v>
      </c>
      <c r="AO860" s="36">
        <f>I860*0</f>
        <v>0</v>
      </c>
      <c r="AP860" s="36">
        <f>I860*(1-0)</f>
        <v>0</v>
      </c>
      <c r="AQ860" s="37" t="s">
        <v>7</v>
      </c>
      <c r="AV860" s="36">
        <f t="shared" si="824"/>
        <v>0</v>
      </c>
      <c r="AW860" s="36">
        <f t="shared" si="825"/>
        <v>0</v>
      </c>
      <c r="AX860" s="36">
        <f t="shared" si="826"/>
        <v>0</v>
      </c>
      <c r="AY860" s="39" t="s">
        <v>2941</v>
      </c>
      <c r="AZ860" s="39" t="s">
        <v>2961</v>
      </c>
      <c r="BA860" s="35" t="s">
        <v>2968</v>
      </c>
      <c r="BC860" s="36">
        <f t="shared" si="827"/>
        <v>0</v>
      </c>
      <c r="BD860" s="36">
        <f t="shared" si="828"/>
        <v>0</v>
      </c>
      <c r="BE860" s="36">
        <v>0</v>
      </c>
      <c r="BF860" s="36">
        <f>860</f>
        <v>860</v>
      </c>
      <c r="BH860" s="20">
        <f t="shared" si="829"/>
        <v>0</v>
      </c>
      <c r="BI860" s="20">
        <f t="shared" si="830"/>
        <v>0</v>
      </c>
      <c r="BJ860" s="20">
        <f t="shared" si="831"/>
        <v>0</v>
      </c>
      <c r="BK860" s="20" t="s">
        <v>2978</v>
      </c>
      <c r="BL860" s="36">
        <v>96</v>
      </c>
    </row>
    <row r="861" spans="1:64" x14ac:dyDescent="0.2">
      <c r="A861" s="4" t="s">
        <v>737</v>
      </c>
      <c r="B861" s="13" t="s">
        <v>1634</v>
      </c>
      <c r="C861" s="174" t="s">
        <v>2636</v>
      </c>
      <c r="D861" s="175"/>
      <c r="E861" s="175"/>
      <c r="F861" s="175"/>
      <c r="G861" s="13" t="s">
        <v>2854</v>
      </c>
      <c r="H861" s="82">
        <v>8.9459999999999997</v>
      </c>
      <c r="I861" s="109">
        <v>0</v>
      </c>
      <c r="J861" s="20">
        <f t="shared" si="808"/>
        <v>0</v>
      </c>
      <c r="K861" s="20">
        <f t="shared" si="809"/>
        <v>0</v>
      </c>
      <c r="L861" s="20">
        <f t="shared" si="810"/>
        <v>0</v>
      </c>
      <c r="M861" s="31" t="s">
        <v>2884</v>
      </c>
      <c r="N861" s="5"/>
      <c r="Z861" s="36">
        <f t="shared" si="811"/>
        <v>0</v>
      </c>
      <c r="AB861" s="36">
        <f t="shared" si="812"/>
        <v>0</v>
      </c>
      <c r="AC861" s="36">
        <f t="shared" si="813"/>
        <v>0</v>
      </c>
      <c r="AD861" s="36">
        <f t="shared" si="814"/>
        <v>0</v>
      </c>
      <c r="AE861" s="36">
        <f t="shared" si="815"/>
        <v>0</v>
      </c>
      <c r="AF861" s="36">
        <f t="shared" si="816"/>
        <v>0</v>
      </c>
      <c r="AG861" s="36">
        <f t="shared" si="817"/>
        <v>0</v>
      </c>
      <c r="AH861" s="36">
        <f t="shared" si="818"/>
        <v>0</v>
      </c>
      <c r="AI861" s="35" t="s">
        <v>2895</v>
      </c>
      <c r="AJ861" s="20">
        <f t="shared" si="819"/>
        <v>0</v>
      </c>
      <c r="AK861" s="20">
        <f t="shared" si="820"/>
        <v>0</v>
      </c>
      <c r="AL861" s="20">
        <f t="shared" si="821"/>
        <v>0</v>
      </c>
      <c r="AN861" s="36">
        <v>21</v>
      </c>
      <c r="AO861" s="36">
        <f>I861*0</f>
        <v>0</v>
      </c>
      <c r="AP861" s="36">
        <f>I861*(1-0)</f>
        <v>0</v>
      </c>
      <c r="AQ861" s="37" t="s">
        <v>7</v>
      </c>
      <c r="AV861" s="36">
        <f t="shared" si="824"/>
        <v>0</v>
      </c>
      <c r="AW861" s="36">
        <f t="shared" si="825"/>
        <v>0</v>
      </c>
      <c r="AX861" s="36">
        <f t="shared" si="826"/>
        <v>0</v>
      </c>
      <c r="AY861" s="39" t="s">
        <v>2941</v>
      </c>
      <c r="AZ861" s="39" t="s">
        <v>2961</v>
      </c>
      <c r="BA861" s="35" t="s">
        <v>2968</v>
      </c>
      <c r="BC861" s="36">
        <f t="shared" si="827"/>
        <v>0</v>
      </c>
      <c r="BD861" s="36">
        <f t="shared" si="828"/>
        <v>0</v>
      </c>
      <c r="BE861" s="36">
        <v>0</v>
      </c>
      <c r="BF861" s="36">
        <f>861</f>
        <v>861</v>
      </c>
      <c r="BH861" s="20">
        <f t="shared" si="829"/>
        <v>0</v>
      </c>
      <c r="BI861" s="20">
        <f t="shared" si="830"/>
        <v>0</v>
      </c>
      <c r="BJ861" s="20">
        <f t="shared" si="831"/>
        <v>0</v>
      </c>
      <c r="BK861" s="20" t="s">
        <v>2978</v>
      </c>
      <c r="BL861" s="36">
        <v>96</v>
      </c>
    </row>
    <row r="862" spans="1:64" x14ac:dyDescent="0.2">
      <c r="A862" s="4" t="s">
        <v>738</v>
      </c>
      <c r="B862" s="13" t="s">
        <v>1635</v>
      </c>
      <c r="C862" s="174" t="s">
        <v>2637</v>
      </c>
      <c r="D862" s="175"/>
      <c r="E862" s="175"/>
      <c r="F862" s="175"/>
      <c r="G862" s="13" t="s">
        <v>2854</v>
      </c>
      <c r="H862" s="82">
        <v>6.3609999999999998</v>
      </c>
      <c r="I862" s="109">
        <v>0</v>
      </c>
      <c r="J862" s="20">
        <f t="shared" si="808"/>
        <v>0</v>
      </c>
      <c r="K862" s="20">
        <f t="shared" si="809"/>
        <v>0</v>
      </c>
      <c r="L862" s="20">
        <f t="shared" si="810"/>
        <v>0</v>
      </c>
      <c r="M862" s="31" t="s">
        <v>2884</v>
      </c>
      <c r="N862" s="5"/>
      <c r="Z862" s="36">
        <f t="shared" si="811"/>
        <v>0</v>
      </c>
      <c r="AB862" s="36">
        <f t="shared" si="812"/>
        <v>0</v>
      </c>
      <c r="AC862" s="36">
        <f t="shared" si="813"/>
        <v>0</v>
      </c>
      <c r="AD862" s="36">
        <f t="shared" si="814"/>
        <v>0</v>
      </c>
      <c r="AE862" s="36">
        <f t="shared" si="815"/>
        <v>0</v>
      </c>
      <c r="AF862" s="36">
        <f t="shared" si="816"/>
        <v>0</v>
      </c>
      <c r="AG862" s="36">
        <f t="shared" si="817"/>
        <v>0</v>
      </c>
      <c r="AH862" s="36">
        <f t="shared" si="818"/>
        <v>0</v>
      </c>
      <c r="AI862" s="35" t="s">
        <v>2895</v>
      </c>
      <c r="AJ862" s="20">
        <f t="shared" si="819"/>
        <v>0</v>
      </c>
      <c r="AK862" s="20">
        <f t="shared" si="820"/>
        <v>0</v>
      </c>
      <c r="AL862" s="20">
        <f t="shared" si="821"/>
        <v>0</v>
      </c>
      <c r="AN862" s="36">
        <v>21</v>
      </c>
      <c r="AO862" s="36">
        <f>I862*0</f>
        <v>0</v>
      </c>
      <c r="AP862" s="36">
        <f>I862*(1-0)</f>
        <v>0</v>
      </c>
      <c r="AQ862" s="37" t="s">
        <v>7</v>
      </c>
      <c r="AV862" s="36">
        <f t="shared" si="824"/>
        <v>0</v>
      </c>
      <c r="AW862" s="36">
        <f t="shared" si="825"/>
        <v>0</v>
      </c>
      <c r="AX862" s="36">
        <f t="shared" si="826"/>
        <v>0</v>
      </c>
      <c r="AY862" s="39" t="s">
        <v>2941</v>
      </c>
      <c r="AZ862" s="39" t="s">
        <v>2961</v>
      </c>
      <c r="BA862" s="35" t="s">
        <v>2968</v>
      </c>
      <c r="BC862" s="36">
        <f t="shared" si="827"/>
        <v>0</v>
      </c>
      <c r="BD862" s="36">
        <f t="shared" si="828"/>
        <v>0</v>
      </c>
      <c r="BE862" s="36">
        <v>0</v>
      </c>
      <c r="BF862" s="36">
        <f>862</f>
        <v>862</v>
      </c>
      <c r="BH862" s="20">
        <f t="shared" si="829"/>
        <v>0</v>
      </c>
      <c r="BI862" s="20">
        <f t="shared" si="830"/>
        <v>0</v>
      </c>
      <c r="BJ862" s="20">
        <f t="shared" si="831"/>
        <v>0</v>
      </c>
      <c r="BK862" s="20" t="s">
        <v>2978</v>
      </c>
      <c r="BL862" s="36">
        <v>96</v>
      </c>
    </row>
    <row r="863" spans="1:64" x14ac:dyDescent="0.2">
      <c r="A863" s="4" t="s">
        <v>739</v>
      </c>
      <c r="B863" s="13" t="s">
        <v>1636</v>
      </c>
      <c r="C863" s="174" t="s">
        <v>2638</v>
      </c>
      <c r="D863" s="175"/>
      <c r="E863" s="175"/>
      <c r="F863" s="175"/>
      <c r="G863" s="13" t="s">
        <v>2853</v>
      </c>
      <c r="H863" s="82">
        <v>34.463000000000001</v>
      </c>
      <c r="I863" s="109">
        <v>0</v>
      </c>
      <c r="J863" s="20">
        <f t="shared" si="808"/>
        <v>0</v>
      </c>
      <c r="K863" s="20">
        <f t="shared" si="809"/>
        <v>0</v>
      </c>
      <c r="L863" s="20">
        <f t="shared" si="810"/>
        <v>0</v>
      </c>
      <c r="M863" s="31" t="s">
        <v>2884</v>
      </c>
      <c r="N863" s="5"/>
      <c r="Z863" s="36">
        <f t="shared" si="811"/>
        <v>0</v>
      </c>
      <c r="AB863" s="36">
        <f t="shared" si="812"/>
        <v>0</v>
      </c>
      <c r="AC863" s="36">
        <f t="shared" si="813"/>
        <v>0</v>
      </c>
      <c r="AD863" s="36">
        <f t="shared" si="814"/>
        <v>0</v>
      </c>
      <c r="AE863" s="36">
        <f t="shared" si="815"/>
        <v>0</v>
      </c>
      <c r="AF863" s="36">
        <f t="shared" si="816"/>
        <v>0</v>
      </c>
      <c r="AG863" s="36">
        <f t="shared" si="817"/>
        <v>0</v>
      </c>
      <c r="AH863" s="36">
        <f t="shared" si="818"/>
        <v>0</v>
      </c>
      <c r="AI863" s="35" t="s">
        <v>2895</v>
      </c>
      <c r="AJ863" s="20">
        <f t="shared" si="819"/>
        <v>0</v>
      </c>
      <c r="AK863" s="20">
        <f t="shared" si="820"/>
        <v>0</v>
      </c>
      <c r="AL863" s="20">
        <f t="shared" si="821"/>
        <v>0</v>
      </c>
      <c r="AN863" s="36">
        <v>21</v>
      </c>
      <c r="AO863" s="36">
        <f>I863*0.0408543965780629</f>
        <v>0</v>
      </c>
      <c r="AP863" s="36">
        <f>I863*(1-0.0408543965780629)</f>
        <v>0</v>
      </c>
      <c r="AQ863" s="37" t="s">
        <v>7</v>
      </c>
      <c r="AV863" s="36">
        <f t="shared" si="824"/>
        <v>0</v>
      </c>
      <c r="AW863" s="36">
        <f t="shared" si="825"/>
        <v>0</v>
      </c>
      <c r="AX863" s="36">
        <f t="shared" si="826"/>
        <v>0</v>
      </c>
      <c r="AY863" s="39" t="s">
        <v>2941</v>
      </c>
      <c r="AZ863" s="39" t="s">
        <v>2961</v>
      </c>
      <c r="BA863" s="35" t="s">
        <v>2968</v>
      </c>
      <c r="BC863" s="36">
        <f t="shared" si="827"/>
        <v>0</v>
      </c>
      <c r="BD863" s="36">
        <f t="shared" si="828"/>
        <v>0</v>
      </c>
      <c r="BE863" s="36">
        <v>0</v>
      </c>
      <c r="BF863" s="36">
        <f>863</f>
        <v>863</v>
      </c>
      <c r="BH863" s="20">
        <f t="shared" si="829"/>
        <v>0</v>
      </c>
      <c r="BI863" s="20">
        <f t="shared" si="830"/>
        <v>0</v>
      </c>
      <c r="BJ863" s="20">
        <f t="shared" si="831"/>
        <v>0</v>
      </c>
      <c r="BK863" s="20" t="s">
        <v>2978</v>
      </c>
      <c r="BL863" s="36">
        <v>96</v>
      </c>
    </row>
    <row r="864" spans="1:64" x14ac:dyDescent="0.2">
      <c r="A864" s="4" t="s">
        <v>740</v>
      </c>
      <c r="B864" s="13" t="s">
        <v>1636</v>
      </c>
      <c r="C864" s="174" t="s">
        <v>2639</v>
      </c>
      <c r="D864" s="175"/>
      <c r="E864" s="175"/>
      <c r="F864" s="175"/>
      <c r="G864" s="13" t="s">
        <v>2853</v>
      </c>
      <c r="H864" s="82">
        <v>44.817999999999998</v>
      </c>
      <c r="I864" s="109">
        <v>0</v>
      </c>
      <c r="J864" s="20">
        <f t="shared" si="808"/>
        <v>0</v>
      </c>
      <c r="K864" s="20">
        <f t="shared" si="809"/>
        <v>0</v>
      </c>
      <c r="L864" s="20">
        <f t="shared" si="810"/>
        <v>0</v>
      </c>
      <c r="M864" s="31" t="s">
        <v>2884</v>
      </c>
      <c r="N864" s="5"/>
      <c r="Z864" s="36">
        <f t="shared" si="811"/>
        <v>0</v>
      </c>
      <c r="AB864" s="36">
        <f t="shared" si="812"/>
        <v>0</v>
      </c>
      <c r="AC864" s="36">
        <f t="shared" si="813"/>
        <v>0</v>
      </c>
      <c r="AD864" s="36">
        <f t="shared" si="814"/>
        <v>0</v>
      </c>
      <c r="AE864" s="36">
        <f t="shared" si="815"/>
        <v>0</v>
      </c>
      <c r="AF864" s="36">
        <f t="shared" si="816"/>
        <v>0</v>
      </c>
      <c r="AG864" s="36">
        <f t="shared" si="817"/>
        <v>0</v>
      </c>
      <c r="AH864" s="36">
        <f t="shared" si="818"/>
        <v>0</v>
      </c>
      <c r="AI864" s="35" t="s">
        <v>2895</v>
      </c>
      <c r="AJ864" s="20">
        <f t="shared" si="819"/>
        <v>0</v>
      </c>
      <c r="AK864" s="20">
        <f t="shared" si="820"/>
        <v>0</v>
      </c>
      <c r="AL864" s="20">
        <f t="shared" si="821"/>
        <v>0</v>
      </c>
      <c r="AN864" s="36">
        <v>21</v>
      </c>
      <c r="AO864" s="36">
        <f>I864*0.0408543901045437</f>
        <v>0</v>
      </c>
      <c r="AP864" s="36">
        <f>I864*(1-0.0408543901045437)</f>
        <v>0</v>
      </c>
      <c r="AQ864" s="37" t="s">
        <v>7</v>
      </c>
      <c r="AV864" s="36">
        <f t="shared" si="824"/>
        <v>0</v>
      </c>
      <c r="AW864" s="36">
        <f t="shared" si="825"/>
        <v>0</v>
      </c>
      <c r="AX864" s="36">
        <f t="shared" si="826"/>
        <v>0</v>
      </c>
      <c r="AY864" s="39" t="s">
        <v>2941</v>
      </c>
      <c r="AZ864" s="39" t="s">
        <v>2961</v>
      </c>
      <c r="BA864" s="35" t="s">
        <v>2968</v>
      </c>
      <c r="BC864" s="36">
        <f t="shared" si="827"/>
        <v>0</v>
      </c>
      <c r="BD864" s="36">
        <f t="shared" si="828"/>
        <v>0</v>
      </c>
      <c r="BE864" s="36">
        <v>0</v>
      </c>
      <c r="BF864" s="36">
        <f>864</f>
        <v>864</v>
      </c>
      <c r="BH864" s="20">
        <f t="shared" si="829"/>
        <v>0</v>
      </c>
      <c r="BI864" s="20">
        <f t="shared" si="830"/>
        <v>0</v>
      </c>
      <c r="BJ864" s="20">
        <f t="shared" si="831"/>
        <v>0</v>
      </c>
      <c r="BK864" s="20" t="s">
        <v>2978</v>
      </c>
      <c r="BL864" s="36">
        <v>96</v>
      </c>
    </row>
    <row r="865" spans="1:64" x14ac:dyDescent="0.2">
      <c r="A865" s="4" t="s">
        <v>741</v>
      </c>
      <c r="B865" s="13" t="s">
        <v>1637</v>
      </c>
      <c r="C865" s="174" t="s">
        <v>2640</v>
      </c>
      <c r="D865" s="175"/>
      <c r="E865" s="175"/>
      <c r="F865" s="175"/>
      <c r="G865" s="13" t="s">
        <v>2853</v>
      </c>
      <c r="H865" s="82">
        <v>2</v>
      </c>
      <c r="I865" s="109">
        <v>0</v>
      </c>
      <c r="J865" s="20">
        <f t="shared" si="808"/>
        <v>0</v>
      </c>
      <c r="K865" s="20">
        <f t="shared" si="809"/>
        <v>0</v>
      </c>
      <c r="L865" s="20">
        <f t="shared" si="810"/>
        <v>0</v>
      </c>
      <c r="M865" s="31" t="s">
        <v>2884</v>
      </c>
      <c r="N865" s="5"/>
      <c r="Z865" s="36">
        <f t="shared" si="811"/>
        <v>0</v>
      </c>
      <c r="AB865" s="36">
        <f t="shared" si="812"/>
        <v>0</v>
      </c>
      <c r="AC865" s="36">
        <f t="shared" si="813"/>
        <v>0</v>
      </c>
      <c r="AD865" s="36">
        <f t="shared" si="814"/>
        <v>0</v>
      </c>
      <c r="AE865" s="36">
        <f t="shared" si="815"/>
        <v>0</v>
      </c>
      <c r="AF865" s="36">
        <f t="shared" si="816"/>
        <v>0</v>
      </c>
      <c r="AG865" s="36">
        <f t="shared" si="817"/>
        <v>0</v>
      </c>
      <c r="AH865" s="36">
        <f t="shared" si="818"/>
        <v>0</v>
      </c>
      <c r="AI865" s="35" t="s">
        <v>2895</v>
      </c>
      <c r="AJ865" s="20">
        <f t="shared" si="819"/>
        <v>0</v>
      </c>
      <c r="AK865" s="20">
        <f t="shared" si="820"/>
        <v>0</v>
      </c>
      <c r="AL865" s="20">
        <f t="shared" si="821"/>
        <v>0</v>
      </c>
      <c r="AN865" s="36">
        <v>21</v>
      </c>
      <c r="AO865" s="36">
        <f>I865*0</f>
        <v>0</v>
      </c>
      <c r="AP865" s="36">
        <f>I865*(1-0)</f>
        <v>0</v>
      </c>
      <c r="AQ865" s="37" t="s">
        <v>7</v>
      </c>
      <c r="AV865" s="36">
        <f t="shared" si="824"/>
        <v>0</v>
      </c>
      <c r="AW865" s="36">
        <f t="shared" si="825"/>
        <v>0</v>
      </c>
      <c r="AX865" s="36">
        <f t="shared" si="826"/>
        <v>0</v>
      </c>
      <c r="AY865" s="39" t="s">
        <v>2941</v>
      </c>
      <c r="AZ865" s="39" t="s">
        <v>2961</v>
      </c>
      <c r="BA865" s="35" t="s">
        <v>2968</v>
      </c>
      <c r="BC865" s="36">
        <f t="shared" si="827"/>
        <v>0</v>
      </c>
      <c r="BD865" s="36">
        <f t="shared" si="828"/>
        <v>0</v>
      </c>
      <c r="BE865" s="36">
        <v>0</v>
      </c>
      <c r="BF865" s="36">
        <f>865</f>
        <v>865</v>
      </c>
      <c r="BH865" s="20">
        <f t="shared" si="829"/>
        <v>0</v>
      </c>
      <c r="BI865" s="20">
        <f t="shared" si="830"/>
        <v>0</v>
      </c>
      <c r="BJ865" s="20">
        <f t="shared" si="831"/>
        <v>0</v>
      </c>
      <c r="BK865" s="20" t="s">
        <v>2978</v>
      </c>
      <c r="BL865" s="36">
        <v>96</v>
      </c>
    </row>
    <row r="866" spans="1:64" x14ac:dyDescent="0.2">
      <c r="A866" s="4" t="s">
        <v>742</v>
      </c>
      <c r="B866" s="13" t="s">
        <v>1638</v>
      </c>
      <c r="C866" s="174" t="s">
        <v>2641</v>
      </c>
      <c r="D866" s="175"/>
      <c r="E866" s="175"/>
      <c r="F866" s="175"/>
      <c r="G866" s="13" t="s">
        <v>2853</v>
      </c>
      <c r="H866" s="82">
        <v>5.67</v>
      </c>
      <c r="I866" s="109">
        <v>0</v>
      </c>
      <c r="J866" s="20">
        <f t="shared" si="808"/>
        <v>0</v>
      </c>
      <c r="K866" s="20">
        <f t="shared" si="809"/>
        <v>0</v>
      </c>
      <c r="L866" s="20">
        <f t="shared" si="810"/>
        <v>0</v>
      </c>
      <c r="M866" s="31" t="s">
        <v>2884</v>
      </c>
      <c r="N866" s="5"/>
      <c r="Z866" s="36">
        <f t="shared" si="811"/>
        <v>0</v>
      </c>
      <c r="AB866" s="36">
        <f t="shared" si="812"/>
        <v>0</v>
      </c>
      <c r="AC866" s="36">
        <f t="shared" si="813"/>
        <v>0</v>
      </c>
      <c r="AD866" s="36">
        <f t="shared" si="814"/>
        <v>0</v>
      </c>
      <c r="AE866" s="36">
        <f t="shared" si="815"/>
        <v>0</v>
      </c>
      <c r="AF866" s="36">
        <f t="shared" si="816"/>
        <v>0</v>
      </c>
      <c r="AG866" s="36">
        <f t="shared" si="817"/>
        <v>0</v>
      </c>
      <c r="AH866" s="36">
        <f t="shared" si="818"/>
        <v>0</v>
      </c>
      <c r="AI866" s="35" t="s">
        <v>2895</v>
      </c>
      <c r="AJ866" s="20">
        <f t="shared" si="819"/>
        <v>0</v>
      </c>
      <c r="AK866" s="20">
        <f t="shared" si="820"/>
        <v>0</v>
      </c>
      <c r="AL866" s="20">
        <f t="shared" si="821"/>
        <v>0</v>
      </c>
      <c r="AN866" s="36">
        <v>21</v>
      </c>
      <c r="AO866" s="36">
        <f>I866*0.0289525483304042</f>
        <v>0</v>
      </c>
      <c r="AP866" s="36">
        <f>I866*(1-0.0289525483304042)</f>
        <v>0</v>
      </c>
      <c r="AQ866" s="37" t="s">
        <v>7</v>
      </c>
      <c r="AV866" s="36">
        <f t="shared" si="824"/>
        <v>0</v>
      </c>
      <c r="AW866" s="36">
        <f t="shared" si="825"/>
        <v>0</v>
      </c>
      <c r="AX866" s="36">
        <f t="shared" si="826"/>
        <v>0</v>
      </c>
      <c r="AY866" s="39" t="s">
        <v>2941</v>
      </c>
      <c r="AZ866" s="39" t="s">
        <v>2961</v>
      </c>
      <c r="BA866" s="35" t="s">
        <v>2968</v>
      </c>
      <c r="BC866" s="36">
        <f t="shared" si="827"/>
        <v>0</v>
      </c>
      <c r="BD866" s="36">
        <f t="shared" si="828"/>
        <v>0</v>
      </c>
      <c r="BE866" s="36">
        <v>0</v>
      </c>
      <c r="BF866" s="36">
        <f>866</f>
        <v>866</v>
      </c>
      <c r="BH866" s="20">
        <f t="shared" si="829"/>
        <v>0</v>
      </c>
      <c r="BI866" s="20">
        <f t="shared" si="830"/>
        <v>0</v>
      </c>
      <c r="BJ866" s="20">
        <f t="shared" si="831"/>
        <v>0</v>
      </c>
      <c r="BK866" s="20" t="s">
        <v>2978</v>
      </c>
      <c r="BL866" s="36">
        <v>96</v>
      </c>
    </row>
    <row r="867" spans="1:64" x14ac:dyDescent="0.2">
      <c r="A867" s="4" t="s">
        <v>743</v>
      </c>
      <c r="B867" s="13" t="s">
        <v>1639</v>
      </c>
      <c r="C867" s="174" t="s">
        <v>2642</v>
      </c>
      <c r="D867" s="175"/>
      <c r="E867" s="175"/>
      <c r="F867" s="175"/>
      <c r="G867" s="13" t="s">
        <v>2854</v>
      </c>
      <c r="H867" s="82">
        <v>191.4</v>
      </c>
      <c r="I867" s="109">
        <v>0</v>
      </c>
      <c r="J867" s="20">
        <f t="shared" si="808"/>
        <v>0</v>
      </c>
      <c r="K867" s="20">
        <f t="shared" si="809"/>
        <v>0</v>
      </c>
      <c r="L867" s="20">
        <f t="shared" si="810"/>
        <v>0</v>
      </c>
      <c r="M867" s="31" t="s">
        <v>2884</v>
      </c>
      <c r="N867" s="5"/>
      <c r="Z867" s="36">
        <f t="shared" si="811"/>
        <v>0</v>
      </c>
      <c r="AB867" s="36">
        <f t="shared" si="812"/>
        <v>0</v>
      </c>
      <c r="AC867" s="36">
        <f t="shared" si="813"/>
        <v>0</v>
      </c>
      <c r="AD867" s="36">
        <f t="shared" si="814"/>
        <v>0</v>
      </c>
      <c r="AE867" s="36">
        <f t="shared" si="815"/>
        <v>0</v>
      </c>
      <c r="AF867" s="36">
        <f t="shared" si="816"/>
        <v>0</v>
      </c>
      <c r="AG867" s="36">
        <f t="shared" si="817"/>
        <v>0</v>
      </c>
      <c r="AH867" s="36">
        <f t="shared" si="818"/>
        <v>0</v>
      </c>
      <c r="AI867" s="35" t="s">
        <v>2895</v>
      </c>
      <c r="AJ867" s="20">
        <f t="shared" si="819"/>
        <v>0</v>
      </c>
      <c r="AK867" s="20">
        <f t="shared" si="820"/>
        <v>0</v>
      </c>
      <c r="AL867" s="20">
        <f t="shared" si="821"/>
        <v>0</v>
      </c>
      <c r="AN867" s="36">
        <v>21</v>
      </c>
      <c r="AO867" s="36">
        <f t="shared" ref="AO867:AO882" si="832">I867*0</f>
        <v>0</v>
      </c>
      <c r="AP867" s="36">
        <f t="shared" ref="AP867:AP882" si="833">I867*(1-0)</f>
        <v>0</v>
      </c>
      <c r="AQ867" s="37" t="s">
        <v>7</v>
      </c>
      <c r="AV867" s="36">
        <f t="shared" si="824"/>
        <v>0</v>
      </c>
      <c r="AW867" s="36">
        <f t="shared" si="825"/>
        <v>0</v>
      </c>
      <c r="AX867" s="36">
        <f t="shared" si="826"/>
        <v>0</v>
      </c>
      <c r="AY867" s="39" t="s">
        <v>2941</v>
      </c>
      <c r="AZ867" s="39" t="s">
        <v>2961</v>
      </c>
      <c r="BA867" s="35" t="s">
        <v>2968</v>
      </c>
      <c r="BC867" s="36">
        <f t="shared" si="827"/>
        <v>0</v>
      </c>
      <c r="BD867" s="36">
        <f t="shared" si="828"/>
        <v>0</v>
      </c>
      <c r="BE867" s="36">
        <v>0</v>
      </c>
      <c r="BF867" s="36">
        <f>867</f>
        <v>867</v>
      </c>
      <c r="BH867" s="20">
        <f t="shared" si="829"/>
        <v>0</v>
      </c>
      <c r="BI867" s="20">
        <f t="shared" si="830"/>
        <v>0</v>
      </c>
      <c r="BJ867" s="20">
        <f t="shared" si="831"/>
        <v>0</v>
      </c>
      <c r="BK867" s="20" t="s">
        <v>2978</v>
      </c>
      <c r="BL867" s="36">
        <v>96</v>
      </c>
    </row>
    <row r="868" spans="1:64" x14ac:dyDescent="0.2">
      <c r="A868" s="4" t="s">
        <v>744</v>
      </c>
      <c r="B868" s="13" t="s">
        <v>1640</v>
      </c>
      <c r="C868" s="174" t="s">
        <v>2643</v>
      </c>
      <c r="D868" s="175"/>
      <c r="E868" s="175"/>
      <c r="F868" s="175"/>
      <c r="G868" s="13" t="s">
        <v>2854</v>
      </c>
      <c r="H868" s="82">
        <v>46.874000000000002</v>
      </c>
      <c r="I868" s="109">
        <v>0</v>
      </c>
      <c r="J868" s="20">
        <f t="shared" si="808"/>
        <v>0</v>
      </c>
      <c r="K868" s="20">
        <f t="shared" si="809"/>
        <v>0</v>
      </c>
      <c r="L868" s="20">
        <f t="shared" si="810"/>
        <v>0</v>
      </c>
      <c r="M868" s="31" t="s">
        <v>2884</v>
      </c>
      <c r="N868" s="5"/>
      <c r="Z868" s="36">
        <f t="shared" si="811"/>
        <v>0</v>
      </c>
      <c r="AB868" s="36">
        <f t="shared" si="812"/>
        <v>0</v>
      </c>
      <c r="AC868" s="36">
        <f t="shared" si="813"/>
        <v>0</v>
      </c>
      <c r="AD868" s="36">
        <f t="shared" si="814"/>
        <v>0</v>
      </c>
      <c r="AE868" s="36">
        <f t="shared" si="815"/>
        <v>0</v>
      </c>
      <c r="AF868" s="36">
        <f t="shared" si="816"/>
        <v>0</v>
      </c>
      <c r="AG868" s="36">
        <f t="shared" si="817"/>
        <v>0</v>
      </c>
      <c r="AH868" s="36">
        <f t="shared" si="818"/>
        <v>0</v>
      </c>
      <c r="AI868" s="35" t="s">
        <v>2895</v>
      </c>
      <c r="AJ868" s="20">
        <f t="shared" si="819"/>
        <v>0</v>
      </c>
      <c r="AK868" s="20">
        <f t="shared" si="820"/>
        <v>0</v>
      </c>
      <c r="AL868" s="20">
        <f t="shared" si="821"/>
        <v>0</v>
      </c>
      <c r="AN868" s="36">
        <v>21</v>
      </c>
      <c r="AO868" s="36">
        <f t="shared" si="832"/>
        <v>0</v>
      </c>
      <c r="AP868" s="36">
        <f t="shared" si="833"/>
        <v>0</v>
      </c>
      <c r="AQ868" s="37" t="s">
        <v>7</v>
      </c>
      <c r="AV868" s="36">
        <f t="shared" si="824"/>
        <v>0</v>
      </c>
      <c r="AW868" s="36">
        <f t="shared" si="825"/>
        <v>0</v>
      </c>
      <c r="AX868" s="36">
        <f t="shared" si="826"/>
        <v>0</v>
      </c>
      <c r="AY868" s="39" t="s">
        <v>2941</v>
      </c>
      <c r="AZ868" s="39" t="s">
        <v>2961</v>
      </c>
      <c r="BA868" s="35" t="s">
        <v>2968</v>
      </c>
      <c r="BC868" s="36">
        <f t="shared" si="827"/>
        <v>0</v>
      </c>
      <c r="BD868" s="36">
        <f t="shared" si="828"/>
        <v>0</v>
      </c>
      <c r="BE868" s="36">
        <v>0</v>
      </c>
      <c r="BF868" s="36">
        <f>868</f>
        <v>868</v>
      </c>
      <c r="BH868" s="20">
        <f t="shared" si="829"/>
        <v>0</v>
      </c>
      <c r="BI868" s="20">
        <f t="shared" si="830"/>
        <v>0</v>
      </c>
      <c r="BJ868" s="20">
        <f t="shared" si="831"/>
        <v>0</v>
      </c>
      <c r="BK868" s="20" t="s">
        <v>2978</v>
      </c>
      <c r="BL868" s="36">
        <v>96</v>
      </c>
    </row>
    <row r="869" spans="1:64" x14ac:dyDescent="0.2">
      <c r="A869" s="4" t="s">
        <v>745</v>
      </c>
      <c r="B869" s="13" t="s">
        <v>1641</v>
      </c>
      <c r="C869" s="174" t="s">
        <v>2644</v>
      </c>
      <c r="D869" s="175"/>
      <c r="E869" s="175"/>
      <c r="F869" s="175"/>
      <c r="G869" s="13" t="s">
        <v>2854</v>
      </c>
      <c r="H869" s="82">
        <v>17.013999999999999</v>
      </c>
      <c r="I869" s="109">
        <v>0</v>
      </c>
      <c r="J869" s="20">
        <f t="shared" si="808"/>
        <v>0</v>
      </c>
      <c r="K869" s="20">
        <f t="shared" si="809"/>
        <v>0</v>
      </c>
      <c r="L869" s="20">
        <f t="shared" si="810"/>
        <v>0</v>
      </c>
      <c r="M869" s="31" t="s">
        <v>2884</v>
      </c>
      <c r="N869" s="5"/>
      <c r="Z869" s="36">
        <f t="shared" si="811"/>
        <v>0</v>
      </c>
      <c r="AB869" s="36">
        <f t="shared" si="812"/>
        <v>0</v>
      </c>
      <c r="AC869" s="36">
        <f t="shared" si="813"/>
        <v>0</v>
      </c>
      <c r="AD869" s="36">
        <f t="shared" si="814"/>
        <v>0</v>
      </c>
      <c r="AE869" s="36">
        <f t="shared" si="815"/>
        <v>0</v>
      </c>
      <c r="AF869" s="36">
        <f t="shared" si="816"/>
        <v>0</v>
      </c>
      <c r="AG869" s="36">
        <f t="shared" si="817"/>
        <v>0</v>
      </c>
      <c r="AH869" s="36">
        <f t="shared" si="818"/>
        <v>0</v>
      </c>
      <c r="AI869" s="35" t="s">
        <v>2895</v>
      </c>
      <c r="AJ869" s="20">
        <f t="shared" si="819"/>
        <v>0</v>
      </c>
      <c r="AK869" s="20">
        <f t="shared" si="820"/>
        <v>0</v>
      </c>
      <c r="AL869" s="20">
        <f t="shared" si="821"/>
        <v>0</v>
      </c>
      <c r="AN869" s="36">
        <v>21</v>
      </c>
      <c r="AO869" s="36">
        <f t="shared" si="832"/>
        <v>0</v>
      </c>
      <c r="AP869" s="36">
        <f t="shared" si="833"/>
        <v>0</v>
      </c>
      <c r="AQ869" s="37" t="s">
        <v>7</v>
      </c>
      <c r="AV869" s="36">
        <f t="shared" si="824"/>
        <v>0</v>
      </c>
      <c r="AW869" s="36">
        <f t="shared" si="825"/>
        <v>0</v>
      </c>
      <c r="AX869" s="36">
        <f t="shared" si="826"/>
        <v>0</v>
      </c>
      <c r="AY869" s="39" t="s">
        <v>2941</v>
      </c>
      <c r="AZ869" s="39" t="s">
        <v>2961</v>
      </c>
      <c r="BA869" s="35" t="s">
        <v>2968</v>
      </c>
      <c r="BC869" s="36">
        <f t="shared" si="827"/>
        <v>0</v>
      </c>
      <c r="BD869" s="36">
        <f t="shared" si="828"/>
        <v>0</v>
      </c>
      <c r="BE869" s="36">
        <v>0</v>
      </c>
      <c r="BF869" s="36">
        <f>869</f>
        <v>869</v>
      </c>
      <c r="BH869" s="20">
        <f t="shared" si="829"/>
        <v>0</v>
      </c>
      <c r="BI869" s="20">
        <f t="shared" si="830"/>
        <v>0</v>
      </c>
      <c r="BJ869" s="20">
        <f t="shared" si="831"/>
        <v>0</v>
      </c>
      <c r="BK869" s="20" t="s">
        <v>2978</v>
      </c>
      <c r="BL869" s="36">
        <v>96</v>
      </c>
    </row>
    <row r="870" spans="1:64" x14ac:dyDescent="0.2">
      <c r="A870" s="4" t="s">
        <v>746</v>
      </c>
      <c r="B870" s="13" t="s">
        <v>1642</v>
      </c>
      <c r="C870" s="174" t="s">
        <v>2645</v>
      </c>
      <c r="D870" s="175"/>
      <c r="E870" s="175"/>
      <c r="F870" s="175"/>
      <c r="G870" s="13" t="s">
        <v>2853</v>
      </c>
      <c r="H870" s="82">
        <v>25.846</v>
      </c>
      <c r="I870" s="109">
        <v>0</v>
      </c>
      <c r="J870" s="20">
        <f t="shared" si="808"/>
        <v>0</v>
      </c>
      <c r="K870" s="20">
        <f t="shared" si="809"/>
        <v>0</v>
      </c>
      <c r="L870" s="20">
        <f t="shared" si="810"/>
        <v>0</v>
      </c>
      <c r="M870" s="31" t="s">
        <v>2884</v>
      </c>
      <c r="N870" s="5"/>
      <c r="Z870" s="36">
        <f t="shared" si="811"/>
        <v>0</v>
      </c>
      <c r="AB870" s="36">
        <f t="shared" si="812"/>
        <v>0</v>
      </c>
      <c r="AC870" s="36">
        <f t="shared" si="813"/>
        <v>0</v>
      </c>
      <c r="AD870" s="36">
        <f t="shared" si="814"/>
        <v>0</v>
      </c>
      <c r="AE870" s="36">
        <f t="shared" si="815"/>
        <v>0</v>
      </c>
      <c r="AF870" s="36">
        <f t="shared" si="816"/>
        <v>0</v>
      </c>
      <c r="AG870" s="36">
        <f t="shared" si="817"/>
        <v>0</v>
      </c>
      <c r="AH870" s="36">
        <f t="shared" si="818"/>
        <v>0</v>
      </c>
      <c r="AI870" s="35" t="s">
        <v>2895</v>
      </c>
      <c r="AJ870" s="20">
        <f t="shared" si="819"/>
        <v>0</v>
      </c>
      <c r="AK870" s="20">
        <f t="shared" si="820"/>
        <v>0</v>
      </c>
      <c r="AL870" s="20">
        <f t="shared" si="821"/>
        <v>0</v>
      </c>
      <c r="AN870" s="36">
        <v>21</v>
      </c>
      <c r="AO870" s="36">
        <f t="shared" si="832"/>
        <v>0</v>
      </c>
      <c r="AP870" s="36">
        <f t="shared" si="833"/>
        <v>0</v>
      </c>
      <c r="AQ870" s="37" t="s">
        <v>7</v>
      </c>
      <c r="AV870" s="36">
        <f t="shared" si="824"/>
        <v>0</v>
      </c>
      <c r="AW870" s="36">
        <f t="shared" si="825"/>
        <v>0</v>
      </c>
      <c r="AX870" s="36">
        <f t="shared" si="826"/>
        <v>0</v>
      </c>
      <c r="AY870" s="39" t="s">
        <v>2941</v>
      </c>
      <c r="AZ870" s="39" t="s">
        <v>2961</v>
      </c>
      <c r="BA870" s="35" t="s">
        <v>2968</v>
      </c>
      <c r="BC870" s="36">
        <f t="shared" si="827"/>
        <v>0</v>
      </c>
      <c r="BD870" s="36">
        <f t="shared" si="828"/>
        <v>0</v>
      </c>
      <c r="BE870" s="36">
        <v>0</v>
      </c>
      <c r="BF870" s="36">
        <f>870</f>
        <v>870</v>
      </c>
      <c r="BH870" s="20">
        <f t="shared" si="829"/>
        <v>0</v>
      </c>
      <c r="BI870" s="20">
        <f t="shared" si="830"/>
        <v>0</v>
      </c>
      <c r="BJ870" s="20">
        <f t="shared" si="831"/>
        <v>0</v>
      </c>
      <c r="BK870" s="20" t="s">
        <v>2978</v>
      </c>
      <c r="BL870" s="36">
        <v>96</v>
      </c>
    </row>
    <row r="871" spans="1:64" x14ac:dyDescent="0.2">
      <c r="A871" s="4" t="s">
        <v>747</v>
      </c>
      <c r="B871" s="13" t="s">
        <v>1643</v>
      </c>
      <c r="C871" s="174" t="s">
        <v>2646</v>
      </c>
      <c r="D871" s="175"/>
      <c r="E871" s="175"/>
      <c r="F871" s="175"/>
      <c r="G871" s="13" t="s">
        <v>2853</v>
      </c>
      <c r="H871" s="82">
        <v>11.965999999999999</v>
      </c>
      <c r="I871" s="109">
        <v>0</v>
      </c>
      <c r="J871" s="20">
        <f t="shared" si="808"/>
        <v>0</v>
      </c>
      <c r="K871" s="20">
        <f t="shared" si="809"/>
        <v>0</v>
      </c>
      <c r="L871" s="20">
        <f t="shared" si="810"/>
        <v>0</v>
      </c>
      <c r="M871" s="31" t="s">
        <v>2884</v>
      </c>
      <c r="N871" s="5"/>
      <c r="Z871" s="36">
        <f t="shared" si="811"/>
        <v>0</v>
      </c>
      <c r="AB871" s="36">
        <f t="shared" si="812"/>
        <v>0</v>
      </c>
      <c r="AC871" s="36">
        <f t="shared" si="813"/>
        <v>0</v>
      </c>
      <c r="AD871" s="36">
        <f t="shared" si="814"/>
        <v>0</v>
      </c>
      <c r="AE871" s="36">
        <f t="shared" si="815"/>
        <v>0</v>
      </c>
      <c r="AF871" s="36">
        <f t="shared" si="816"/>
        <v>0</v>
      </c>
      <c r="AG871" s="36">
        <f t="shared" si="817"/>
        <v>0</v>
      </c>
      <c r="AH871" s="36">
        <f t="shared" si="818"/>
        <v>0</v>
      </c>
      <c r="AI871" s="35" t="s">
        <v>2895</v>
      </c>
      <c r="AJ871" s="20">
        <f t="shared" si="819"/>
        <v>0</v>
      </c>
      <c r="AK871" s="20">
        <f t="shared" si="820"/>
        <v>0</v>
      </c>
      <c r="AL871" s="20">
        <f t="shared" si="821"/>
        <v>0</v>
      </c>
      <c r="AN871" s="36">
        <v>21</v>
      </c>
      <c r="AO871" s="36">
        <f t="shared" si="832"/>
        <v>0</v>
      </c>
      <c r="AP871" s="36">
        <f t="shared" si="833"/>
        <v>0</v>
      </c>
      <c r="AQ871" s="37" t="s">
        <v>7</v>
      </c>
      <c r="AV871" s="36">
        <f t="shared" si="824"/>
        <v>0</v>
      </c>
      <c r="AW871" s="36">
        <f t="shared" si="825"/>
        <v>0</v>
      </c>
      <c r="AX871" s="36">
        <f t="shared" si="826"/>
        <v>0</v>
      </c>
      <c r="AY871" s="39" t="s">
        <v>2941</v>
      </c>
      <c r="AZ871" s="39" t="s">
        <v>2961</v>
      </c>
      <c r="BA871" s="35" t="s">
        <v>2968</v>
      </c>
      <c r="BC871" s="36">
        <f t="shared" si="827"/>
        <v>0</v>
      </c>
      <c r="BD871" s="36">
        <f t="shared" si="828"/>
        <v>0</v>
      </c>
      <c r="BE871" s="36">
        <v>0</v>
      </c>
      <c r="BF871" s="36">
        <f>871</f>
        <v>871</v>
      </c>
      <c r="BH871" s="20">
        <f t="shared" si="829"/>
        <v>0</v>
      </c>
      <c r="BI871" s="20">
        <f t="shared" si="830"/>
        <v>0</v>
      </c>
      <c r="BJ871" s="20">
        <f t="shared" si="831"/>
        <v>0</v>
      </c>
      <c r="BK871" s="20" t="s">
        <v>2978</v>
      </c>
      <c r="BL871" s="36">
        <v>96</v>
      </c>
    </row>
    <row r="872" spans="1:64" x14ac:dyDescent="0.2">
      <c r="A872" s="4" t="s">
        <v>748</v>
      </c>
      <c r="B872" s="13" t="s">
        <v>1644</v>
      </c>
      <c r="C872" s="174" t="s">
        <v>2647</v>
      </c>
      <c r="D872" s="175"/>
      <c r="E872" s="175"/>
      <c r="F872" s="175"/>
      <c r="G872" s="13" t="s">
        <v>2853</v>
      </c>
      <c r="H872" s="82">
        <v>9.57</v>
      </c>
      <c r="I872" s="109">
        <v>0</v>
      </c>
      <c r="J872" s="20">
        <f t="shared" si="808"/>
        <v>0</v>
      </c>
      <c r="K872" s="20">
        <f t="shared" si="809"/>
        <v>0</v>
      </c>
      <c r="L872" s="20">
        <f t="shared" si="810"/>
        <v>0</v>
      </c>
      <c r="M872" s="31" t="s">
        <v>2884</v>
      </c>
      <c r="N872" s="5"/>
      <c r="Z872" s="36">
        <f t="shared" si="811"/>
        <v>0</v>
      </c>
      <c r="AB872" s="36">
        <f t="shared" si="812"/>
        <v>0</v>
      </c>
      <c r="AC872" s="36">
        <f t="shared" si="813"/>
        <v>0</v>
      </c>
      <c r="AD872" s="36">
        <f t="shared" si="814"/>
        <v>0</v>
      </c>
      <c r="AE872" s="36">
        <f t="shared" si="815"/>
        <v>0</v>
      </c>
      <c r="AF872" s="36">
        <f t="shared" si="816"/>
        <v>0</v>
      </c>
      <c r="AG872" s="36">
        <f t="shared" si="817"/>
        <v>0</v>
      </c>
      <c r="AH872" s="36">
        <f t="shared" si="818"/>
        <v>0</v>
      </c>
      <c r="AI872" s="35" t="s">
        <v>2895</v>
      </c>
      <c r="AJ872" s="20">
        <f t="shared" si="819"/>
        <v>0</v>
      </c>
      <c r="AK872" s="20">
        <f t="shared" si="820"/>
        <v>0</v>
      </c>
      <c r="AL872" s="20">
        <f t="shared" si="821"/>
        <v>0</v>
      </c>
      <c r="AN872" s="36">
        <v>21</v>
      </c>
      <c r="AO872" s="36">
        <f t="shared" si="832"/>
        <v>0</v>
      </c>
      <c r="AP872" s="36">
        <f t="shared" si="833"/>
        <v>0</v>
      </c>
      <c r="AQ872" s="37" t="s">
        <v>7</v>
      </c>
      <c r="AV872" s="36">
        <f t="shared" si="824"/>
        <v>0</v>
      </c>
      <c r="AW872" s="36">
        <f t="shared" si="825"/>
        <v>0</v>
      </c>
      <c r="AX872" s="36">
        <f t="shared" si="826"/>
        <v>0</v>
      </c>
      <c r="AY872" s="39" t="s">
        <v>2941</v>
      </c>
      <c r="AZ872" s="39" t="s">
        <v>2961</v>
      </c>
      <c r="BA872" s="35" t="s">
        <v>2968</v>
      </c>
      <c r="BC872" s="36">
        <f t="shared" si="827"/>
        <v>0</v>
      </c>
      <c r="BD872" s="36">
        <f t="shared" si="828"/>
        <v>0</v>
      </c>
      <c r="BE872" s="36">
        <v>0</v>
      </c>
      <c r="BF872" s="36">
        <f>872</f>
        <v>872</v>
      </c>
      <c r="BH872" s="20">
        <f t="shared" si="829"/>
        <v>0</v>
      </c>
      <c r="BI872" s="20">
        <f t="shared" si="830"/>
        <v>0</v>
      </c>
      <c r="BJ872" s="20">
        <f t="shared" si="831"/>
        <v>0</v>
      </c>
      <c r="BK872" s="20" t="s">
        <v>2978</v>
      </c>
      <c r="BL872" s="36">
        <v>96</v>
      </c>
    </row>
    <row r="873" spans="1:64" x14ac:dyDescent="0.2">
      <c r="A873" s="4" t="s">
        <v>749</v>
      </c>
      <c r="B873" s="13" t="s">
        <v>1645</v>
      </c>
      <c r="C873" s="174" t="s">
        <v>2648</v>
      </c>
      <c r="D873" s="175"/>
      <c r="E873" s="175"/>
      <c r="F873" s="175"/>
      <c r="G873" s="13" t="s">
        <v>2854</v>
      </c>
      <c r="H873" s="82">
        <v>247.71</v>
      </c>
      <c r="I873" s="109">
        <v>0</v>
      </c>
      <c r="J873" s="20">
        <f t="shared" si="808"/>
        <v>0</v>
      </c>
      <c r="K873" s="20">
        <f t="shared" si="809"/>
        <v>0</v>
      </c>
      <c r="L873" s="20">
        <f t="shared" si="810"/>
        <v>0</v>
      </c>
      <c r="M873" s="31" t="s">
        <v>2884</v>
      </c>
      <c r="N873" s="5"/>
      <c r="Z873" s="36">
        <f t="shared" si="811"/>
        <v>0</v>
      </c>
      <c r="AB873" s="36">
        <f t="shared" si="812"/>
        <v>0</v>
      </c>
      <c r="AC873" s="36">
        <f t="shared" si="813"/>
        <v>0</v>
      </c>
      <c r="AD873" s="36">
        <f t="shared" si="814"/>
        <v>0</v>
      </c>
      <c r="AE873" s="36">
        <f t="shared" si="815"/>
        <v>0</v>
      </c>
      <c r="AF873" s="36">
        <f t="shared" si="816"/>
        <v>0</v>
      </c>
      <c r="AG873" s="36">
        <f t="shared" si="817"/>
        <v>0</v>
      </c>
      <c r="AH873" s="36">
        <f t="shared" si="818"/>
        <v>0</v>
      </c>
      <c r="AI873" s="35" t="s">
        <v>2895</v>
      </c>
      <c r="AJ873" s="20">
        <f t="shared" si="819"/>
        <v>0</v>
      </c>
      <c r="AK873" s="20">
        <f t="shared" si="820"/>
        <v>0</v>
      </c>
      <c r="AL873" s="20">
        <f t="shared" si="821"/>
        <v>0</v>
      </c>
      <c r="AN873" s="36">
        <v>21</v>
      </c>
      <c r="AO873" s="36">
        <f t="shared" si="832"/>
        <v>0</v>
      </c>
      <c r="AP873" s="36">
        <f t="shared" si="833"/>
        <v>0</v>
      </c>
      <c r="AQ873" s="37" t="s">
        <v>7</v>
      </c>
      <c r="AV873" s="36">
        <f t="shared" si="824"/>
        <v>0</v>
      </c>
      <c r="AW873" s="36">
        <f t="shared" si="825"/>
        <v>0</v>
      </c>
      <c r="AX873" s="36">
        <f t="shared" si="826"/>
        <v>0</v>
      </c>
      <c r="AY873" s="39" t="s">
        <v>2941</v>
      </c>
      <c r="AZ873" s="39" t="s">
        <v>2961</v>
      </c>
      <c r="BA873" s="35" t="s">
        <v>2968</v>
      </c>
      <c r="BC873" s="36">
        <f t="shared" si="827"/>
        <v>0</v>
      </c>
      <c r="BD873" s="36">
        <f t="shared" si="828"/>
        <v>0</v>
      </c>
      <c r="BE873" s="36">
        <v>0</v>
      </c>
      <c r="BF873" s="36">
        <f>873</f>
        <v>873</v>
      </c>
      <c r="BH873" s="20">
        <f t="shared" si="829"/>
        <v>0</v>
      </c>
      <c r="BI873" s="20">
        <f t="shared" si="830"/>
        <v>0</v>
      </c>
      <c r="BJ873" s="20">
        <f t="shared" si="831"/>
        <v>0</v>
      </c>
      <c r="BK873" s="20" t="s">
        <v>2978</v>
      </c>
      <c r="BL873" s="36">
        <v>96</v>
      </c>
    </row>
    <row r="874" spans="1:64" x14ac:dyDescent="0.2">
      <c r="A874" s="4" t="s">
        <v>750</v>
      </c>
      <c r="B874" s="13" t="s">
        <v>1646</v>
      </c>
      <c r="C874" s="174" t="s">
        <v>2649</v>
      </c>
      <c r="D874" s="175"/>
      <c r="E874" s="175"/>
      <c r="F874" s="175"/>
      <c r="G874" s="13" t="s">
        <v>2853</v>
      </c>
      <c r="H874" s="82">
        <v>37.811999999999998</v>
      </c>
      <c r="I874" s="109">
        <v>0</v>
      </c>
      <c r="J874" s="20">
        <f t="shared" si="808"/>
        <v>0</v>
      </c>
      <c r="K874" s="20">
        <f t="shared" si="809"/>
        <v>0</v>
      </c>
      <c r="L874" s="20">
        <f t="shared" si="810"/>
        <v>0</v>
      </c>
      <c r="M874" s="31" t="s">
        <v>2884</v>
      </c>
      <c r="N874" s="5"/>
      <c r="Z874" s="36">
        <f t="shared" si="811"/>
        <v>0</v>
      </c>
      <c r="AB874" s="36">
        <f t="shared" si="812"/>
        <v>0</v>
      </c>
      <c r="AC874" s="36">
        <f t="shared" si="813"/>
        <v>0</v>
      </c>
      <c r="AD874" s="36">
        <f t="shared" si="814"/>
        <v>0</v>
      </c>
      <c r="AE874" s="36">
        <f t="shared" si="815"/>
        <v>0</v>
      </c>
      <c r="AF874" s="36">
        <f t="shared" si="816"/>
        <v>0</v>
      </c>
      <c r="AG874" s="36">
        <f t="shared" si="817"/>
        <v>0</v>
      </c>
      <c r="AH874" s="36">
        <f t="shared" si="818"/>
        <v>0</v>
      </c>
      <c r="AI874" s="35" t="s">
        <v>2895</v>
      </c>
      <c r="AJ874" s="20">
        <f t="shared" si="819"/>
        <v>0</v>
      </c>
      <c r="AK874" s="20">
        <f t="shared" si="820"/>
        <v>0</v>
      </c>
      <c r="AL874" s="20">
        <f t="shared" si="821"/>
        <v>0</v>
      </c>
      <c r="AN874" s="36">
        <v>21</v>
      </c>
      <c r="AO874" s="36">
        <f t="shared" si="832"/>
        <v>0</v>
      </c>
      <c r="AP874" s="36">
        <f t="shared" si="833"/>
        <v>0</v>
      </c>
      <c r="AQ874" s="37" t="s">
        <v>7</v>
      </c>
      <c r="AV874" s="36">
        <f t="shared" si="824"/>
        <v>0</v>
      </c>
      <c r="AW874" s="36">
        <f t="shared" si="825"/>
        <v>0</v>
      </c>
      <c r="AX874" s="36">
        <f t="shared" si="826"/>
        <v>0</v>
      </c>
      <c r="AY874" s="39" t="s">
        <v>2941</v>
      </c>
      <c r="AZ874" s="39" t="s">
        <v>2961</v>
      </c>
      <c r="BA874" s="35" t="s">
        <v>2968</v>
      </c>
      <c r="BC874" s="36">
        <f t="shared" si="827"/>
        <v>0</v>
      </c>
      <c r="BD874" s="36">
        <f t="shared" si="828"/>
        <v>0</v>
      </c>
      <c r="BE874" s="36">
        <v>0</v>
      </c>
      <c r="BF874" s="36">
        <f>874</f>
        <v>874</v>
      </c>
      <c r="BH874" s="20">
        <f t="shared" si="829"/>
        <v>0</v>
      </c>
      <c r="BI874" s="20">
        <f t="shared" si="830"/>
        <v>0</v>
      </c>
      <c r="BJ874" s="20">
        <f t="shared" si="831"/>
        <v>0</v>
      </c>
      <c r="BK874" s="20" t="s">
        <v>2978</v>
      </c>
      <c r="BL874" s="36">
        <v>96</v>
      </c>
    </row>
    <row r="875" spans="1:64" x14ac:dyDescent="0.2">
      <c r="A875" s="4" t="s">
        <v>751</v>
      </c>
      <c r="B875" s="13" t="s">
        <v>1647</v>
      </c>
      <c r="C875" s="174" t="s">
        <v>2650</v>
      </c>
      <c r="D875" s="175"/>
      <c r="E875" s="175"/>
      <c r="F875" s="175"/>
      <c r="G875" s="13" t="s">
        <v>2853</v>
      </c>
      <c r="H875" s="82">
        <v>9.57</v>
      </c>
      <c r="I875" s="109">
        <v>0</v>
      </c>
      <c r="J875" s="20">
        <f t="shared" si="808"/>
        <v>0</v>
      </c>
      <c r="K875" s="20">
        <f t="shared" si="809"/>
        <v>0</v>
      </c>
      <c r="L875" s="20">
        <f t="shared" si="810"/>
        <v>0</v>
      </c>
      <c r="M875" s="31" t="s">
        <v>2884</v>
      </c>
      <c r="N875" s="5"/>
      <c r="Z875" s="36">
        <f t="shared" si="811"/>
        <v>0</v>
      </c>
      <c r="AB875" s="36">
        <f t="shared" si="812"/>
        <v>0</v>
      </c>
      <c r="AC875" s="36">
        <f t="shared" si="813"/>
        <v>0</v>
      </c>
      <c r="AD875" s="36">
        <f t="shared" si="814"/>
        <v>0</v>
      </c>
      <c r="AE875" s="36">
        <f t="shared" si="815"/>
        <v>0</v>
      </c>
      <c r="AF875" s="36">
        <f t="shared" si="816"/>
        <v>0</v>
      </c>
      <c r="AG875" s="36">
        <f t="shared" si="817"/>
        <v>0</v>
      </c>
      <c r="AH875" s="36">
        <f t="shared" si="818"/>
        <v>0</v>
      </c>
      <c r="AI875" s="35" t="s">
        <v>2895</v>
      </c>
      <c r="AJ875" s="20">
        <f t="shared" si="819"/>
        <v>0</v>
      </c>
      <c r="AK875" s="20">
        <f t="shared" si="820"/>
        <v>0</v>
      </c>
      <c r="AL875" s="20">
        <f t="shared" si="821"/>
        <v>0</v>
      </c>
      <c r="AN875" s="36">
        <v>21</v>
      </c>
      <c r="AO875" s="36">
        <f t="shared" si="832"/>
        <v>0</v>
      </c>
      <c r="AP875" s="36">
        <f t="shared" si="833"/>
        <v>0</v>
      </c>
      <c r="AQ875" s="37" t="s">
        <v>7</v>
      </c>
      <c r="AV875" s="36">
        <f t="shared" si="824"/>
        <v>0</v>
      </c>
      <c r="AW875" s="36">
        <f t="shared" si="825"/>
        <v>0</v>
      </c>
      <c r="AX875" s="36">
        <f t="shared" si="826"/>
        <v>0</v>
      </c>
      <c r="AY875" s="39" t="s">
        <v>2941</v>
      </c>
      <c r="AZ875" s="39" t="s">
        <v>2961</v>
      </c>
      <c r="BA875" s="35" t="s">
        <v>2968</v>
      </c>
      <c r="BC875" s="36">
        <f t="shared" si="827"/>
        <v>0</v>
      </c>
      <c r="BD875" s="36">
        <f t="shared" si="828"/>
        <v>0</v>
      </c>
      <c r="BE875" s="36">
        <v>0</v>
      </c>
      <c r="BF875" s="36">
        <f>875</f>
        <v>875</v>
      </c>
      <c r="BH875" s="20">
        <f t="shared" si="829"/>
        <v>0</v>
      </c>
      <c r="BI875" s="20">
        <f t="shared" si="830"/>
        <v>0</v>
      </c>
      <c r="BJ875" s="20">
        <f t="shared" si="831"/>
        <v>0</v>
      </c>
      <c r="BK875" s="20" t="s">
        <v>2978</v>
      </c>
      <c r="BL875" s="36">
        <v>96</v>
      </c>
    </row>
    <row r="876" spans="1:64" x14ac:dyDescent="0.2">
      <c r="A876" s="4" t="s">
        <v>752</v>
      </c>
      <c r="B876" s="13" t="s">
        <v>1648</v>
      </c>
      <c r="C876" s="174" t="s">
        <v>2651</v>
      </c>
      <c r="D876" s="175"/>
      <c r="E876" s="175"/>
      <c r="F876" s="175"/>
      <c r="G876" s="13" t="s">
        <v>2854</v>
      </c>
      <c r="H876" s="82">
        <v>62.8</v>
      </c>
      <c r="I876" s="109">
        <v>0</v>
      </c>
      <c r="J876" s="20">
        <f t="shared" si="808"/>
        <v>0</v>
      </c>
      <c r="K876" s="20">
        <f t="shared" si="809"/>
        <v>0</v>
      </c>
      <c r="L876" s="20">
        <f t="shared" si="810"/>
        <v>0</v>
      </c>
      <c r="M876" s="31" t="s">
        <v>2884</v>
      </c>
      <c r="N876" s="5"/>
      <c r="Z876" s="36">
        <f t="shared" si="811"/>
        <v>0</v>
      </c>
      <c r="AB876" s="36">
        <f t="shared" si="812"/>
        <v>0</v>
      </c>
      <c r="AC876" s="36">
        <f t="shared" si="813"/>
        <v>0</v>
      </c>
      <c r="AD876" s="36">
        <f t="shared" si="814"/>
        <v>0</v>
      </c>
      <c r="AE876" s="36">
        <f t="shared" si="815"/>
        <v>0</v>
      </c>
      <c r="AF876" s="36">
        <f t="shared" si="816"/>
        <v>0</v>
      </c>
      <c r="AG876" s="36">
        <f t="shared" si="817"/>
        <v>0</v>
      </c>
      <c r="AH876" s="36">
        <f t="shared" si="818"/>
        <v>0</v>
      </c>
      <c r="AI876" s="35" t="s">
        <v>2895</v>
      </c>
      <c r="AJ876" s="20">
        <f t="shared" si="819"/>
        <v>0</v>
      </c>
      <c r="AK876" s="20">
        <f t="shared" si="820"/>
        <v>0</v>
      </c>
      <c r="AL876" s="20">
        <f t="shared" si="821"/>
        <v>0</v>
      </c>
      <c r="AN876" s="36">
        <v>21</v>
      </c>
      <c r="AO876" s="36">
        <f t="shared" si="832"/>
        <v>0</v>
      </c>
      <c r="AP876" s="36">
        <f t="shared" si="833"/>
        <v>0</v>
      </c>
      <c r="AQ876" s="37" t="s">
        <v>7</v>
      </c>
      <c r="AV876" s="36">
        <f t="shared" si="824"/>
        <v>0</v>
      </c>
      <c r="AW876" s="36">
        <f t="shared" si="825"/>
        <v>0</v>
      </c>
      <c r="AX876" s="36">
        <f t="shared" si="826"/>
        <v>0</v>
      </c>
      <c r="AY876" s="39" t="s">
        <v>2941</v>
      </c>
      <c r="AZ876" s="39" t="s">
        <v>2961</v>
      </c>
      <c r="BA876" s="35" t="s">
        <v>2968</v>
      </c>
      <c r="BC876" s="36">
        <f t="shared" si="827"/>
        <v>0</v>
      </c>
      <c r="BD876" s="36">
        <f t="shared" si="828"/>
        <v>0</v>
      </c>
      <c r="BE876" s="36">
        <v>0</v>
      </c>
      <c r="BF876" s="36">
        <f>876</f>
        <v>876</v>
      </c>
      <c r="BH876" s="20">
        <f t="shared" si="829"/>
        <v>0</v>
      </c>
      <c r="BI876" s="20">
        <f t="shared" si="830"/>
        <v>0</v>
      </c>
      <c r="BJ876" s="20">
        <f t="shared" si="831"/>
        <v>0</v>
      </c>
      <c r="BK876" s="20" t="s">
        <v>2978</v>
      </c>
      <c r="BL876" s="36">
        <v>96</v>
      </c>
    </row>
    <row r="877" spans="1:64" x14ac:dyDescent="0.2">
      <c r="A877" s="4" t="s">
        <v>753</v>
      </c>
      <c r="B877" s="13" t="s">
        <v>1649</v>
      </c>
      <c r="C877" s="174" t="s">
        <v>2652</v>
      </c>
      <c r="D877" s="175"/>
      <c r="E877" s="175"/>
      <c r="F877" s="175"/>
      <c r="G877" s="13" t="s">
        <v>2854</v>
      </c>
      <c r="H877" s="82">
        <v>32.039000000000001</v>
      </c>
      <c r="I877" s="109">
        <v>0</v>
      </c>
      <c r="J877" s="20">
        <f t="shared" si="808"/>
        <v>0</v>
      </c>
      <c r="K877" s="20">
        <f t="shared" si="809"/>
        <v>0</v>
      </c>
      <c r="L877" s="20">
        <f t="shared" si="810"/>
        <v>0</v>
      </c>
      <c r="M877" s="31" t="s">
        <v>2884</v>
      </c>
      <c r="N877" s="5"/>
      <c r="Z877" s="36">
        <f t="shared" si="811"/>
        <v>0</v>
      </c>
      <c r="AB877" s="36">
        <f t="shared" si="812"/>
        <v>0</v>
      </c>
      <c r="AC877" s="36">
        <f t="shared" si="813"/>
        <v>0</v>
      </c>
      <c r="AD877" s="36">
        <f t="shared" si="814"/>
        <v>0</v>
      </c>
      <c r="AE877" s="36">
        <f t="shared" si="815"/>
        <v>0</v>
      </c>
      <c r="AF877" s="36">
        <f t="shared" si="816"/>
        <v>0</v>
      </c>
      <c r="AG877" s="36">
        <f t="shared" si="817"/>
        <v>0</v>
      </c>
      <c r="AH877" s="36">
        <f t="shared" si="818"/>
        <v>0</v>
      </c>
      <c r="AI877" s="35" t="s">
        <v>2895</v>
      </c>
      <c r="AJ877" s="20">
        <f t="shared" si="819"/>
        <v>0</v>
      </c>
      <c r="AK877" s="20">
        <f t="shared" si="820"/>
        <v>0</v>
      </c>
      <c r="AL877" s="20">
        <f t="shared" si="821"/>
        <v>0</v>
      </c>
      <c r="AN877" s="36">
        <v>21</v>
      </c>
      <c r="AO877" s="36">
        <f t="shared" si="832"/>
        <v>0</v>
      </c>
      <c r="AP877" s="36">
        <f t="shared" si="833"/>
        <v>0</v>
      </c>
      <c r="AQ877" s="37" t="s">
        <v>7</v>
      </c>
      <c r="AV877" s="36">
        <f t="shared" si="824"/>
        <v>0</v>
      </c>
      <c r="AW877" s="36">
        <f t="shared" si="825"/>
        <v>0</v>
      </c>
      <c r="AX877" s="36">
        <f t="shared" si="826"/>
        <v>0</v>
      </c>
      <c r="AY877" s="39" t="s">
        <v>2941</v>
      </c>
      <c r="AZ877" s="39" t="s">
        <v>2961</v>
      </c>
      <c r="BA877" s="35" t="s">
        <v>2968</v>
      </c>
      <c r="BC877" s="36">
        <f t="shared" si="827"/>
        <v>0</v>
      </c>
      <c r="BD877" s="36">
        <f t="shared" si="828"/>
        <v>0</v>
      </c>
      <c r="BE877" s="36">
        <v>0</v>
      </c>
      <c r="BF877" s="36">
        <f>877</f>
        <v>877</v>
      </c>
      <c r="BH877" s="20">
        <f t="shared" si="829"/>
        <v>0</v>
      </c>
      <c r="BI877" s="20">
        <f t="shared" si="830"/>
        <v>0</v>
      </c>
      <c r="BJ877" s="20">
        <f t="shared" si="831"/>
        <v>0</v>
      </c>
      <c r="BK877" s="20" t="s">
        <v>2978</v>
      </c>
      <c r="BL877" s="36">
        <v>96</v>
      </c>
    </row>
    <row r="878" spans="1:64" x14ac:dyDescent="0.2">
      <c r="A878" s="4" t="s">
        <v>754</v>
      </c>
      <c r="B878" s="13" t="s">
        <v>1650</v>
      </c>
      <c r="C878" s="174" t="s">
        <v>2653</v>
      </c>
      <c r="D878" s="175"/>
      <c r="E878" s="175"/>
      <c r="F878" s="175"/>
      <c r="G878" s="13" t="s">
        <v>2854</v>
      </c>
      <c r="H878" s="82">
        <v>79.772999999999996</v>
      </c>
      <c r="I878" s="109">
        <v>0</v>
      </c>
      <c r="J878" s="20">
        <f t="shared" si="808"/>
        <v>0</v>
      </c>
      <c r="K878" s="20">
        <f t="shared" si="809"/>
        <v>0</v>
      </c>
      <c r="L878" s="20">
        <f t="shared" si="810"/>
        <v>0</v>
      </c>
      <c r="M878" s="31" t="s">
        <v>2884</v>
      </c>
      <c r="N878" s="5"/>
      <c r="Z878" s="36">
        <f t="shared" si="811"/>
        <v>0</v>
      </c>
      <c r="AB878" s="36">
        <f t="shared" si="812"/>
        <v>0</v>
      </c>
      <c r="AC878" s="36">
        <f t="shared" si="813"/>
        <v>0</v>
      </c>
      <c r="AD878" s="36">
        <f t="shared" si="814"/>
        <v>0</v>
      </c>
      <c r="AE878" s="36">
        <f t="shared" si="815"/>
        <v>0</v>
      </c>
      <c r="AF878" s="36">
        <f t="shared" si="816"/>
        <v>0</v>
      </c>
      <c r="AG878" s="36">
        <f t="shared" si="817"/>
        <v>0</v>
      </c>
      <c r="AH878" s="36">
        <f t="shared" si="818"/>
        <v>0</v>
      </c>
      <c r="AI878" s="35" t="s">
        <v>2895</v>
      </c>
      <c r="AJ878" s="20">
        <f t="shared" si="819"/>
        <v>0</v>
      </c>
      <c r="AK878" s="20">
        <f t="shared" si="820"/>
        <v>0</v>
      </c>
      <c r="AL878" s="20">
        <f t="shared" si="821"/>
        <v>0</v>
      </c>
      <c r="AN878" s="36">
        <v>21</v>
      </c>
      <c r="AO878" s="36">
        <f t="shared" si="832"/>
        <v>0</v>
      </c>
      <c r="AP878" s="36">
        <f t="shared" si="833"/>
        <v>0</v>
      </c>
      <c r="AQ878" s="37" t="s">
        <v>7</v>
      </c>
      <c r="AV878" s="36">
        <f t="shared" si="824"/>
        <v>0</v>
      </c>
      <c r="AW878" s="36">
        <f t="shared" si="825"/>
        <v>0</v>
      </c>
      <c r="AX878" s="36">
        <f t="shared" si="826"/>
        <v>0</v>
      </c>
      <c r="AY878" s="39" t="s">
        <v>2941</v>
      </c>
      <c r="AZ878" s="39" t="s">
        <v>2961</v>
      </c>
      <c r="BA878" s="35" t="s">
        <v>2968</v>
      </c>
      <c r="BC878" s="36">
        <f t="shared" si="827"/>
        <v>0</v>
      </c>
      <c r="BD878" s="36">
        <f t="shared" si="828"/>
        <v>0</v>
      </c>
      <c r="BE878" s="36">
        <v>0</v>
      </c>
      <c r="BF878" s="36">
        <f>878</f>
        <v>878</v>
      </c>
      <c r="BH878" s="20">
        <f t="shared" si="829"/>
        <v>0</v>
      </c>
      <c r="BI878" s="20">
        <f t="shared" si="830"/>
        <v>0</v>
      </c>
      <c r="BJ878" s="20">
        <f t="shared" si="831"/>
        <v>0</v>
      </c>
      <c r="BK878" s="20" t="s">
        <v>2978</v>
      </c>
      <c r="BL878" s="36">
        <v>96</v>
      </c>
    </row>
    <row r="879" spans="1:64" x14ac:dyDescent="0.2">
      <c r="A879" s="4" t="s">
        <v>755</v>
      </c>
      <c r="B879" s="13" t="s">
        <v>1651</v>
      </c>
      <c r="C879" s="174" t="s">
        <v>2654</v>
      </c>
      <c r="D879" s="175"/>
      <c r="E879" s="175"/>
      <c r="F879" s="175"/>
      <c r="G879" s="13" t="s">
        <v>2854</v>
      </c>
      <c r="H879" s="82">
        <v>128.6</v>
      </c>
      <c r="I879" s="109">
        <v>0</v>
      </c>
      <c r="J879" s="20">
        <f t="shared" ref="J879:J910" si="834">H879*AO879</f>
        <v>0</v>
      </c>
      <c r="K879" s="20">
        <f t="shared" ref="K879:K910" si="835">H879*AP879</f>
        <v>0</v>
      </c>
      <c r="L879" s="20">
        <f t="shared" ref="L879:L910" si="836">H879*I879</f>
        <v>0</v>
      </c>
      <c r="M879" s="31" t="s">
        <v>2884</v>
      </c>
      <c r="N879" s="5"/>
      <c r="Z879" s="36">
        <f t="shared" ref="Z879:Z910" si="837">IF(AQ879="5",BJ879,0)</f>
        <v>0</v>
      </c>
      <c r="AB879" s="36">
        <f t="shared" ref="AB879:AB910" si="838">IF(AQ879="1",BH879,0)</f>
        <v>0</v>
      </c>
      <c r="AC879" s="36">
        <f t="shared" ref="AC879:AC910" si="839">IF(AQ879="1",BI879,0)</f>
        <v>0</v>
      </c>
      <c r="AD879" s="36">
        <f t="shared" ref="AD879:AD910" si="840">IF(AQ879="7",BH879,0)</f>
        <v>0</v>
      </c>
      <c r="AE879" s="36">
        <f t="shared" ref="AE879:AE910" si="841">IF(AQ879="7",BI879,0)</f>
        <v>0</v>
      </c>
      <c r="AF879" s="36">
        <f t="shared" ref="AF879:AF910" si="842">IF(AQ879="2",BH879,0)</f>
        <v>0</v>
      </c>
      <c r="AG879" s="36">
        <f t="shared" ref="AG879:AG910" si="843">IF(AQ879="2",BI879,0)</f>
        <v>0</v>
      </c>
      <c r="AH879" s="36">
        <f t="shared" ref="AH879:AH910" si="844">IF(AQ879="0",BJ879,0)</f>
        <v>0</v>
      </c>
      <c r="AI879" s="35" t="s">
        <v>2895</v>
      </c>
      <c r="AJ879" s="20">
        <f t="shared" ref="AJ879:AJ910" si="845">IF(AN879=0,L879,0)</f>
        <v>0</v>
      </c>
      <c r="AK879" s="20">
        <f t="shared" ref="AK879:AK910" si="846">IF(AN879=15,L879,0)</f>
        <v>0</v>
      </c>
      <c r="AL879" s="20">
        <f t="shared" ref="AL879:AL910" si="847">IF(AN879=21,L879,0)</f>
        <v>0</v>
      </c>
      <c r="AN879" s="36">
        <v>21</v>
      </c>
      <c r="AO879" s="36">
        <f t="shared" si="832"/>
        <v>0</v>
      </c>
      <c r="AP879" s="36">
        <f t="shared" si="833"/>
        <v>0</v>
      </c>
      <c r="AQ879" s="37" t="s">
        <v>7</v>
      </c>
      <c r="AV879" s="36">
        <f t="shared" ref="AV879:AV910" si="848">AW879+AX879</f>
        <v>0</v>
      </c>
      <c r="AW879" s="36">
        <f t="shared" ref="AW879:AW910" si="849">H879*AO879</f>
        <v>0</v>
      </c>
      <c r="AX879" s="36">
        <f t="shared" ref="AX879:AX910" si="850">H879*AP879</f>
        <v>0</v>
      </c>
      <c r="AY879" s="39" t="s">
        <v>2941</v>
      </c>
      <c r="AZ879" s="39" t="s">
        <v>2961</v>
      </c>
      <c r="BA879" s="35" t="s">
        <v>2968</v>
      </c>
      <c r="BC879" s="36">
        <f t="shared" ref="BC879:BC910" si="851">AW879+AX879</f>
        <v>0</v>
      </c>
      <c r="BD879" s="36">
        <f t="shared" ref="BD879:BD910" si="852">I879/(100-BE879)*100</f>
        <v>0</v>
      </c>
      <c r="BE879" s="36">
        <v>0</v>
      </c>
      <c r="BF879" s="36">
        <f>879</f>
        <v>879</v>
      </c>
      <c r="BH879" s="20">
        <f t="shared" ref="BH879:BH910" si="853">H879*AO879</f>
        <v>0</v>
      </c>
      <c r="BI879" s="20">
        <f t="shared" ref="BI879:BI910" si="854">H879*AP879</f>
        <v>0</v>
      </c>
      <c r="BJ879" s="20">
        <f t="shared" ref="BJ879:BJ910" si="855">H879*I879</f>
        <v>0</v>
      </c>
      <c r="BK879" s="20" t="s">
        <v>2978</v>
      </c>
      <c r="BL879" s="36">
        <v>96</v>
      </c>
    </row>
    <row r="880" spans="1:64" x14ac:dyDescent="0.2">
      <c r="A880" s="4" t="s">
        <v>756</v>
      </c>
      <c r="B880" s="13" t="s">
        <v>1652</v>
      </c>
      <c r="C880" s="174" t="s">
        <v>2655</v>
      </c>
      <c r="D880" s="175"/>
      <c r="E880" s="175"/>
      <c r="F880" s="175"/>
      <c r="G880" s="13" t="s">
        <v>2853</v>
      </c>
      <c r="H880" s="82">
        <v>51.692999999999998</v>
      </c>
      <c r="I880" s="109">
        <v>0</v>
      </c>
      <c r="J880" s="20">
        <f t="shared" si="834"/>
        <v>0</v>
      </c>
      <c r="K880" s="20">
        <f t="shared" si="835"/>
        <v>0</v>
      </c>
      <c r="L880" s="20">
        <f t="shared" si="836"/>
        <v>0</v>
      </c>
      <c r="M880" s="31" t="s">
        <v>2884</v>
      </c>
      <c r="N880" s="5"/>
      <c r="Z880" s="36">
        <f t="shared" si="837"/>
        <v>0</v>
      </c>
      <c r="AB880" s="36">
        <f t="shared" si="838"/>
        <v>0</v>
      </c>
      <c r="AC880" s="36">
        <f t="shared" si="839"/>
        <v>0</v>
      </c>
      <c r="AD880" s="36">
        <f t="shared" si="840"/>
        <v>0</v>
      </c>
      <c r="AE880" s="36">
        <f t="shared" si="841"/>
        <v>0</v>
      </c>
      <c r="AF880" s="36">
        <f t="shared" si="842"/>
        <v>0</v>
      </c>
      <c r="AG880" s="36">
        <f t="shared" si="843"/>
        <v>0</v>
      </c>
      <c r="AH880" s="36">
        <f t="shared" si="844"/>
        <v>0</v>
      </c>
      <c r="AI880" s="35" t="s">
        <v>2895</v>
      </c>
      <c r="AJ880" s="20">
        <f t="shared" si="845"/>
        <v>0</v>
      </c>
      <c r="AK880" s="20">
        <f t="shared" si="846"/>
        <v>0</v>
      </c>
      <c r="AL880" s="20">
        <f t="shared" si="847"/>
        <v>0</v>
      </c>
      <c r="AN880" s="36">
        <v>21</v>
      </c>
      <c r="AO880" s="36">
        <f t="shared" si="832"/>
        <v>0</v>
      </c>
      <c r="AP880" s="36">
        <f t="shared" si="833"/>
        <v>0</v>
      </c>
      <c r="AQ880" s="37" t="s">
        <v>7</v>
      </c>
      <c r="AV880" s="36">
        <f t="shared" si="848"/>
        <v>0</v>
      </c>
      <c r="AW880" s="36">
        <f t="shared" si="849"/>
        <v>0</v>
      </c>
      <c r="AX880" s="36">
        <f t="shared" si="850"/>
        <v>0</v>
      </c>
      <c r="AY880" s="39" t="s">
        <v>2941</v>
      </c>
      <c r="AZ880" s="39" t="s">
        <v>2961</v>
      </c>
      <c r="BA880" s="35" t="s">
        <v>2968</v>
      </c>
      <c r="BC880" s="36">
        <f t="shared" si="851"/>
        <v>0</v>
      </c>
      <c r="BD880" s="36">
        <f t="shared" si="852"/>
        <v>0</v>
      </c>
      <c r="BE880" s="36">
        <v>0</v>
      </c>
      <c r="BF880" s="36">
        <f>880</f>
        <v>880</v>
      </c>
      <c r="BH880" s="20">
        <f t="shared" si="853"/>
        <v>0</v>
      </c>
      <c r="BI880" s="20">
        <f t="shared" si="854"/>
        <v>0</v>
      </c>
      <c r="BJ880" s="20">
        <f t="shared" si="855"/>
        <v>0</v>
      </c>
      <c r="BK880" s="20" t="s">
        <v>2978</v>
      </c>
      <c r="BL880" s="36">
        <v>96</v>
      </c>
    </row>
    <row r="881" spans="1:64" x14ac:dyDescent="0.2">
      <c r="A881" s="4" t="s">
        <v>757</v>
      </c>
      <c r="B881" s="13" t="s">
        <v>1653</v>
      </c>
      <c r="C881" s="174" t="s">
        <v>2656</v>
      </c>
      <c r="D881" s="175"/>
      <c r="E881" s="175"/>
      <c r="F881" s="175"/>
      <c r="G881" s="13" t="s">
        <v>2852</v>
      </c>
      <c r="H881" s="82">
        <v>60</v>
      </c>
      <c r="I881" s="109">
        <v>0</v>
      </c>
      <c r="J881" s="20">
        <f t="shared" si="834"/>
        <v>0</v>
      </c>
      <c r="K881" s="20">
        <f t="shared" si="835"/>
        <v>0</v>
      </c>
      <c r="L881" s="20">
        <f t="shared" si="836"/>
        <v>0</v>
      </c>
      <c r="M881" s="31" t="s">
        <v>2884</v>
      </c>
      <c r="N881" s="5"/>
      <c r="Z881" s="36">
        <f t="shared" si="837"/>
        <v>0</v>
      </c>
      <c r="AB881" s="36">
        <f t="shared" si="838"/>
        <v>0</v>
      </c>
      <c r="AC881" s="36">
        <f t="shared" si="839"/>
        <v>0</v>
      </c>
      <c r="AD881" s="36">
        <f t="shared" si="840"/>
        <v>0</v>
      </c>
      <c r="AE881" s="36">
        <f t="shared" si="841"/>
        <v>0</v>
      </c>
      <c r="AF881" s="36">
        <f t="shared" si="842"/>
        <v>0</v>
      </c>
      <c r="AG881" s="36">
        <f t="shared" si="843"/>
        <v>0</v>
      </c>
      <c r="AH881" s="36">
        <f t="shared" si="844"/>
        <v>0</v>
      </c>
      <c r="AI881" s="35" t="s">
        <v>2895</v>
      </c>
      <c r="AJ881" s="20">
        <f t="shared" si="845"/>
        <v>0</v>
      </c>
      <c r="AK881" s="20">
        <f t="shared" si="846"/>
        <v>0</v>
      </c>
      <c r="AL881" s="20">
        <f t="shared" si="847"/>
        <v>0</v>
      </c>
      <c r="AN881" s="36">
        <v>21</v>
      </c>
      <c r="AO881" s="36">
        <f t="shared" si="832"/>
        <v>0</v>
      </c>
      <c r="AP881" s="36">
        <f t="shared" si="833"/>
        <v>0</v>
      </c>
      <c r="AQ881" s="37" t="s">
        <v>7</v>
      </c>
      <c r="AV881" s="36">
        <f t="shared" si="848"/>
        <v>0</v>
      </c>
      <c r="AW881" s="36">
        <f t="shared" si="849"/>
        <v>0</v>
      </c>
      <c r="AX881" s="36">
        <f t="shared" si="850"/>
        <v>0</v>
      </c>
      <c r="AY881" s="39" t="s">
        <v>2941</v>
      </c>
      <c r="AZ881" s="39" t="s">
        <v>2961</v>
      </c>
      <c r="BA881" s="35" t="s">
        <v>2968</v>
      </c>
      <c r="BC881" s="36">
        <f t="shared" si="851"/>
        <v>0</v>
      </c>
      <c r="BD881" s="36">
        <f t="shared" si="852"/>
        <v>0</v>
      </c>
      <c r="BE881" s="36">
        <v>0</v>
      </c>
      <c r="BF881" s="36">
        <f>881</f>
        <v>881</v>
      </c>
      <c r="BH881" s="20">
        <f t="shared" si="853"/>
        <v>0</v>
      </c>
      <c r="BI881" s="20">
        <f t="shared" si="854"/>
        <v>0</v>
      </c>
      <c r="BJ881" s="20">
        <f t="shared" si="855"/>
        <v>0</v>
      </c>
      <c r="BK881" s="20" t="s">
        <v>2978</v>
      </c>
      <c r="BL881" s="36">
        <v>96</v>
      </c>
    </row>
    <row r="882" spans="1:64" x14ac:dyDescent="0.2">
      <c r="A882" s="4" t="s">
        <v>758</v>
      </c>
      <c r="B882" s="13" t="s">
        <v>1654</v>
      </c>
      <c r="C882" s="174" t="s">
        <v>2657</v>
      </c>
      <c r="D882" s="175"/>
      <c r="E882" s="175"/>
      <c r="F882" s="175"/>
      <c r="G882" s="13" t="s">
        <v>2852</v>
      </c>
      <c r="H882" s="82">
        <v>40</v>
      </c>
      <c r="I882" s="109">
        <v>0</v>
      </c>
      <c r="J882" s="20">
        <f t="shared" si="834"/>
        <v>0</v>
      </c>
      <c r="K882" s="20">
        <f t="shared" si="835"/>
        <v>0</v>
      </c>
      <c r="L882" s="20">
        <f t="shared" si="836"/>
        <v>0</v>
      </c>
      <c r="M882" s="31" t="s">
        <v>2884</v>
      </c>
      <c r="N882" s="5"/>
      <c r="Z882" s="36">
        <f t="shared" si="837"/>
        <v>0</v>
      </c>
      <c r="AB882" s="36">
        <f t="shared" si="838"/>
        <v>0</v>
      </c>
      <c r="AC882" s="36">
        <f t="shared" si="839"/>
        <v>0</v>
      </c>
      <c r="AD882" s="36">
        <f t="shared" si="840"/>
        <v>0</v>
      </c>
      <c r="AE882" s="36">
        <f t="shared" si="841"/>
        <v>0</v>
      </c>
      <c r="AF882" s="36">
        <f t="shared" si="842"/>
        <v>0</v>
      </c>
      <c r="AG882" s="36">
        <f t="shared" si="843"/>
        <v>0</v>
      </c>
      <c r="AH882" s="36">
        <f t="shared" si="844"/>
        <v>0</v>
      </c>
      <c r="AI882" s="35" t="s">
        <v>2895</v>
      </c>
      <c r="AJ882" s="20">
        <f t="shared" si="845"/>
        <v>0</v>
      </c>
      <c r="AK882" s="20">
        <f t="shared" si="846"/>
        <v>0</v>
      </c>
      <c r="AL882" s="20">
        <f t="shared" si="847"/>
        <v>0</v>
      </c>
      <c r="AN882" s="36">
        <v>21</v>
      </c>
      <c r="AO882" s="36">
        <f t="shared" si="832"/>
        <v>0</v>
      </c>
      <c r="AP882" s="36">
        <f t="shared" si="833"/>
        <v>0</v>
      </c>
      <c r="AQ882" s="37" t="s">
        <v>7</v>
      </c>
      <c r="AV882" s="36">
        <f t="shared" si="848"/>
        <v>0</v>
      </c>
      <c r="AW882" s="36">
        <f t="shared" si="849"/>
        <v>0</v>
      </c>
      <c r="AX882" s="36">
        <f t="shared" si="850"/>
        <v>0</v>
      </c>
      <c r="AY882" s="39" t="s">
        <v>2941</v>
      </c>
      <c r="AZ882" s="39" t="s">
        <v>2961</v>
      </c>
      <c r="BA882" s="35" t="s">
        <v>2968</v>
      </c>
      <c r="BC882" s="36">
        <f t="shared" si="851"/>
        <v>0</v>
      </c>
      <c r="BD882" s="36">
        <f t="shared" si="852"/>
        <v>0</v>
      </c>
      <c r="BE882" s="36">
        <v>0</v>
      </c>
      <c r="BF882" s="36">
        <f>882</f>
        <v>882</v>
      </c>
      <c r="BH882" s="20">
        <f t="shared" si="853"/>
        <v>0</v>
      </c>
      <c r="BI882" s="20">
        <f t="shared" si="854"/>
        <v>0</v>
      </c>
      <c r="BJ882" s="20">
        <f t="shared" si="855"/>
        <v>0</v>
      </c>
      <c r="BK882" s="20" t="s">
        <v>2978</v>
      </c>
      <c r="BL882" s="36">
        <v>96</v>
      </c>
    </row>
    <row r="883" spans="1:64" x14ac:dyDescent="0.2">
      <c r="A883" s="4" t="s">
        <v>759</v>
      </c>
      <c r="B883" s="13" t="s">
        <v>1655</v>
      </c>
      <c r="C883" s="174" t="s">
        <v>2658</v>
      </c>
      <c r="D883" s="175"/>
      <c r="E883" s="175"/>
      <c r="F883" s="175"/>
      <c r="G883" s="13" t="s">
        <v>2854</v>
      </c>
      <c r="H883" s="82">
        <v>36.228999999999999</v>
      </c>
      <c r="I883" s="109">
        <v>0</v>
      </c>
      <c r="J883" s="20">
        <f t="shared" si="834"/>
        <v>0</v>
      </c>
      <c r="K883" s="20">
        <f t="shared" si="835"/>
        <v>0</v>
      </c>
      <c r="L883" s="20">
        <f t="shared" si="836"/>
        <v>0</v>
      </c>
      <c r="M883" s="31" t="s">
        <v>2884</v>
      </c>
      <c r="N883" s="5"/>
      <c r="Z883" s="36">
        <f t="shared" si="837"/>
        <v>0</v>
      </c>
      <c r="AB883" s="36">
        <f t="shared" si="838"/>
        <v>0</v>
      </c>
      <c r="AC883" s="36">
        <f t="shared" si="839"/>
        <v>0</v>
      </c>
      <c r="AD883" s="36">
        <f t="shared" si="840"/>
        <v>0</v>
      </c>
      <c r="AE883" s="36">
        <f t="shared" si="841"/>
        <v>0</v>
      </c>
      <c r="AF883" s="36">
        <f t="shared" si="842"/>
        <v>0</v>
      </c>
      <c r="AG883" s="36">
        <f t="shared" si="843"/>
        <v>0</v>
      </c>
      <c r="AH883" s="36">
        <f t="shared" si="844"/>
        <v>0</v>
      </c>
      <c r="AI883" s="35" t="s">
        <v>2895</v>
      </c>
      <c r="AJ883" s="20">
        <f t="shared" si="845"/>
        <v>0</v>
      </c>
      <c r="AK883" s="20">
        <f t="shared" si="846"/>
        <v>0</v>
      </c>
      <c r="AL883" s="20">
        <f t="shared" si="847"/>
        <v>0</v>
      </c>
      <c r="AN883" s="36">
        <v>21</v>
      </c>
      <c r="AO883" s="36">
        <f>I883*0.0163599919630381</f>
        <v>0</v>
      </c>
      <c r="AP883" s="36">
        <f>I883*(1-0.0163599919630381)</f>
        <v>0</v>
      </c>
      <c r="AQ883" s="37" t="s">
        <v>7</v>
      </c>
      <c r="AV883" s="36">
        <f t="shared" si="848"/>
        <v>0</v>
      </c>
      <c r="AW883" s="36">
        <f t="shared" si="849"/>
        <v>0</v>
      </c>
      <c r="AX883" s="36">
        <f t="shared" si="850"/>
        <v>0</v>
      </c>
      <c r="AY883" s="39" t="s">
        <v>2941</v>
      </c>
      <c r="AZ883" s="39" t="s">
        <v>2961</v>
      </c>
      <c r="BA883" s="35" t="s">
        <v>2968</v>
      </c>
      <c r="BC883" s="36">
        <f t="shared" si="851"/>
        <v>0</v>
      </c>
      <c r="BD883" s="36">
        <f t="shared" si="852"/>
        <v>0</v>
      </c>
      <c r="BE883" s="36">
        <v>0</v>
      </c>
      <c r="BF883" s="36">
        <f>883</f>
        <v>883</v>
      </c>
      <c r="BH883" s="20">
        <f t="shared" si="853"/>
        <v>0</v>
      </c>
      <c r="BI883" s="20">
        <f t="shared" si="854"/>
        <v>0</v>
      </c>
      <c r="BJ883" s="20">
        <f t="shared" si="855"/>
        <v>0</v>
      </c>
      <c r="BK883" s="20" t="s">
        <v>2978</v>
      </c>
      <c r="BL883" s="36">
        <v>96</v>
      </c>
    </row>
    <row r="884" spans="1:64" x14ac:dyDescent="0.2">
      <c r="A884" s="4" t="s">
        <v>760</v>
      </c>
      <c r="B884" s="13" t="s">
        <v>1656</v>
      </c>
      <c r="C884" s="174" t="s">
        <v>2659</v>
      </c>
      <c r="D884" s="175"/>
      <c r="E884" s="175"/>
      <c r="F884" s="175"/>
      <c r="G884" s="13" t="s">
        <v>2852</v>
      </c>
      <c r="H884" s="82">
        <v>7</v>
      </c>
      <c r="I884" s="109">
        <v>0</v>
      </c>
      <c r="J884" s="20">
        <f t="shared" si="834"/>
        <v>0</v>
      </c>
      <c r="K884" s="20">
        <f t="shared" si="835"/>
        <v>0</v>
      </c>
      <c r="L884" s="20">
        <f t="shared" si="836"/>
        <v>0</v>
      </c>
      <c r="M884" s="31" t="s">
        <v>2884</v>
      </c>
      <c r="N884" s="5"/>
      <c r="Z884" s="36">
        <f t="shared" si="837"/>
        <v>0</v>
      </c>
      <c r="AB884" s="36">
        <f t="shared" si="838"/>
        <v>0</v>
      </c>
      <c r="AC884" s="36">
        <f t="shared" si="839"/>
        <v>0</v>
      </c>
      <c r="AD884" s="36">
        <f t="shared" si="840"/>
        <v>0</v>
      </c>
      <c r="AE884" s="36">
        <f t="shared" si="841"/>
        <v>0</v>
      </c>
      <c r="AF884" s="36">
        <f t="shared" si="842"/>
        <v>0</v>
      </c>
      <c r="AG884" s="36">
        <f t="shared" si="843"/>
        <v>0</v>
      </c>
      <c r="AH884" s="36">
        <f t="shared" si="844"/>
        <v>0</v>
      </c>
      <c r="AI884" s="35" t="s">
        <v>2895</v>
      </c>
      <c r="AJ884" s="20">
        <f t="shared" si="845"/>
        <v>0</v>
      </c>
      <c r="AK884" s="20">
        <f t="shared" si="846"/>
        <v>0</v>
      </c>
      <c r="AL884" s="20">
        <f t="shared" si="847"/>
        <v>0</v>
      </c>
      <c r="AN884" s="36">
        <v>21</v>
      </c>
      <c r="AO884" s="36">
        <f>I884*0</f>
        <v>0</v>
      </c>
      <c r="AP884" s="36">
        <f>I884*(1-0)</f>
        <v>0</v>
      </c>
      <c r="AQ884" s="37" t="s">
        <v>7</v>
      </c>
      <c r="AV884" s="36">
        <f t="shared" si="848"/>
        <v>0</v>
      </c>
      <c r="AW884" s="36">
        <f t="shared" si="849"/>
        <v>0</v>
      </c>
      <c r="AX884" s="36">
        <f t="shared" si="850"/>
        <v>0</v>
      </c>
      <c r="AY884" s="39" t="s">
        <v>2941</v>
      </c>
      <c r="AZ884" s="39" t="s">
        <v>2961</v>
      </c>
      <c r="BA884" s="35" t="s">
        <v>2968</v>
      </c>
      <c r="BC884" s="36">
        <f t="shared" si="851"/>
        <v>0</v>
      </c>
      <c r="BD884" s="36">
        <f t="shared" si="852"/>
        <v>0</v>
      </c>
      <c r="BE884" s="36">
        <v>0</v>
      </c>
      <c r="BF884" s="36">
        <f>884</f>
        <v>884</v>
      </c>
      <c r="BH884" s="20">
        <f t="shared" si="853"/>
        <v>0</v>
      </c>
      <c r="BI884" s="20">
        <f t="shared" si="854"/>
        <v>0</v>
      </c>
      <c r="BJ884" s="20">
        <f t="shared" si="855"/>
        <v>0</v>
      </c>
      <c r="BK884" s="20" t="s">
        <v>2978</v>
      </c>
      <c r="BL884" s="36">
        <v>96</v>
      </c>
    </row>
    <row r="885" spans="1:64" x14ac:dyDescent="0.2">
      <c r="A885" s="4" t="s">
        <v>761</v>
      </c>
      <c r="B885" s="13" t="s">
        <v>1657</v>
      </c>
      <c r="C885" s="174" t="s">
        <v>2660</v>
      </c>
      <c r="D885" s="175"/>
      <c r="E885" s="175"/>
      <c r="F885" s="175"/>
      <c r="G885" s="13" t="s">
        <v>2852</v>
      </c>
      <c r="H885" s="82">
        <v>20</v>
      </c>
      <c r="I885" s="109">
        <v>0</v>
      </c>
      <c r="J885" s="20">
        <f t="shared" si="834"/>
        <v>0</v>
      </c>
      <c r="K885" s="20">
        <f t="shared" si="835"/>
        <v>0</v>
      </c>
      <c r="L885" s="20">
        <f t="shared" si="836"/>
        <v>0</v>
      </c>
      <c r="M885" s="31" t="s">
        <v>2884</v>
      </c>
      <c r="N885" s="5"/>
      <c r="Z885" s="36">
        <f t="shared" si="837"/>
        <v>0</v>
      </c>
      <c r="AB885" s="36">
        <f t="shared" si="838"/>
        <v>0</v>
      </c>
      <c r="AC885" s="36">
        <f t="shared" si="839"/>
        <v>0</v>
      </c>
      <c r="AD885" s="36">
        <f t="shared" si="840"/>
        <v>0</v>
      </c>
      <c r="AE885" s="36">
        <f t="shared" si="841"/>
        <v>0</v>
      </c>
      <c r="AF885" s="36">
        <f t="shared" si="842"/>
        <v>0</v>
      </c>
      <c r="AG885" s="36">
        <f t="shared" si="843"/>
        <v>0</v>
      </c>
      <c r="AH885" s="36">
        <f t="shared" si="844"/>
        <v>0</v>
      </c>
      <c r="AI885" s="35" t="s">
        <v>2895</v>
      </c>
      <c r="AJ885" s="20">
        <f t="shared" si="845"/>
        <v>0</v>
      </c>
      <c r="AK885" s="20">
        <f t="shared" si="846"/>
        <v>0</v>
      </c>
      <c r="AL885" s="20">
        <f t="shared" si="847"/>
        <v>0</v>
      </c>
      <c r="AN885" s="36">
        <v>21</v>
      </c>
      <c r="AO885" s="36">
        <f>I885*0</f>
        <v>0</v>
      </c>
      <c r="AP885" s="36">
        <f>I885*(1-0)</f>
        <v>0</v>
      </c>
      <c r="AQ885" s="37" t="s">
        <v>7</v>
      </c>
      <c r="AV885" s="36">
        <f t="shared" si="848"/>
        <v>0</v>
      </c>
      <c r="AW885" s="36">
        <f t="shared" si="849"/>
        <v>0</v>
      </c>
      <c r="AX885" s="36">
        <f t="shared" si="850"/>
        <v>0</v>
      </c>
      <c r="AY885" s="39" t="s">
        <v>2941</v>
      </c>
      <c r="AZ885" s="39" t="s">
        <v>2961</v>
      </c>
      <c r="BA885" s="35" t="s">
        <v>2968</v>
      </c>
      <c r="BC885" s="36">
        <f t="shared" si="851"/>
        <v>0</v>
      </c>
      <c r="BD885" s="36">
        <f t="shared" si="852"/>
        <v>0</v>
      </c>
      <c r="BE885" s="36">
        <v>0</v>
      </c>
      <c r="BF885" s="36">
        <f>885</f>
        <v>885</v>
      </c>
      <c r="BH885" s="20">
        <f t="shared" si="853"/>
        <v>0</v>
      </c>
      <c r="BI885" s="20">
        <f t="shared" si="854"/>
        <v>0</v>
      </c>
      <c r="BJ885" s="20">
        <f t="shared" si="855"/>
        <v>0</v>
      </c>
      <c r="BK885" s="20" t="s">
        <v>2978</v>
      </c>
      <c r="BL885" s="36">
        <v>96</v>
      </c>
    </row>
    <row r="886" spans="1:64" x14ac:dyDescent="0.2">
      <c r="A886" s="4" t="s">
        <v>762</v>
      </c>
      <c r="B886" s="13" t="s">
        <v>1658</v>
      </c>
      <c r="C886" s="174" t="s">
        <v>2661</v>
      </c>
      <c r="D886" s="175"/>
      <c r="E886" s="175"/>
      <c r="F886" s="175"/>
      <c r="G886" s="13" t="s">
        <v>2852</v>
      </c>
      <c r="H886" s="82">
        <v>15</v>
      </c>
      <c r="I886" s="109">
        <v>0</v>
      </c>
      <c r="J886" s="20">
        <f t="shared" si="834"/>
        <v>0</v>
      </c>
      <c r="K886" s="20">
        <f t="shared" si="835"/>
        <v>0</v>
      </c>
      <c r="L886" s="20">
        <f t="shared" si="836"/>
        <v>0</v>
      </c>
      <c r="M886" s="31" t="s">
        <v>2884</v>
      </c>
      <c r="N886" s="5"/>
      <c r="Z886" s="36">
        <f t="shared" si="837"/>
        <v>0</v>
      </c>
      <c r="AB886" s="36">
        <f t="shared" si="838"/>
        <v>0</v>
      </c>
      <c r="AC886" s="36">
        <f t="shared" si="839"/>
        <v>0</v>
      </c>
      <c r="AD886" s="36">
        <f t="shared" si="840"/>
        <v>0</v>
      </c>
      <c r="AE886" s="36">
        <f t="shared" si="841"/>
        <v>0</v>
      </c>
      <c r="AF886" s="36">
        <f t="shared" si="842"/>
        <v>0</v>
      </c>
      <c r="AG886" s="36">
        <f t="shared" si="843"/>
        <v>0</v>
      </c>
      <c r="AH886" s="36">
        <f t="shared" si="844"/>
        <v>0</v>
      </c>
      <c r="AI886" s="35" t="s">
        <v>2895</v>
      </c>
      <c r="AJ886" s="20">
        <f t="shared" si="845"/>
        <v>0</v>
      </c>
      <c r="AK886" s="20">
        <f t="shared" si="846"/>
        <v>0</v>
      </c>
      <c r="AL886" s="20">
        <f t="shared" si="847"/>
        <v>0</v>
      </c>
      <c r="AN886" s="36">
        <v>21</v>
      </c>
      <c r="AO886" s="36">
        <f>I886*0</f>
        <v>0</v>
      </c>
      <c r="AP886" s="36">
        <f>I886*(1-0)</f>
        <v>0</v>
      </c>
      <c r="AQ886" s="37" t="s">
        <v>7</v>
      </c>
      <c r="AV886" s="36">
        <f t="shared" si="848"/>
        <v>0</v>
      </c>
      <c r="AW886" s="36">
        <f t="shared" si="849"/>
        <v>0</v>
      </c>
      <c r="AX886" s="36">
        <f t="shared" si="850"/>
        <v>0</v>
      </c>
      <c r="AY886" s="39" t="s">
        <v>2941</v>
      </c>
      <c r="AZ886" s="39" t="s">
        <v>2961</v>
      </c>
      <c r="BA886" s="35" t="s">
        <v>2968</v>
      </c>
      <c r="BC886" s="36">
        <f t="shared" si="851"/>
        <v>0</v>
      </c>
      <c r="BD886" s="36">
        <f t="shared" si="852"/>
        <v>0</v>
      </c>
      <c r="BE886" s="36">
        <v>0</v>
      </c>
      <c r="BF886" s="36">
        <f>886</f>
        <v>886</v>
      </c>
      <c r="BH886" s="20">
        <f t="shared" si="853"/>
        <v>0</v>
      </c>
      <c r="BI886" s="20">
        <f t="shared" si="854"/>
        <v>0</v>
      </c>
      <c r="BJ886" s="20">
        <f t="shared" si="855"/>
        <v>0</v>
      </c>
      <c r="BK886" s="20" t="s">
        <v>2978</v>
      </c>
      <c r="BL886" s="36">
        <v>96</v>
      </c>
    </row>
    <row r="887" spans="1:64" x14ac:dyDescent="0.2">
      <c r="A887" s="4" t="s">
        <v>763</v>
      </c>
      <c r="B887" s="13" t="s">
        <v>1659</v>
      </c>
      <c r="C887" s="174" t="s">
        <v>2662</v>
      </c>
      <c r="D887" s="175"/>
      <c r="E887" s="175"/>
      <c r="F887" s="175"/>
      <c r="G887" s="13" t="s">
        <v>2854</v>
      </c>
      <c r="H887" s="82">
        <v>5.04</v>
      </c>
      <c r="I887" s="109">
        <v>0</v>
      </c>
      <c r="J887" s="20">
        <f t="shared" si="834"/>
        <v>0</v>
      </c>
      <c r="K887" s="20">
        <f t="shared" si="835"/>
        <v>0</v>
      </c>
      <c r="L887" s="20">
        <f t="shared" si="836"/>
        <v>0</v>
      </c>
      <c r="M887" s="31" t="s">
        <v>2884</v>
      </c>
      <c r="N887" s="5"/>
      <c r="Z887" s="36">
        <f t="shared" si="837"/>
        <v>0</v>
      </c>
      <c r="AB887" s="36">
        <f t="shared" si="838"/>
        <v>0</v>
      </c>
      <c r="AC887" s="36">
        <f t="shared" si="839"/>
        <v>0</v>
      </c>
      <c r="AD887" s="36">
        <f t="shared" si="840"/>
        <v>0</v>
      </c>
      <c r="AE887" s="36">
        <f t="shared" si="841"/>
        <v>0</v>
      </c>
      <c r="AF887" s="36">
        <f t="shared" si="842"/>
        <v>0</v>
      </c>
      <c r="AG887" s="36">
        <f t="shared" si="843"/>
        <v>0</v>
      </c>
      <c r="AH887" s="36">
        <f t="shared" si="844"/>
        <v>0</v>
      </c>
      <c r="AI887" s="35" t="s">
        <v>2895</v>
      </c>
      <c r="AJ887" s="20">
        <f t="shared" si="845"/>
        <v>0</v>
      </c>
      <c r="AK887" s="20">
        <f t="shared" si="846"/>
        <v>0</v>
      </c>
      <c r="AL887" s="20">
        <f t="shared" si="847"/>
        <v>0</v>
      </c>
      <c r="AN887" s="36">
        <v>21</v>
      </c>
      <c r="AO887" s="36">
        <f>I887*0.133669724770642</f>
        <v>0</v>
      </c>
      <c r="AP887" s="36">
        <f>I887*(1-0.133669724770642)</f>
        <v>0</v>
      </c>
      <c r="AQ887" s="37" t="s">
        <v>7</v>
      </c>
      <c r="AV887" s="36">
        <f t="shared" si="848"/>
        <v>0</v>
      </c>
      <c r="AW887" s="36">
        <f t="shared" si="849"/>
        <v>0</v>
      </c>
      <c r="AX887" s="36">
        <f t="shared" si="850"/>
        <v>0</v>
      </c>
      <c r="AY887" s="39" t="s">
        <v>2941</v>
      </c>
      <c r="AZ887" s="39" t="s">
        <v>2961</v>
      </c>
      <c r="BA887" s="35" t="s">
        <v>2968</v>
      </c>
      <c r="BC887" s="36">
        <f t="shared" si="851"/>
        <v>0</v>
      </c>
      <c r="BD887" s="36">
        <f t="shared" si="852"/>
        <v>0</v>
      </c>
      <c r="BE887" s="36">
        <v>0</v>
      </c>
      <c r="BF887" s="36">
        <f>887</f>
        <v>887</v>
      </c>
      <c r="BH887" s="20">
        <f t="shared" si="853"/>
        <v>0</v>
      </c>
      <c r="BI887" s="20">
        <f t="shared" si="854"/>
        <v>0</v>
      </c>
      <c r="BJ887" s="20">
        <f t="shared" si="855"/>
        <v>0</v>
      </c>
      <c r="BK887" s="20" t="s">
        <v>2978</v>
      </c>
      <c r="BL887" s="36">
        <v>96</v>
      </c>
    </row>
    <row r="888" spans="1:64" x14ac:dyDescent="0.2">
      <c r="A888" s="4" t="s">
        <v>764</v>
      </c>
      <c r="B888" s="13" t="s">
        <v>1660</v>
      </c>
      <c r="C888" s="174" t="s">
        <v>2663</v>
      </c>
      <c r="D888" s="175"/>
      <c r="E888" s="175"/>
      <c r="F888" s="175"/>
      <c r="G888" s="13" t="s">
        <v>2854</v>
      </c>
      <c r="H888" s="82">
        <v>1.484</v>
      </c>
      <c r="I888" s="109">
        <v>0</v>
      </c>
      <c r="J888" s="20">
        <f t="shared" si="834"/>
        <v>0</v>
      </c>
      <c r="K888" s="20">
        <f t="shared" si="835"/>
        <v>0</v>
      </c>
      <c r="L888" s="20">
        <f t="shared" si="836"/>
        <v>0</v>
      </c>
      <c r="M888" s="31" t="s">
        <v>2884</v>
      </c>
      <c r="N888" s="5"/>
      <c r="Z888" s="36">
        <f t="shared" si="837"/>
        <v>0</v>
      </c>
      <c r="AB888" s="36">
        <f t="shared" si="838"/>
        <v>0</v>
      </c>
      <c r="AC888" s="36">
        <f t="shared" si="839"/>
        <v>0</v>
      </c>
      <c r="AD888" s="36">
        <f t="shared" si="840"/>
        <v>0</v>
      </c>
      <c r="AE888" s="36">
        <f t="shared" si="841"/>
        <v>0</v>
      </c>
      <c r="AF888" s="36">
        <f t="shared" si="842"/>
        <v>0</v>
      </c>
      <c r="AG888" s="36">
        <f t="shared" si="843"/>
        <v>0</v>
      </c>
      <c r="AH888" s="36">
        <f t="shared" si="844"/>
        <v>0</v>
      </c>
      <c r="AI888" s="35" t="s">
        <v>2895</v>
      </c>
      <c r="AJ888" s="20">
        <f t="shared" si="845"/>
        <v>0</v>
      </c>
      <c r="AK888" s="20">
        <f t="shared" si="846"/>
        <v>0</v>
      </c>
      <c r="AL888" s="20">
        <f t="shared" si="847"/>
        <v>0</v>
      </c>
      <c r="AN888" s="36">
        <v>21</v>
      </c>
      <c r="AO888" s="36">
        <f>I888*0.0995500593089872</f>
        <v>0</v>
      </c>
      <c r="AP888" s="36">
        <f>I888*(1-0.0995500593089872)</f>
        <v>0</v>
      </c>
      <c r="AQ888" s="37" t="s">
        <v>7</v>
      </c>
      <c r="AV888" s="36">
        <f t="shared" si="848"/>
        <v>0</v>
      </c>
      <c r="AW888" s="36">
        <f t="shared" si="849"/>
        <v>0</v>
      </c>
      <c r="AX888" s="36">
        <f t="shared" si="850"/>
        <v>0</v>
      </c>
      <c r="AY888" s="39" t="s">
        <v>2941</v>
      </c>
      <c r="AZ888" s="39" t="s">
        <v>2961</v>
      </c>
      <c r="BA888" s="35" t="s">
        <v>2968</v>
      </c>
      <c r="BC888" s="36">
        <f t="shared" si="851"/>
        <v>0</v>
      </c>
      <c r="BD888" s="36">
        <f t="shared" si="852"/>
        <v>0</v>
      </c>
      <c r="BE888" s="36">
        <v>0</v>
      </c>
      <c r="BF888" s="36">
        <f>888</f>
        <v>888</v>
      </c>
      <c r="BH888" s="20">
        <f t="shared" si="853"/>
        <v>0</v>
      </c>
      <c r="BI888" s="20">
        <f t="shared" si="854"/>
        <v>0</v>
      </c>
      <c r="BJ888" s="20">
        <f t="shared" si="855"/>
        <v>0</v>
      </c>
      <c r="BK888" s="20" t="s">
        <v>2978</v>
      </c>
      <c r="BL888" s="36">
        <v>96</v>
      </c>
    </row>
    <row r="889" spans="1:64" x14ac:dyDescent="0.2">
      <c r="A889" s="4" t="s">
        <v>765</v>
      </c>
      <c r="B889" s="13" t="s">
        <v>1661</v>
      </c>
      <c r="C889" s="174" t="s">
        <v>2664</v>
      </c>
      <c r="D889" s="175"/>
      <c r="E889" s="175"/>
      <c r="F889" s="175"/>
      <c r="G889" s="13" t="s">
        <v>2854</v>
      </c>
      <c r="H889" s="82">
        <v>50.4</v>
      </c>
      <c r="I889" s="109">
        <v>0</v>
      </c>
      <c r="J889" s="20">
        <f t="shared" si="834"/>
        <v>0</v>
      </c>
      <c r="K889" s="20">
        <f t="shared" si="835"/>
        <v>0</v>
      </c>
      <c r="L889" s="20">
        <f t="shared" si="836"/>
        <v>0</v>
      </c>
      <c r="M889" s="31" t="s">
        <v>2884</v>
      </c>
      <c r="N889" s="5"/>
      <c r="Z889" s="36">
        <f t="shared" si="837"/>
        <v>0</v>
      </c>
      <c r="AB889" s="36">
        <f t="shared" si="838"/>
        <v>0</v>
      </c>
      <c r="AC889" s="36">
        <f t="shared" si="839"/>
        <v>0</v>
      </c>
      <c r="AD889" s="36">
        <f t="shared" si="840"/>
        <v>0</v>
      </c>
      <c r="AE889" s="36">
        <f t="shared" si="841"/>
        <v>0</v>
      </c>
      <c r="AF889" s="36">
        <f t="shared" si="842"/>
        <v>0</v>
      </c>
      <c r="AG889" s="36">
        <f t="shared" si="843"/>
        <v>0</v>
      </c>
      <c r="AH889" s="36">
        <f t="shared" si="844"/>
        <v>0</v>
      </c>
      <c r="AI889" s="35" t="s">
        <v>2895</v>
      </c>
      <c r="AJ889" s="20">
        <f t="shared" si="845"/>
        <v>0</v>
      </c>
      <c r="AK889" s="20">
        <f t="shared" si="846"/>
        <v>0</v>
      </c>
      <c r="AL889" s="20">
        <f t="shared" si="847"/>
        <v>0</v>
      </c>
      <c r="AN889" s="36">
        <v>21</v>
      </c>
      <c r="AO889" s="36">
        <f>I889*0.117831325301205</f>
        <v>0</v>
      </c>
      <c r="AP889" s="36">
        <f>I889*(1-0.117831325301205)</f>
        <v>0</v>
      </c>
      <c r="AQ889" s="37" t="s">
        <v>7</v>
      </c>
      <c r="AV889" s="36">
        <f t="shared" si="848"/>
        <v>0</v>
      </c>
      <c r="AW889" s="36">
        <f t="shared" si="849"/>
        <v>0</v>
      </c>
      <c r="AX889" s="36">
        <f t="shared" si="850"/>
        <v>0</v>
      </c>
      <c r="AY889" s="39" t="s">
        <v>2941</v>
      </c>
      <c r="AZ889" s="39" t="s">
        <v>2961</v>
      </c>
      <c r="BA889" s="35" t="s">
        <v>2968</v>
      </c>
      <c r="BC889" s="36">
        <f t="shared" si="851"/>
        <v>0</v>
      </c>
      <c r="BD889" s="36">
        <f t="shared" si="852"/>
        <v>0</v>
      </c>
      <c r="BE889" s="36">
        <v>0</v>
      </c>
      <c r="BF889" s="36">
        <f>889</f>
        <v>889</v>
      </c>
      <c r="BH889" s="20">
        <f t="shared" si="853"/>
        <v>0</v>
      </c>
      <c r="BI889" s="20">
        <f t="shared" si="854"/>
        <v>0</v>
      </c>
      <c r="BJ889" s="20">
        <f t="shared" si="855"/>
        <v>0</v>
      </c>
      <c r="BK889" s="20" t="s">
        <v>2978</v>
      </c>
      <c r="BL889" s="36">
        <v>96</v>
      </c>
    </row>
    <row r="890" spans="1:64" x14ac:dyDescent="0.2">
      <c r="A890" s="4" t="s">
        <v>766</v>
      </c>
      <c r="B890" s="13" t="s">
        <v>1662</v>
      </c>
      <c r="C890" s="174" t="s">
        <v>2665</v>
      </c>
      <c r="D890" s="175"/>
      <c r="E890" s="175"/>
      <c r="F890" s="175"/>
      <c r="G890" s="13" t="s">
        <v>2854</v>
      </c>
      <c r="H890" s="82">
        <v>60.484999999999999</v>
      </c>
      <c r="I890" s="109">
        <v>0</v>
      </c>
      <c r="J890" s="20">
        <f t="shared" si="834"/>
        <v>0</v>
      </c>
      <c r="K890" s="20">
        <f t="shared" si="835"/>
        <v>0</v>
      </c>
      <c r="L890" s="20">
        <f t="shared" si="836"/>
        <v>0</v>
      </c>
      <c r="M890" s="31" t="s">
        <v>2884</v>
      </c>
      <c r="N890" s="5"/>
      <c r="Z890" s="36">
        <f t="shared" si="837"/>
        <v>0</v>
      </c>
      <c r="AB890" s="36">
        <f t="shared" si="838"/>
        <v>0</v>
      </c>
      <c r="AC890" s="36">
        <f t="shared" si="839"/>
        <v>0</v>
      </c>
      <c r="AD890" s="36">
        <f t="shared" si="840"/>
        <v>0</v>
      </c>
      <c r="AE890" s="36">
        <f t="shared" si="841"/>
        <v>0</v>
      </c>
      <c r="AF890" s="36">
        <f t="shared" si="842"/>
        <v>0</v>
      </c>
      <c r="AG890" s="36">
        <f t="shared" si="843"/>
        <v>0</v>
      </c>
      <c r="AH890" s="36">
        <f t="shared" si="844"/>
        <v>0</v>
      </c>
      <c r="AI890" s="35" t="s">
        <v>2895</v>
      </c>
      <c r="AJ890" s="20">
        <f t="shared" si="845"/>
        <v>0</v>
      </c>
      <c r="AK890" s="20">
        <f t="shared" si="846"/>
        <v>0</v>
      </c>
      <c r="AL890" s="20">
        <f t="shared" si="847"/>
        <v>0</v>
      </c>
      <c r="AN890" s="36">
        <v>21</v>
      </c>
      <c r="AO890" s="36">
        <f>I890*0</f>
        <v>0</v>
      </c>
      <c r="AP890" s="36">
        <f>I890*(1-0)</f>
        <v>0</v>
      </c>
      <c r="AQ890" s="37" t="s">
        <v>7</v>
      </c>
      <c r="AV890" s="36">
        <f t="shared" si="848"/>
        <v>0</v>
      </c>
      <c r="AW890" s="36">
        <f t="shared" si="849"/>
        <v>0</v>
      </c>
      <c r="AX890" s="36">
        <f t="shared" si="850"/>
        <v>0</v>
      </c>
      <c r="AY890" s="39" t="s">
        <v>2941</v>
      </c>
      <c r="AZ890" s="39" t="s">
        <v>2961</v>
      </c>
      <c r="BA890" s="35" t="s">
        <v>2968</v>
      </c>
      <c r="BC890" s="36">
        <f t="shared" si="851"/>
        <v>0</v>
      </c>
      <c r="BD890" s="36">
        <f t="shared" si="852"/>
        <v>0</v>
      </c>
      <c r="BE890" s="36">
        <v>0</v>
      </c>
      <c r="BF890" s="36">
        <f>890</f>
        <v>890</v>
      </c>
      <c r="BH890" s="20">
        <f t="shared" si="853"/>
        <v>0</v>
      </c>
      <c r="BI890" s="20">
        <f t="shared" si="854"/>
        <v>0</v>
      </c>
      <c r="BJ890" s="20">
        <f t="shared" si="855"/>
        <v>0</v>
      </c>
      <c r="BK890" s="20" t="s">
        <v>2978</v>
      </c>
      <c r="BL890" s="36">
        <v>96</v>
      </c>
    </row>
    <row r="891" spans="1:64" x14ac:dyDescent="0.2">
      <c r="A891" s="4" t="s">
        <v>767</v>
      </c>
      <c r="B891" s="13" t="s">
        <v>1663</v>
      </c>
      <c r="C891" s="174" t="s">
        <v>2666</v>
      </c>
      <c r="D891" s="175"/>
      <c r="E891" s="175"/>
      <c r="F891" s="175"/>
      <c r="G891" s="13" t="s">
        <v>2854</v>
      </c>
      <c r="H891" s="82">
        <v>38.906999999999996</v>
      </c>
      <c r="I891" s="109">
        <v>0</v>
      </c>
      <c r="J891" s="20">
        <f t="shared" si="834"/>
        <v>0</v>
      </c>
      <c r="K891" s="20">
        <f t="shared" si="835"/>
        <v>0</v>
      </c>
      <c r="L891" s="20">
        <f t="shared" si="836"/>
        <v>0</v>
      </c>
      <c r="M891" s="31" t="s">
        <v>2884</v>
      </c>
      <c r="N891" s="5"/>
      <c r="Z891" s="36">
        <f t="shared" si="837"/>
        <v>0</v>
      </c>
      <c r="AB891" s="36">
        <f t="shared" si="838"/>
        <v>0</v>
      </c>
      <c r="AC891" s="36">
        <f t="shared" si="839"/>
        <v>0</v>
      </c>
      <c r="AD891" s="36">
        <f t="shared" si="840"/>
        <v>0</v>
      </c>
      <c r="AE891" s="36">
        <f t="shared" si="841"/>
        <v>0</v>
      </c>
      <c r="AF891" s="36">
        <f t="shared" si="842"/>
        <v>0</v>
      </c>
      <c r="AG891" s="36">
        <f t="shared" si="843"/>
        <v>0</v>
      </c>
      <c r="AH891" s="36">
        <f t="shared" si="844"/>
        <v>0</v>
      </c>
      <c r="AI891" s="35" t="s">
        <v>2895</v>
      </c>
      <c r="AJ891" s="20">
        <f t="shared" si="845"/>
        <v>0</v>
      </c>
      <c r="AK891" s="20">
        <f t="shared" si="846"/>
        <v>0</v>
      </c>
      <c r="AL891" s="20">
        <f t="shared" si="847"/>
        <v>0</v>
      </c>
      <c r="AN891" s="36">
        <v>21</v>
      </c>
      <c r="AO891" s="36">
        <f>I891*0</f>
        <v>0</v>
      </c>
      <c r="AP891" s="36">
        <f>I891*(1-0)</f>
        <v>0</v>
      </c>
      <c r="AQ891" s="37" t="s">
        <v>7</v>
      </c>
      <c r="AV891" s="36">
        <f t="shared" si="848"/>
        <v>0</v>
      </c>
      <c r="AW891" s="36">
        <f t="shared" si="849"/>
        <v>0</v>
      </c>
      <c r="AX891" s="36">
        <f t="shared" si="850"/>
        <v>0</v>
      </c>
      <c r="AY891" s="39" t="s">
        <v>2941</v>
      </c>
      <c r="AZ891" s="39" t="s">
        <v>2961</v>
      </c>
      <c r="BA891" s="35" t="s">
        <v>2968</v>
      </c>
      <c r="BC891" s="36">
        <f t="shared" si="851"/>
        <v>0</v>
      </c>
      <c r="BD891" s="36">
        <f t="shared" si="852"/>
        <v>0</v>
      </c>
      <c r="BE891" s="36">
        <v>0</v>
      </c>
      <c r="BF891" s="36">
        <f>891</f>
        <v>891</v>
      </c>
      <c r="BH891" s="20">
        <f t="shared" si="853"/>
        <v>0</v>
      </c>
      <c r="BI891" s="20">
        <f t="shared" si="854"/>
        <v>0</v>
      </c>
      <c r="BJ891" s="20">
        <f t="shared" si="855"/>
        <v>0</v>
      </c>
      <c r="BK891" s="20" t="s">
        <v>2978</v>
      </c>
      <c r="BL891" s="36">
        <v>96</v>
      </c>
    </row>
    <row r="892" spans="1:64" x14ac:dyDescent="0.2">
      <c r="A892" s="4" t="s">
        <v>768</v>
      </c>
      <c r="B892" s="13" t="s">
        <v>1664</v>
      </c>
      <c r="C892" s="174" t="s">
        <v>2667</v>
      </c>
      <c r="D892" s="175"/>
      <c r="E892" s="175"/>
      <c r="F892" s="175"/>
      <c r="G892" s="13" t="s">
        <v>2852</v>
      </c>
      <c r="H892" s="82">
        <v>7</v>
      </c>
      <c r="I892" s="109">
        <v>0</v>
      </c>
      <c r="J892" s="20">
        <f t="shared" si="834"/>
        <v>0</v>
      </c>
      <c r="K892" s="20">
        <f t="shared" si="835"/>
        <v>0</v>
      </c>
      <c r="L892" s="20">
        <f t="shared" si="836"/>
        <v>0</v>
      </c>
      <c r="M892" s="31" t="s">
        <v>2884</v>
      </c>
      <c r="N892" s="5"/>
      <c r="Z892" s="36">
        <f t="shared" si="837"/>
        <v>0</v>
      </c>
      <c r="AB892" s="36">
        <f t="shared" si="838"/>
        <v>0</v>
      </c>
      <c r="AC892" s="36">
        <f t="shared" si="839"/>
        <v>0</v>
      </c>
      <c r="AD892" s="36">
        <f t="shared" si="840"/>
        <v>0</v>
      </c>
      <c r="AE892" s="36">
        <f t="shared" si="841"/>
        <v>0</v>
      </c>
      <c r="AF892" s="36">
        <f t="shared" si="842"/>
        <v>0</v>
      </c>
      <c r="AG892" s="36">
        <f t="shared" si="843"/>
        <v>0</v>
      </c>
      <c r="AH892" s="36">
        <f t="shared" si="844"/>
        <v>0</v>
      </c>
      <c r="AI892" s="35" t="s">
        <v>2895</v>
      </c>
      <c r="AJ892" s="20">
        <f t="shared" si="845"/>
        <v>0</v>
      </c>
      <c r="AK892" s="20">
        <f t="shared" si="846"/>
        <v>0</v>
      </c>
      <c r="AL892" s="20">
        <f t="shared" si="847"/>
        <v>0</v>
      </c>
      <c r="AN892" s="36">
        <v>21</v>
      </c>
      <c r="AO892" s="36">
        <f>I892*0</f>
        <v>0</v>
      </c>
      <c r="AP892" s="36">
        <f>I892*(1-0)</f>
        <v>0</v>
      </c>
      <c r="AQ892" s="37" t="s">
        <v>7</v>
      </c>
      <c r="AV892" s="36">
        <f t="shared" si="848"/>
        <v>0</v>
      </c>
      <c r="AW892" s="36">
        <f t="shared" si="849"/>
        <v>0</v>
      </c>
      <c r="AX892" s="36">
        <f t="shared" si="850"/>
        <v>0</v>
      </c>
      <c r="AY892" s="39" t="s">
        <v>2941</v>
      </c>
      <c r="AZ892" s="39" t="s">
        <v>2961</v>
      </c>
      <c r="BA892" s="35" t="s">
        <v>2968</v>
      </c>
      <c r="BC892" s="36">
        <f t="shared" si="851"/>
        <v>0</v>
      </c>
      <c r="BD892" s="36">
        <f t="shared" si="852"/>
        <v>0</v>
      </c>
      <c r="BE892" s="36">
        <v>0</v>
      </c>
      <c r="BF892" s="36">
        <f>892</f>
        <v>892</v>
      </c>
      <c r="BH892" s="20">
        <f t="shared" si="853"/>
        <v>0</v>
      </c>
      <c r="BI892" s="20">
        <f t="shared" si="854"/>
        <v>0</v>
      </c>
      <c r="BJ892" s="20">
        <f t="shared" si="855"/>
        <v>0</v>
      </c>
      <c r="BK892" s="20" t="s">
        <v>2978</v>
      </c>
      <c r="BL892" s="36">
        <v>96</v>
      </c>
    </row>
    <row r="893" spans="1:64" x14ac:dyDescent="0.2">
      <c r="A893" s="4" t="s">
        <v>769</v>
      </c>
      <c r="B893" s="13" t="s">
        <v>1665</v>
      </c>
      <c r="C893" s="174" t="s">
        <v>2668</v>
      </c>
      <c r="D893" s="175"/>
      <c r="E893" s="175"/>
      <c r="F893" s="175"/>
      <c r="G893" s="13" t="s">
        <v>2854</v>
      </c>
      <c r="H893" s="82">
        <v>26.462</v>
      </c>
      <c r="I893" s="109">
        <v>0</v>
      </c>
      <c r="J893" s="20">
        <f t="shared" si="834"/>
        <v>0</v>
      </c>
      <c r="K893" s="20">
        <f t="shared" si="835"/>
        <v>0</v>
      </c>
      <c r="L893" s="20">
        <f t="shared" si="836"/>
        <v>0</v>
      </c>
      <c r="M893" s="31" t="s">
        <v>2884</v>
      </c>
      <c r="N893" s="5"/>
      <c r="Z893" s="36">
        <f t="shared" si="837"/>
        <v>0</v>
      </c>
      <c r="AB893" s="36">
        <f t="shared" si="838"/>
        <v>0</v>
      </c>
      <c r="AC893" s="36">
        <f t="shared" si="839"/>
        <v>0</v>
      </c>
      <c r="AD893" s="36">
        <f t="shared" si="840"/>
        <v>0</v>
      </c>
      <c r="AE893" s="36">
        <f t="shared" si="841"/>
        <v>0</v>
      </c>
      <c r="AF893" s="36">
        <f t="shared" si="842"/>
        <v>0</v>
      </c>
      <c r="AG893" s="36">
        <f t="shared" si="843"/>
        <v>0</v>
      </c>
      <c r="AH893" s="36">
        <f t="shared" si="844"/>
        <v>0</v>
      </c>
      <c r="AI893" s="35" t="s">
        <v>2895</v>
      </c>
      <c r="AJ893" s="20">
        <f t="shared" si="845"/>
        <v>0</v>
      </c>
      <c r="AK893" s="20">
        <f t="shared" si="846"/>
        <v>0</v>
      </c>
      <c r="AL893" s="20">
        <f t="shared" si="847"/>
        <v>0</v>
      </c>
      <c r="AN893" s="36">
        <v>21</v>
      </c>
      <c r="AO893" s="36">
        <f>I893*0.0780175436766425</f>
        <v>0</v>
      </c>
      <c r="AP893" s="36">
        <f>I893*(1-0.0780175436766425)</f>
        <v>0</v>
      </c>
      <c r="AQ893" s="37" t="s">
        <v>7</v>
      </c>
      <c r="AV893" s="36">
        <f t="shared" si="848"/>
        <v>0</v>
      </c>
      <c r="AW893" s="36">
        <f t="shared" si="849"/>
        <v>0</v>
      </c>
      <c r="AX893" s="36">
        <f t="shared" si="850"/>
        <v>0</v>
      </c>
      <c r="AY893" s="39" t="s">
        <v>2941</v>
      </c>
      <c r="AZ893" s="39" t="s">
        <v>2961</v>
      </c>
      <c r="BA893" s="35" t="s">
        <v>2968</v>
      </c>
      <c r="BC893" s="36">
        <f t="shared" si="851"/>
        <v>0</v>
      </c>
      <c r="BD893" s="36">
        <f t="shared" si="852"/>
        <v>0</v>
      </c>
      <c r="BE893" s="36">
        <v>0</v>
      </c>
      <c r="BF893" s="36">
        <f>893</f>
        <v>893</v>
      </c>
      <c r="BH893" s="20">
        <f t="shared" si="853"/>
        <v>0</v>
      </c>
      <c r="BI893" s="20">
        <f t="shared" si="854"/>
        <v>0</v>
      </c>
      <c r="BJ893" s="20">
        <f t="shared" si="855"/>
        <v>0</v>
      </c>
      <c r="BK893" s="20" t="s">
        <v>2978</v>
      </c>
      <c r="BL893" s="36">
        <v>96</v>
      </c>
    </row>
    <row r="894" spans="1:64" x14ac:dyDescent="0.2">
      <c r="A894" s="4" t="s">
        <v>770</v>
      </c>
      <c r="B894" s="13" t="s">
        <v>1666</v>
      </c>
      <c r="C894" s="174" t="s">
        <v>2669</v>
      </c>
      <c r="D894" s="175"/>
      <c r="E894" s="175"/>
      <c r="F894" s="175"/>
      <c r="G894" s="13" t="s">
        <v>2854</v>
      </c>
      <c r="H894" s="82">
        <v>20.79</v>
      </c>
      <c r="I894" s="109">
        <v>0</v>
      </c>
      <c r="J894" s="20">
        <f t="shared" si="834"/>
        <v>0</v>
      </c>
      <c r="K894" s="20">
        <f t="shared" si="835"/>
        <v>0</v>
      </c>
      <c r="L894" s="20">
        <f t="shared" si="836"/>
        <v>0</v>
      </c>
      <c r="M894" s="31" t="s">
        <v>2884</v>
      </c>
      <c r="N894" s="5"/>
      <c r="Z894" s="36">
        <f t="shared" si="837"/>
        <v>0</v>
      </c>
      <c r="AB894" s="36">
        <f t="shared" si="838"/>
        <v>0</v>
      </c>
      <c r="AC894" s="36">
        <f t="shared" si="839"/>
        <v>0</v>
      </c>
      <c r="AD894" s="36">
        <f t="shared" si="840"/>
        <v>0</v>
      </c>
      <c r="AE894" s="36">
        <f t="shared" si="841"/>
        <v>0</v>
      </c>
      <c r="AF894" s="36">
        <f t="shared" si="842"/>
        <v>0</v>
      </c>
      <c r="AG894" s="36">
        <f t="shared" si="843"/>
        <v>0</v>
      </c>
      <c r="AH894" s="36">
        <f t="shared" si="844"/>
        <v>0</v>
      </c>
      <c r="AI894" s="35" t="s">
        <v>2895</v>
      </c>
      <c r="AJ894" s="20">
        <f t="shared" si="845"/>
        <v>0</v>
      </c>
      <c r="AK894" s="20">
        <f t="shared" si="846"/>
        <v>0</v>
      </c>
      <c r="AL894" s="20">
        <f t="shared" si="847"/>
        <v>0</v>
      </c>
      <c r="AN894" s="36">
        <v>21</v>
      </c>
      <c r="AO894" s="36">
        <f>I894*0.0862987012987013</f>
        <v>0</v>
      </c>
      <c r="AP894" s="36">
        <f>I894*(1-0.0862987012987013)</f>
        <v>0</v>
      </c>
      <c r="AQ894" s="37" t="s">
        <v>7</v>
      </c>
      <c r="AV894" s="36">
        <f t="shared" si="848"/>
        <v>0</v>
      </c>
      <c r="AW894" s="36">
        <f t="shared" si="849"/>
        <v>0</v>
      </c>
      <c r="AX894" s="36">
        <f t="shared" si="850"/>
        <v>0</v>
      </c>
      <c r="AY894" s="39" t="s">
        <v>2941</v>
      </c>
      <c r="AZ894" s="39" t="s">
        <v>2961</v>
      </c>
      <c r="BA894" s="35" t="s">
        <v>2968</v>
      </c>
      <c r="BC894" s="36">
        <f t="shared" si="851"/>
        <v>0</v>
      </c>
      <c r="BD894" s="36">
        <f t="shared" si="852"/>
        <v>0</v>
      </c>
      <c r="BE894" s="36">
        <v>0</v>
      </c>
      <c r="BF894" s="36">
        <f>894</f>
        <v>894</v>
      </c>
      <c r="BH894" s="20">
        <f t="shared" si="853"/>
        <v>0</v>
      </c>
      <c r="BI894" s="20">
        <f t="shared" si="854"/>
        <v>0</v>
      </c>
      <c r="BJ894" s="20">
        <f t="shared" si="855"/>
        <v>0</v>
      </c>
      <c r="BK894" s="20" t="s">
        <v>2978</v>
      </c>
      <c r="BL894" s="36">
        <v>96</v>
      </c>
    </row>
    <row r="895" spans="1:64" x14ac:dyDescent="0.2">
      <c r="A895" s="4" t="s">
        <v>771</v>
      </c>
      <c r="B895" s="13" t="s">
        <v>1667</v>
      </c>
      <c r="C895" s="174" t="s">
        <v>2670</v>
      </c>
      <c r="D895" s="175"/>
      <c r="E895" s="175"/>
      <c r="F895" s="175"/>
      <c r="G895" s="13" t="s">
        <v>2854</v>
      </c>
      <c r="H895" s="82">
        <v>516.92600000000004</v>
      </c>
      <c r="I895" s="109">
        <v>0</v>
      </c>
      <c r="J895" s="20">
        <f t="shared" si="834"/>
        <v>0</v>
      </c>
      <c r="K895" s="20">
        <f t="shared" si="835"/>
        <v>0</v>
      </c>
      <c r="L895" s="20">
        <f t="shared" si="836"/>
        <v>0</v>
      </c>
      <c r="M895" s="31" t="s">
        <v>2884</v>
      </c>
      <c r="N895" s="5"/>
      <c r="Z895" s="36">
        <f t="shared" si="837"/>
        <v>0</v>
      </c>
      <c r="AB895" s="36">
        <f t="shared" si="838"/>
        <v>0</v>
      </c>
      <c r="AC895" s="36">
        <f t="shared" si="839"/>
        <v>0</v>
      </c>
      <c r="AD895" s="36">
        <f t="shared" si="840"/>
        <v>0</v>
      </c>
      <c r="AE895" s="36">
        <f t="shared" si="841"/>
        <v>0</v>
      </c>
      <c r="AF895" s="36">
        <f t="shared" si="842"/>
        <v>0</v>
      </c>
      <c r="AG895" s="36">
        <f t="shared" si="843"/>
        <v>0</v>
      </c>
      <c r="AH895" s="36">
        <f t="shared" si="844"/>
        <v>0</v>
      </c>
      <c r="AI895" s="35" t="s">
        <v>2895</v>
      </c>
      <c r="AJ895" s="20">
        <f t="shared" si="845"/>
        <v>0</v>
      </c>
      <c r="AK895" s="20">
        <f t="shared" si="846"/>
        <v>0</v>
      </c>
      <c r="AL895" s="20">
        <f t="shared" si="847"/>
        <v>0</v>
      </c>
      <c r="AN895" s="36">
        <v>21</v>
      </c>
      <c r="AO895" s="36">
        <f t="shared" ref="AO895:AO917" si="856">I895*0</f>
        <v>0</v>
      </c>
      <c r="AP895" s="36">
        <f t="shared" ref="AP895:AP917" si="857">I895*(1-0)</f>
        <v>0</v>
      </c>
      <c r="AQ895" s="37" t="s">
        <v>7</v>
      </c>
      <c r="AV895" s="36">
        <f t="shared" si="848"/>
        <v>0</v>
      </c>
      <c r="AW895" s="36">
        <f t="shared" si="849"/>
        <v>0</v>
      </c>
      <c r="AX895" s="36">
        <f t="shared" si="850"/>
        <v>0</v>
      </c>
      <c r="AY895" s="39" t="s">
        <v>2941</v>
      </c>
      <c r="AZ895" s="39" t="s">
        <v>2961</v>
      </c>
      <c r="BA895" s="35" t="s">
        <v>2968</v>
      </c>
      <c r="BC895" s="36">
        <f t="shared" si="851"/>
        <v>0</v>
      </c>
      <c r="BD895" s="36">
        <f t="shared" si="852"/>
        <v>0</v>
      </c>
      <c r="BE895" s="36">
        <v>0</v>
      </c>
      <c r="BF895" s="36">
        <f>895</f>
        <v>895</v>
      </c>
      <c r="BH895" s="20">
        <f t="shared" si="853"/>
        <v>0</v>
      </c>
      <c r="BI895" s="20">
        <f t="shared" si="854"/>
        <v>0</v>
      </c>
      <c r="BJ895" s="20">
        <f t="shared" si="855"/>
        <v>0</v>
      </c>
      <c r="BK895" s="20" t="s">
        <v>2978</v>
      </c>
      <c r="BL895" s="36">
        <v>96</v>
      </c>
    </row>
    <row r="896" spans="1:64" x14ac:dyDescent="0.2">
      <c r="A896" s="4" t="s">
        <v>772</v>
      </c>
      <c r="B896" s="13" t="s">
        <v>1668</v>
      </c>
      <c r="C896" s="174" t="s">
        <v>2671</v>
      </c>
      <c r="D896" s="175"/>
      <c r="E896" s="175"/>
      <c r="F896" s="175"/>
      <c r="G896" s="13" t="s">
        <v>2854</v>
      </c>
      <c r="H896" s="82">
        <v>247.71</v>
      </c>
      <c r="I896" s="109">
        <v>0</v>
      </c>
      <c r="J896" s="20">
        <f t="shared" si="834"/>
        <v>0</v>
      </c>
      <c r="K896" s="20">
        <f t="shared" si="835"/>
        <v>0</v>
      </c>
      <c r="L896" s="20">
        <f t="shared" si="836"/>
        <v>0</v>
      </c>
      <c r="M896" s="31" t="s">
        <v>2884</v>
      </c>
      <c r="N896" s="5"/>
      <c r="Z896" s="36">
        <f t="shared" si="837"/>
        <v>0</v>
      </c>
      <c r="AB896" s="36">
        <f t="shared" si="838"/>
        <v>0</v>
      </c>
      <c r="AC896" s="36">
        <f t="shared" si="839"/>
        <v>0</v>
      </c>
      <c r="AD896" s="36">
        <f t="shared" si="840"/>
        <v>0</v>
      </c>
      <c r="AE896" s="36">
        <f t="shared" si="841"/>
        <v>0</v>
      </c>
      <c r="AF896" s="36">
        <f t="shared" si="842"/>
        <v>0</v>
      </c>
      <c r="AG896" s="36">
        <f t="shared" si="843"/>
        <v>0</v>
      </c>
      <c r="AH896" s="36">
        <f t="shared" si="844"/>
        <v>0</v>
      </c>
      <c r="AI896" s="35" t="s">
        <v>2895</v>
      </c>
      <c r="AJ896" s="20">
        <f t="shared" si="845"/>
        <v>0</v>
      </c>
      <c r="AK896" s="20">
        <f t="shared" si="846"/>
        <v>0</v>
      </c>
      <c r="AL896" s="20">
        <f t="shared" si="847"/>
        <v>0</v>
      </c>
      <c r="AN896" s="36">
        <v>21</v>
      </c>
      <c r="AO896" s="36">
        <f t="shared" si="856"/>
        <v>0</v>
      </c>
      <c r="AP896" s="36">
        <f t="shared" si="857"/>
        <v>0</v>
      </c>
      <c r="AQ896" s="37" t="s">
        <v>7</v>
      </c>
      <c r="AV896" s="36">
        <f t="shared" si="848"/>
        <v>0</v>
      </c>
      <c r="AW896" s="36">
        <f t="shared" si="849"/>
        <v>0</v>
      </c>
      <c r="AX896" s="36">
        <f t="shared" si="850"/>
        <v>0</v>
      </c>
      <c r="AY896" s="39" t="s">
        <v>2941</v>
      </c>
      <c r="AZ896" s="39" t="s">
        <v>2961</v>
      </c>
      <c r="BA896" s="35" t="s">
        <v>2968</v>
      </c>
      <c r="BC896" s="36">
        <f t="shared" si="851"/>
        <v>0</v>
      </c>
      <c r="BD896" s="36">
        <f t="shared" si="852"/>
        <v>0</v>
      </c>
      <c r="BE896" s="36">
        <v>0</v>
      </c>
      <c r="BF896" s="36">
        <f>896</f>
        <v>896</v>
      </c>
      <c r="BH896" s="20">
        <f t="shared" si="853"/>
        <v>0</v>
      </c>
      <c r="BI896" s="20">
        <f t="shared" si="854"/>
        <v>0</v>
      </c>
      <c r="BJ896" s="20">
        <f t="shared" si="855"/>
        <v>0</v>
      </c>
      <c r="BK896" s="20" t="s">
        <v>2978</v>
      </c>
      <c r="BL896" s="36">
        <v>96</v>
      </c>
    </row>
    <row r="897" spans="1:64" x14ac:dyDescent="0.2">
      <c r="A897" s="4" t="s">
        <v>773</v>
      </c>
      <c r="B897" s="13" t="s">
        <v>1669</v>
      </c>
      <c r="C897" s="174" t="s">
        <v>2672</v>
      </c>
      <c r="D897" s="175"/>
      <c r="E897" s="175"/>
      <c r="F897" s="175"/>
      <c r="G897" s="13" t="s">
        <v>2854</v>
      </c>
      <c r="H897" s="82">
        <v>123.855</v>
      </c>
      <c r="I897" s="109">
        <v>0</v>
      </c>
      <c r="J897" s="20">
        <f t="shared" si="834"/>
        <v>0</v>
      </c>
      <c r="K897" s="20">
        <f t="shared" si="835"/>
        <v>0</v>
      </c>
      <c r="L897" s="20">
        <f t="shared" si="836"/>
        <v>0</v>
      </c>
      <c r="M897" s="31" t="s">
        <v>2884</v>
      </c>
      <c r="N897" s="5"/>
      <c r="Z897" s="36">
        <f t="shared" si="837"/>
        <v>0</v>
      </c>
      <c r="AB897" s="36">
        <f t="shared" si="838"/>
        <v>0</v>
      </c>
      <c r="AC897" s="36">
        <f t="shared" si="839"/>
        <v>0</v>
      </c>
      <c r="AD897" s="36">
        <f t="shared" si="840"/>
        <v>0</v>
      </c>
      <c r="AE897" s="36">
        <f t="shared" si="841"/>
        <v>0</v>
      </c>
      <c r="AF897" s="36">
        <f t="shared" si="842"/>
        <v>0</v>
      </c>
      <c r="AG897" s="36">
        <f t="shared" si="843"/>
        <v>0</v>
      </c>
      <c r="AH897" s="36">
        <f t="shared" si="844"/>
        <v>0</v>
      </c>
      <c r="AI897" s="35" t="s">
        <v>2895</v>
      </c>
      <c r="AJ897" s="20">
        <f t="shared" si="845"/>
        <v>0</v>
      </c>
      <c r="AK897" s="20">
        <f t="shared" si="846"/>
        <v>0</v>
      </c>
      <c r="AL897" s="20">
        <f t="shared" si="847"/>
        <v>0</v>
      </c>
      <c r="AN897" s="36">
        <v>21</v>
      </c>
      <c r="AO897" s="36">
        <f t="shared" si="856"/>
        <v>0</v>
      </c>
      <c r="AP897" s="36">
        <f t="shared" si="857"/>
        <v>0</v>
      </c>
      <c r="AQ897" s="37" t="s">
        <v>7</v>
      </c>
      <c r="AV897" s="36">
        <f t="shared" si="848"/>
        <v>0</v>
      </c>
      <c r="AW897" s="36">
        <f t="shared" si="849"/>
        <v>0</v>
      </c>
      <c r="AX897" s="36">
        <f t="shared" si="850"/>
        <v>0</v>
      </c>
      <c r="AY897" s="39" t="s">
        <v>2941</v>
      </c>
      <c r="AZ897" s="39" t="s">
        <v>2961</v>
      </c>
      <c r="BA897" s="35" t="s">
        <v>2968</v>
      </c>
      <c r="BC897" s="36">
        <f t="shared" si="851"/>
        <v>0</v>
      </c>
      <c r="BD897" s="36">
        <f t="shared" si="852"/>
        <v>0</v>
      </c>
      <c r="BE897" s="36">
        <v>0</v>
      </c>
      <c r="BF897" s="36">
        <f>897</f>
        <v>897</v>
      </c>
      <c r="BH897" s="20">
        <f t="shared" si="853"/>
        <v>0</v>
      </c>
      <c r="BI897" s="20">
        <f t="shared" si="854"/>
        <v>0</v>
      </c>
      <c r="BJ897" s="20">
        <f t="shared" si="855"/>
        <v>0</v>
      </c>
      <c r="BK897" s="20" t="s">
        <v>2978</v>
      </c>
      <c r="BL897" s="36">
        <v>96</v>
      </c>
    </row>
    <row r="898" spans="1:64" x14ac:dyDescent="0.2">
      <c r="A898" s="4" t="s">
        <v>774</v>
      </c>
      <c r="B898" s="13" t="s">
        <v>1670</v>
      </c>
      <c r="C898" s="174" t="s">
        <v>2673</v>
      </c>
      <c r="D898" s="175"/>
      <c r="E898" s="175"/>
      <c r="F898" s="175"/>
      <c r="G898" s="13" t="s">
        <v>2854</v>
      </c>
      <c r="H898" s="82">
        <v>191.4</v>
      </c>
      <c r="I898" s="109">
        <v>0</v>
      </c>
      <c r="J898" s="20">
        <f t="shared" si="834"/>
        <v>0</v>
      </c>
      <c r="K898" s="20">
        <f t="shared" si="835"/>
        <v>0</v>
      </c>
      <c r="L898" s="20">
        <f t="shared" si="836"/>
        <v>0</v>
      </c>
      <c r="M898" s="31" t="s">
        <v>2884</v>
      </c>
      <c r="N898" s="5"/>
      <c r="Z898" s="36">
        <f t="shared" si="837"/>
        <v>0</v>
      </c>
      <c r="AB898" s="36">
        <f t="shared" si="838"/>
        <v>0</v>
      </c>
      <c r="AC898" s="36">
        <f t="shared" si="839"/>
        <v>0</v>
      </c>
      <c r="AD898" s="36">
        <f t="shared" si="840"/>
        <v>0</v>
      </c>
      <c r="AE898" s="36">
        <f t="shared" si="841"/>
        <v>0</v>
      </c>
      <c r="AF898" s="36">
        <f t="shared" si="842"/>
        <v>0</v>
      </c>
      <c r="AG898" s="36">
        <f t="shared" si="843"/>
        <v>0</v>
      </c>
      <c r="AH898" s="36">
        <f t="shared" si="844"/>
        <v>0</v>
      </c>
      <c r="AI898" s="35" t="s">
        <v>2895</v>
      </c>
      <c r="AJ898" s="20">
        <f t="shared" si="845"/>
        <v>0</v>
      </c>
      <c r="AK898" s="20">
        <f t="shared" si="846"/>
        <v>0</v>
      </c>
      <c r="AL898" s="20">
        <f t="shared" si="847"/>
        <v>0</v>
      </c>
      <c r="AN898" s="36">
        <v>21</v>
      </c>
      <c r="AO898" s="36">
        <f t="shared" si="856"/>
        <v>0</v>
      </c>
      <c r="AP898" s="36">
        <f t="shared" si="857"/>
        <v>0</v>
      </c>
      <c r="AQ898" s="37" t="s">
        <v>7</v>
      </c>
      <c r="AV898" s="36">
        <f t="shared" si="848"/>
        <v>0</v>
      </c>
      <c r="AW898" s="36">
        <f t="shared" si="849"/>
        <v>0</v>
      </c>
      <c r="AX898" s="36">
        <f t="shared" si="850"/>
        <v>0</v>
      </c>
      <c r="AY898" s="39" t="s">
        <v>2941</v>
      </c>
      <c r="AZ898" s="39" t="s">
        <v>2961</v>
      </c>
      <c r="BA898" s="35" t="s">
        <v>2968</v>
      </c>
      <c r="BC898" s="36">
        <f t="shared" si="851"/>
        <v>0</v>
      </c>
      <c r="BD898" s="36">
        <f t="shared" si="852"/>
        <v>0</v>
      </c>
      <c r="BE898" s="36">
        <v>0</v>
      </c>
      <c r="BF898" s="36">
        <f>898</f>
        <v>898</v>
      </c>
      <c r="BH898" s="20">
        <f t="shared" si="853"/>
        <v>0</v>
      </c>
      <c r="BI898" s="20">
        <f t="shared" si="854"/>
        <v>0</v>
      </c>
      <c r="BJ898" s="20">
        <f t="shared" si="855"/>
        <v>0</v>
      </c>
      <c r="BK898" s="20" t="s">
        <v>2978</v>
      </c>
      <c r="BL898" s="36">
        <v>96</v>
      </c>
    </row>
    <row r="899" spans="1:64" x14ac:dyDescent="0.2">
      <c r="A899" s="4" t="s">
        <v>775</v>
      </c>
      <c r="B899" s="13" t="s">
        <v>1671</v>
      </c>
      <c r="C899" s="174" t="s">
        <v>2674</v>
      </c>
      <c r="D899" s="175"/>
      <c r="E899" s="175"/>
      <c r="F899" s="175"/>
      <c r="G899" s="13" t="s">
        <v>2867</v>
      </c>
      <c r="H899" s="82">
        <v>8</v>
      </c>
      <c r="I899" s="109">
        <v>0</v>
      </c>
      <c r="J899" s="20">
        <f t="shared" si="834"/>
        <v>0</v>
      </c>
      <c r="K899" s="20">
        <f t="shared" si="835"/>
        <v>0</v>
      </c>
      <c r="L899" s="20">
        <f t="shared" si="836"/>
        <v>0</v>
      </c>
      <c r="M899" s="31" t="s">
        <v>2884</v>
      </c>
      <c r="N899" s="5"/>
      <c r="Z899" s="36">
        <f t="shared" si="837"/>
        <v>0</v>
      </c>
      <c r="AB899" s="36">
        <f t="shared" si="838"/>
        <v>0</v>
      </c>
      <c r="AC899" s="36">
        <f t="shared" si="839"/>
        <v>0</v>
      </c>
      <c r="AD899" s="36">
        <f t="shared" si="840"/>
        <v>0</v>
      </c>
      <c r="AE899" s="36">
        <f t="shared" si="841"/>
        <v>0</v>
      </c>
      <c r="AF899" s="36">
        <f t="shared" si="842"/>
        <v>0</v>
      </c>
      <c r="AG899" s="36">
        <f t="shared" si="843"/>
        <v>0</v>
      </c>
      <c r="AH899" s="36">
        <f t="shared" si="844"/>
        <v>0</v>
      </c>
      <c r="AI899" s="35" t="s">
        <v>2895</v>
      </c>
      <c r="AJ899" s="20">
        <f t="shared" si="845"/>
        <v>0</v>
      </c>
      <c r="AK899" s="20">
        <f t="shared" si="846"/>
        <v>0</v>
      </c>
      <c r="AL899" s="20">
        <f t="shared" si="847"/>
        <v>0</v>
      </c>
      <c r="AN899" s="36">
        <v>21</v>
      </c>
      <c r="AO899" s="36">
        <f t="shared" si="856"/>
        <v>0</v>
      </c>
      <c r="AP899" s="36">
        <f t="shared" si="857"/>
        <v>0</v>
      </c>
      <c r="AQ899" s="37" t="s">
        <v>7</v>
      </c>
      <c r="AV899" s="36">
        <f t="shared" si="848"/>
        <v>0</v>
      </c>
      <c r="AW899" s="36">
        <f t="shared" si="849"/>
        <v>0</v>
      </c>
      <c r="AX899" s="36">
        <f t="shared" si="850"/>
        <v>0</v>
      </c>
      <c r="AY899" s="39" t="s">
        <v>2941</v>
      </c>
      <c r="AZ899" s="39" t="s">
        <v>2961</v>
      </c>
      <c r="BA899" s="35" t="s">
        <v>2968</v>
      </c>
      <c r="BC899" s="36">
        <f t="shared" si="851"/>
        <v>0</v>
      </c>
      <c r="BD899" s="36">
        <f t="shared" si="852"/>
        <v>0</v>
      </c>
      <c r="BE899" s="36">
        <v>0</v>
      </c>
      <c r="BF899" s="36">
        <f>899</f>
        <v>899</v>
      </c>
      <c r="BH899" s="20">
        <f t="shared" si="853"/>
        <v>0</v>
      </c>
      <c r="BI899" s="20">
        <f t="shared" si="854"/>
        <v>0</v>
      </c>
      <c r="BJ899" s="20">
        <f t="shared" si="855"/>
        <v>0</v>
      </c>
      <c r="BK899" s="20" t="s">
        <v>2978</v>
      </c>
      <c r="BL899" s="36">
        <v>96</v>
      </c>
    </row>
    <row r="900" spans="1:64" x14ac:dyDescent="0.2">
      <c r="A900" s="4" t="s">
        <v>776</v>
      </c>
      <c r="B900" s="13" t="s">
        <v>1672</v>
      </c>
      <c r="C900" s="174" t="s">
        <v>2675</v>
      </c>
      <c r="D900" s="175"/>
      <c r="E900" s="175"/>
      <c r="F900" s="175"/>
      <c r="G900" s="13" t="s">
        <v>2852</v>
      </c>
      <c r="H900" s="82">
        <v>5</v>
      </c>
      <c r="I900" s="109">
        <v>0</v>
      </c>
      <c r="J900" s="20">
        <f t="shared" si="834"/>
        <v>0</v>
      </c>
      <c r="K900" s="20">
        <f t="shared" si="835"/>
        <v>0</v>
      </c>
      <c r="L900" s="20">
        <f t="shared" si="836"/>
        <v>0</v>
      </c>
      <c r="M900" s="31" t="s">
        <v>2884</v>
      </c>
      <c r="N900" s="5"/>
      <c r="Z900" s="36">
        <f t="shared" si="837"/>
        <v>0</v>
      </c>
      <c r="AB900" s="36">
        <f t="shared" si="838"/>
        <v>0</v>
      </c>
      <c r="AC900" s="36">
        <f t="shared" si="839"/>
        <v>0</v>
      </c>
      <c r="AD900" s="36">
        <f t="shared" si="840"/>
        <v>0</v>
      </c>
      <c r="AE900" s="36">
        <f t="shared" si="841"/>
        <v>0</v>
      </c>
      <c r="AF900" s="36">
        <f t="shared" si="842"/>
        <v>0</v>
      </c>
      <c r="AG900" s="36">
        <f t="shared" si="843"/>
        <v>0</v>
      </c>
      <c r="AH900" s="36">
        <f t="shared" si="844"/>
        <v>0</v>
      </c>
      <c r="AI900" s="35" t="s">
        <v>2895</v>
      </c>
      <c r="AJ900" s="20">
        <f t="shared" si="845"/>
        <v>0</v>
      </c>
      <c r="AK900" s="20">
        <f t="shared" si="846"/>
        <v>0</v>
      </c>
      <c r="AL900" s="20">
        <f t="shared" si="847"/>
        <v>0</v>
      </c>
      <c r="AN900" s="36">
        <v>21</v>
      </c>
      <c r="AO900" s="36">
        <f t="shared" si="856"/>
        <v>0</v>
      </c>
      <c r="AP900" s="36">
        <f t="shared" si="857"/>
        <v>0</v>
      </c>
      <c r="AQ900" s="37" t="s">
        <v>7</v>
      </c>
      <c r="AV900" s="36">
        <f t="shared" si="848"/>
        <v>0</v>
      </c>
      <c r="AW900" s="36">
        <f t="shared" si="849"/>
        <v>0</v>
      </c>
      <c r="AX900" s="36">
        <f t="shared" si="850"/>
        <v>0</v>
      </c>
      <c r="AY900" s="39" t="s">
        <v>2941</v>
      </c>
      <c r="AZ900" s="39" t="s">
        <v>2961</v>
      </c>
      <c r="BA900" s="35" t="s">
        <v>2968</v>
      </c>
      <c r="BC900" s="36">
        <f t="shared" si="851"/>
        <v>0</v>
      </c>
      <c r="BD900" s="36">
        <f t="shared" si="852"/>
        <v>0</v>
      </c>
      <c r="BE900" s="36">
        <v>0</v>
      </c>
      <c r="BF900" s="36">
        <f>900</f>
        <v>900</v>
      </c>
      <c r="BH900" s="20">
        <f t="shared" si="853"/>
        <v>0</v>
      </c>
      <c r="BI900" s="20">
        <f t="shared" si="854"/>
        <v>0</v>
      </c>
      <c r="BJ900" s="20">
        <f t="shared" si="855"/>
        <v>0</v>
      </c>
      <c r="BK900" s="20" t="s">
        <v>2978</v>
      </c>
      <c r="BL900" s="36">
        <v>96</v>
      </c>
    </row>
    <row r="901" spans="1:64" x14ac:dyDescent="0.2">
      <c r="A901" s="4" t="s">
        <v>777</v>
      </c>
      <c r="B901" s="13" t="s">
        <v>1673</v>
      </c>
      <c r="C901" s="174" t="s">
        <v>2676</v>
      </c>
      <c r="D901" s="175"/>
      <c r="E901" s="175"/>
      <c r="F901" s="175"/>
      <c r="G901" s="13" t="s">
        <v>2852</v>
      </c>
      <c r="H901" s="82">
        <v>8</v>
      </c>
      <c r="I901" s="109">
        <v>0</v>
      </c>
      <c r="J901" s="20">
        <f t="shared" si="834"/>
        <v>0</v>
      </c>
      <c r="K901" s="20">
        <f t="shared" si="835"/>
        <v>0</v>
      </c>
      <c r="L901" s="20">
        <f t="shared" si="836"/>
        <v>0</v>
      </c>
      <c r="M901" s="31" t="s">
        <v>2884</v>
      </c>
      <c r="N901" s="5"/>
      <c r="Z901" s="36">
        <f t="shared" si="837"/>
        <v>0</v>
      </c>
      <c r="AB901" s="36">
        <f t="shared" si="838"/>
        <v>0</v>
      </c>
      <c r="AC901" s="36">
        <f t="shared" si="839"/>
        <v>0</v>
      </c>
      <c r="AD901" s="36">
        <f t="shared" si="840"/>
        <v>0</v>
      </c>
      <c r="AE901" s="36">
        <f t="shared" si="841"/>
        <v>0</v>
      </c>
      <c r="AF901" s="36">
        <f t="shared" si="842"/>
        <v>0</v>
      </c>
      <c r="AG901" s="36">
        <f t="shared" si="843"/>
        <v>0</v>
      </c>
      <c r="AH901" s="36">
        <f t="shared" si="844"/>
        <v>0</v>
      </c>
      <c r="AI901" s="35" t="s">
        <v>2895</v>
      </c>
      <c r="AJ901" s="20">
        <f t="shared" si="845"/>
        <v>0</v>
      </c>
      <c r="AK901" s="20">
        <f t="shared" si="846"/>
        <v>0</v>
      </c>
      <c r="AL901" s="20">
        <f t="shared" si="847"/>
        <v>0</v>
      </c>
      <c r="AN901" s="36">
        <v>21</v>
      </c>
      <c r="AO901" s="36">
        <f t="shared" si="856"/>
        <v>0</v>
      </c>
      <c r="AP901" s="36">
        <f t="shared" si="857"/>
        <v>0</v>
      </c>
      <c r="AQ901" s="37" t="s">
        <v>7</v>
      </c>
      <c r="AV901" s="36">
        <f t="shared" si="848"/>
        <v>0</v>
      </c>
      <c r="AW901" s="36">
        <f t="shared" si="849"/>
        <v>0</v>
      </c>
      <c r="AX901" s="36">
        <f t="shared" si="850"/>
        <v>0</v>
      </c>
      <c r="AY901" s="39" t="s">
        <v>2941</v>
      </c>
      <c r="AZ901" s="39" t="s">
        <v>2961</v>
      </c>
      <c r="BA901" s="35" t="s">
        <v>2968</v>
      </c>
      <c r="BC901" s="36">
        <f t="shared" si="851"/>
        <v>0</v>
      </c>
      <c r="BD901" s="36">
        <f t="shared" si="852"/>
        <v>0</v>
      </c>
      <c r="BE901" s="36">
        <v>0</v>
      </c>
      <c r="BF901" s="36">
        <f>901</f>
        <v>901</v>
      </c>
      <c r="BH901" s="20">
        <f t="shared" si="853"/>
        <v>0</v>
      </c>
      <c r="BI901" s="20">
        <f t="shared" si="854"/>
        <v>0</v>
      </c>
      <c r="BJ901" s="20">
        <f t="shared" si="855"/>
        <v>0</v>
      </c>
      <c r="BK901" s="20" t="s">
        <v>2978</v>
      </c>
      <c r="BL901" s="36">
        <v>96</v>
      </c>
    </row>
    <row r="902" spans="1:64" x14ac:dyDescent="0.2">
      <c r="A902" s="4" t="s">
        <v>778</v>
      </c>
      <c r="B902" s="13" t="s">
        <v>1674</v>
      </c>
      <c r="C902" s="174" t="s">
        <v>2677</v>
      </c>
      <c r="D902" s="175"/>
      <c r="E902" s="175"/>
      <c r="F902" s="175"/>
      <c r="G902" s="13" t="s">
        <v>2852</v>
      </c>
      <c r="H902" s="82">
        <v>1</v>
      </c>
      <c r="I902" s="109">
        <v>0</v>
      </c>
      <c r="J902" s="20">
        <f t="shared" si="834"/>
        <v>0</v>
      </c>
      <c r="K902" s="20">
        <f t="shared" si="835"/>
        <v>0</v>
      </c>
      <c r="L902" s="20">
        <f t="shared" si="836"/>
        <v>0</v>
      </c>
      <c r="M902" s="31" t="s">
        <v>2884</v>
      </c>
      <c r="N902" s="5"/>
      <c r="Z902" s="36">
        <f t="shared" si="837"/>
        <v>0</v>
      </c>
      <c r="AB902" s="36">
        <f t="shared" si="838"/>
        <v>0</v>
      </c>
      <c r="AC902" s="36">
        <f t="shared" si="839"/>
        <v>0</v>
      </c>
      <c r="AD902" s="36">
        <f t="shared" si="840"/>
        <v>0</v>
      </c>
      <c r="AE902" s="36">
        <f t="shared" si="841"/>
        <v>0</v>
      </c>
      <c r="AF902" s="36">
        <f t="shared" si="842"/>
        <v>0</v>
      </c>
      <c r="AG902" s="36">
        <f t="shared" si="843"/>
        <v>0</v>
      </c>
      <c r="AH902" s="36">
        <f t="shared" si="844"/>
        <v>0</v>
      </c>
      <c r="AI902" s="35" t="s">
        <v>2895</v>
      </c>
      <c r="AJ902" s="20">
        <f t="shared" si="845"/>
        <v>0</v>
      </c>
      <c r="AK902" s="20">
        <f t="shared" si="846"/>
        <v>0</v>
      </c>
      <c r="AL902" s="20">
        <f t="shared" si="847"/>
        <v>0</v>
      </c>
      <c r="AN902" s="36">
        <v>21</v>
      </c>
      <c r="AO902" s="36">
        <f t="shared" si="856"/>
        <v>0</v>
      </c>
      <c r="AP902" s="36">
        <f t="shared" si="857"/>
        <v>0</v>
      </c>
      <c r="AQ902" s="37" t="s">
        <v>7</v>
      </c>
      <c r="AV902" s="36">
        <f t="shared" si="848"/>
        <v>0</v>
      </c>
      <c r="AW902" s="36">
        <f t="shared" si="849"/>
        <v>0</v>
      </c>
      <c r="AX902" s="36">
        <f t="shared" si="850"/>
        <v>0</v>
      </c>
      <c r="AY902" s="39" t="s">
        <v>2941</v>
      </c>
      <c r="AZ902" s="39" t="s">
        <v>2961</v>
      </c>
      <c r="BA902" s="35" t="s">
        <v>2968</v>
      </c>
      <c r="BC902" s="36">
        <f t="shared" si="851"/>
        <v>0</v>
      </c>
      <c r="BD902" s="36">
        <f t="shared" si="852"/>
        <v>0</v>
      </c>
      <c r="BE902" s="36">
        <v>0</v>
      </c>
      <c r="BF902" s="36">
        <f>902</f>
        <v>902</v>
      </c>
      <c r="BH902" s="20">
        <f t="shared" si="853"/>
        <v>0</v>
      </c>
      <c r="BI902" s="20">
        <f t="shared" si="854"/>
        <v>0</v>
      </c>
      <c r="BJ902" s="20">
        <f t="shared" si="855"/>
        <v>0</v>
      </c>
      <c r="BK902" s="20" t="s">
        <v>2978</v>
      </c>
      <c r="BL902" s="36">
        <v>96</v>
      </c>
    </row>
    <row r="903" spans="1:64" x14ac:dyDescent="0.2">
      <c r="A903" s="4" t="s">
        <v>779</v>
      </c>
      <c r="B903" s="13" t="s">
        <v>1675</v>
      </c>
      <c r="C903" s="174" t="s">
        <v>2678</v>
      </c>
      <c r="D903" s="175"/>
      <c r="E903" s="175"/>
      <c r="F903" s="175"/>
      <c r="G903" s="13" t="s">
        <v>2852</v>
      </c>
      <c r="H903" s="82">
        <v>1</v>
      </c>
      <c r="I903" s="109">
        <v>0</v>
      </c>
      <c r="J903" s="20">
        <f t="shared" si="834"/>
        <v>0</v>
      </c>
      <c r="K903" s="20">
        <f t="shared" si="835"/>
        <v>0</v>
      </c>
      <c r="L903" s="20">
        <f t="shared" si="836"/>
        <v>0</v>
      </c>
      <c r="M903" s="31" t="s">
        <v>2884</v>
      </c>
      <c r="N903" s="5"/>
      <c r="Z903" s="36">
        <f t="shared" si="837"/>
        <v>0</v>
      </c>
      <c r="AB903" s="36">
        <f t="shared" si="838"/>
        <v>0</v>
      </c>
      <c r="AC903" s="36">
        <f t="shared" si="839"/>
        <v>0</v>
      </c>
      <c r="AD903" s="36">
        <f t="shared" si="840"/>
        <v>0</v>
      </c>
      <c r="AE903" s="36">
        <f t="shared" si="841"/>
        <v>0</v>
      </c>
      <c r="AF903" s="36">
        <f t="shared" si="842"/>
        <v>0</v>
      </c>
      <c r="AG903" s="36">
        <f t="shared" si="843"/>
        <v>0</v>
      </c>
      <c r="AH903" s="36">
        <f t="shared" si="844"/>
        <v>0</v>
      </c>
      <c r="AI903" s="35" t="s">
        <v>2895</v>
      </c>
      <c r="AJ903" s="20">
        <f t="shared" si="845"/>
        <v>0</v>
      </c>
      <c r="AK903" s="20">
        <f t="shared" si="846"/>
        <v>0</v>
      </c>
      <c r="AL903" s="20">
        <f t="shared" si="847"/>
        <v>0</v>
      </c>
      <c r="AN903" s="36">
        <v>21</v>
      </c>
      <c r="AO903" s="36">
        <f t="shared" si="856"/>
        <v>0</v>
      </c>
      <c r="AP903" s="36">
        <f t="shared" si="857"/>
        <v>0</v>
      </c>
      <c r="AQ903" s="37" t="s">
        <v>7</v>
      </c>
      <c r="AV903" s="36">
        <f t="shared" si="848"/>
        <v>0</v>
      </c>
      <c r="AW903" s="36">
        <f t="shared" si="849"/>
        <v>0</v>
      </c>
      <c r="AX903" s="36">
        <f t="shared" si="850"/>
        <v>0</v>
      </c>
      <c r="AY903" s="39" t="s">
        <v>2941</v>
      </c>
      <c r="AZ903" s="39" t="s">
        <v>2961</v>
      </c>
      <c r="BA903" s="35" t="s">
        <v>2968</v>
      </c>
      <c r="BC903" s="36">
        <f t="shared" si="851"/>
        <v>0</v>
      </c>
      <c r="BD903" s="36">
        <f t="shared" si="852"/>
        <v>0</v>
      </c>
      <c r="BE903" s="36">
        <v>0</v>
      </c>
      <c r="BF903" s="36">
        <f>903</f>
        <v>903</v>
      </c>
      <c r="BH903" s="20">
        <f t="shared" si="853"/>
        <v>0</v>
      </c>
      <c r="BI903" s="20">
        <f t="shared" si="854"/>
        <v>0</v>
      </c>
      <c r="BJ903" s="20">
        <f t="shared" si="855"/>
        <v>0</v>
      </c>
      <c r="BK903" s="20" t="s">
        <v>2978</v>
      </c>
      <c r="BL903" s="36">
        <v>96</v>
      </c>
    </row>
    <row r="904" spans="1:64" x14ac:dyDescent="0.2">
      <c r="A904" s="4" t="s">
        <v>780</v>
      </c>
      <c r="B904" s="13" t="s">
        <v>1676</v>
      </c>
      <c r="C904" s="174" t="s">
        <v>2679</v>
      </c>
      <c r="D904" s="175"/>
      <c r="E904" s="175"/>
      <c r="F904" s="175"/>
      <c r="G904" s="13" t="s">
        <v>2852</v>
      </c>
      <c r="H904" s="82">
        <v>4</v>
      </c>
      <c r="I904" s="109">
        <v>0</v>
      </c>
      <c r="J904" s="20">
        <f t="shared" si="834"/>
        <v>0</v>
      </c>
      <c r="K904" s="20">
        <f t="shared" si="835"/>
        <v>0</v>
      </c>
      <c r="L904" s="20">
        <f t="shared" si="836"/>
        <v>0</v>
      </c>
      <c r="M904" s="31" t="s">
        <v>2884</v>
      </c>
      <c r="N904" s="5"/>
      <c r="Z904" s="36">
        <f t="shared" si="837"/>
        <v>0</v>
      </c>
      <c r="AB904" s="36">
        <f t="shared" si="838"/>
        <v>0</v>
      </c>
      <c r="AC904" s="36">
        <f t="shared" si="839"/>
        <v>0</v>
      </c>
      <c r="AD904" s="36">
        <f t="shared" si="840"/>
        <v>0</v>
      </c>
      <c r="AE904" s="36">
        <f t="shared" si="841"/>
        <v>0</v>
      </c>
      <c r="AF904" s="36">
        <f t="shared" si="842"/>
        <v>0</v>
      </c>
      <c r="AG904" s="36">
        <f t="shared" si="843"/>
        <v>0</v>
      </c>
      <c r="AH904" s="36">
        <f t="shared" si="844"/>
        <v>0</v>
      </c>
      <c r="AI904" s="35" t="s">
        <v>2895</v>
      </c>
      <c r="AJ904" s="20">
        <f t="shared" si="845"/>
        <v>0</v>
      </c>
      <c r="AK904" s="20">
        <f t="shared" si="846"/>
        <v>0</v>
      </c>
      <c r="AL904" s="20">
        <f t="shared" si="847"/>
        <v>0</v>
      </c>
      <c r="AN904" s="36">
        <v>21</v>
      </c>
      <c r="AO904" s="36">
        <f t="shared" si="856"/>
        <v>0</v>
      </c>
      <c r="AP904" s="36">
        <f t="shared" si="857"/>
        <v>0</v>
      </c>
      <c r="AQ904" s="37" t="s">
        <v>7</v>
      </c>
      <c r="AV904" s="36">
        <f t="shared" si="848"/>
        <v>0</v>
      </c>
      <c r="AW904" s="36">
        <f t="shared" si="849"/>
        <v>0</v>
      </c>
      <c r="AX904" s="36">
        <f t="shared" si="850"/>
        <v>0</v>
      </c>
      <c r="AY904" s="39" t="s">
        <v>2941</v>
      </c>
      <c r="AZ904" s="39" t="s">
        <v>2961</v>
      </c>
      <c r="BA904" s="35" t="s">
        <v>2968</v>
      </c>
      <c r="BC904" s="36">
        <f t="shared" si="851"/>
        <v>0</v>
      </c>
      <c r="BD904" s="36">
        <f t="shared" si="852"/>
        <v>0</v>
      </c>
      <c r="BE904" s="36">
        <v>0</v>
      </c>
      <c r="BF904" s="36">
        <f>904</f>
        <v>904</v>
      </c>
      <c r="BH904" s="20">
        <f t="shared" si="853"/>
        <v>0</v>
      </c>
      <c r="BI904" s="20">
        <f t="shared" si="854"/>
        <v>0</v>
      </c>
      <c r="BJ904" s="20">
        <f t="shared" si="855"/>
        <v>0</v>
      </c>
      <c r="BK904" s="20" t="s">
        <v>2978</v>
      </c>
      <c r="BL904" s="36">
        <v>96</v>
      </c>
    </row>
    <row r="905" spans="1:64" x14ac:dyDescent="0.2">
      <c r="A905" s="4" t="s">
        <v>781</v>
      </c>
      <c r="B905" s="13" t="s">
        <v>1676</v>
      </c>
      <c r="C905" s="174" t="s">
        <v>2680</v>
      </c>
      <c r="D905" s="175"/>
      <c r="E905" s="175"/>
      <c r="F905" s="175"/>
      <c r="G905" s="13" t="s">
        <v>2852</v>
      </c>
      <c r="H905" s="82">
        <v>12</v>
      </c>
      <c r="I905" s="109">
        <v>0</v>
      </c>
      <c r="J905" s="20">
        <f t="shared" si="834"/>
        <v>0</v>
      </c>
      <c r="K905" s="20">
        <f t="shared" si="835"/>
        <v>0</v>
      </c>
      <c r="L905" s="20">
        <f t="shared" si="836"/>
        <v>0</v>
      </c>
      <c r="M905" s="31" t="s">
        <v>2884</v>
      </c>
      <c r="N905" s="5"/>
      <c r="Z905" s="36">
        <f t="shared" si="837"/>
        <v>0</v>
      </c>
      <c r="AB905" s="36">
        <f t="shared" si="838"/>
        <v>0</v>
      </c>
      <c r="AC905" s="36">
        <f t="shared" si="839"/>
        <v>0</v>
      </c>
      <c r="AD905" s="36">
        <f t="shared" si="840"/>
        <v>0</v>
      </c>
      <c r="AE905" s="36">
        <f t="shared" si="841"/>
        <v>0</v>
      </c>
      <c r="AF905" s="36">
        <f t="shared" si="842"/>
        <v>0</v>
      </c>
      <c r="AG905" s="36">
        <f t="shared" si="843"/>
        <v>0</v>
      </c>
      <c r="AH905" s="36">
        <f t="shared" si="844"/>
        <v>0</v>
      </c>
      <c r="AI905" s="35" t="s">
        <v>2895</v>
      </c>
      <c r="AJ905" s="20">
        <f t="shared" si="845"/>
        <v>0</v>
      </c>
      <c r="AK905" s="20">
        <f t="shared" si="846"/>
        <v>0</v>
      </c>
      <c r="AL905" s="20">
        <f t="shared" si="847"/>
        <v>0</v>
      </c>
      <c r="AN905" s="36">
        <v>21</v>
      </c>
      <c r="AO905" s="36">
        <f t="shared" si="856"/>
        <v>0</v>
      </c>
      <c r="AP905" s="36">
        <f t="shared" si="857"/>
        <v>0</v>
      </c>
      <c r="AQ905" s="37" t="s">
        <v>7</v>
      </c>
      <c r="AV905" s="36">
        <f t="shared" si="848"/>
        <v>0</v>
      </c>
      <c r="AW905" s="36">
        <f t="shared" si="849"/>
        <v>0</v>
      </c>
      <c r="AX905" s="36">
        <f t="shared" si="850"/>
        <v>0</v>
      </c>
      <c r="AY905" s="39" t="s">
        <v>2941</v>
      </c>
      <c r="AZ905" s="39" t="s">
        <v>2961</v>
      </c>
      <c r="BA905" s="35" t="s">
        <v>2968</v>
      </c>
      <c r="BC905" s="36">
        <f t="shared" si="851"/>
        <v>0</v>
      </c>
      <c r="BD905" s="36">
        <f t="shared" si="852"/>
        <v>0</v>
      </c>
      <c r="BE905" s="36">
        <v>0</v>
      </c>
      <c r="BF905" s="36">
        <f>905</f>
        <v>905</v>
      </c>
      <c r="BH905" s="20">
        <f t="shared" si="853"/>
        <v>0</v>
      </c>
      <c r="BI905" s="20">
        <f t="shared" si="854"/>
        <v>0</v>
      </c>
      <c r="BJ905" s="20">
        <f t="shared" si="855"/>
        <v>0</v>
      </c>
      <c r="BK905" s="20" t="s">
        <v>2978</v>
      </c>
      <c r="BL905" s="36">
        <v>96</v>
      </c>
    </row>
    <row r="906" spans="1:64" x14ac:dyDescent="0.2">
      <c r="A906" s="4" t="s">
        <v>782</v>
      </c>
      <c r="B906" s="13" t="s">
        <v>1676</v>
      </c>
      <c r="C906" s="174" t="s">
        <v>2681</v>
      </c>
      <c r="D906" s="175"/>
      <c r="E906" s="175"/>
      <c r="F906" s="175"/>
      <c r="G906" s="13" t="s">
        <v>2852</v>
      </c>
      <c r="H906" s="82">
        <v>1</v>
      </c>
      <c r="I906" s="109">
        <v>0</v>
      </c>
      <c r="J906" s="20">
        <f t="shared" si="834"/>
        <v>0</v>
      </c>
      <c r="K906" s="20">
        <f t="shared" si="835"/>
        <v>0</v>
      </c>
      <c r="L906" s="20">
        <f t="shared" si="836"/>
        <v>0</v>
      </c>
      <c r="M906" s="31" t="s">
        <v>2884</v>
      </c>
      <c r="N906" s="5"/>
      <c r="Z906" s="36">
        <f t="shared" si="837"/>
        <v>0</v>
      </c>
      <c r="AB906" s="36">
        <f t="shared" si="838"/>
        <v>0</v>
      </c>
      <c r="AC906" s="36">
        <f t="shared" si="839"/>
        <v>0</v>
      </c>
      <c r="AD906" s="36">
        <f t="shared" si="840"/>
        <v>0</v>
      </c>
      <c r="AE906" s="36">
        <f t="shared" si="841"/>
        <v>0</v>
      </c>
      <c r="AF906" s="36">
        <f t="shared" si="842"/>
        <v>0</v>
      </c>
      <c r="AG906" s="36">
        <f t="shared" si="843"/>
        <v>0</v>
      </c>
      <c r="AH906" s="36">
        <f t="shared" si="844"/>
        <v>0</v>
      </c>
      <c r="AI906" s="35" t="s">
        <v>2895</v>
      </c>
      <c r="AJ906" s="20">
        <f t="shared" si="845"/>
        <v>0</v>
      </c>
      <c r="AK906" s="20">
        <f t="shared" si="846"/>
        <v>0</v>
      </c>
      <c r="AL906" s="20">
        <f t="shared" si="847"/>
        <v>0</v>
      </c>
      <c r="AN906" s="36">
        <v>21</v>
      </c>
      <c r="AO906" s="36">
        <f t="shared" si="856"/>
        <v>0</v>
      </c>
      <c r="AP906" s="36">
        <f t="shared" si="857"/>
        <v>0</v>
      </c>
      <c r="AQ906" s="37" t="s">
        <v>7</v>
      </c>
      <c r="AV906" s="36">
        <f t="shared" si="848"/>
        <v>0</v>
      </c>
      <c r="AW906" s="36">
        <f t="shared" si="849"/>
        <v>0</v>
      </c>
      <c r="AX906" s="36">
        <f t="shared" si="850"/>
        <v>0</v>
      </c>
      <c r="AY906" s="39" t="s">
        <v>2941</v>
      </c>
      <c r="AZ906" s="39" t="s">
        <v>2961</v>
      </c>
      <c r="BA906" s="35" t="s">
        <v>2968</v>
      </c>
      <c r="BC906" s="36">
        <f t="shared" si="851"/>
        <v>0</v>
      </c>
      <c r="BD906" s="36">
        <f t="shared" si="852"/>
        <v>0</v>
      </c>
      <c r="BE906" s="36">
        <v>0</v>
      </c>
      <c r="BF906" s="36">
        <f>906</f>
        <v>906</v>
      </c>
      <c r="BH906" s="20">
        <f t="shared" si="853"/>
        <v>0</v>
      </c>
      <c r="BI906" s="20">
        <f t="shared" si="854"/>
        <v>0</v>
      </c>
      <c r="BJ906" s="20">
        <f t="shared" si="855"/>
        <v>0</v>
      </c>
      <c r="BK906" s="20" t="s">
        <v>2978</v>
      </c>
      <c r="BL906" s="36">
        <v>96</v>
      </c>
    </row>
    <row r="907" spans="1:64" x14ac:dyDescent="0.2">
      <c r="A907" s="4" t="s">
        <v>783</v>
      </c>
      <c r="B907" s="13" t="s">
        <v>1677</v>
      </c>
      <c r="C907" s="174" t="s">
        <v>2682</v>
      </c>
      <c r="D907" s="175"/>
      <c r="E907" s="175"/>
      <c r="F907" s="175"/>
      <c r="G907" s="13" t="s">
        <v>2867</v>
      </c>
      <c r="H907" s="82">
        <v>8</v>
      </c>
      <c r="I907" s="109">
        <v>0</v>
      </c>
      <c r="J907" s="20">
        <f t="shared" si="834"/>
        <v>0</v>
      </c>
      <c r="K907" s="20">
        <f t="shared" si="835"/>
        <v>0</v>
      </c>
      <c r="L907" s="20">
        <f t="shared" si="836"/>
        <v>0</v>
      </c>
      <c r="M907" s="31" t="s">
        <v>2884</v>
      </c>
      <c r="N907" s="5"/>
      <c r="Z907" s="36">
        <f t="shared" si="837"/>
        <v>0</v>
      </c>
      <c r="AB907" s="36">
        <f t="shared" si="838"/>
        <v>0</v>
      </c>
      <c r="AC907" s="36">
        <f t="shared" si="839"/>
        <v>0</v>
      </c>
      <c r="AD907" s="36">
        <f t="shared" si="840"/>
        <v>0</v>
      </c>
      <c r="AE907" s="36">
        <f t="shared" si="841"/>
        <v>0</v>
      </c>
      <c r="AF907" s="36">
        <f t="shared" si="842"/>
        <v>0</v>
      </c>
      <c r="AG907" s="36">
        <f t="shared" si="843"/>
        <v>0</v>
      </c>
      <c r="AH907" s="36">
        <f t="shared" si="844"/>
        <v>0</v>
      </c>
      <c r="AI907" s="35" t="s">
        <v>2895</v>
      </c>
      <c r="AJ907" s="20">
        <f t="shared" si="845"/>
        <v>0</v>
      </c>
      <c r="AK907" s="20">
        <f t="shared" si="846"/>
        <v>0</v>
      </c>
      <c r="AL907" s="20">
        <f t="shared" si="847"/>
        <v>0</v>
      </c>
      <c r="AN907" s="36">
        <v>21</v>
      </c>
      <c r="AO907" s="36">
        <f t="shared" si="856"/>
        <v>0</v>
      </c>
      <c r="AP907" s="36">
        <f t="shared" si="857"/>
        <v>0</v>
      </c>
      <c r="AQ907" s="37" t="s">
        <v>7</v>
      </c>
      <c r="AV907" s="36">
        <f t="shared" si="848"/>
        <v>0</v>
      </c>
      <c r="AW907" s="36">
        <f t="shared" si="849"/>
        <v>0</v>
      </c>
      <c r="AX907" s="36">
        <f t="shared" si="850"/>
        <v>0</v>
      </c>
      <c r="AY907" s="39" t="s">
        <v>2941</v>
      </c>
      <c r="AZ907" s="39" t="s">
        <v>2961</v>
      </c>
      <c r="BA907" s="35" t="s">
        <v>2968</v>
      </c>
      <c r="BC907" s="36">
        <f t="shared" si="851"/>
        <v>0</v>
      </c>
      <c r="BD907" s="36">
        <f t="shared" si="852"/>
        <v>0</v>
      </c>
      <c r="BE907" s="36">
        <v>0</v>
      </c>
      <c r="BF907" s="36">
        <f>907</f>
        <v>907</v>
      </c>
      <c r="BH907" s="20">
        <f t="shared" si="853"/>
        <v>0</v>
      </c>
      <c r="BI907" s="20">
        <f t="shared" si="854"/>
        <v>0</v>
      </c>
      <c r="BJ907" s="20">
        <f t="shared" si="855"/>
        <v>0</v>
      </c>
      <c r="BK907" s="20" t="s">
        <v>2978</v>
      </c>
      <c r="BL907" s="36">
        <v>96</v>
      </c>
    </row>
    <row r="908" spans="1:64" x14ac:dyDescent="0.2">
      <c r="A908" s="4" t="s">
        <v>784</v>
      </c>
      <c r="B908" s="13" t="s">
        <v>1678</v>
      </c>
      <c r="C908" s="174" t="s">
        <v>2683</v>
      </c>
      <c r="D908" s="175"/>
      <c r="E908" s="175"/>
      <c r="F908" s="175"/>
      <c r="G908" s="13" t="s">
        <v>2867</v>
      </c>
      <c r="H908" s="82">
        <v>12</v>
      </c>
      <c r="I908" s="109">
        <v>0</v>
      </c>
      <c r="J908" s="20">
        <f t="shared" si="834"/>
        <v>0</v>
      </c>
      <c r="K908" s="20">
        <f t="shared" si="835"/>
        <v>0</v>
      </c>
      <c r="L908" s="20">
        <f t="shared" si="836"/>
        <v>0</v>
      </c>
      <c r="M908" s="31" t="s">
        <v>2884</v>
      </c>
      <c r="N908" s="5"/>
      <c r="Z908" s="36">
        <f t="shared" si="837"/>
        <v>0</v>
      </c>
      <c r="AB908" s="36">
        <f t="shared" si="838"/>
        <v>0</v>
      </c>
      <c r="AC908" s="36">
        <f t="shared" si="839"/>
        <v>0</v>
      </c>
      <c r="AD908" s="36">
        <f t="shared" si="840"/>
        <v>0</v>
      </c>
      <c r="AE908" s="36">
        <f t="shared" si="841"/>
        <v>0</v>
      </c>
      <c r="AF908" s="36">
        <f t="shared" si="842"/>
        <v>0</v>
      </c>
      <c r="AG908" s="36">
        <f t="shared" si="843"/>
        <v>0</v>
      </c>
      <c r="AH908" s="36">
        <f t="shared" si="844"/>
        <v>0</v>
      </c>
      <c r="AI908" s="35" t="s">
        <v>2895</v>
      </c>
      <c r="AJ908" s="20">
        <f t="shared" si="845"/>
        <v>0</v>
      </c>
      <c r="AK908" s="20">
        <f t="shared" si="846"/>
        <v>0</v>
      </c>
      <c r="AL908" s="20">
        <f t="shared" si="847"/>
        <v>0</v>
      </c>
      <c r="AN908" s="36">
        <v>21</v>
      </c>
      <c r="AO908" s="36">
        <f t="shared" si="856"/>
        <v>0</v>
      </c>
      <c r="AP908" s="36">
        <f t="shared" si="857"/>
        <v>0</v>
      </c>
      <c r="AQ908" s="37" t="s">
        <v>7</v>
      </c>
      <c r="AV908" s="36">
        <f t="shared" si="848"/>
        <v>0</v>
      </c>
      <c r="AW908" s="36">
        <f t="shared" si="849"/>
        <v>0</v>
      </c>
      <c r="AX908" s="36">
        <f t="shared" si="850"/>
        <v>0</v>
      </c>
      <c r="AY908" s="39" t="s">
        <v>2941</v>
      </c>
      <c r="AZ908" s="39" t="s">
        <v>2961</v>
      </c>
      <c r="BA908" s="35" t="s">
        <v>2968</v>
      </c>
      <c r="BC908" s="36">
        <f t="shared" si="851"/>
        <v>0</v>
      </c>
      <c r="BD908" s="36">
        <f t="shared" si="852"/>
        <v>0</v>
      </c>
      <c r="BE908" s="36">
        <v>0</v>
      </c>
      <c r="BF908" s="36">
        <f>908</f>
        <v>908</v>
      </c>
      <c r="BH908" s="20">
        <f t="shared" si="853"/>
        <v>0</v>
      </c>
      <c r="BI908" s="20">
        <f t="shared" si="854"/>
        <v>0</v>
      </c>
      <c r="BJ908" s="20">
        <f t="shared" si="855"/>
        <v>0</v>
      </c>
      <c r="BK908" s="20" t="s">
        <v>2978</v>
      </c>
      <c r="BL908" s="36">
        <v>96</v>
      </c>
    </row>
    <row r="909" spans="1:64" x14ac:dyDescent="0.2">
      <c r="A909" s="4" t="s">
        <v>785</v>
      </c>
      <c r="B909" s="13" t="s">
        <v>1679</v>
      </c>
      <c r="C909" s="174" t="s">
        <v>2684</v>
      </c>
      <c r="D909" s="175"/>
      <c r="E909" s="175"/>
      <c r="F909" s="175"/>
      <c r="G909" s="13" t="s">
        <v>2852</v>
      </c>
      <c r="H909" s="82">
        <v>21</v>
      </c>
      <c r="I909" s="109">
        <v>0</v>
      </c>
      <c r="J909" s="20">
        <f t="shared" si="834"/>
        <v>0</v>
      </c>
      <c r="K909" s="20">
        <f t="shared" si="835"/>
        <v>0</v>
      </c>
      <c r="L909" s="20">
        <f t="shared" si="836"/>
        <v>0</v>
      </c>
      <c r="M909" s="31" t="s">
        <v>2884</v>
      </c>
      <c r="N909" s="5"/>
      <c r="Z909" s="36">
        <f t="shared" si="837"/>
        <v>0</v>
      </c>
      <c r="AB909" s="36">
        <f t="shared" si="838"/>
        <v>0</v>
      </c>
      <c r="AC909" s="36">
        <f t="shared" si="839"/>
        <v>0</v>
      </c>
      <c r="AD909" s="36">
        <f t="shared" si="840"/>
        <v>0</v>
      </c>
      <c r="AE909" s="36">
        <f t="shared" si="841"/>
        <v>0</v>
      </c>
      <c r="AF909" s="36">
        <f t="shared" si="842"/>
        <v>0</v>
      </c>
      <c r="AG909" s="36">
        <f t="shared" si="843"/>
        <v>0</v>
      </c>
      <c r="AH909" s="36">
        <f t="shared" si="844"/>
        <v>0</v>
      </c>
      <c r="AI909" s="35" t="s">
        <v>2895</v>
      </c>
      <c r="AJ909" s="20">
        <f t="shared" si="845"/>
        <v>0</v>
      </c>
      <c r="AK909" s="20">
        <f t="shared" si="846"/>
        <v>0</v>
      </c>
      <c r="AL909" s="20">
        <f t="shared" si="847"/>
        <v>0</v>
      </c>
      <c r="AN909" s="36">
        <v>21</v>
      </c>
      <c r="AO909" s="36">
        <f t="shared" si="856"/>
        <v>0</v>
      </c>
      <c r="AP909" s="36">
        <f t="shared" si="857"/>
        <v>0</v>
      </c>
      <c r="AQ909" s="37" t="s">
        <v>7</v>
      </c>
      <c r="AV909" s="36">
        <f t="shared" si="848"/>
        <v>0</v>
      </c>
      <c r="AW909" s="36">
        <f t="shared" si="849"/>
        <v>0</v>
      </c>
      <c r="AX909" s="36">
        <f t="shared" si="850"/>
        <v>0</v>
      </c>
      <c r="AY909" s="39" t="s">
        <v>2941</v>
      </c>
      <c r="AZ909" s="39" t="s">
        <v>2961</v>
      </c>
      <c r="BA909" s="35" t="s">
        <v>2968</v>
      </c>
      <c r="BC909" s="36">
        <f t="shared" si="851"/>
        <v>0</v>
      </c>
      <c r="BD909" s="36">
        <f t="shared" si="852"/>
        <v>0</v>
      </c>
      <c r="BE909" s="36">
        <v>0</v>
      </c>
      <c r="BF909" s="36">
        <f>909</f>
        <v>909</v>
      </c>
      <c r="BH909" s="20">
        <f t="shared" si="853"/>
        <v>0</v>
      </c>
      <c r="BI909" s="20">
        <f t="shared" si="854"/>
        <v>0</v>
      </c>
      <c r="BJ909" s="20">
        <f t="shared" si="855"/>
        <v>0</v>
      </c>
      <c r="BK909" s="20" t="s">
        <v>2978</v>
      </c>
      <c r="BL909" s="36">
        <v>96</v>
      </c>
    </row>
    <row r="910" spans="1:64" x14ac:dyDescent="0.2">
      <c r="A910" s="4" t="s">
        <v>786</v>
      </c>
      <c r="B910" s="13" t="s">
        <v>1680</v>
      </c>
      <c r="C910" s="174" t="s">
        <v>2685</v>
      </c>
      <c r="D910" s="175"/>
      <c r="E910" s="175"/>
      <c r="F910" s="175"/>
      <c r="G910" s="13" t="s">
        <v>2867</v>
      </c>
      <c r="H910" s="82">
        <v>32</v>
      </c>
      <c r="I910" s="109">
        <v>0</v>
      </c>
      <c r="J910" s="20">
        <f t="shared" si="834"/>
        <v>0</v>
      </c>
      <c r="K910" s="20">
        <f t="shared" si="835"/>
        <v>0</v>
      </c>
      <c r="L910" s="20">
        <f t="shared" si="836"/>
        <v>0</v>
      </c>
      <c r="M910" s="31" t="s">
        <v>2884</v>
      </c>
      <c r="N910" s="5"/>
      <c r="Z910" s="36">
        <f t="shared" si="837"/>
        <v>0</v>
      </c>
      <c r="AB910" s="36">
        <f t="shared" si="838"/>
        <v>0</v>
      </c>
      <c r="AC910" s="36">
        <f t="shared" si="839"/>
        <v>0</v>
      </c>
      <c r="AD910" s="36">
        <f t="shared" si="840"/>
        <v>0</v>
      </c>
      <c r="AE910" s="36">
        <f t="shared" si="841"/>
        <v>0</v>
      </c>
      <c r="AF910" s="36">
        <f t="shared" si="842"/>
        <v>0</v>
      </c>
      <c r="AG910" s="36">
        <f t="shared" si="843"/>
        <v>0</v>
      </c>
      <c r="AH910" s="36">
        <f t="shared" si="844"/>
        <v>0</v>
      </c>
      <c r="AI910" s="35" t="s">
        <v>2895</v>
      </c>
      <c r="AJ910" s="20">
        <f t="shared" si="845"/>
        <v>0</v>
      </c>
      <c r="AK910" s="20">
        <f t="shared" si="846"/>
        <v>0</v>
      </c>
      <c r="AL910" s="20">
        <f t="shared" si="847"/>
        <v>0</v>
      </c>
      <c r="AN910" s="36">
        <v>21</v>
      </c>
      <c r="AO910" s="36">
        <f t="shared" si="856"/>
        <v>0</v>
      </c>
      <c r="AP910" s="36">
        <f t="shared" si="857"/>
        <v>0</v>
      </c>
      <c r="AQ910" s="37" t="s">
        <v>7</v>
      </c>
      <c r="AV910" s="36">
        <f t="shared" si="848"/>
        <v>0</v>
      </c>
      <c r="AW910" s="36">
        <f t="shared" si="849"/>
        <v>0</v>
      </c>
      <c r="AX910" s="36">
        <f t="shared" si="850"/>
        <v>0</v>
      </c>
      <c r="AY910" s="39" t="s">
        <v>2941</v>
      </c>
      <c r="AZ910" s="39" t="s">
        <v>2961</v>
      </c>
      <c r="BA910" s="35" t="s">
        <v>2968</v>
      </c>
      <c r="BC910" s="36">
        <f t="shared" si="851"/>
        <v>0</v>
      </c>
      <c r="BD910" s="36">
        <f t="shared" si="852"/>
        <v>0</v>
      </c>
      <c r="BE910" s="36">
        <v>0</v>
      </c>
      <c r="BF910" s="36">
        <f>910</f>
        <v>910</v>
      </c>
      <c r="BH910" s="20">
        <f t="shared" si="853"/>
        <v>0</v>
      </c>
      <c r="BI910" s="20">
        <f t="shared" si="854"/>
        <v>0</v>
      </c>
      <c r="BJ910" s="20">
        <f t="shared" si="855"/>
        <v>0</v>
      </c>
      <c r="BK910" s="20" t="s">
        <v>2978</v>
      </c>
      <c r="BL910" s="36">
        <v>96</v>
      </c>
    </row>
    <row r="911" spans="1:64" x14ac:dyDescent="0.2">
      <c r="A911" s="4" t="s">
        <v>787</v>
      </c>
      <c r="B911" s="13" t="s">
        <v>1681</v>
      </c>
      <c r="C911" s="174" t="s">
        <v>2686</v>
      </c>
      <c r="D911" s="175"/>
      <c r="E911" s="175"/>
      <c r="F911" s="175"/>
      <c r="G911" s="13" t="s">
        <v>2855</v>
      </c>
      <c r="H911" s="82">
        <v>22.52</v>
      </c>
      <c r="I911" s="109">
        <v>0</v>
      </c>
      <c r="J911" s="20">
        <f t="shared" ref="J911:J917" si="858">H911*AO911</f>
        <v>0</v>
      </c>
      <c r="K911" s="20">
        <f t="shared" ref="K911:K917" si="859">H911*AP911</f>
        <v>0</v>
      </c>
      <c r="L911" s="20">
        <f t="shared" ref="L911:L917" si="860">H911*I911</f>
        <v>0</v>
      </c>
      <c r="M911" s="31" t="s">
        <v>2884</v>
      </c>
      <c r="N911" s="5"/>
      <c r="Z911" s="36">
        <f t="shared" ref="Z911:Z917" si="861">IF(AQ911="5",BJ911,0)</f>
        <v>0</v>
      </c>
      <c r="AB911" s="36">
        <f t="shared" ref="AB911:AB917" si="862">IF(AQ911="1",BH911,0)</f>
        <v>0</v>
      </c>
      <c r="AC911" s="36">
        <f t="shared" ref="AC911:AC917" si="863">IF(AQ911="1",BI911,0)</f>
        <v>0</v>
      </c>
      <c r="AD911" s="36">
        <f t="shared" ref="AD911:AD917" si="864">IF(AQ911="7",BH911,0)</f>
        <v>0</v>
      </c>
      <c r="AE911" s="36">
        <f t="shared" ref="AE911:AE917" si="865">IF(AQ911="7",BI911,0)</f>
        <v>0</v>
      </c>
      <c r="AF911" s="36">
        <f t="shared" ref="AF911:AF917" si="866">IF(AQ911="2",BH911,0)</f>
        <v>0</v>
      </c>
      <c r="AG911" s="36">
        <f t="shared" ref="AG911:AG917" si="867">IF(AQ911="2",BI911,0)</f>
        <v>0</v>
      </c>
      <c r="AH911" s="36">
        <f t="shared" ref="AH911:AH917" si="868">IF(AQ911="0",BJ911,0)</f>
        <v>0</v>
      </c>
      <c r="AI911" s="35" t="s">
        <v>2895</v>
      </c>
      <c r="AJ911" s="20">
        <f t="shared" ref="AJ911:AJ917" si="869">IF(AN911=0,L911,0)</f>
        <v>0</v>
      </c>
      <c r="AK911" s="20">
        <f t="shared" ref="AK911:AK917" si="870">IF(AN911=15,L911,0)</f>
        <v>0</v>
      </c>
      <c r="AL911" s="20">
        <f t="shared" ref="AL911:AL917" si="871">IF(AN911=21,L911,0)</f>
        <v>0</v>
      </c>
      <c r="AN911" s="36">
        <v>21</v>
      </c>
      <c r="AO911" s="36">
        <f t="shared" si="856"/>
        <v>0</v>
      </c>
      <c r="AP911" s="36">
        <f t="shared" si="857"/>
        <v>0</v>
      </c>
      <c r="AQ911" s="37" t="s">
        <v>7</v>
      </c>
      <c r="AV911" s="36">
        <f t="shared" ref="AV911:AV917" si="872">AW911+AX911</f>
        <v>0</v>
      </c>
      <c r="AW911" s="36">
        <f t="shared" ref="AW911:AW917" si="873">H911*AO911</f>
        <v>0</v>
      </c>
      <c r="AX911" s="36">
        <f t="shared" ref="AX911:AX917" si="874">H911*AP911</f>
        <v>0</v>
      </c>
      <c r="AY911" s="39" t="s">
        <v>2941</v>
      </c>
      <c r="AZ911" s="39" t="s">
        <v>2961</v>
      </c>
      <c r="BA911" s="35" t="s">
        <v>2968</v>
      </c>
      <c r="BC911" s="36">
        <f t="shared" ref="BC911:BC917" si="875">AW911+AX911</f>
        <v>0</v>
      </c>
      <c r="BD911" s="36">
        <f t="shared" ref="BD911:BD917" si="876">I911/(100-BE911)*100</f>
        <v>0</v>
      </c>
      <c r="BE911" s="36">
        <v>0</v>
      </c>
      <c r="BF911" s="36">
        <f>911</f>
        <v>911</v>
      </c>
      <c r="BH911" s="20">
        <f t="shared" ref="BH911:BH917" si="877">H911*AO911</f>
        <v>0</v>
      </c>
      <c r="BI911" s="20">
        <f t="shared" ref="BI911:BI917" si="878">H911*AP911</f>
        <v>0</v>
      </c>
      <c r="BJ911" s="20">
        <f t="shared" ref="BJ911:BJ917" si="879">H911*I911</f>
        <v>0</v>
      </c>
      <c r="BK911" s="20" t="s">
        <v>2978</v>
      </c>
      <c r="BL911" s="36">
        <v>96</v>
      </c>
    </row>
    <row r="912" spans="1:64" x14ac:dyDescent="0.2">
      <c r="A912" s="4" t="s">
        <v>788</v>
      </c>
      <c r="B912" s="13" t="s">
        <v>1682</v>
      </c>
      <c r="C912" s="174" t="s">
        <v>2687</v>
      </c>
      <c r="D912" s="175"/>
      <c r="E912" s="175"/>
      <c r="F912" s="175"/>
      <c r="G912" s="13" t="s">
        <v>2855</v>
      </c>
      <c r="H912" s="82">
        <v>43.39</v>
      </c>
      <c r="I912" s="109">
        <v>0</v>
      </c>
      <c r="J912" s="20">
        <f t="shared" si="858"/>
        <v>0</v>
      </c>
      <c r="K912" s="20">
        <f t="shared" si="859"/>
        <v>0</v>
      </c>
      <c r="L912" s="20">
        <f t="shared" si="860"/>
        <v>0</v>
      </c>
      <c r="M912" s="31" t="s">
        <v>2884</v>
      </c>
      <c r="N912" s="5"/>
      <c r="Z912" s="36">
        <f t="shared" si="861"/>
        <v>0</v>
      </c>
      <c r="AB912" s="36">
        <f t="shared" si="862"/>
        <v>0</v>
      </c>
      <c r="AC912" s="36">
        <f t="shared" si="863"/>
        <v>0</v>
      </c>
      <c r="AD912" s="36">
        <f t="shared" si="864"/>
        <v>0</v>
      </c>
      <c r="AE912" s="36">
        <f t="shared" si="865"/>
        <v>0</v>
      </c>
      <c r="AF912" s="36">
        <f t="shared" si="866"/>
        <v>0</v>
      </c>
      <c r="AG912" s="36">
        <f t="shared" si="867"/>
        <v>0</v>
      </c>
      <c r="AH912" s="36">
        <f t="shared" si="868"/>
        <v>0</v>
      </c>
      <c r="AI912" s="35" t="s">
        <v>2895</v>
      </c>
      <c r="AJ912" s="20">
        <f t="shared" si="869"/>
        <v>0</v>
      </c>
      <c r="AK912" s="20">
        <f t="shared" si="870"/>
        <v>0</v>
      </c>
      <c r="AL912" s="20">
        <f t="shared" si="871"/>
        <v>0</v>
      </c>
      <c r="AN912" s="36">
        <v>21</v>
      </c>
      <c r="AO912" s="36">
        <f t="shared" si="856"/>
        <v>0</v>
      </c>
      <c r="AP912" s="36">
        <f t="shared" si="857"/>
        <v>0</v>
      </c>
      <c r="AQ912" s="37" t="s">
        <v>7</v>
      </c>
      <c r="AV912" s="36">
        <f t="shared" si="872"/>
        <v>0</v>
      </c>
      <c r="AW912" s="36">
        <f t="shared" si="873"/>
        <v>0</v>
      </c>
      <c r="AX912" s="36">
        <f t="shared" si="874"/>
        <v>0</v>
      </c>
      <c r="AY912" s="39" t="s">
        <v>2941</v>
      </c>
      <c r="AZ912" s="39" t="s">
        <v>2961</v>
      </c>
      <c r="BA912" s="35" t="s">
        <v>2968</v>
      </c>
      <c r="BC912" s="36">
        <f t="shared" si="875"/>
        <v>0</v>
      </c>
      <c r="BD912" s="36">
        <f t="shared" si="876"/>
        <v>0</v>
      </c>
      <c r="BE912" s="36">
        <v>0</v>
      </c>
      <c r="BF912" s="36">
        <f>912</f>
        <v>912</v>
      </c>
      <c r="BH912" s="20">
        <f t="shared" si="877"/>
        <v>0</v>
      </c>
      <c r="BI912" s="20">
        <f t="shared" si="878"/>
        <v>0</v>
      </c>
      <c r="BJ912" s="20">
        <f t="shared" si="879"/>
        <v>0</v>
      </c>
      <c r="BK912" s="20" t="s">
        <v>2978</v>
      </c>
      <c r="BL912" s="36">
        <v>96</v>
      </c>
    </row>
    <row r="913" spans="1:64" x14ac:dyDescent="0.2">
      <c r="A913" s="4" t="s">
        <v>789</v>
      </c>
      <c r="B913" s="13" t="s">
        <v>1683</v>
      </c>
      <c r="C913" s="174" t="s">
        <v>2688</v>
      </c>
      <c r="D913" s="175"/>
      <c r="E913" s="175"/>
      <c r="F913" s="175"/>
      <c r="G913" s="13" t="s">
        <v>2852</v>
      </c>
      <c r="H913" s="82">
        <v>1</v>
      </c>
      <c r="I913" s="109">
        <v>0</v>
      </c>
      <c r="J913" s="20">
        <f t="shared" si="858"/>
        <v>0</v>
      </c>
      <c r="K913" s="20">
        <f t="shared" si="859"/>
        <v>0</v>
      </c>
      <c r="L913" s="20">
        <f t="shared" si="860"/>
        <v>0</v>
      </c>
      <c r="M913" s="31" t="s">
        <v>2884</v>
      </c>
      <c r="N913" s="5"/>
      <c r="Z913" s="36">
        <f t="shared" si="861"/>
        <v>0</v>
      </c>
      <c r="AB913" s="36">
        <f t="shared" si="862"/>
        <v>0</v>
      </c>
      <c r="AC913" s="36">
        <f t="shared" si="863"/>
        <v>0</v>
      </c>
      <c r="AD913" s="36">
        <f t="shared" si="864"/>
        <v>0</v>
      </c>
      <c r="AE913" s="36">
        <f t="shared" si="865"/>
        <v>0</v>
      </c>
      <c r="AF913" s="36">
        <f t="shared" si="866"/>
        <v>0</v>
      </c>
      <c r="AG913" s="36">
        <f t="shared" si="867"/>
        <v>0</v>
      </c>
      <c r="AH913" s="36">
        <f t="shared" si="868"/>
        <v>0</v>
      </c>
      <c r="AI913" s="35" t="s">
        <v>2895</v>
      </c>
      <c r="AJ913" s="20">
        <f t="shared" si="869"/>
        <v>0</v>
      </c>
      <c r="AK913" s="20">
        <f t="shared" si="870"/>
        <v>0</v>
      </c>
      <c r="AL913" s="20">
        <f t="shared" si="871"/>
        <v>0</v>
      </c>
      <c r="AN913" s="36">
        <v>21</v>
      </c>
      <c r="AO913" s="36">
        <f t="shared" si="856"/>
        <v>0</v>
      </c>
      <c r="AP913" s="36">
        <f t="shared" si="857"/>
        <v>0</v>
      </c>
      <c r="AQ913" s="37" t="s">
        <v>7</v>
      </c>
      <c r="AV913" s="36">
        <f t="shared" si="872"/>
        <v>0</v>
      </c>
      <c r="AW913" s="36">
        <f t="shared" si="873"/>
        <v>0</v>
      </c>
      <c r="AX913" s="36">
        <f t="shared" si="874"/>
        <v>0</v>
      </c>
      <c r="AY913" s="39" t="s">
        <v>2941</v>
      </c>
      <c r="AZ913" s="39" t="s">
        <v>2961</v>
      </c>
      <c r="BA913" s="35" t="s">
        <v>2968</v>
      </c>
      <c r="BC913" s="36">
        <f t="shared" si="875"/>
        <v>0</v>
      </c>
      <c r="BD913" s="36">
        <f t="shared" si="876"/>
        <v>0</v>
      </c>
      <c r="BE913" s="36">
        <v>0</v>
      </c>
      <c r="BF913" s="36">
        <f>913</f>
        <v>913</v>
      </c>
      <c r="BH913" s="20">
        <f t="shared" si="877"/>
        <v>0</v>
      </c>
      <c r="BI913" s="20">
        <f t="shared" si="878"/>
        <v>0</v>
      </c>
      <c r="BJ913" s="20">
        <f t="shared" si="879"/>
        <v>0</v>
      </c>
      <c r="BK913" s="20" t="s">
        <v>2978</v>
      </c>
      <c r="BL913" s="36">
        <v>96</v>
      </c>
    </row>
    <row r="914" spans="1:64" x14ac:dyDescent="0.2">
      <c r="A914" s="4" t="s">
        <v>790</v>
      </c>
      <c r="B914" s="13" t="s">
        <v>1684</v>
      </c>
      <c r="C914" s="174" t="s">
        <v>2689</v>
      </c>
      <c r="D914" s="175"/>
      <c r="E914" s="175"/>
      <c r="F914" s="175"/>
      <c r="G914" s="13" t="s">
        <v>2855</v>
      </c>
      <c r="H914" s="82">
        <v>30</v>
      </c>
      <c r="I914" s="109">
        <v>0</v>
      </c>
      <c r="J914" s="20">
        <f t="shared" si="858"/>
        <v>0</v>
      </c>
      <c r="K914" s="20">
        <f t="shared" si="859"/>
        <v>0</v>
      </c>
      <c r="L914" s="20">
        <f t="shared" si="860"/>
        <v>0</v>
      </c>
      <c r="M914" s="31" t="s">
        <v>2884</v>
      </c>
      <c r="N914" s="5"/>
      <c r="Z914" s="36">
        <f t="shared" si="861"/>
        <v>0</v>
      </c>
      <c r="AB914" s="36">
        <f t="shared" si="862"/>
        <v>0</v>
      </c>
      <c r="AC914" s="36">
        <f t="shared" si="863"/>
        <v>0</v>
      </c>
      <c r="AD914" s="36">
        <f t="shared" si="864"/>
        <v>0</v>
      </c>
      <c r="AE914" s="36">
        <f t="shared" si="865"/>
        <v>0</v>
      </c>
      <c r="AF914" s="36">
        <f t="shared" si="866"/>
        <v>0</v>
      </c>
      <c r="AG914" s="36">
        <f t="shared" si="867"/>
        <v>0</v>
      </c>
      <c r="AH914" s="36">
        <f t="shared" si="868"/>
        <v>0</v>
      </c>
      <c r="AI914" s="35" t="s">
        <v>2895</v>
      </c>
      <c r="AJ914" s="20">
        <f t="shared" si="869"/>
        <v>0</v>
      </c>
      <c r="AK914" s="20">
        <f t="shared" si="870"/>
        <v>0</v>
      </c>
      <c r="AL914" s="20">
        <f t="shared" si="871"/>
        <v>0</v>
      </c>
      <c r="AN914" s="36">
        <v>21</v>
      </c>
      <c r="AO914" s="36">
        <f t="shared" si="856"/>
        <v>0</v>
      </c>
      <c r="AP914" s="36">
        <f t="shared" si="857"/>
        <v>0</v>
      </c>
      <c r="AQ914" s="37" t="s">
        <v>7</v>
      </c>
      <c r="AV914" s="36">
        <f t="shared" si="872"/>
        <v>0</v>
      </c>
      <c r="AW914" s="36">
        <f t="shared" si="873"/>
        <v>0</v>
      </c>
      <c r="AX914" s="36">
        <f t="shared" si="874"/>
        <v>0</v>
      </c>
      <c r="AY914" s="39" t="s">
        <v>2941</v>
      </c>
      <c r="AZ914" s="39" t="s">
        <v>2961</v>
      </c>
      <c r="BA914" s="35" t="s">
        <v>2968</v>
      </c>
      <c r="BC914" s="36">
        <f t="shared" si="875"/>
        <v>0</v>
      </c>
      <c r="BD914" s="36">
        <f t="shared" si="876"/>
        <v>0</v>
      </c>
      <c r="BE914" s="36">
        <v>0</v>
      </c>
      <c r="BF914" s="36">
        <f>914</f>
        <v>914</v>
      </c>
      <c r="BH914" s="20">
        <f t="shared" si="877"/>
        <v>0</v>
      </c>
      <c r="BI914" s="20">
        <f t="shared" si="878"/>
        <v>0</v>
      </c>
      <c r="BJ914" s="20">
        <f t="shared" si="879"/>
        <v>0</v>
      </c>
      <c r="BK914" s="20" t="s">
        <v>2978</v>
      </c>
      <c r="BL914" s="36">
        <v>96</v>
      </c>
    </row>
    <row r="915" spans="1:64" x14ac:dyDescent="0.2">
      <c r="A915" s="4" t="s">
        <v>791</v>
      </c>
      <c r="B915" s="13" t="s">
        <v>1685</v>
      </c>
      <c r="C915" s="174" t="s">
        <v>2690</v>
      </c>
      <c r="D915" s="175"/>
      <c r="E915" s="175"/>
      <c r="F915" s="175"/>
      <c r="G915" s="13" t="s">
        <v>2854</v>
      </c>
      <c r="H915" s="82">
        <v>247.71</v>
      </c>
      <c r="I915" s="109">
        <v>0</v>
      </c>
      <c r="J915" s="20">
        <f t="shared" si="858"/>
        <v>0</v>
      </c>
      <c r="K915" s="20">
        <f t="shared" si="859"/>
        <v>0</v>
      </c>
      <c r="L915" s="20">
        <f t="shared" si="860"/>
        <v>0</v>
      </c>
      <c r="M915" s="31" t="s">
        <v>2884</v>
      </c>
      <c r="N915" s="5"/>
      <c r="Z915" s="36">
        <f t="shared" si="861"/>
        <v>0</v>
      </c>
      <c r="AB915" s="36">
        <f t="shared" si="862"/>
        <v>0</v>
      </c>
      <c r="AC915" s="36">
        <f t="shared" si="863"/>
        <v>0</v>
      </c>
      <c r="AD915" s="36">
        <f t="shared" si="864"/>
        <v>0</v>
      </c>
      <c r="AE915" s="36">
        <f t="shared" si="865"/>
        <v>0</v>
      </c>
      <c r="AF915" s="36">
        <f t="shared" si="866"/>
        <v>0</v>
      </c>
      <c r="AG915" s="36">
        <f t="shared" si="867"/>
        <v>0</v>
      </c>
      <c r="AH915" s="36">
        <f t="shared" si="868"/>
        <v>0</v>
      </c>
      <c r="AI915" s="35" t="s">
        <v>2895</v>
      </c>
      <c r="AJ915" s="20">
        <f t="shared" si="869"/>
        <v>0</v>
      </c>
      <c r="AK915" s="20">
        <f t="shared" si="870"/>
        <v>0</v>
      </c>
      <c r="AL915" s="20">
        <f t="shared" si="871"/>
        <v>0</v>
      </c>
      <c r="AN915" s="36">
        <v>21</v>
      </c>
      <c r="AO915" s="36">
        <f t="shared" si="856"/>
        <v>0</v>
      </c>
      <c r="AP915" s="36">
        <f t="shared" si="857"/>
        <v>0</v>
      </c>
      <c r="AQ915" s="37" t="s">
        <v>7</v>
      </c>
      <c r="AV915" s="36">
        <f t="shared" si="872"/>
        <v>0</v>
      </c>
      <c r="AW915" s="36">
        <f t="shared" si="873"/>
        <v>0</v>
      </c>
      <c r="AX915" s="36">
        <f t="shared" si="874"/>
        <v>0</v>
      </c>
      <c r="AY915" s="39" t="s">
        <v>2941</v>
      </c>
      <c r="AZ915" s="39" t="s">
        <v>2961</v>
      </c>
      <c r="BA915" s="35" t="s">
        <v>2968</v>
      </c>
      <c r="BC915" s="36">
        <f t="shared" si="875"/>
        <v>0</v>
      </c>
      <c r="BD915" s="36">
        <f t="shared" si="876"/>
        <v>0</v>
      </c>
      <c r="BE915" s="36">
        <v>0</v>
      </c>
      <c r="BF915" s="36">
        <f>915</f>
        <v>915</v>
      </c>
      <c r="BH915" s="20">
        <f t="shared" si="877"/>
        <v>0</v>
      </c>
      <c r="BI915" s="20">
        <f t="shared" si="878"/>
        <v>0</v>
      </c>
      <c r="BJ915" s="20">
        <f t="shared" si="879"/>
        <v>0</v>
      </c>
      <c r="BK915" s="20" t="s">
        <v>2978</v>
      </c>
      <c r="BL915" s="36">
        <v>96</v>
      </c>
    </row>
    <row r="916" spans="1:64" x14ac:dyDescent="0.2">
      <c r="A916" s="4" t="s">
        <v>792</v>
      </c>
      <c r="B916" s="13" t="s">
        <v>1686</v>
      </c>
      <c r="C916" s="174" t="s">
        <v>2691</v>
      </c>
      <c r="D916" s="175"/>
      <c r="E916" s="175"/>
      <c r="F916" s="175"/>
      <c r="G916" s="13" t="s">
        <v>2858</v>
      </c>
      <c r="H916" s="82">
        <v>150</v>
      </c>
      <c r="I916" s="109">
        <v>0</v>
      </c>
      <c r="J916" s="20">
        <f t="shared" si="858"/>
        <v>0</v>
      </c>
      <c r="K916" s="20">
        <f t="shared" si="859"/>
        <v>0</v>
      </c>
      <c r="L916" s="20">
        <f t="shared" si="860"/>
        <v>0</v>
      </c>
      <c r="M916" s="31" t="s">
        <v>2884</v>
      </c>
      <c r="N916" s="5"/>
      <c r="Z916" s="36">
        <f t="shared" si="861"/>
        <v>0</v>
      </c>
      <c r="AB916" s="36">
        <f t="shared" si="862"/>
        <v>0</v>
      </c>
      <c r="AC916" s="36">
        <f t="shared" si="863"/>
        <v>0</v>
      </c>
      <c r="AD916" s="36">
        <f t="shared" si="864"/>
        <v>0</v>
      </c>
      <c r="AE916" s="36">
        <f t="shared" si="865"/>
        <v>0</v>
      </c>
      <c r="AF916" s="36">
        <f t="shared" si="866"/>
        <v>0</v>
      </c>
      <c r="AG916" s="36">
        <f t="shared" si="867"/>
        <v>0</v>
      </c>
      <c r="AH916" s="36">
        <f t="shared" si="868"/>
        <v>0</v>
      </c>
      <c r="AI916" s="35" t="s">
        <v>2895</v>
      </c>
      <c r="AJ916" s="20">
        <f t="shared" si="869"/>
        <v>0</v>
      </c>
      <c r="AK916" s="20">
        <f t="shared" si="870"/>
        <v>0</v>
      </c>
      <c r="AL916" s="20">
        <f t="shared" si="871"/>
        <v>0</v>
      </c>
      <c r="AN916" s="36">
        <v>21</v>
      </c>
      <c r="AO916" s="36">
        <f t="shared" si="856"/>
        <v>0</v>
      </c>
      <c r="AP916" s="36">
        <f t="shared" si="857"/>
        <v>0</v>
      </c>
      <c r="AQ916" s="37" t="s">
        <v>7</v>
      </c>
      <c r="AV916" s="36">
        <f t="shared" si="872"/>
        <v>0</v>
      </c>
      <c r="AW916" s="36">
        <f t="shared" si="873"/>
        <v>0</v>
      </c>
      <c r="AX916" s="36">
        <f t="shared" si="874"/>
        <v>0</v>
      </c>
      <c r="AY916" s="39" t="s">
        <v>2941</v>
      </c>
      <c r="AZ916" s="39" t="s">
        <v>2961</v>
      </c>
      <c r="BA916" s="35" t="s">
        <v>2968</v>
      </c>
      <c r="BC916" s="36">
        <f t="shared" si="875"/>
        <v>0</v>
      </c>
      <c r="BD916" s="36">
        <f t="shared" si="876"/>
        <v>0</v>
      </c>
      <c r="BE916" s="36">
        <v>0</v>
      </c>
      <c r="BF916" s="36">
        <f>916</f>
        <v>916</v>
      </c>
      <c r="BH916" s="20">
        <f t="shared" si="877"/>
        <v>0</v>
      </c>
      <c r="BI916" s="20">
        <f t="shared" si="878"/>
        <v>0</v>
      </c>
      <c r="BJ916" s="20">
        <f t="shared" si="879"/>
        <v>0</v>
      </c>
      <c r="BK916" s="20" t="s">
        <v>2978</v>
      </c>
      <c r="BL916" s="36">
        <v>96</v>
      </c>
    </row>
    <row r="917" spans="1:64" x14ac:dyDescent="0.2">
      <c r="A917" s="4" t="s">
        <v>793</v>
      </c>
      <c r="B917" s="13" t="s">
        <v>1687</v>
      </c>
      <c r="C917" s="174" t="s">
        <v>2692</v>
      </c>
      <c r="D917" s="175"/>
      <c r="E917" s="175"/>
      <c r="F917" s="175"/>
      <c r="G917" s="13" t="s">
        <v>2852</v>
      </c>
      <c r="H917" s="82">
        <v>6</v>
      </c>
      <c r="I917" s="109">
        <v>0</v>
      </c>
      <c r="J917" s="20">
        <f t="shared" si="858"/>
        <v>0</v>
      </c>
      <c r="K917" s="20">
        <f t="shared" si="859"/>
        <v>0</v>
      </c>
      <c r="L917" s="20">
        <f t="shared" si="860"/>
        <v>0</v>
      </c>
      <c r="M917" s="31" t="s">
        <v>2884</v>
      </c>
      <c r="N917" s="5"/>
      <c r="Z917" s="36">
        <f t="shared" si="861"/>
        <v>0</v>
      </c>
      <c r="AB917" s="36">
        <f t="shared" si="862"/>
        <v>0</v>
      </c>
      <c r="AC917" s="36">
        <f t="shared" si="863"/>
        <v>0</v>
      </c>
      <c r="AD917" s="36">
        <f t="shared" si="864"/>
        <v>0</v>
      </c>
      <c r="AE917" s="36">
        <f t="shared" si="865"/>
        <v>0</v>
      </c>
      <c r="AF917" s="36">
        <f t="shared" si="866"/>
        <v>0</v>
      </c>
      <c r="AG917" s="36">
        <f t="shared" si="867"/>
        <v>0</v>
      </c>
      <c r="AH917" s="36">
        <f t="shared" si="868"/>
        <v>0</v>
      </c>
      <c r="AI917" s="35" t="s">
        <v>2895</v>
      </c>
      <c r="AJ917" s="20">
        <f t="shared" si="869"/>
        <v>0</v>
      </c>
      <c r="AK917" s="20">
        <f t="shared" si="870"/>
        <v>0</v>
      </c>
      <c r="AL917" s="20">
        <f t="shared" si="871"/>
        <v>0</v>
      </c>
      <c r="AN917" s="36">
        <v>21</v>
      </c>
      <c r="AO917" s="36">
        <f t="shared" si="856"/>
        <v>0</v>
      </c>
      <c r="AP917" s="36">
        <f t="shared" si="857"/>
        <v>0</v>
      </c>
      <c r="AQ917" s="37" t="s">
        <v>7</v>
      </c>
      <c r="AV917" s="36">
        <f t="shared" si="872"/>
        <v>0</v>
      </c>
      <c r="AW917" s="36">
        <f t="shared" si="873"/>
        <v>0</v>
      </c>
      <c r="AX917" s="36">
        <f t="shared" si="874"/>
        <v>0</v>
      </c>
      <c r="AY917" s="39" t="s">
        <v>2941</v>
      </c>
      <c r="AZ917" s="39" t="s">
        <v>2961</v>
      </c>
      <c r="BA917" s="35" t="s">
        <v>2968</v>
      </c>
      <c r="BC917" s="36">
        <f t="shared" si="875"/>
        <v>0</v>
      </c>
      <c r="BD917" s="36">
        <f t="shared" si="876"/>
        <v>0</v>
      </c>
      <c r="BE917" s="36">
        <v>0</v>
      </c>
      <c r="BF917" s="36">
        <f>917</f>
        <v>917</v>
      </c>
      <c r="BH917" s="20">
        <f t="shared" si="877"/>
        <v>0</v>
      </c>
      <c r="BI917" s="20">
        <f t="shared" si="878"/>
        <v>0</v>
      </c>
      <c r="BJ917" s="20">
        <f t="shared" si="879"/>
        <v>0</v>
      </c>
      <c r="BK917" s="20" t="s">
        <v>2978</v>
      </c>
      <c r="BL917" s="36">
        <v>96</v>
      </c>
    </row>
    <row r="918" spans="1:64" x14ac:dyDescent="0.2">
      <c r="A918" s="3"/>
      <c r="B918" s="12" t="s">
        <v>1688</v>
      </c>
      <c r="C918" s="172" t="s">
        <v>2693</v>
      </c>
      <c r="D918" s="173"/>
      <c r="E918" s="173"/>
      <c r="F918" s="173"/>
      <c r="G918" s="18" t="s">
        <v>6</v>
      </c>
      <c r="H918" s="18" t="s">
        <v>6</v>
      </c>
      <c r="I918" s="18" t="s">
        <v>6</v>
      </c>
      <c r="J918" s="41">
        <f>SUM(J919:J935)</f>
        <v>0</v>
      </c>
      <c r="K918" s="41">
        <f>SUM(K919:K935)</f>
        <v>0</v>
      </c>
      <c r="L918" s="41">
        <f>SUM(L919:L935)</f>
        <v>0</v>
      </c>
      <c r="M918" s="30"/>
      <c r="N918" s="5"/>
      <c r="AI918" s="35" t="s">
        <v>2895</v>
      </c>
      <c r="AS918" s="41">
        <f>SUM(AJ919:AJ935)</f>
        <v>0</v>
      </c>
      <c r="AT918" s="41">
        <f>SUM(AK919:AK935)</f>
        <v>0</v>
      </c>
      <c r="AU918" s="41">
        <f>SUM(AL919:AL935)</f>
        <v>0</v>
      </c>
    </row>
    <row r="919" spans="1:64" x14ac:dyDescent="0.2">
      <c r="A919" s="4" t="s">
        <v>794</v>
      </c>
      <c r="B919" s="13" t="s">
        <v>1689</v>
      </c>
      <c r="C919" s="174" t="s">
        <v>2694</v>
      </c>
      <c r="D919" s="175"/>
      <c r="E919" s="175"/>
      <c r="F919" s="175"/>
      <c r="G919" s="13" t="s">
        <v>2856</v>
      </c>
      <c r="H919" s="82">
        <v>579.62</v>
      </c>
      <c r="I919" s="109">
        <v>0</v>
      </c>
      <c r="J919" s="20">
        <f t="shared" ref="J919:J935" si="880">H919*AO919</f>
        <v>0</v>
      </c>
      <c r="K919" s="20">
        <f t="shared" ref="K919:K935" si="881">H919*AP919</f>
        <v>0</v>
      </c>
      <c r="L919" s="20">
        <f t="shared" ref="L919:L935" si="882">H919*I919</f>
        <v>0</v>
      </c>
      <c r="M919" s="31" t="s">
        <v>2884</v>
      </c>
      <c r="N919" s="5"/>
      <c r="Z919" s="36">
        <f t="shared" ref="Z919:Z935" si="883">IF(AQ919="5",BJ919,0)</f>
        <v>0</v>
      </c>
      <c r="AB919" s="36">
        <f t="shared" ref="AB919:AB935" si="884">IF(AQ919="1",BH919,0)</f>
        <v>0</v>
      </c>
      <c r="AC919" s="36">
        <f t="shared" ref="AC919:AC935" si="885">IF(AQ919="1",BI919,0)</f>
        <v>0</v>
      </c>
      <c r="AD919" s="36">
        <f t="shared" ref="AD919:AD935" si="886">IF(AQ919="7",BH919,0)</f>
        <v>0</v>
      </c>
      <c r="AE919" s="36">
        <f t="shared" ref="AE919:AE935" si="887">IF(AQ919="7",BI919,0)</f>
        <v>0</v>
      </c>
      <c r="AF919" s="36">
        <f t="shared" ref="AF919:AF935" si="888">IF(AQ919="2",BH919,0)</f>
        <v>0</v>
      </c>
      <c r="AG919" s="36">
        <f t="shared" ref="AG919:AG935" si="889">IF(AQ919="2",BI919,0)</f>
        <v>0</v>
      </c>
      <c r="AH919" s="36">
        <f t="shared" ref="AH919:AH935" si="890">IF(AQ919="0",BJ919,0)</f>
        <v>0</v>
      </c>
      <c r="AI919" s="35" t="s">
        <v>2895</v>
      </c>
      <c r="AJ919" s="20">
        <f t="shared" ref="AJ919:AJ935" si="891">IF(AN919=0,L919,0)</f>
        <v>0</v>
      </c>
      <c r="AK919" s="20">
        <f t="shared" ref="AK919:AK935" si="892">IF(AN919=15,L919,0)</f>
        <v>0</v>
      </c>
      <c r="AL919" s="20">
        <f t="shared" ref="AL919:AL935" si="893">IF(AN919=21,L919,0)</f>
        <v>0</v>
      </c>
      <c r="AN919" s="36">
        <v>21</v>
      </c>
      <c r="AO919" s="36">
        <f t="shared" ref="AO919:AO935" si="894">I919*0</f>
        <v>0</v>
      </c>
      <c r="AP919" s="36">
        <f t="shared" ref="AP919:AP935" si="895">I919*(1-0)</f>
        <v>0</v>
      </c>
      <c r="AQ919" s="37" t="s">
        <v>11</v>
      </c>
      <c r="AV919" s="36">
        <f t="shared" ref="AV919:AV935" si="896">AW919+AX919</f>
        <v>0</v>
      </c>
      <c r="AW919" s="36">
        <f t="shared" ref="AW919:AW935" si="897">H919*AO919</f>
        <v>0</v>
      </c>
      <c r="AX919" s="36">
        <f t="shared" ref="AX919:AX935" si="898">H919*AP919</f>
        <v>0</v>
      </c>
      <c r="AY919" s="39" t="s">
        <v>2942</v>
      </c>
      <c r="AZ919" s="39" t="s">
        <v>2961</v>
      </c>
      <c r="BA919" s="35" t="s">
        <v>2968</v>
      </c>
      <c r="BC919" s="36">
        <f t="shared" ref="BC919:BC935" si="899">AW919+AX919</f>
        <v>0</v>
      </c>
      <c r="BD919" s="36">
        <f t="shared" ref="BD919:BD935" si="900">I919/(100-BE919)*100</f>
        <v>0</v>
      </c>
      <c r="BE919" s="36">
        <v>0</v>
      </c>
      <c r="BF919" s="36">
        <f>919</f>
        <v>919</v>
      </c>
      <c r="BH919" s="20">
        <f t="shared" ref="BH919:BH935" si="901">H919*AO919</f>
        <v>0</v>
      </c>
      <c r="BI919" s="20">
        <f t="shared" ref="BI919:BI935" si="902">H919*AP919</f>
        <v>0</v>
      </c>
      <c r="BJ919" s="20">
        <f t="shared" ref="BJ919:BJ935" si="903">H919*I919</f>
        <v>0</v>
      </c>
      <c r="BK919" s="20" t="s">
        <v>2978</v>
      </c>
      <c r="BL919" s="36" t="s">
        <v>1688</v>
      </c>
    </row>
    <row r="920" spans="1:64" x14ac:dyDescent="0.2">
      <c r="A920" s="4" t="s">
        <v>795</v>
      </c>
      <c r="B920" s="13" t="s">
        <v>1690</v>
      </c>
      <c r="C920" s="174" t="s">
        <v>2695</v>
      </c>
      <c r="D920" s="175"/>
      <c r="E920" s="175"/>
      <c r="F920" s="175"/>
      <c r="G920" s="13" t="s">
        <v>2856</v>
      </c>
      <c r="H920" s="82">
        <v>2318.48</v>
      </c>
      <c r="I920" s="109">
        <v>0</v>
      </c>
      <c r="J920" s="20">
        <f t="shared" si="880"/>
        <v>0</v>
      </c>
      <c r="K920" s="20">
        <f t="shared" si="881"/>
        <v>0</v>
      </c>
      <c r="L920" s="20">
        <f t="shared" si="882"/>
        <v>0</v>
      </c>
      <c r="M920" s="31" t="s">
        <v>2884</v>
      </c>
      <c r="N920" s="5"/>
      <c r="Z920" s="36">
        <f t="shared" si="883"/>
        <v>0</v>
      </c>
      <c r="AB920" s="36">
        <f t="shared" si="884"/>
        <v>0</v>
      </c>
      <c r="AC920" s="36">
        <f t="shared" si="885"/>
        <v>0</v>
      </c>
      <c r="AD920" s="36">
        <f t="shared" si="886"/>
        <v>0</v>
      </c>
      <c r="AE920" s="36">
        <f t="shared" si="887"/>
        <v>0</v>
      </c>
      <c r="AF920" s="36">
        <f t="shared" si="888"/>
        <v>0</v>
      </c>
      <c r="AG920" s="36">
        <f t="shared" si="889"/>
        <v>0</v>
      </c>
      <c r="AH920" s="36">
        <f t="shared" si="890"/>
        <v>0</v>
      </c>
      <c r="AI920" s="35" t="s">
        <v>2895</v>
      </c>
      <c r="AJ920" s="20">
        <f t="shared" si="891"/>
        <v>0</v>
      </c>
      <c r="AK920" s="20">
        <f t="shared" si="892"/>
        <v>0</v>
      </c>
      <c r="AL920" s="20">
        <f t="shared" si="893"/>
        <v>0</v>
      </c>
      <c r="AN920" s="36">
        <v>21</v>
      </c>
      <c r="AO920" s="36">
        <f t="shared" si="894"/>
        <v>0</v>
      </c>
      <c r="AP920" s="36">
        <f t="shared" si="895"/>
        <v>0</v>
      </c>
      <c r="AQ920" s="37" t="s">
        <v>11</v>
      </c>
      <c r="AV920" s="36">
        <f t="shared" si="896"/>
        <v>0</v>
      </c>
      <c r="AW920" s="36">
        <f t="shared" si="897"/>
        <v>0</v>
      </c>
      <c r="AX920" s="36">
        <f t="shared" si="898"/>
        <v>0</v>
      </c>
      <c r="AY920" s="39" t="s">
        <v>2942</v>
      </c>
      <c r="AZ920" s="39" t="s">
        <v>2961</v>
      </c>
      <c r="BA920" s="35" t="s">
        <v>2968</v>
      </c>
      <c r="BC920" s="36">
        <f t="shared" si="899"/>
        <v>0</v>
      </c>
      <c r="BD920" s="36">
        <f t="shared" si="900"/>
        <v>0</v>
      </c>
      <c r="BE920" s="36">
        <v>0</v>
      </c>
      <c r="BF920" s="36">
        <f>920</f>
        <v>920</v>
      </c>
      <c r="BH920" s="20">
        <f t="shared" si="901"/>
        <v>0</v>
      </c>
      <c r="BI920" s="20">
        <f t="shared" si="902"/>
        <v>0</v>
      </c>
      <c r="BJ920" s="20">
        <f t="shared" si="903"/>
        <v>0</v>
      </c>
      <c r="BK920" s="20" t="s">
        <v>2978</v>
      </c>
      <c r="BL920" s="36" t="s">
        <v>1688</v>
      </c>
    </row>
    <row r="921" spans="1:64" x14ac:dyDescent="0.2">
      <c r="A921" s="4" t="s">
        <v>796</v>
      </c>
      <c r="B921" s="13" t="s">
        <v>1691</v>
      </c>
      <c r="C921" s="174" t="s">
        <v>2696</v>
      </c>
      <c r="D921" s="175"/>
      <c r="E921" s="175"/>
      <c r="F921" s="175"/>
      <c r="G921" s="13" t="s">
        <v>2856</v>
      </c>
      <c r="H921" s="82">
        <v>579.62</v>
      </c>
      <c r="I921" s="109">
        <v>0</v>
      </c>
      <c r="J921" s="20">
        <f t="shared" si="880"/>
        <v>0</v>
      </c>
      <c r="K921" s="20">
        <f t="shared" si="881"/>
        <v>0</v>
      </c>
      <c r="L921" s="20">
        <f t="shared" si="882"/>
        <v>0</v>
      </c>
      <c r="M921" s="31" t="s">
        <v>2884</v>
      </c>
      <c r="N921" s="5"/>
      <c r="Z921" s="36">
        <f t="shared" si="883"/>
        <v>0</v>
      </c>
      <c r="AB921" s="36">
        <f t="shared" si="884"/>
        <v>0</v>
      </c>
      <c r="AC921" s="36">
        <f t="shared" si="885"/>
        <v>0</v>
      </c>
      <c r="AD921" s="36">
        <f t="shared" si="886"/>
        <v>0</v>
      </c>
      <c r="AE921" s="36">
        <f t="shared" si="887"/>
        <v>0</v>
      </c>
      <c r="AF921" s="36">
        <f t="shared" si="888"/>
        <v>0</v>
      </c>
      <c r="AG921" s="36">
        <f t="shared" si="889"/>
        <v>0</v>
      </c>
      <c r="AH921" s="36">
        <f t="shared" si="890"/>
        <v>0</v>
      </c>
      <c r="AI921" s="35" t="s">
        <v>2895</v>
      </c>
      <c r="AJ921" s="20">
        <f t="shared" si="891"/>
        <v>0</v>
      </c>
      <c r="AK921" s="20">
        <f t="shared" si="892"/>
        <v>0</v>
      </c>
      <c r="AL921" s="20">
        <f t="shared" si="893"/>
        <v>0</v>
      </c>
      <c r="AN921" s="36">
        <v>21</v>
      </c>
      <c r="AO921" s="36">
        <f t="shared" si="894"/>
        <v>0</v>
      </c>
      <c r="AP921" s="36">
        <f t="shared" si="895"/>
        <v>0</v>
      </c>
      <c r="AQ921" s="37" t="s">
        <v>11</v>
      </c>
      <c r="AV921" s="36">
        <f t="shared" si="896"/>
        <v>0</v>
      </c>
      <c r="AW921" s="36">
        <f t="shared" si="897"/>
        <v>0</v>
      </c>
      <c r="AX921" s="36">
        <f t="shared" si="898"/>
        <v>0</v>
      </c>
      <c r="AY921" s="39" t="s">
        <v>2942</v>
      </c>
      <c r="AZ921" s="39" t="s">
        <v>2961</v>
      </c>
      <c r="BA921" s="35" t="s">
        <v>2968</v>
      </c>
      <c r="BC921" s="36">
        <f t="shared" si="899"/>
        <v>0</v>
      </c>
      <c r="BD921" s="36">
        <f t="shared" si="900"/>
        <v>0</v>
      </c>
      <c r="BE921" s="36">
        <v>0</v>
      </c>
      <c r="BF921" s="36">
        <f>921</f>
        <v>921</v>
      </c>
      <c r="BH921" s="20">
        <f t="shared" si="901"/>
        <v>0</v>
      </c>
      <c r="BI921" s="20">
        <f t="shared" si="902"/>
        <v>0</v>
      </c>
      <c r="BJ921" s="20">
        <f t="shared" si="903"/>
        <v>0</v>
      </c>
      <c r="BK921" s="20" t="s">
        <v>2978</v>
      </c>
      <c r="BL921" s="36" t="s">
        <v>1688</v>
      </c>
    </row>
    <row r="922" spans="1:64" x14ac:dyDescent="0.2">
      <c r="A922" s="4" t="s">
        <v>797</v>
      </c>
      <c r="B922" s="13" t="s">
        <v>1692</v>
      </c>
      <c r="C922" s="174" t="s">
        <v>2697</v>
      </c>
      <c r="D922" s="175"/>
      <c r="E922" s="175"/>
      <c r="F922" s="175"/>
      <c r="G922" s="13" t="s">
        <v>2856</v>
      </c>
      <c r="H922" s="82">
        <v>2318.48</v>
      </c>
      <c r="I922" s="109">
        <v>0</v>
      </c>
      <c r="J922" s="20">
        <f t="shared" si="880"/>
        <v>0</v>
      </c>
      <c r="K922" s="20">
        <f t="shared" si="881"/>
        <v>0</v>
      </c>
      <c r="L922" s="20">
        <f t="shared" si="882"/>
        <v>0</v>
      </c>
      <c r="M922" s="31" t="s">
        <v>2884</v>
      </c>
      <c r="N922" s="5"/>
      <c r="Z922" s="36">
        <f t="shared" si="883"/>
        <v>0</v>
      </c>
      <c r="AB922" s="36">
        <f t="shared" si="884"/>
        <v>0</v>
      </c>
      <c r="AC922" s="36">
        <f t="shared" si="885"/>
        <v>0</v>
      </c>
      <c r="AD922" s="36">
        <f t="shared" si="886"/>
        <v>0</v>
      </c>
      <c r="AE922" s="36">
        <f t="shared" si="887"/>
        <v>0</v>
      </c>
      <c r="AF922" s="36">
        <f t="shared" si="888"/>
        <v>0</v>
      </c>
      <c r="AG922" s="36">
        <f t="shared" si="889"/>
        <v>0</v>
      </c>
      <c r="AH922" s="36">
        <f t="shared" si="890"/>
        <v>0</v>
      </c>
      <c r="AI922" s="35" t="s">
        <v>2895</v>
      </c>
      <c r="AJ922" s="20">
        <f t="shared" si="891"/>
        <v>0</v>
      </c>
      <c r="AK922" s="20">
        <f t="shared" si="892"/>
        <v>0</v>
      </c>
      <c r="AL922" s="20">
        <f t="shared" si="893"/>
        <v>0</v>
      </c>
      <c r="AN922" s="36">
        <v>21</v>
      </c>
      <c r="AO922" s="36">
        <f t="shared" si="894"/>
        <v>0</v>
      </c>
      <c r="AP922" s="36">
        <f t="shared" si="895"/>
        <v>0</v>
      </c>
      <c r="AQ922" s="37" t="s">
        <v>11</v>
      </c>
      <c r="AV922" s="36">
        <f t="shared" si="896"/>
        <v>0</v>
      </c>
      <c r="AW922" s="36">
        <f t="shared" si="897"/>
        <v>0</v>
      </c>
      <c r="AX922" s="36">
        <f t="shared" si="898"/>
        <v>0</v>
      </c>
      <c r="AY922" s="39" t="s">
        <v>2942</v>
      </c>
      <c r="AZ922" s="39" t="s">
        <v>2961</v>
      </c>
      <c r="BA922" s="35" t="s">
        <v>2968</v>
      </c>
      <c r="BC922" s="36">
        <f t="shared" si="899"/>
        <v>0</v>
      </c>
      <c r="BD922" s="36">
        <f t="shared" si="900"/>
        <v>0</v>
      </c>
      <c r="BE922" s="36">
        <v>0</v>
      </c>
      <c r="BF922" s="36">
        <f>922</f>
        <v>922</v>
      </c>
      <c r="BH922" s="20">
        <f t="shared" si="901"/>
        <v>0</v>
      </c>
      <c r="BI922" s="20">
        <f t="shared" si="902"/>
        <v>0</v>
      </c>
      <c r="BJ922" s="20">
        <f t="shared" si="903"/>
        <v>0</v>
      </c>
      <c r="BK922" s="20" t="s">
        <v>2978</v>
      </c>
      <c r="BL922" s="36" t="s">
        <v>1688</v>
      </c>
    </row>
    <row r="923" spans="1:64" x14ac:dyDescent="0.2">
      <c r="A923" s="4" t="s">
        <v>798</v>
      </c>
      <c r="B923" s="13" t="s">
        <v>1693</v>
      </c>
      <c r="C923" s="174" t="s">
        <v>2698</v>
      </c>
      <c r="D923" s="175"/>
      <c r="E923" s="175"/>
      <c r="F923" s="175"/>
      <c r="G923" s="13" t="s">
        <v>2856</v>
      </c>
      <c r="H923" s="82">
        <v>579.62</v>
      </c>
      <c r="I923" s="109">
        <v>0</v>
      </c>
      <c r="J923" s="20">
        <f t="shared" si="880"/>
        <v>0</v>
      </c>
      <c r="K923" s="20">
        <f t="shared" si="881"/>
        <v>0</v>
      </c>
      <c r="L923" s="20">
        <f t="shared" si="882"/>
        <v>0</v>
      </c>
      <c r="M923" s="31" t="s">
        <v>2884</v>
      </c>
      <c r="N923" s="5"/>
      <c r="Z923" s="36">
        <f t="shared" si="883"/>
        <v>0</v>
      </c>
      <c r="AB923" s="36">
        <f t="shared" si="884"/>
        <v>0</v>
      </c>
      <c r="AC923" s="36">
        <f t="shared" si="885"/>
        <v>0</v>
      </c>
      <c r="AD923" s="36">
        <f t="shared" si="886"/>
        <v>0</v>
      </c>
      <c r="AE923" s="36">
        <f t="shared" si="887"/>
        <v>0</v>
      </c>
      <c r="AF923" s="36">
        <f t="shared" si="888"/>
        <v>0</v>
      </c>
      <c r="AG923" s="36">
        <f t="shared" si="889"/>
        <v>0</v>
      </c>
      <c r="AH923" s="36">
        <f t="shared" si="890"/>
        <v>0</v>
      </c>
      <c r="AI923" s="35" t="s">
        <v>2895</v>
      </c>
      <c r="AJ923" s="20">
        <f t="shared" si="891"/>
        <v>0</v>
      </c>
      <c r="AK923" s="20">
        <f t="shared" si="892"/>
        <v>0</v>
      </c>
      <c r="AL923" s="20">
        <f t="shared" si="893"/>
        <v>0</v>
      </c>
      <c r="AN923" s="36">
        <v>21</v>
      </c>
      <c r="AO923" s="36">
        <f t="shared" si="894"/>
        <v>0</v>
      </c>
      <c r="AP923" s="36">
        <f t="shared" si="895"/>
        <v>0</v>
      </c>
      <c r="AQ923" s="37" t="s">
        <v>11</v>
      </c>
      <c r="AV923" s="36">
        <f t="shared" si="896"/>
        <v>0</v>
      </c>
      <c r="AW923" s="36">
        <f t="shared" si="897"/>
        <v>0</v>
      </c>
      <c r="AX923" s="36">
        <f t="shared" si="898"/>
        <v>0</v>
      </c>
      <c r="AY923" s="39" t="s">
        <v>2942</v>
      </c>
      <c r="AZ923" s="39" t="s">
        <v>2961</v>
      </c>
      <c r="BA923" s="35" t="s">
        <v>2968</v>
      </c>
      <c r="BC923" s="36">
        <f t="shared" si="899"/>
        <v>0</v>
      </c>
      <c r="BD923" s="36">
        <f t="shared" si="900"/>
        <v>0</v>
      </c>
      <c r="BE923" s="36">
        <v>0</v>
      </c>
      <c r="BF923" s="36">
        <f>923</f>
        <v>923</v>
      </c>
      <c r="BH923" s="20">
        <f t="shared" si="901"/>
        <v>0</v>
      </c>
      <c r="BI923" s="20">
        <f t="shared" si="902"/>
        <v>0</v>
      </c>
      <c r="BJ923" s="20">
        <f t="shared" si="903"/>
        <v>0</v>
      </c>
      <c r="BK923" s="20" t="s">
        <v>2978</v>
      </c>
      <c r="BL923" s="36" t="s">
        <v>1688</v>
      </c>
    </row>
    <row r="924" spans="1:64" x14ac:dyDescent="0.2">
      <c r="A924" s="113" t="s">
        <v>799</v>
      </c>
      <c r="B924" s="114" t="s">
        <v>1694</v>
      </c>
      <c r="C924" s="187" t="s">
        <v>2699</v>
      </c>
      <c r="D924" s="188"/>
      <c r="E924" s="188"/>
      <c r="F924" s="188"/>
      <c r="G924" s="114" t="s">
        <v>2856</v>
      </c>
      <c r="H924" s="115">
        <v>4.7380000000000004</v>
      </c>
      <c r="I924" s="109">
        <v>0</v>
      </c>
      <c r="J924" s="20">
        <f t="shared" si="880"/>
        <v>0</v>
      </c>
      <c r="K924" s="20">
        <f t="shared" si="881"/>
        <v>0</v>
      </c>
      <c r="L924" s="20">
        <f t="shared" si="882"/>
        <v>0</v>
      </c>
      <c r="M924" s="31" t="s">
        <v>2884</v>
      </c>
      <c r="N924" s="5"/>
      <c r="Z924" s="36">
        <f t="shared" si="883"/>
        <v>0</v>
      </c>
      <c r="AB924" s="36">
        <f t="shared" si="884"/>
        <v>0</v>
      </c>
      <c r="AC924" s="36">
        <f t="shared" si="885"/>
        <v>0</v>
      </c>
      <c r="AD924" s="36">
        <f t="shared" si="886"/>
        <v>0</v>
      </c>
      <c r="AE924" s="36">
        <f t="shared" si="887"/>
        <v>0</v>
      </c>
      <c r="AF924" s="36">
        <f t="shared" si="888"/>
        <v>0</v>
      </c>
      <c r="AG924" s="36">
        <f t="shared" si="889"/>
        <v>0</v>
      </c>
      <c r="AH924" s="36">
        <f t="shared" si="890"/>
        <v>0</v>
      </c>
      <c r="AI924" s="35" t="s">
        <v>2895</v>
      </c>
      <c r="AJ924" s="20">
        <f t="shared" si="891"/>
        <v>0</v>
      </c>
      <c r="AK924" s="20">
        <f t="shared" si="892"/>
        <v>0</v>
      </c>
      <c r="AL924" s="20">
        <f t="shared" si="893"/>
        <v>0</v>
      </c>
      <c r="AN924" s="36">
        <v>21</v>
      </c>
      <c r="AO924" s="36">
        <f t="shared" si="894"/>
        <v>0</v>
      </c>
      <c r="AP924" s="36">
        <f t="shared" si="895"/>
        <v>0</v>
      </c>
      <c r="AQ924" s="37" t="s">
        <v>11</v>
      </c>
      <c r="AV924" s="36">
        <f t="shared" si="896"/>
        <v>0</v>
      </c>
      <c r="AW924" s="36">
        <f t="shared" si="897"/>
        <v>0</v>
      </c>
      <c r="AX924" s="36">
        <f t="shared" si="898"/>
        <v>0</v>
      </c>
      <c r="AY924" s="39" t="s">
        <v>2942</v>
      </c>
      <c r="AZ924" s="39" t="s">
        <v>2961</v>
      </c>
      <c r="BA924" s="35" t="s">
        <v>2968</v>
      </c>
      <c r="BC924" s="36">
        <f t="shared" si="899"/>
        <v>0</v>
      </c>
      <c r="BD924" s="36">
        <f t="shared" si="900"/>
        <v>0</v>
      </c>
      <c r="BE924" s="36">
        <v>0</v>
      </c>
      <c r="BF924" s="36">
        <f>924</f>
        <v>924</v>
      </c>
      <c r="BH924" s="20">
        <f t="shared" si="901"/>
        <v>0</v>
      </c>
      <c r="BI924" s="20">
        <f t="shared" si="902"/>
        <v>0</v>
      </c>
      <c r="BJ924" s="20">
        <f t="shared" si="903"/>
        <v>0</v>
      </c>
      <c r="BK924" s="20" t="s">
        <v>2978</v>
      </c>
      <c r="BL924" s="36" t="s">
        <v>1688</v>
      </c>
    </row>
    <row r="925" spans="1:64" x14ac:dyDescent="0.2">
      <c r="A925" s="113" t="s">
        <v>800</v>
      </c>
      <c r="B925" s="114" t="s">
        <v>1695</v>
      </c>
      <c r="C925" s="187" t="s">
        <v>2700</v>
      </c>
      <c r="D925" s="188"/>
      <c r="E925" s="188"/>
      <c r="F925" s="188"/>
      <c r="G925" s="114" t="s">
        <v>2856</v>
      </c>
      <c r="H925" s="115">
        <v>28.428000000000001</v>
      </c>
      <c r="I925" s="109">
        <v>0</v>
      </c>
      <c r="J925" s="20">
        <f t="shared" si="880"/>
        <v>0</v>
      </c>
      <c r="K925" s="20">
        <f t="shared" si="881"/>
        <v>0</v>
      </c>
      <c r="L925" s="20">
        <f t="shared" si="882"/>
        <v>0</v>
      </c>
      <c r="M925" s="31" t="s">
        <v>2884</v>
      </c>
      <c r="N925" s="5"/>
      <c r="Z925" s="36">
        <f t="shared" si="883"/>
        <v>0</v>
      </c>
      <c r="AB925" s="36">
        <f t="shared" si="884"/>
        <v>0</v>
      </c>
      <c r="AC925" s="36">
        <f t="shared" si="885"/>
        <v>0</v>
      </c>
      <c r="AD925" s="36">
        <f t="shared" si="886"/>
        <v>0</v>
      </c>
      <c r="AE925" s="36">
        <f t="shared" si="887"/>
        <v>0</v>
      </c>
      <c r="AF925" s="36">
        <f t="shared" si="888"/>
        <v>0</v>
      </c>
      <c r="AG925" s="36">
        <f t="shared" si="889"/>
        <v>0</v>
      </c>
      <c r="AH925" s="36">
        <f t="shared" si="890"/>
        <v>0</v>
      </c>
      <c r="AI925" s="35" t="s">
        <v>2895</v>
      </c>
      <c r="AJ925" s="20">
        <f t="shared" si="891"/>
        <v>0</v>
      </c>
      <c r="AK925" s="20">
        <f t="shared" si="892"/>
        <v>0</v>
      </c>
      <c r="AL925" s="20">
        <f t="shared" si="893"/>
        <v>0</v>
      </c>
      <c r="AN925" s="36">
        <v>21</v>
      </c>
      <c r="AO925" s="36">
        <f t="shared" si="894"/>
        <v>0</v>
      </c>
      <c r="AP925" s="36">
        <f t="shared" si="895"/>
        <v>0</v>
      </c>
      <c r="AQ925" s="37" t="s">
        <v>11</v>
      </c>
      <c r="AV925" s="36">
        <f t="shared" si="896"/>
        <v>0</v>
      </c>
      <c r="AW925" s="36">
        <f t="shared" si="897"/>
        <v>0</v>
      </c>
      <c r="AX925" s="36">
        <f t="shared" si="898"/>
        <v>0</v>
      </c>
      <c r="AY925" s="39" t="s">
        <v>2942</v>
      </c>
      <c r="AZ925" s="39" t="s">
        <v>2961</v>
      </c>
      <c r="BA925" s="35" t="s">
        <v>2968</v>
      </c>
      <c r="BC925" s="36">
        <f t="shared" si="899"/>
        <v>0</v>
      </c>
      <c r="BD925" s="36">
        <f t="shared" si="900"/>
        <v>0</v>
      </c>
      <c r="BE925" s="36">
        <v>0</v>
      </c>
      <c r="BF925" s="36">
        <f>925</f>
        <v>925</v>
      </c>
      <c r="BH925" s="20">
        <f t="shared" si="901"/>
        <v>0</v>
      </c>
      <c r="BI925" s="20">
        <f t="shared" si="902"/>
        <v>0</v>
      </c>
      <c r="BJ925" s="20">
        <f t="shared" si="903"/>
        <v>0</v>
      </c>
      <c r="BK925" s="20" t="s">
        <v>2978</v>
      </c>
      <c r="BL925" s="36" t="s">
        <v>1688</v>
      </c>
    </row>
    <row r="926" spans="1:64" x14ac:dyDescent="0.2">
      <c r="A926" s="4" t="s">
        <v>801</v>
      </c>
      <c r="B926" s="13" t="s">
        <v>1696</v>
      </c>
      <c r="C926" s="174" t="s">
        <v>2701</v>
      </c>
      <c r="D926" s="175"/>
      <c r="E926" s="175"/>
      <c r="F926" s="175"/>
      <c r="G926" s="13" t="s">
        <v>2856</v>
      </c>
      <c r="H926" s="82">
        <v>3.5129999999999999</v>
      </c>
      <c r="I926" s="109">
        <v>0</v>
      </c>
      <c r="J926" s="20">
        <f t="shared" si="880"/>
        <v>0</v>
      </c>
      <c r="K926" s="20">
        <f t="shared" si="881"/>
        <v>0</v>
      </c>
      <c r="L926" s="20">
        <f t="shared" si="882"/>
        <v>0</v>
      </c>
      <c r="M926" s="31" t="s">
        <v>2884</v>
      </c>
      <c r="N926" s="5"/>
      <c r="Z926" s="36">
        <f t="shared" si="883"/>
        <v>0</v>
      </c>
      <c r="AB926" s="36">
        <f t="shared" si="884"/>
        <v>0</v>
      </c>
      <c r="AC926" s="36">
        <f t="shared" si="885"/>
        <v>0</v>
      </c>
      <c r="AD926" s="36">
        <f t="shared" si="886"/>
        <v>0</v>
      </c>
      <c r="AE926" s="36">
        <f t="shared" si="887"/>
        <v>0</v>
      </c>
      <c r="AF926" s="36">
        <f t="shared" si="888"/>
        <v>0</v>
      </c>
      <c r="AG926" s="36">
        <f t="shared" si="889"/>
        <v>0</v>
      </c>
      <c r="AH926" s="36">
        <f t="shared" si="890"/>
        <v>0</v>
      </c>
      <c r="AI926" s="35" t="s">
        <v>2895</v>
      </c>
      <c r="AJ926" s="20">
        <f t="shared" si="891"/>
        <v>0</v>
      </c>
      <c r="AK926" s="20">
        <f t="shared" si="892"/>
        <v>0</v>
      </c>
      <c r="AL926" s="20">
        <f t="shared" si="893"/>
        <v>0</v>
      </c>
      <c r="AN926" s="36">
        <v>21</v>
      </c>
      <c r="AO926" s="36">
        <f t="shared" si="894"/>
        <v>0</v>
      </c>
      <c r="AP926" s="36">
        <f t="shared" si="895"/>
        <v>0</v>
      </c>
      <c r="AQ926" s="37" t="s">
        <v>11</v>
      </c>
      <c r="AV926" s="36">
        <f t="shared" si="896"/>
        <v>0</v>
      </c>
      <c r="AW926" s="36">
        <f t="shared" si="897"/>
        <v>0</v>
      </c>
      <c r="AX926" s="36">
        <f t="shared" si="898"/>
        <v>0</v>
      </c>
      <c r="AY926" s="39" t="s">
        <v>2942</v>
      </c>
      <c r="AZ926" s="39" t="s">
        <v>2961</v>
      </c>
      <c r="BA926" s="35" t="s">
        <v>2968</v>
      </c>
      <c r="BC926" s="36">
        <f t="shared" si="899"/>
        <v>0</v>
      </c>
      <c r="BD926" s="36">
        <f t="shared" si="900"/>
        <v>0</v>
      </c>
      <c r="BE926" s="36">
        <v>0</v>
      </c>
      <c r="BF926" s="36">
        <f>926</f>
        <v>926</v>
      </c>
      <c r="BH926" s="20">
        <f t="shared" si="901"/>
        <v>0</v>
      </c>
      <c r="BI926" s="20">
        <f t="shared" si="902"/>
        <v>0</v>
      </c>
      <c r="BJ926" s="20">
        <f t="shared" si="903"/>
        <v>0</v>
      </c>
      <c r="BK926" s="20" t="s">
        <v>2978</v>
      </c>
      <c r="BL926" s="36" t="s">
        <v>1688</v>
      </c>
    </row>
    <row r="927" spans="1:64" x14ac:dyDescent="0.2">
      <c r="A927" s="4" t="s">
        <v>802</v>
      </c>
      <c r="B927" s="13" t="s">
        <v>1697</v>
      </c>
      <c r="C927" s="174" t="s">
        <v>2702</v>
      </c>
      <c r="D927" s="175"/>
      <c r="E927" s="175"/>
      <c r="F927" s="175"/>
      <c r="G927" s="13" t="s">
        <v>2856</v>
      </c>
      <c r="H927" s="82">
        <v>73.805999999999997</v>
      </c>
      <c r="I927" s="109">
        <v>0</v>
      </c>
      <c r="J927" s="20">
        <f t="shared" si="880"/>
        <v>0</v>
      </c>
      <c r="K927" s="20">
        <f t="shared" si="881"/>
        <v>0</v>
      </c>
      <c r="L927" s="20">
        <f t="shared" si="882"/>
        <v>0</v>
      </c>
      <c r="M927" s="31" t="s">
        <v>2884</v>
      </c>
      <c r="N927" s="5"/>
      <c r="Z927" s="36">
        <f t="shared" si="883"/>
        <v>0</v>
      </c>
      <c r="AB927" s="36">
        <f t="shared" si="884"/>
        <v>0</v>
      </c>
      <c r="AC927" s="36">
        <f t="shared" si="885"/>
        <v>0</v>
      </c>
      <c r="AD927" s="36">
        <f t="shared" si="886"/>
        <v>0</v>
      </c>
      <c r="AE927" s="36">
        <f t="shared" si="887"/>
        <v>0</v>
      </c>
      <c r="AF927" s="36">
        <f t="shared" si="888"/>
        <v>0</v>
      </c>
      <c r="AG927" s="36">
        <f t="shared" si="889"/>
        <v>0</v>
      </c>
      <c r="AH927" s="36">
        <f t="shared" si="890"/>
        <v>0</v>
      </c>
      <c r="AI927" s="35" t="s">
        <v>2895</v>
      </c>
      <c r="AJ927" s="20">
        <f t="shared" si="891"/>
        <v>0</v>
      </c>
      <c r="AK927" s="20">
        <f t="shared" si="892"/>
        <v>0</v>
      </c>
      <c r="AL927" s="20">
        <f t="shared" si="893"/>
        <v>0</v>
      </c>
      <c r="AN927" s="36">
        <v>21</v>
      </c>
      <c r="AO927" s="36">
        <f t="shared" si="894"/>
        <v>0</v>
      </c>
      <c r="AP927" s="36">
        <f t="shared" si="895"/>
        <v>0</v>
      </c>
      <c r="AQ927" s="37" t="s">
        <v>11</v>
      </c>
      <c r="AV927" s="36">
        <f t="shared" si="896"/>
        <v>0</v>
      </c>
      <c r="AW927" s="36">
        <f t="shared" si="897"/>
        <v>0</v>
      </c>
      <c r="AX927" s="36">
        <f t="shared" si="898"/>
        <v>0</v>
      </c>
      <c r="AY927" s="39" t="s">
        <v>2942</v>
      </c>
      <c r="AZ927" s="39" t="s">
        <v>2961</v>
      </c>
      <c r="BA927" s="35" t="s">
        <v>2968</v>
      </c>
      <c r="BC927" s="36">
        <f t="shared" si="899"/>
        <v>0</v>
      </c>
      <c r="BD927" s="36">
        <f t="shared" si="900"/>
        <v>0</v>
      </c>
      <c r="BE927" s="36">
        <v>0</v>
      </c>
      <c r="BF927" s="36">
        <f>927</f>
        <v>927</v>
      </c>
      <c r="BH927" s="20">
        <f t="shared" si="901"/>
        <v>0</v>
      </c>
      <c r="BI927" s="20">
        <f t="shared" si="902"/>
        <v>0</v>
      </c>
      <c r="BJ927" s="20">
        <f t="shared" si="903"/>
        <v>0</v>
      </c>
      <c r="BK927" s="20" t="s">
        <v>2978</v>
      </c>
      <c r="BL927" s="36" t="s">
        <v>1688</v>
      </c>
    </row>
    <row r="928" spans="1:64" x14ac:dyDescent="0.2">
      <c r="A928" s="4" t="s">
        <v>803</v>
      </c>
      <c r="B928" s="13" t="s">
        <v>1698</v>
      </c>
      <c r="C928" s="174" t="s">
        <v>2703</v>
      </c>
      <c r="D928" s="175"/>
      <c r="E928" s="175"/>
      <c r="F928" s="175"/>
      <c r="G928" s="13" t="s">
        <v>2856</v>
      </c>
      <c r="H928" s="82">
        <v>295.85899999999998</v>
      </c>
      <c r="I928" s="109">
        <v>0</v>
      </c>
      <c r="J928" s="20">
        <f t="shared" si="880"/>
        <v>0</v>
      </c>
      <c r="K928" s="20">
        <f t="shared" si="881"/>
        <v>0</v>
      </c>
      <c r="L928" s="20">
        <f t="shared" si="882"/>
        <v>0</v>
      </c>
      <c r="M928" s="31" t="s">
        <v>2884</v>
      </c>
      <c r="N928" s="5"/>
      <c r="Z928" s="36">
        <f t="shared" si="883"/>
        <v>0</v>
      </c>
      <c r="AB928" s="36">
        <f t="shared" si="884"/>
        <v>0</v>
      </c>
      <c r="AC928" s="36">
        <f t="shared" si="885"/>
        <v>0</v>
      </c>
      <c r="AD928" s="36">
        <f t="shared" si="886"/>
        <v>0</v>
      </c>
      <c r="AE928" s="36">
        <f t="shared" si="887"/>
        <v>0</v>
      </c>
      <c r="AF928" s="36">
        <f t="shared" si="888"/>
        <v>0</v>
      </c>
      <c r="AG928" s="36">
        <f t="shared" si="889"/>
        <v>0</v>
      </c>
      <c r="AH928" s="36">
        <f t="shared" si="890"/>
        <v>0</v>
      </c>
      <c r="AI928" s="35" t="s">
        <v>2895</v>
      </c>
      <c r="AJ928" s="20">
        <f t="shared" si="891"/>
        <v>0</v>
      </c>
      <c r="AK928" s="20">
        <f t="shared" si="892"/>
        <v>0</v>
      </c>
      <c r="AL928" s="20">
        <f t="shared" si="893"/>
        <v>0</v>
      </c>
      <c r="AN928" s="36">
        <v>21</v>
      </c>
      <c r="AO928" s="36">
        <f t="shared" si="894"/>
        <v>0</v>
      </c>
      <c r="AP928" s="36">
        <f t="shared" si="895"/>
        <v>0</v>
      </c>
      <c r="AQ928" s="37" t="s">
        <v>11</v>
      </c>
      <c r="AV928" s="36">
        <f t="shared" si="896"/>
        <v>0</v>
      </c>
      <c r="AW928" s="36">
        <f t="shared" si="897"/>
        <v>0</v>
      </c>
      <c r="AX928" s="36">
        <f t="shared" si="898"/>
        <v>0</v>
      </c>
      <c r="AY928" s="39" t="s">
        <v>2942</v>
      </c>
      <c r="AZ928" s="39" t="s">
        <v>2961</v>
      </c>
      <c r="BA928" s="35" t="s">
        <v>2968</v>
      </c>
      <c r="BC928" s="36">
        <f t="shared" si="899"/>
        <v>0</v>
      </c>
      <c r="BD928" s="36">
        <f t="shared" si="900"/>
        <v>0</v>
      </c>
      <c r="BE928" s="36">
        <v>0</v>
      </c>
      <c r="BF928" s="36">
        <f>928</f>
        <v>928</v>
      </c>
      <c r="BH928" s="20">
        <f t="shared" si="901"/>
        <v>0</v>
      </c>
      <c r="BI928" s="20">
        <f t="shared" si="902"/>
        <v>0</v>
      </c>
      <c r="BJ928" s="20">
        <f t="shared" si="903"/>
        <v>0</v>
      </c>
      <c r="BK928" s="20" t="s">
        <v>2978</v>
      </c>
      <c r="BL928" s="36" t="s">
        <v>1688</v>
      </c>
    </row>
    <row r="929" spans="1:64" x14ac:dyDescent="0.2">
      <c r="A929" s="4" t="s">
        <v>804</v>
      </c>
      <c r="B929" s="13" t="s">
        <v>1699</v>
      </c>
      <c r="C929" s="174" t="s">
        <v>2704</v>
      </c>
      <c r="D929" s="175"/>
      <c r="E929" s="175"/>
      <c r="F929" s="175"/>
      <c r="G929" s="13" t="s">
        <v>2856</v>
      </c>
      <c r="H929" s="82">
        <v>192.39</v>
      </c>
      <c r="I929" s="109">
        <v>0</v>
      </c>
      <c r="J929" s="20">
        <f t="shared" si="880"/>
        <v>0</v>
      </c>
      <c r="K929" s="20">
        <f t="shared" si="881"/>
        <v>0</v>
      </c>
      <c r="L929" s="20">
        <f t="shared" si="882"/>
        <v>0</v>
      </c>
      <c r="M929" s="31" t="s">
        <v>2884</v>
      </c>
      <c r="N929" s="5"/>
      <c r="Z929" s="36">
        <f t="shared" si="883"/>
        <v>0</v>
      </c>
      <c r="AB929" s="36">
        <f t="shared" si="884"/>
        <v>0</v>
      </c>
      <c r="AC929" s="36">
        <f t="shared" si="885"/>
        <v>0</v>
      </c>
      <c r="AD929" s="36">
        <f t="shared" si="886"/>
        <v>0</v>
      </c>
      <c r="AE929" s="36">
        <f t="shared" si="887"/>
        <v>0</v>
      </c>
      <c r="AF929" s="36">
        <f t="shared" si="888"/>
        <v>0</v>
      </c>
      <c r="AG929" s="36">
        <f t="shared" si="889"/>
        <v>0</v>
      </c>
      <c r="AH929" s="36">
        <f t="shared" si="890"/>
        <v>0</v>
      </c>
      <c r="AI929" s="35" t="s">
        <v>2895</v>
      </c>
      <c r="AJ929" s="20">
        <f t="shared" si="891"/>
        <v>0</v>
      </c>
      <c r="AK929" s="20">
        <f t="shared" si="892"/>
        <v>0</v>
      </c>
      <c r="AL929" s="20">
        <f t="shared" si="893"/>
        <v>0</v>
      </c>
      <c r="AN929" s="36">
        <v>21</v>
      </c>
      <c r="AO929" s="36">
        <f t="shared" si="894"/>
        <v>0</v>
      </c>
      <c r="AP929" s="36">
        <f t="shared" si="895"/>
        <v>0</v>
      </c>
      <c r="AQ929" s="37" t="s">
        <v>11</v>
      </c>
      <c r="AV929" s="36">
        <f t="shared" si="896"/>
        <v>0</v>
      </c>
      <c r="AW929" s="36">
        <f t="shared" si="897"/>
        <v>0</v>
      </c>
      <c r="AX929" s="36">
        <f t="shared" si="898"/>
        <v>0</v>
      </c>
      <c r="AY929" s="39" t="s">
        <v>2942</v>
      </c>
      <c r="AZ929" s="39" t="s">
        <v>2961</v>
      </c>
      <c r="BA929" s="35" t="s">
        <v>2968</v>
      </c>
      <c r="BC929" s="36">
        <f t="shared" si="899"/>
        <v>0</v>
      </c>
      <c r="BD929" s="36">
        <f t="shared" si="900"/>
        <v>0</v>
      </c>
      <c r="BE929" s="36">
        <v>0</v>
      </c>
      <c r="BF929" s="36">
        <f>929</f>
        <v>929</v>
      </c>
      <c r="BH929" s="20">
        <f t="shared" si="901"/>
        <v>0</v>
      </c>
      <c r="BI929" s="20">
        <f t="shared" si="902"/>
        <v>0</v>
      </c>
      <c r="BJ929" s="20">
        <f t="shared" si="903"/>
        <v>0</v>
      </c>
      <c r="BK929" s="20" t="s">
        <v>2978</v>
      </c>
      <c r="BL929" s="36" t="s">
        <v>1688</v>
      </c>
    </row>
    <row r="930" spans="1:64" x14ac:dyDescent="0.2">
      <c r="A930" s="4" t="s">
        <v>805</v>
      </c>
      <c r="B930" s="13" t="s">
        <v>1700</v>
      </c>
      <c r="C930" s="174" t="s">
        <v>2705</v>
      </c>
      <c r="D930" s="175"/>
      <c r="E930" s="175"/>
      <c r="F930" s="175"/>
      <c r="G930" s="13" t="s">
        <v>2856</v>
      </c>
      <c r="H930" s="82">
        <v>3.8370000000000002</v>
      </c>
      <c r="I930" s="109">
        <v>0</v>
      </c>
      <c r="J930" s="20">
        <f t="shared" si="880"/>
        <v>0</v>
      </c>
      <c r="K930" s="20">
        <f t="shared" si="881"/>
        <v>0</v>
      </c>
      <c r="L930" s="20">
        <f t="shared" si="882"/>
        <v>0</v>
      </c>
      <c r="M930" s="31" t="s">
        <v>2884</v>
      </c>
      <c r="N930" s="5"/>
      <c r="Z930" s="36">
        <f t="shared" si="883"/>
        <v>0</v>
      </c>
      <c r="AB930" s="36">
        <f t="shared" si="884"/>
        <v>0</v>
      </c>
      <c r="AC930" s="36">
        <f t="shared" si="885"/>
        <v>0</v>
      </c>
      <c r="AD930" s="36">
        <f t="shared" si="886"/>
        <v>0</v>
      </c>
      <c r="AE930" s="36">
        <f t="shared" si="887"/>
        <v>0</v>
      </c>
      <c r="AF930" s="36">
        <f t="shared" si="888"/>
        <v>0</v>
      </c>
      <c r="AG930" s="36">
        <f t="shared" si="889"/>
        <v>0</v>
      </c>
      <c r="AH930" s="36">
        <f t="shared" si="890"/>
        <v>0</v>
      </c>
      <c r="AI930" s="35" t="s">
        <v>2895</v>
      </c>
      <c r="AJ930" s="20">
        <f t="shared" si="891"/>
        <v>0</v>
      </c>
      <c r="AK930" s="20">
        <f t="shared" si="892"/>
        <v>0</v>
      </c>
      <c r="AL930" s="20">
        <f t="shared" si="893"/>
        <v>0</v>
      </c>
      <c r="AN930" s="36">
        <v>21</v>
      </c>
      <c r="AO930" s="36">
        <f t="shared" si="894"/>
        <v>0</v>
      </c>
      <c r="AP930" s="36">
        <f t="shared" si="895"/>
        <v>0</v>
      </c>
      <c r="AQ930" s="37" t="s">
        <v>11</v>
      </c>
      <c r="AV930" s="36">
        <f t="shared" si="896"/>
        <v>0</v>
      </c>
      <c r="AW930" s="36">
        <f t="shared" si="897"/>
        <v>0</v>
      </c>
      <c r="AX930" s="36">
        <f t="shared" si="898"/>
        <v>0</v>
      </c>
      <c r="AY930" s="39" t="s">
        <v>2942</v>
      </c>
      <c r="AZ930" s="39" t="s">
        <v>2961</v>
      </c>
      <c r="BA930" s="35" t="s">
        <v>2968</v>
      </c>
      <c r="BC930" s="36">
        <f t="shared" si="899"/>
        <v>0</v>
      </c>
      <c r="BD930" s="36">
        <f t="shared" si="900"/>
        <v>0</v>
      </c>
      <c r="BE930" s="36">
        <v>0</v>
      </c>
      <c r="BF930" s="36">
        <f>930</f>
        <v>930</v>
      </c>
      <c r="BH930" s="20">
        <f t="shared" si="901"/>
        <v>0</v>
      </c>
      <c r="BI930" s="20">
        <f t="shared" si="902"/>
        <v>0</v>
      </c>
      <c r="BJ930" s="20">
        <f t="shared" si="903"/>
        <v>0</v>
      </c>
      <c r="BK930" s="20" t="s">
        <v>2978</v>
      </c>
      <c r="BL930" s="36" t="s">
        <v>1688</v>
      </c>
    </row>
    <row r="931" spans="1:64" x14ac:dyDescent="0.2">
      <c r="A931" s="4" t="s">
        <v>806</v>
      </c>
      <c r="B931" s="13" t="s">
        <v>1701</v>
      </c>
      <c r="C931" s="174" t="s">
        <v>2706</v>
      </c>
      <c r="D931" s="175"/>
      <c r="E931" s="175"/>
      <c r="F931" s="175"/>
      <c r="G931" s="13" t="s">
        <v>2856</v>
      </c>
      <c r="H931" s="82">
        <v>8.1110000000000007</v>
      </c>
      <c r="I931" s="109">
        <v>0</v>
      </c>
      <c r="J931" s="20">
        <f t="shared" si="880"/>
        <v>0</v>
      </c>
      <c r="K931" s="20">
        <f t="shared" si="881"/>
        <v>0</v>
      </c>
      <c r="L931" s="20">
        <f t="shared" si="882"/>
        <v>0</v>
      </c>
      <c r="M931" s="31" t="s">
        <v>2884</v>
      </c>
      <c r="N931" s="5"/>
      <c r="Z931" s="36">
        <f t="shared" si="883"/>
        <v>0</v>
      </c>
      <c r="AB931" s="36">
        <f t="shared" si="884"/>
        <v>0</v>
      </c>
      <c r="AC931" s="36">
        <f t="shared" si="885"/>
        <v>0</v>
      </c>
      <c r="AD931" s="36">
        <f t="shared" si="886"/>
        <v>0</v>
      </c>
      <c r="AE931" s="36">
        <f t="shared" si="887"/>
        <v>0</v>
      </c>
      <c r="AF931" s="36">
        <f t="shared" si="888"/>
        <v>0</v>
      </c>
      <c r="AG931" s="36">
        <f t="shared" si="889"/>
        <v>0</v>
      </c>
      <c r="AH931" s="36">
        <f t="shared" si="890"/>
        <v>0</v>
      </c>
      <c r="AI931" s="35" t="s">
        <v>2895</v>
      </c>
      <c r="AJ931" s="20">
        <f t="shared" si="891"/>
        <v>0</v>
      </c>
      <c r="AK931" s="20">
        <f t="shared" si="892"/>
        <v>0</v>
      </c>
      <c r="AL931" s="20">
        <f t="shared" si="893"/>
        <v>0</v>
      </c>
      <c r="AN931" s="36">
        <v>21</v>
      </c>
      <c r="AO931" s="36">
        <f t="shared" si="894"/>
        <v>0</v>
      </c>
      <c r="AP931" s="36">
        <f t="shared" si="895"/>
        <v>0</v>
      </c>
      <c r="AQ931" s="37" t="s">
        <v>11</v>
      </c>
      <c r="AV931" s="36">
        <f t="shared" si="896"/>
        <v>0</v>
      </c>
      <c r="AW931" s="36">
        <f t="shared" si="897"/>
        <v>0</v>
      </c>
      <c r="AX931" s="36">
        <f t="shared" si="898"/>
        <v>0</v>
      </c>
      <c r="AY931" s="39" t="s">
        <v>2942</v>
      </c>
      <c r="AZ931" s="39" t="s">
        <v>2961</v>
      </c>
      <c r="BA931" s="35" t="s">
        <v>2968</v>
      </c>
      <c r="BC931" s="36">
        <f t="shared" si="899"/>
        <v>0</v>
      </c>
      <c r="BD931" s="36">
        <f t="shared" si="900"/>
        <v>0</v>
      </c>
      <c r="BE931" s="36">
        <v>0</v>
      </c>
      <c r="BF931" s="36">
        <f>931</f>
        <v>931</v>
      </c>
      <c r="BH931" s="20">
        <f t="shared" si="901"/>
        <v>0</v>
      </c>
      <c r="BI931" s="20">
        <f t="shared" si="902"/>
        <v>0</v>
      </c>
      <c r="BJ931" s="20">
        <f t="shared" si="903"/>
        <v>0</v>
      </c>
      <c r="BK931" s="20" t="s">
        <v>2978</v>
      </c>
      <c r="BL931" s="36" t="s">
        <v>1688</v>
      </c>
    </row>
    <row r="932" spans="1:64" x14ac:dyDescent="0.2">
      <c r="A932" s="4" t="s">
        <v>807</v>
      </c>
      <c r="B932" s="13" t="s">
        <v>1702</v>
      </c>
      <c r="C932" s="174" t="s">
        <v>2707</v>
      </c>
      <c r="D932" s="175"/>
      <c r="E932" s="175"/>
      <c r="F932" s="175"/>
      <c r="G932" s="13" t="s">
        <v>2856</v>
      </c>
      <c r="H932" s="82">
        <v>0.30599999999999999</v>
      </c>
      <c r="I932" s="109">
        <v>0</v>
      </c>
      <c r="J932" s="20">
        <f t="shared" si="880"/>
        <v>0</v>
      </c>
      <c r="K932" s="20">
        <f t="shared" si="881"/>
        <v>0</v>
      </c>
      <c r="L932" s="20">
        <f t="shared" si="882"/>
        <v>0</v>
      </c>
      <c r="M932" s="31" t="s">
        <v>2884</v>
      </c>
      <c r="N932" s="5"/>
      <c r="Z932" s="36">
        <f t="shared" si="883"/>
        <v>0</v>
      </c>
      <c r="AB932" s="36">
        <f t="shared" si="884"/>
        <v>0</v>
      </c>
      <c r="AC932" s="36">
        <f t="shared" si="885"/>
        <v>0</v>
      </c>
      <c r="AD932" s="36">
        <f t="shared" si="886"/>
        <v>0</v>
      </c>
      <c r="AE932" s="36">
        <f t="shared" si="887"/>
        <v>0</v>
      </c>
      <c r="AF932" s="36">
        <f t="shared" si="888"/>
        <v>0</v>
      </c>
      <c r="AG932" s="36">
        <f t="shared" si="889"/>
        <v>0</v>
      </c>
      <c r="AH932" s="36">
        <f t="shared" si="890"/>
        <v>0</v>
      </c>
      <c r="AI932" s="35" t="s">
        <v>2895</v>
      </c>
      <c r="AJ932" s="20">
        <f t="shared" si="891"/>
        <v>0</v>
      </c>
      <c r="AK932" s="20">
        <f t="shared" si="892"/>
        <v>0</v>
      </c>
      <c r="AL932" s="20">
        <f t="shared" si="893"/>
        <v>0</v>
      </c>
      <c r="AN932" s="36">
        <v>21</v>
      </c>
      <c r="AO932" s="36">
        <f t="shared" si="894"/>
        <v>0</v>
      </c>
      <c r="AP932" s="36">
        <f t="shared" si="895"/>
        <v>0</v>
      </c>
      <c r="AQ932" s="37" t="s">
        <v>11</v>
      </c>
      <c r="AV932" s="36">
        <f t="shared" si="896"/>
        <v>0</v>
      </c>
      <c r="AW932" s="36">
        <f t="shared" si="897"/>
        <v>0</v>
      </c>
      <c r="AX932" s="36">
        <f t="shared" si="898"/>
        <v>0</v>
      </c>
      <c r="AY932" s="39" t="s">
        <v>2942</v>
      </c>
      <c r="AZ932" s="39" t="s">
        <v>2961</v>
      </c>
      <c r="BA932" s="35" t="s">
        <v>2968</v>
      </c>
      <c r="BC932" s="36">
        <f t="shared" si="899"/>
        <v>0</v>
      </c>
      <c r="BD932" s="36">
        <f t="shared" si="900"/>
        <v>0</v>
      </c>
      <c r="BE932" s="36">
        <v>0</v>
      </c>
      <c r="BF932" s="36">
        <f>932</f>
        <v>932</v>
      </c>
      <c r="BH932" s="20">
        <f t="shared" si="901"/>
        <v>0</v>
      </c>
      <c r="BI932" s="20">
        <f t="shared" si="902"/>
        <v>0</v>
      </c>
      <c r="BJ932" s="20">
        <f t="shared" si="903"/>
        <v>0</v>
      </c>
      <c r="BK932" s="20" t="s">
        <v>2978</v>
      </c>
      <c r="BL932" s="36" t="s">
        <v>1688</v>
      </c>
    </row>
    <row r="933" spans="1:64" x14ac:dyDescent="0.2">
      <c r="A933" s="4" t="s">
        <v>808</v>
      </c>
      <c r="B933" s="13" t="s">
        <v>1703</v>
      </c>
      <c r="C933" s="174" t="s">
        <v>2708</v>
      </c>
      <c r="D933" s="175"/>
      <c r="E933" s="175"/>
      <c r="F933" s="175"/>
      <c r="G933" s="13" t="s">
        <v>2856</v>
      </c>
      <c r="H933" s="82">
        <v>0.372</v>
      </c>
      <c r="I933" s="109">
        <v>0</v>
      </c>
      <c r="J933" s="20">
        <f t="shared" si="880"/>
        <v>0</v>
      </c>
      <c r="K933" s="20">
        <f t="shared" si="881"/>
        <v>0</v>
      </c>
      <c r="L933" s="20">
        <f t="shared" si="882"/>
        <v>0</v>
      </c>
      <c r="M933" s="31" t="s">
        <v>2884</v>
      </c>
      <c r="N933" s="5"/>
      <c r="Z933" s="36">
        <f t="shared" si="883"/>
        <v>0</v>
      </c>
      <c r="AB933" s="36">
        <f t="shared" si="884"/>
        <v>0</v>
      </c>
      <c r="AC933" s="36">
        <f t="shared" si="885"/>
        <v>0</v>
      </c>
      <c r="AD933" s="36">
        <f t="shared" si="886"/>
        <v>0</v>
      </c>
      <c r="AE933" s="36">
        <f t="shared" si="887"/>
        <v>0</v>
      </c>
      <c r="AF933" s="36">
        <f t="shared" si="888"/>
        <v>0</v>
      </c>
      <c r="AG933" s="36">
        <f t="shared" si="889"/>
        <v>0</v>
      </c>
      <c r="AH933" s="36">
        <f t="shared" si="890"/>
        <v>0</v>
      </c>
      <c r="AI933" s="35" t="s">
        <v>2895</v>
      </c>
      <c r="AJ933" s="20">
        <f t="shared" si="891"/>
        <v>0</v>
      </c>
      <c r="AK933" s="20">
        <f t="shared" si="892"/>
        <v>0</v>
      </c>
      <c r="AL933" s="20">
        <f t="shared" si="893"/>
        <v>0</v>
      </c>
      <c r="AN933" s="36">
        <v>21</v>
      </c>
      <c r="AO933" s="36">
        <f t="shared" si="894"/>
        <v>0</v>
      </c>
      <c r="AP933" s="36">
        <f t="shared" si="895"/>
        <v>0</v>
      </c>
      <c r="AQ933" s="37" t="s">
        <v>11</v>
      </c>
      <c r="AV933" s="36">
        <f t="shared" si="896"/>
        <v>0</v>
      </c>
      <c r="AW933" s="36">
        <f t="shared" si="897"/>
        <v>0</v>
      </c>
      <c r="AX933" s="36">
        <f t="shared" si="898"/>
        <v>0</v>
      </c>
      <c r="AY933" s="39" t="s">
        <v>2942</v>
      </c>
      <c r="AZ933" s="39" t="s">
        <v>2961</v>
      </c>
      <c r="BA933" s="35" t="s">
        <v>2968</v>
      </c>
      <c r="BC933" s="36">
        <f t="shared" si="899"/>
        <v>0</v>
      </c>
      <c r="BD933" s="36">
        <f t="shared" si="900"/>
        <v>0</v>
      </c>
      <c r="BE933" s="36">
        <v>0</v>
      </c>
      <c r="BF933" s="36">
        <f>933</f>
        <v>933</v>
      </c>
      <c r="BH933" s="20">
        <f t="shared" si="901"/>
        <v>0</v>
      </c>
      <c r="BI933" s="20">
        <f t="shared" si="902"/>
        <v>0</v>
      </c>
      <c r="BJ933" s="20">
        <f t="shared" si="903"/>
        <v>0</v>
      </c>
      <c r="BK933" s="20" t="s">
        <v>2978</v>
      </c>
      <c r="BL933" s="36" t="s">
        <v>1688</v>
      </c>
    </row>
    <row r="934" spans="1:64" x14ac:dyDescent="0.2">
      <c r="A934" s="4" t="s">
        <v>809</v>
      </c>
      <c r="B934" s="13" t="s">
        <v>1704</v>
      </c>
      <c r="C934" s="174" t="s">
        <v>2709</v>
      </c>
      <c r="D934" s="175"/>
      <c r="E934" s="175"/>
      <c r="F934" s="175"/>
      <c r="G934" s="13" t="s">
        <v>2856</v>
      </c>
      <c r="H934" s="82">
        <v>4.9390000000000001</v>
      </c>
      <c r="I934" s="109">
        <v>0</v>
      </c>
      <c r="J934" s="20">
        <f t="shared" si="880"/>
        <v>0</v>
      </c>
      <c r="K934" s="20">
        <f t="shared" si="881"/>
        <v>0</v>
      </c>
      <c r="L934" s="20">
        <f t="shared" si="882"/>
        <v>0</v>
      </c>
      <c r="M934" s="31" t="s">
        <v>2884</v>
      </c>
      <c r="N934" s="5"/>
      <c r="Z934" s="36">
        <f t="shared" si="883"/>
        <v>0</v>
      </c>
      <c r="AB934" s="36">
        <f t="shared" si="884"/>
        <v>0</v>
      </c>
      <c r="AC934" s="36">
        <f t="shared" si="885"/>
        <v>0</v>
      </c>
      <c r="AD934" s="36">
        <f t="shared" si="886"/>
        <v>0</v>
      </c>
      <c r="AE934" s="36">
        <f t="shared" si="887"/>
        <v>0</v>
      </c>
      <c r="AF934" s="36">
        <f t="shared" si="888"/>
        <v>0</v>
      </c>
      <c r="AG934" s="36">
        <f t="shared" si="889"/>
        <v>0</v>
      </c>
      <c r="AH934" s="36">
        <f t="shared" si="890"/>
        <v>0</v>
      </c>
      <c r="AI934" s="35" t="s">
        <v>2895</v>
      </c>
      <c r="AJ934" s="20">
        <f t="shared" si="891"/>
        <v>0</v>
      </c>
      <c r="AK934" s="20">
        <f t="shared" si="892"/>
        <v>0</v>
      </c>
      <c r="AL934" s="20">
        <f t="shared" si="893"/>
        <v>0</v>
      </c>
      <c r="AN934" s="36">
        <v>21</v>
      </c>
      <c r="AO934" s="36">
        <f t="shared" si="894"/>
        <v>0</v>
      </c>
      <c r="AP934" s="36">
        <f t="shared" si="895"/>
        <v>0</v>
      </c>
      <c r="AQ934" s="37" t="s">
        <v>11</v>
      </c>
      <c r="AV934" s="36">
        <f t="shared" si="896"/>
        <v>0</v>
      </c>
      <c r="AW934" s="36">
        <f t="shared" si="897"/>
        <v>0</v>
      </c>
      <c r="AX934" s="36">
        <f t="shared" si="898"/>
        <v>0</v>
      </c>
      <c r="AY934" s="39" t="s">
        <v>2942</v>
      </c>
      <c r="AZ934" s="39" t="s">
        <v>2961</v>
      </c>
      <c r="BA934" s="35" t="s">
        <v>2968</v>
      </c>
      <c r="BC934" s="36">
        <f t="shared" si="899"/>
        <v>0</v>
      </c>
      <c r="BD934" s="36">
        <f t="shared" si="900"/>
        <v>0</v>
      </c>
      <c r="BE934" s="36">
        <v>0</v>
      </c>
      <c r="BF934" s="36">
        <f>934</f>
        <v>934</v>
      </c>
      <c r="BH934" s="20">
        <f t="shared" si="901"/>
        <v>0</v>
      </c>
      <c r="BI934" s="20">
        <f t="shared" si="902"/>
        <v>0</v>
      </c>
      <c r="BJ934" s="20">
        <f t="shared" si="903"/>
        <v>0</v>
      </c>
      <c r="BK934" s="20" t="s">
        <v>2978</v>
      </c>
      <c r="BL934" s="36" t="s">
        <v>1688</v>
      </c>
    </row>
    <row r="935" spans="1:64" x14ac:dyDescent="0.2">
      <c r="A935" s="113" t="s">
        <v>810</v>
      </c>
      <c r="B935" s="114" t="s">
        <v>1705</v>
      </c>
      <c r="C935" s="187" t="s">
        <v>2710</v>
      </c>
      <c r="D935" s="188"/>
      <c r="E935" s="188"/>
      <c r="F935" s="188"/>
      <c r="G935" s="114" t="s">
        <v>2856</v>
      </c>
      <c r="H935" s="115">
        <v>4.7380000000000004</v>
      </c>
      <c r="I935" s="109">
        <v>0</v>
      </c>
      <c r="J935" s="20">
        <f t="shared" si="880"/>
        <v>0</v>
      </c>
      <c r="K935" s="20">
        <f t="shared" si="881"/>
        <v>0</v>
      </c>
      <c r="L935" s="20">
        <f t="shared" si="882"/>
        <v>0</v>
      </c>
      <c r="M935" s="31" t="s">
        <v>2884</v>
      </c>
      <c r="N935" s="5"/>
      <c r="Z935" s="36">
        <f t="shared" si="883"/>
        <v>0</v>
      </c>
      <c r="AB935" s="36">
        <f t="shared" si="884"/>
        <v>0</v>
      </c>
      <c r="AC935" s="36">
        <f t="shared" si="885"/>
        <v>0</v>
      </c>
      <c r="AD935" s="36">
        <f t="shared" si="886"/>
        <v>0</v>
      </c>
      <c r="AE935" s="36">
        <f t="shared" si="887"/>
        <v>0</v>
      </c>
      <c r="AF935" s="36">
        <f t="shared" si="888"/>
        <v>0</v>
      </c>
      <c r="AG935" s="36">
        <f t="shared" si="889"/>
        <v>0</v>
      </c>
      <c r="AH935" s="36">
        <f t="shared" si="890"/>
        <v>0</v>
      </c>
      <c r="AI935" s="35" t="s">
        <v>2895</v>
      </c>
      <c r="AJ935" s="20">
        <f t="shared" si="891"/>
        <v>0</v>
      </c>
      <c r="AK935" s="20">
        <f t="shared" si="892"/>
        <v>0</v>
      </c>
      <c r="AL935" s="20">
        <f t="shared" si="893"/>
        <v>0</v>
      </c>
      <c r="AN935" s="36">
        <v>21</v>
      </c>
      <c r="AO935" s="36">
        <f t="shared" si="894"/>
        <v>0</v>
      </c>
      <c r="AP935" s="36">
        <f t="shared" si="895"/>
        <v>0</v>
      </c>
      <c r="AQ935" s="37" t="s">
        <v>7</v>
      </c>
      <c r="AV935" s="36">
        <f t="shared" si="896"/>
        <v>0</v>
      </c>
      <c r="AW935" s="36">
        <f t="shared" si="897"/>
        <v>0</v>
      </c>
      <c r="AX935" s="36">
        <f t="shared" si="898"/>
        <v>0</v>
      </c>
      <c r="AY935" s="39" t="s">
        <v>2942</v>
      </c>
      <c r="AZ935" s="39" t="s">
        <v>2961</v>
      </c>
      <c r="BA935" s="35" t="s">
        <v>2968</v>
      </c>
      <c r="BC935" s="36">
        <f t="shared" si="899"/>
        <v>0</v>
      </c>
      <c r="BD935" s="36">
        <f t="shared" si="900"/>
        <v>0</v>
      </c>
      <c r="BE935" s="36">
        <v>0</v>
      </c>
      <c r="BF935" s="36">
        <f>935</f>
        <v>935</v>
      </c>
      <c r="BH935" s="20">
        <f t="shared" si="901"/>
        <v>0</v>
      </c>
      <c r="BI935" s="20">
        <f t="shared" si="902"/>
        <v>0</v>
      </c>
      <c r="BJ935" s="20">
        <f t="shared" si="903"/>
        <v>0</v>
      </c>
      <c r="BK935" s="20" t="s">
        <v>2978</v>
      </c>
      <c r="BL935" s="36" t="s">
        <v>1688</v>
      </c>
    </row>
    <row r="936" spans="1:64" x14ac:dyDescent="0.2">
      <c r="A936" s="98"/>
      <c r="B936" s="99"/>
      <c r="C936" s="185" t="s">
        <v>2711</v>
      </c>
      <c r="D936" s="186"/>
      <c r="E936" s="186"/>
      <c r="F936" s="186"/>
      <c r="G936" s="100" t="s">
        <v>6</v>
      </c>
      <c r="H936" s="100" t="s">
        <v>6</v>
      </c>
      <c r="I936" s="100" t="s">
        <v>6</v>
      </c>
      <c r="J936" s="101">
        <f>J937</f>
        <v>0</v>
      </c>
      <c r="K936" s="101">
        <f>K937</f>
        <v>0</v>
      </c>
      <c r="L936" s="101">
        <f>L937</f>
        <v>0</v>
      </c>
      <c r="M936" s="102"/>
      <c r="N936" s="5"/>
    </row>
    <row r="937" spans="1:64" x14ac:dyDescent="0.2">
      <c r="A937" s="3"/>
      <c r="B937" s="12" t="s">
        <v>1706</v>
      </c>
      <c r="C937" s="172" t="s">
        <v>2452</v>
      </c>
      <c r="D937" s="173"/>
      <c r="E937" s="173"/>
      <c r="F937" s="173"/>
      <c r="G937" s="18" t="s">
        <v>6</v>
      </c>
      <c r="H937" s="18" t="s">
        <v>6</v>
      </c>
      <c r="I937" s="18" t="s">
        <v>6</v>
      </c>
      <c r="J937" s="41">
        <f>SUM(J938:J943)</f>
        <v>0</v>
      </c>
      <c r="K937" s="41">
        <f>SUM(K938:K943)</f>
        <v>0</v>
      </c>
      <c r="L937" s="41">
        <f>SUM(L938:L943)</f>
        <v>0</v>
      </c>
      <c r="M937" s="30"/>
      <c r="N937" s="5"/>
      <c r="AI937" s="35" t="s">
        <v>2896</v>
      </c>
      <c r="AS937" s="41">
        <f>SUM(AJ938:AJ943)</f>
        <v>0</v>
      </c>
      <c r="AT937" s="41">
        <f>SUM(AK938:AK943)</f>
        <v>0</v>
      </c>
      <c r="AU937" s="41">
        <f>SUM(AL938:AL943)</f>
        <v>0</v>
      </c>
    </row>
    <row r="938" spans="1:64" x14ac:dyDescent="0.2">
      <c r="A938" s="4" t="s">
        <v>811</v>
      </c>
      <c r="B938" s="13" t="s">
        <v>1707</v>
      </c>
      <c r="C938" s="174" t="s">
        <v>2712</v>
      </c>
      <c r="D938" s="175"/>
      <c r="E938" s="175"/>
      <c r="F938" s="175"/>
      <c r="G938" s="13" t="s">
        <v>2862</v>
      </c>
      <c r="H938" s="82">
        <v>5</v>
      </c>
      <c r="I938" s="109">
        <v>0</v>
      </c>
      <c r="J938" s="20">
        <f t="shared" ref="J938:J943" si="904">H938*AO938</f>
        <v>0</v>
      </c>
      <c r="K938" s="20">
        <f t="shared" ref="K938:K943" si="905">H938*AP938</f>
        <v>0</v>
      </c>
      <c r="L938" s="20">
        <f t="shared" ref="L938:L943" si="906">H938*I938</f>
        <v>0</v>
      </c>
      <c r="M938" s="31" t="s">
        <v>2884</v>
      </c>
      <c r="N938" s="5"/>
      <c r="Z938" s="36">
        <f t="shared" ref="Z938:Z943" si="907">IF(AQ938="5",BJ938,0)</f>
        <v>0</v>
      </c>
      <c r="AB938" s="36">
        <f t="shared" ref="AB938:AB943" si="908">IF(AQ938="1",BH938,0)</f>
        <v>0</v>
      </c>
      <c r="AC938" s="36">
        <f t="shared" ref="AC938:AC943" si="909">IF(AQ938="1",BI938,0)</f>
        <v>0</v>
      </c>
      <c r="AD938" s="36">
        <f t="shared" ref="AD938:AD943" si="910">IF(AQ938="7",BH938,0)</f>
        <v>0</v>
      </c>
      <c r="AE938" s="36">
        <f t="shared" ref="AE938:AE943" si="911">IF(AQ938="7",BI938,0)</f>
        <v>0</v>
      </c>
      <c r="AF938" s="36">
        <f t="shared" ref="AF938:AF943" si="912">IF(AQ938="2",BH938,0)</f>
        <v>0</v>
      </c>
      <c r="AG938" s="36">
        <f t="shared" ref="AG938:AG943" si="913">IF(AQ938="2",BI938,0)</f>
        <v>0</v>
      </c>
      <c r="AH938" s="36">
        <f t="shared" ref="AH938:AH943" si="914">IF(AQ938="0",BJ938,0)</f>
        <v>0</v>
      </c>
      <c r="AI938" s="35" t="s">
        <v>2896</v>
      </c>
      <c r="AJ938" s="20">
        <f t="shared" ref="AJ938:AJ943" si="915">IF(AN938=0,L938,0)</f>
        <v>0</v>
      </c>
      <c r="AK938" s="20">
        <f t="shared" ref="AK938:AK943" si="916">IF(AN938=15,L938,0)</f>
        <v>0</v>
      </c>
      <c r="AL938" s="20">
        <f t="shared" ref="AL938:AL943" si="917">IF(AN938=21,L938,0)</f>
        <v>0</v>
      </c>
      <c r="AN938" s="36">
        <v>21</v>
      </c>
      <c r="AO938" s="36">
        <f>I938*0</f>
        <v>0</v>
      </c>
      <c r="AP938" s="36">
        <f>I938*(1-0)</f>
        <v>0</v>
      </c>
      <c r="AQ938" s="37" t="s">
        <v>7</v>
      </c>
      <c r="AV938" s="36">
        <f t="shared" ref="AV938:AV943" si="918">AW938+AX938</f>
        <v>0</v>
      </c>
      <c r="AW938" s="36">
        <f t="shared" ref="AW938:AW943" si="919">H938*AO938</f>
        <v>0</v>
      </c>
      <c r="AX938" s="36">
        <f t="shared" ref="AX938:AX943" si="920">H938*AP938</f>
        <v>0</v>
      </c>
      <c r="AY938" s="39" t="s">
        <v>2943</v>
      </c>
      <c r="AZ938" s="39" t="s">
        <v>2962</v>
      </c>
      <c r="BA938" s="35" t="s">
        <v>2969</v>
      </c>
      <c r="BC938" s="36">
        <f t="shared" ref="BC938:BC943" si="921">AW938+AX938</f>
        <v>0</v>
      </c>
      <c r="BD938" s="36">
        <f t="shared" ref="BD938:BD943" si="922">I938/(100-BE938)*100</f>
        <v>0</v>
      </c>
      <c r="BE938" s="36">
        <v>0</v>
      </c>
      <c r="BF938" s="36">
        <f>938</f>
        <v>938</v>
      </c>
      <c r="BH938" s="20">
        <f t="shared" ref="BH938:BH943" si="923">H938*AO938</f>
        <v>0</v>
      </c>
      <c r="BI938" s="20">
        <f t="shared" ref="BI938:BI943" si="924">H938*AP938</f>
        <v>0</v>
      </c>
      <c r="BJ938" s="20">
        <f t="shared" ref="BJ938:BJ943" si="925">H938*I938</f>
        <v>0</v>
      </c>
      <c r="BK938" s="20" t="s">
        <v>2978</v>
      </c>
      <c r="BL938" s="36" t="s">
        <v>1706</v>
      </c>
    </row>
    <row r="939" spans="1:64" x14ac:dyDescent="0.2">
      <c r="A939" s="4" t="s">
        <v>812</v>
      </c>
      <c r="B939" s="13" t="s">
        <v>1708</v>
      </c>
      <c r="C939" s="174" t="s">
        <v>2713</v>
      </c>
      <c r="D939" s="175"/>
      <c r="E939" s="175"/>
      <c r="F939" s="175"/>
      <c r="G939" s="13" t="s">
        <v>2868</v>
      </c>
      <c r="H939" s="82">
        <v>1</v>
      </c>
      <c r="I939" s="109">
        <v>0</v>
      </c>
      <c r="J939" s="20">
        <f t="shared" si="904"/>
        <v>0</v>
      </c>
      <c r="K939" s="20">
        <f t="shared" si="905"/>
        <v>0</v>
      </c>
      <c r="L939" s="20">
        <f t="shared" si="906"/>
        <v>0</v>
      </c>
      <c r="M939" s="31" t="s">
        <v>2884</v>
      </c>
      <c r="N939" s="5"/>
      <c r="Z939" s="36">
        <f t="shared" si="907"/>
        <v>0</v>
      </c>
      <c r="AB939" s="36">
        <f t="shared" si="908"/>
        <v>0</v>
      </c>
      <c r="AC939" s="36">
        <f t="shared" si="909"/>
        <v>0</v>
      </c>
      <c r="AD939" s="36">
        <f t="shared" si="910"/>
        <v>0</v>
      </c>
      <c r="AE939" s="36">
        <f t="shared" si="911"/>
        <v>0</v>
      </c>
      <c r="AF939" s="36">
        <f t="shared" si="912"/>
        <v>0</v>
      </c>
      <c r="AG939" s="36">
        <f t="shared" si="913"/>
        <v>0</v>
      </c>
      <c r="AH939" s="36">
        <f t="shared" si="914"/>
        <v>0</v>
      </c>
      <c r="AI939" s="35" t="s">
        <v>2896</v>
      </c>
      <c r="AJ939" s="20">
        <f t="shared" si="915"/>
        <v>0</v>
      </c>
      <c r="AK939" s="20">
        <f t="shared" si="916"/>
        <v>0</v>
      </c>
      <c r="AL939" s="20">
        <f t="shared" si="917"/>
        <v>0</v>
      </c>
      <c r="AN939" s="36">
        <v>21</v>
      </c>
      <c r="AO939" s="36">
        <f>I939*0.53</f>
        <v>0</v>
      </c>
      <c r="AP939" s="36">
        <f>I939*(1-0.53)</f>
        <v>0</v>
      </c>
      <c r="AQ939" s="37" t="s">
        <v>7</v>
      </c>
      <c r="AV939" s="36">
        <f t="shared" si="918"/>
        <v>0</v>
      </c>
      <c r="AW939" s="36">
        <f t="shared" si="919"/>
        <v>0</v>
      </c>
      <c r="AX939" s="36">
        <f t="shared" si="920"/>
        <v>0</v>
      </c>
      <c r="AY939" s="39" t="s">
        <v>2943</v>
      </c>
      <c r="AZ939" s="39" t="s">
        <v>2962</v>
      </c>
      <c r="BA939" s="35" t="s">
        <v>2969</v>
      </c>
      <c r="BC939" s="36">
        <f t="shared" si="921"/>
        <v>0</v>
      </c>
      <c r="BD939" s="36">
        <f t="shared" si="922"/>
        <v>0</v>
      </c>
      <c r="BE939" s="36">
        <v>0</v>
      </c>
      <c r="BF939" s="36">
        <f>939</f>
        <v>939</v>
      </c>
      <c r="BH939" s="20">
        <f t="shared" si="923"/>
        <v>0</v>
      </c>
      <c r="BI939" s="20">
        <f t="shared" si="924"/>
        <v>0</v>
      </c>
      <c r="BJ939" s="20">
        <f t="shared" si="925"/>
        <v>0</v>
      </c>
      <c r="BK939" s="20" t="s">
        <v>2978</v>
      </c>
      <c r="BL939" s="36" t="s">
        <v>1706</v>
      </c>
    </row>
    <row r="940" spans="1:64" x14ac:dyDescent="0.2">
      <c r="A940" s="4" t="s">
        <v>813</v>
      </c>
      <c r="B940" s="13" t="s">
        <v>1709</v>
      </c>
      <c r="C940" s="174" t="s">
        <v>2714</v>
      </c>
      <c r="D940" s="175"/>
      <c r="E940" s="175"/>
      <c r="F940" s="175"/>
      <c r="G940" s="13" t="s">
        <v>2868</v>
      </c>
      <c r="H940" s="82">
        <v>1</v>
      </c>
      <c r="I940" s="109">
        <v>0</v>
      </c>
      <c r="J940" s="20">
        <f t="shared" si="904"/>
        <v>0</v>
      </c>
      <c r="K940" s="20">
        <f t="shared" si="905"/>
        <v>0</v>
      </c>
      <c r="L940" s="20">
        <f t="shared" si="906"/>
        <v>0</v>
      </c>
      <c r="M940" s="31" t="s">
        <v>2884</v>
      </c>
      <c r="N940" s="5"/>
      <c r="Z940" s="36">
        <f t="shared" si="907"/>
        <v>0</v>
      </c>
      <c r="AB940" s="36">
        <f t="shared" si="908"/>
        <v>0</v>
      </c>
      <c r="AC940" s="36">
        <f t="shared" si="909"/>
        <v>0</v>
      </c>
      <c r="AD940" s="36">
        <f t="shared" si="910"/>
        <v>0</v>
      </c>
      <c r="AE940" s="36">
        <f t="shared" si="911"/>
        <v>0</v>
      </c>
      <c r="AF940" s="36">
        <f t="shared" si="912"/>
        <v>0</v>
      </c>
      <c r="AG940" s="36">
        <f t="shared" si="913"/>
        <v>0</v>
      </c>
      <c r="AH940" s="36">
        <f t="shared" si="914"/>
        <v>0</v>
      </c>
      <c r="AI940" s="35" t="s">
        <v>2896</v>
      </c>
      <c r="AJ940" s="20">
        <f t="shared" si="915"/>
        <v>0</v>
      </c>
      <c r="AK940" s="20">
        <f t="shared" si="916"/>
        <v>0</v>
      </c>
      <c r="AL940" s="20">
        <f t="shared" si="917"/>
        <v>0</v>
      </c>
      <c r="AN940" s="36">
        <v>21</v>
      </c>
      <c r="AO940" s="36">
        <f>I940*0.53</f>
        <v>0</v>
      </c>
      <c r="AP940" s="36">
        <f>I940*(1-0.53)</f>
        <v>0</v>
      </c>
      <c r="AQ940" s="37" t="s">
        <v>7</v>
      </c>
      <c r="AV940" s="36">
        <f t="shared" si="918"/>
        <v>0</v>
      </c>
      <c r="AW940" s="36">
        <f t="shared" si="919"/>
        <v>0</v>
      </c>
      <c r="AX940" s="36">
        <f t="shared" si="920"/>
        <v>0</v>
      </c>
      <c r="AY940" s="39" t="s">
        <v>2943</v>
      </c>
      <c r="AZ940" s="39" t="s">
        <v>2962</v>
      </c>
      <c r="BA940" s="35" t="s">
        <v>2969</v>
      </c>
      <c r="BC940" s="36">
        <f t="shared" si="921"/>
        <v>0</v>
      </c>
      <c r="BD940" s="36">
        <f t="shared" si="922"/>
        <v>0</v>
      </c>
      <c r="BE940" s="36">
        <v>0</v>
      </c>
      <c r="BF940" s="36">
        <f>940</f>
        <v>940</v>
      </c>
      <c r="BH940" s="20">
        <f t="shared" si="923"/>
        <v>0</v>
      </c>
      <c r="BI940" s="20">
        <f t="shared" si="924"/>
        <v>0</v>
      </c>
      <c r="BJ940" s="20">
        <f t="shared" si="925"/>
        <v>0</v>
      </c>
      <c r="BK940" s="20" t="s">
        <v>2978</v>
      </c>
      <c r="BL940" s="36" t="s">
        <v>1706</v>
      </c>
    </row>
    <row r="941" spans="1:64" x14ac:dyDescent="0.2">
      <c r="A941" s="4" t="s">
        <v>814</v>
      </c>
      <c r="B941" s="13" t="s">
        <v>1710</v>
      </c>
      <c r="C941" s="174" t="s">
        <v>2715</v>
      </c>
      <c r="D941" s="175"/>
      <c r="E941" s="175"/>
      <c r="F941" s="175"/>
      <c r="G941" s="13" t="s">
        <v>2852</v>
      </c>
      <c r="H941" s="82">
        <v>1</v>
      </c>
      <c r="I941" s="109">
        <v>0</v>
      </c>
      <c r="J941" s="20">
        <f t="shared" si="904"/>
        <v>0</v>
      </c>
      <c r="K941" s="20">
        <f t="shared" si="905"/>
        <v>0</v>
      </c>
      <c r="L941" s="20">
        <f t="shared" si="906"/>
        <v>0</v>
      </c>
      <c r="M941" s="31" t="s">
        <v>2884</v>
      </c>
      <c r="N941" s="5"/>
      <c r="Z941" s="36">
        <f t="shared" si="907"/>
        <v>0</v>
      </c>
      <c r="AB941" s="36">
        <f t="shared" si="908"/>
        <v>0</v>
      </c>
      <c r="AC941" s="36">
        <f t="shared" si="909"/>
        <v>0</v>
      </c>
      <c r="AD941" s="36">
        <f t="shared" si="910"/>
        <v>0</v>
      </c>
      <c r="AE941" s="36">
        <f t="shared" si="911"/>
        <v>0</v>
      </c>
      <c r="AF941" s="36">
        <f t="shared" si="912"/>
        <v>0</v>
      </c>
      <c r="AG941" s="36">
        <f t="shared" si="913"/>
        <v>0</v>
      </c>
      <c r="AH941" s="36">
        <f t="shared" si="914"/>
        <v>0</v>
      </c>
      <c r="AI941" s="35" t="s">
        <v>2896</v>
      </c>
      <c r="AJ941" s="20">
        <f t="shared" si="915"/>
        <v>0</v>
      </c>
      <c r="AK941" s="20">
        <f t="shared" si="916"/>
        <v>0</v>
      </c>
      <c r="AL941" s="20">
        <f t="shared" si="917"/>
        <v>0</v>
      </c>
      <c r="AN941" s="36">
        <v>21</v>
      </c>
      <c r="AO941" s="36">
        <f>I941*0</f>
        <v>0</v>
      </c>
      <c r="AP941" s="36">
        <f>I941*(1-0)</f>
        <v>0</v>
      </c>
      <c r="AQ941" s="37" t="s">
        <v>7</v>
      </c>
      <c r="AV941" s="36">
        <f t="shared" si="918"/>
        <v>0</v>
      </c>
      <c r="AW941" s="36">
        <f t="shared" si="919"/>
        <v>0</v>
      </c>
      <c r="AX941" s="36">
        <f t="shared" si="920"/>
        <v>0</v>
      </c>
      <c r="AY941" s="39" t="s">
        <v>2943</v>
      </c>
      <c r="AZ941" s="39" t="s">
        <v>2962</v>
      </c>
      <c r="BA941" s="35" t="s">
        <v>2969</v>
      </c>
      <c r="BC941" s="36">
        <f t="shared" si="921"/>
        <v>0</v>
      </c>
      <c r="BD941" s="36">
        <f t="shared" si="922"/>
        <v>0</v>
      </c>
      <c r="BE941" s="36">
        <v>0</v>
      </c>
      <c r="BF941" s="36">
        <f>941</f>
        <v>941</v>
      </c>
      <c r="BH941" s="20">
        <f t="shared" si="923"/>
        <v>0</v>
      </c>
      <c r="BI941" s="20">
        <f t="shared" si="924"/>
        <v>0</v>
      </c>
      <c r="BJ941" s="20">
        <f t="shared" si="925"/>
        <v>0</v>
      </c>
      <c r="BK941" s="20" t="s">
        <v>2978</v>
      </c>
      <c r="BL941" s="36" t="s">
        <v>1706</v>
      </c>
    </row>
    <row r="942" spans="1:64" x14ac:dyDescent="0.2">
      <c r="A942" s="86" t="s">
        <v>815</v>
      </c>
      <c r="B942" s="87" t="s">
        <v>1711</v>
      </c>
      <c r="C942" s="184" t="s">
        <v>2715</v>
      </c>
      <c r="D942" s="175"/>
      <c r="E942" s="175"/>
      <c r="F942" s="175"/>
      <c r="G942" s="87" t="s">
        <v>2852</v>
      </c>
      <c r="H942" s="88">
        <v>1</v>
      </c>
      <c r="I942" s="111">
        <v>0</v>
      </c>
      <c r="J942" s="96">
        <f t="shared" si="904"/>
        <v>0</v>
      </c>
      <c r="K942" s="96">
        <f t="shared" si="905"/>
        <v>0</v>
      </c>
      <c r="L942" s="96">
        <f t="shared" si="906"/>
        <v>0</v>
      </c>
      <c r="M942" s="97" t="s">
        <v>2884</v>
      </c>
      <c r="N942" s="5"/>
      <c r="Z942" s="36">
        <f t="shared" si="907"/>
        <v>0</v>
      </c>
      <c r="AB942" s="36">
        <f t="shared" si="908"/>
        <v>0</v>
      </c>
      <c r="AC942" s="36">
        <f t="shared" si="909"/>
        <v>0</v>
      </c>
      <c r="AD942" s="36">
        <f t="shared" si="910"/>
        <v>0</v>
      </c>
      <c r="AE942" s="36">
        <f t="shared" si="911"/>
        <v>0</v>
      </c>
      <c r="AF942" s="36">
        <f t="shared" si="912"/>
        <v>0</v>
      </c>
      <c r="AG942" s="36">
        <f t="shared" si="913"/>
        <v>0</v>
      </c>
      <c r="AH942" s="36">
        <f t="shared" si="914"/>
        <v>0</v>
      </c>
      <c r="AI942" s="35" t="s">
        <v>2896</v>
      </c>
      <c r="AJ942" s="20">
        <f t="shared" si="915"/>
        <v>0</v>
      </c>
      <c r="AK942" s="20">
        <f t="shared" si="916"/>
        <v>0</v>
      </c>
      <c r="AL942" s="20">
        <f t="shared" si="917"/>
        <v>0</v>
      </c>
      <c r="AN942" s="36">
        <v>21</v>
      </c>
      <c r="AO942" s="36">
        <f>I942*1</f>
        <v>0</v>
      </c>
      <c r="AP942" s="36">
        <f>I942*(1-1)</f>
        <v>0</v>
      </c>
      <c r="AQ942" s="37" t="s">
        <v>7</v>
      </c>
      <c r="AV942" s="36">
        <f t="shared" si="918"/>
        <v>0</v>
      </c>
      <c r="AW942" s="36">
        <f t="shared" si="919"/>
        <v>0</v>
      </c>
      <c r="AX942" s="36">
        <f t="shared" si="920"/>
        <v>0</v>
      </c>
      <c r="AY942" s="39" t="s">
        <v>2943</v>
      </c>
      <c r="AZ942" s="39" t="s">
        <v>2962</v>
      </c>
      <c r="BA942" s="35" t="s">
        <v>2969</v>
      </c>
      <c r="BC942" s="36">
        <f t="shared" si="921"/>
        <v>0</v>
      </c>
      <c r="BD942" s="36">
        <f t="shared" si="922"/>
        <v>0</v>
      </c>
      <c r="BE942" s="36">
        <v>0</v>
      </c>
      <c r="BF942" s="36">
        <f>942</f>
        <v>942</v>
      </c>
      <c r="BH942" s="20">
        <f t="shared" si="923"/>
        <v>0</v>
      </c>
      <c r="BI942" s="20">
        <f t="shared" si="924"/>
        <v>0</v>
      </c>
      <c r="BJ942" s="20">
        <f t="shared" si="925"/>
        <v>0</v>
      </c>
      <c r="BK942" s="20" t="s">
        <v>2978</v>
      </c>
      <c r="BL942" s="36" t="s">
        <v>1706</v>
      </c>
    </row>
    <row r="943" spans="1:64" x14ac:dyDescent="0.2">
      <c r="A943" s="4" t="s">
        <v>816</v>
      </c>
      <c r="B943" s="13" t="s">
        <v>1712</v>
      </c>
      <c r="C943" s="174" t="s">
        <v>2716</v>
      </c>
      <c r="D943" s="175"/>
      <c r="E943" s="175"/>
      <c r="F943" s="175"/>
      <c r="G943" s="13" t="s">
        <v>2862</v>
      </c>
      <c r="H943" s="82">
        <v>16</v>
      </c>
      <c r="I943" s="109">
        <v>0</v>
      </c>
      <c r="J943" s="20">
        <f t="shared" si="904"/>
        <v>0</v>
      </c>
      <c r="K943" s="20">
        <f t="shared" si="905"/>
        <v>0</v>
      </c>
      <c r="L943" s="20">
        <f t="shared" si="906"/>
        <v>0</v>
      </c>
      <c r="M943" s="31" t="s">
        <v>2884</v>
      </c>
      <c r="N943" s="5"/>
      <c r="Z943" s="36">
        <f t="shared" si="907"/>
        <v>0</v>
      </c>
      <c r="AB943" s="36">
        <f t="shared" si="908"/>
        <v>0</v>
      </c>
      <c r="AC943" s="36">
        <f t="shared" si="909"/>
        <v>0</v>
      </c>
      <c r="AD943" s="36">
        <f t="shared" si="910"/>
        <v>0</v>
      </c>
      <c r="AE943" s="36">
        <f t="shared" si="911"/>
        <v>0</v>
      </c>
      <c r="AF943" s="36">
        <f t="shared" si="912"/>
        <v>0</v>
      </c>
      <c r="AG943" s="36">
        <f t="shared" si="913"/>
        <v>0</v>
      </c>
      <c r="AH943" s="36">
        <f t="shared" si="914"/>
        <v>0</v>
      </c>
      <c r="AI943" s="35" t="s">
        <v>2896</v>
      </c>
      <c r="AJ943" s="20">
        <f t="shared" si="915"/>
        <v>0</v>
      </c>
      <c r="AK943" s="20">
        <f t="shared" si="916"/>
        <v>0</v>
      </c>
      <c r="AL943" s="20">
        <f t="shared" si="917"/>
        <v>0</v>
      </c>
      <c r="AN943" s="36">
        <v>21</v>
      </c>
      <c r="AO943" s="36">
        <f>I943*0</f>
        <v>0</v>
      </c>
      <c r="AP943" s="36">
        <f>I943*(1-0)</f>
        <v>0</v>
      </c>
      <c r="AQ943" s="37" t="s">
        <v>7</v>
      </c>
      <c r="AV943" s="36">
        <f t="shared" si="918"/>
        <v>0</v>
      </c>
      <c r="AW943" s="36">
        <f t="shared" si="919"/>
        <v>0</v>
      </c>
      <c r="AX943" s="36">
        <f t="shared" si="920"/>
        <v>0</v>
      </c>
      <c r="AY943" s="39" t="s">
        <v>2943</v>
      </c>
      <c r="AZ943" s="39" t="s">
        <v>2962</v>
      </c>
      <c r="BA943" s="35" t="s">
        <v>2969</v>
      </c>
      <c r="BC943" s="36">
        <f t="shared" si="921"/>
        <v>0</v>
      </c>
      <c r="BD943" s="36">
        <f t="shared" si="922"/>
        <v>0</v>
      </c>
      <c r="BE943" s="36">
        <v>0</v>
      </c>
      <c r="BF943" s="36">
        <f>943</f>
        <v>943</v>
      </c>
      <c r="BH943" s="20">
        <f t="shared" si="923"/>
        <v>0</v>
      </c>
      <c r="BI943" s="20">
        <f t="shared" si="924"/>
        <v>0</v>
      </c>
      <c r="BJ943" s="20">
        <f t="shared" si="925"/>
        <v>0</v>
      </c>
      <c r="BK943" s="20" t="s">
        <v>2978</v>
      </c>
      <c r="BL943" s="36" t="s">
        <v>1706</v>
      </c>
    </row>
    <row r="944" spans="1:64" x14ac:dyDescent="0.2">
      <c r="A944" s="98"/>
      <c r="B944" s="99"/>
      <c r="C944" s="185" t="s">
        <v>2717</v>
      </c>
      <c r="D944" s="186"/>
      <c r="E944" s="186"/>
      <c r="F944" s="186"/>
      <c r="G944" s="100" t="s">
        <v>6</v>
      </c>
      <c r="H944" s="100" t="s">
        <v>6</v>
      </c>
      <c r="I944" s="100" t="s">
        <v>6</v>
      </c>
      <c r="J944" s="101">
        <f>J945</f>
        <v>0</v>
      </c>
      <c r="K944" s="101">
        <f>K945</f>
        <v>0</v>
      </c>
      <c r="L944" s="101">
        <f>L945</f>
        <v>0</v>
      </c>
      <c r="M944" s="102"/>
      <c r="N944" s="5"/>
    </row>
    <row r="945" spans="1:64" x14ac:dyDescent="0.2">
      <c r="A945" s="3"/>
      <c r="B945" s="12" t="s">
        <v>14</v>
      </c>
      <c r="C945" s="172" t="s">
        <v>2718</v>
      </c>
      <c r="D945" s="173"/>
      <c r="E945" s="173"/>
      <c r="F945" s="173"/>
      <c r="G945" s="18" t="s">
        <v>6</v>
      </c>
      <c r="H945" s="18" t="s">
        <v>6</v>
      </c>
      <c r="I945" s="18" t="s">
        <v>6</v>
      </c>
      <c r="J945" s="41">
        <f>SUM(J946:J993)</f>
        <v>0</v>
      </c>
      <c r="K945" s="41">
        <f>SUM(K946:K993)</f>
        <v>0</v>
      </c>
      <c r="L945" s="41">
        <f>SUM(L946:L993)</f>
        <v>0</v>
      </c>
      <c r="M945" s="30"/>
      <c r="N945" s="5"/>
      <c r="AI945" s="35" t="s">
        <v>2897</v>
      </c>
      <c r="AS945" s="41">
        <f>SUM(AJ946:AJ993)</f>
        <v>0</v>
      </c>
      <c r="AT945" s="41">
        <f>SUM(AK946:AK993)</f>
        <v>0</v>
      </c>
      <c r="AU945" s="41">
        <f>SUM(AL946:AL993)</f>
        <v>0</v>
      </c>
    </row>
    <row r="946" spans="1:64" x14ac:dyDescent="0.2">
      <c r="A946" s="4" t="s">
        <v>817</v>
      </c>
      <c r="B946" s="13" t="s">
        <v>1713</v>
      </c>
      <c r="C946" s="174" t="s">
        <v>2719</v>
      </c>
      <c r="D946" s="175"/>
      <c r="E946" s="175"/>
      <c r="F946" s="175"/>
      <c r="G946" s="13" t="s">
        <v>2855</v>
      </c>
      <c r="H946" s="82">
        <v>22</v>
      </c>
      <c r="I946" s="109">
        <v>0</v>
      </c>
      <c r="J946" s="20">
        <f>H946*AO946</f>
        <v>0</v>
      </c>
      <c r="K946" s="20">
        <f>H946*AP946</f>
        <v>0</v>
      </c>
      <c r="L946" s="20">
        <f>H946*I946</f>
        <v>0</v>
      </c>
      <c r="M946" s="31" t="s">
        <v>2884</v>
      </c>
      <c r="N946" s="5"/>
      <c r="Z946" s="36">
        <f>IF(AQ946="5",BJ946,0)</f>
        <v>0</v>
      </c>
      <c r="AB946" s="36">
        <f>IF(AQ946="1",BH946,0)</f>
        <v>0</v>
      </c>
      <c r="AC946" s="36">
        <f>IF(AQ946="1",BI946,0)</f>
        <v>0</v>
      </c>
      <c r="AD946" s="36">
        <f>IF(AQ946="7",BH946,0)</f>
        <v>0</v>
      </c>
      <c r="AE946" s="36">
        <f>IF(AQ946="7",BI946,0)</f>
        <v>0</v>
      </c>
      <c r="AF946" s="36">
        <f>IF(AQ946="2",BH946,0)</f>
        <v>0</v>
      </c>
      <c r="AG946" s="36">
        <f>IF(AQ946="2",BI946,0)</f>
        <v>0</v>
      </c>
      <c r="AH946" s="36">
        <f>IF(AQ946="0",BJ946,0)</f>
        <v>0</v>
      </c>
      <c r="AI946" s="35" t="s">
        <v>2897</v>
      </c>
      <c r="AJ946" s="20">
        <f>IF(AN946=0,L946,0)</f>
        <v>0</v>
      </c>
      <c r="AK946" s="20">
        <f>IF(AN946=15,L946,0)</f>
        <v>0</v>
      </c>
      <c r="AL946" s="20">
        <f>IF(AN946=21,L946,0)</f>
        <v>0</v>
      </c>
      <c r="AN946" s="36">
        <v>21</v>
      </c>
      <c r="AO946" s="36">
        <f>I946*0</f>
        <v>0</v>
      </c>
      <c r="AP946" s="36">
        <f>I946*(1-0)</f>
        <v>0</v>
      </c>
      <c r="AQ946" s="37" t="s">
        <v>7</v>
      </c>
      <c r="AV946" s="36">
        <f>AW946+AX946</f>
        <v>0</v>
      </c>
      <c r="AW946" s="36">
        <f>H946*AO946</f>
        <v>0</v>
      </c>
      <c r="AX946" s="36">
        <f>H946*AP946</f>
        <v>0</v>
      </c>
      <c r="AY946" s="39" t="s">
        <v>2944</v>
      </c>
      <c r="AZ946" s="39" t="s">
        <v>2963</v>
      </c>
      <c r="BA946" s="35" t="s">
        <v>2970</v>
      </c>
      <c r="BC946" s="36">
        <f>AW946+AX946</f>
        <v>0</v>
      </c>
      <c r="BD946" s="36">
        <f>I946/(100-BE946)*100</f>
        <v>0</v>
      </c>
      <c r="BE946" s="36">
        <v>0</v>
      </c>
      <c r="BF946" s="36">
        <f>946</f>
        <v>946</v>
      </c>
      <c r="BH946" s="20">
        <f>H946*AO946</f>
        <v>0</v>
      </c>
      <c r="BI946" s="20">
        <f>H946*AP946</f>
        <v>0</v>
      </c>
      <c r="BJ946" s="20">
        <f>H946*I946</f>
        <v>0</v>
      </c>
      <c r="BK946" s="20" t="s">
        <v>2978</v>
      </c>
      <c r="BL946" s="36">
        <v>8</v>
      </c>
    </row>
    <row r="947" spans="1:64" x14ac:dyDescent="0.2">
      <c r="A947" s="5"/>
      <c r="B947" s="14"/>
      <c r="C947" s="179" t="s">
        <v>3354</v>
      </c>
      <c r="D947" s="180"/>
      <c r="E947" s="180"/>
      <c r="F947" s="180"/>
      <c r="G947" s="180"/>
      <c r="H947" s="180"/>
      <c r="I947" s="180"/>
      <c r="J947" s="180"/>
      <c r="K947" s="180"/>
      <c r="L947" s="180"/>
      <c r="M947" s="181"/>
      <c r="N947" s="5"/>
    </row>
    <row r="948" spans="1:64" x14ac:dyDescent="0.2">
      <c r="A948" s="4" t="s">
        <v>818</v>
      </c>
      <c r="B948" s="13" t="s">
        <v>1714</v>
      </c>
      <c r="C948" s="174" t="s">
        <v>2720</v>
      </c>
      <c r="D948" s="175"/>
      <c r="E948" s="175"/>
      <c r="F948" s="175"/>
      <c r="G948" s="13" t="s">
        <v>2861</v>
      </c>
      <c r="H948" s="82">
        <v>1</v>
      </c>
      <c r="I948" s="109">
        <v>0</v>
      </c>
      <c r="J948" s="20">
        <f>H948*AO948</f>
        <v>0</v>
      </c>
      <c r="K948" s="20">
        <f>H948*AP948</f>
        <v>0</v>
      </c>
      <c r="L948" s="20">
        <f>H948*I948</f>
        <v>0</v>
      </c>
      <c r="M948" s="31" t="s">
        <v>2884</v>
      </c>
      <c r="N948" s="5"/>
      <c r="Z948" s="36">
        <f>IF(AQ948="5",BJ948,0)</f>
        <v>0</v>
      </c>
      <c r="AB948" s="36">
        <f>IF(AQ948="1",BH948,0)</f>
        <v>0</v>
      </c>
      <c r="AC948" s="36">
        <f>IF(AQ948="1",BI948,0)</f>
        <v>0</v>
      </c>
      <c r="AD948" s="36">
        <f>IF(AQ948="7",BH948,0)</f>
        <v>0</v>
      </c>
      <c r="AE948" s="36">
        <f>IF(AQ948="7",BI948,0)</f>
        <v>0</v>
      </c>
      <c r="AF948" s="36">
        <f>IF(AQ948="2",BH948,0)</f>
        <v>0</v>
      </c>
      <c r="AG948" s="36">
        <f>IF(AQ948="2",BI948,0)</f>
        <v>0</v>
      </c>
      <c r="AH948" s="36">
        <f>IF(AQ948="0",BJ948,0)</f>
        <v>0</v>
      </c>
      <c r="AI948" s="35" t="s">
        <v>2897</v>
      </c>
      <c r="AJ948" s="20">
        <f>IF(AN948=0,L948,0)</f>
        <v>0</v>
      </c>
      <c r="AK948" s="20">
        <f>IF(AN948=15,L948,0)</f>
        <v>0</v>
      </c>
      <c r="AL948" s="20">
        <f>IF(AN948=21,L948,0)</f>
        <v>0</v>
      </c>
      <c r="AN948" s="36">
        <v>21</v>
      </c>
      <c r="AO948" s="36">
        <f>I948*0</f>
        <v>0</v>
      </c>
      <c r="AP948" s="36">
        <f>I948*(1-0)</f>
        <v>0</v>
      </c>
      <c r="AQ948" s="37" t="s">
        <v>7</v>
      </c>
      <c r="AV948" s="36">
        <f>AW948+AX948</f>
        <v>0</v>
      </c>
      <c r="AW948" s="36">
        <f>H948*AO948</f>
        <v>0</v>
      </c>
      <c r="AX948" s="36">
        <f>H948*AP948</f>
        <v>0</v>
      </c>
      <c r="AY948" s="39" t="s">
        <v>2944</v>
      </c>
      <c r="AZ948" s="39" t="s">
        <v>2963</v>
      </c>
      <c r="BA948" s="35" t="s">
        <v>2970</v>
      </c>
      <c r="BC948" s="36">
        <f>AW948+AX948</f>
        <v>0</v>
      </c>
      <c r="BD948" s="36">
        <f>I948/(100-BE948)*100</f>
        <v>0</v>
      </c>
      <c r="BE948" s="36">
        <v>0</v>
      </c>
      <c r="BF948" s="36">
        <f>948</f>
        <v>948</v>
      </c>
      <c r="BH948" s="20">
        <f>H948*AO948</f>
        <v>0</v>
      </c>
      <c r="BI948" s="20">
        <f>H948*AP948</f>
        <v>0</v>
      </c>
      <c r="BJ948" s="20">
        <f>H948*I948</f>
        <v>0</v>
      </c>
      <c r="BK948" s="20" t="s">
        <v>2978</v>
      </c>
      <c r="BL948" s="36">
        <v>8</v>
      </c>
    </row>
    <row r="949" spans="1:64" x14ac:dyDescent="0.2">
      <c r="A949" s="4" t="s">
        <v>819</v>
      </c>
      <c r="B949" s="13" t="s">
        <v>1715</v>
      </c>
      <c r="C949" s="174" t="s">
        <v>2721</v>
      </c>
      <c r="D949" s="175"/>
      <c r="E949" s="175"/>
      <c r="F949" s="175"/>
      <c r="G949" s="13" t="s">
        <v>2860</v>
      </c>
      <c r="H949" s="82">
        <v>1</v>
      </c>
      <c r="I949" s="109">
        <v>0</v>
      </c>
      <c r="J949" s="20">
        <f>H949*AO949</f>
        <v>0</v>
      </c>
      <c r="K949" s="20">
        <f>H949*AP949</f>
        <v>0</v>
      </c>
      <c r="L949" s="20">
        <f>H949*I949</f>
        <v>0</v>
      </c>
      <c r="M949" s="31" t="s">
        <v>2884</v>
      </c>
      <c r="N949" s="5"/>
      <c r="Z949" s="36">
        <f>IF(AQ949="5",BJ949,0)</f>
        <v>0</v>
      </c>
      <c r="AB949" s="36">
        <f>IF(AQ949="1",BH949,0)</f>
        <v>0</v>
      </c>
      <c r="AC949" s="36">
        <f>IF(AQ949="1",BI949,0)</f>
        <v>0</v>
      </c>
      <c r="AD949" s="36">
        <f>IF(AQ949="7",BH949,0)</f>
        <v>0</v>
      </c>
      <c r="AE949" s="36">
        <f>IF(AQ949="7",BI949,0)</f>
        <v>0</v>
      </c>
      <c r="AF949" s="36">
        <f>IF(AQ949="2",BH949,0)</f>
        <v>0</v>
      </c>
      <c r="AG949" s="36">
        <f>IF(AQ949="2",BI949,0)</f>
        <v>0</v>
      </c>
      <c r="AH949" s="36">
        <f>IF(AQ949="0",BJ949,0)</f>
        <v>0</v>
      </c>
      <c r="AI949" s="35" t="s">
        <v>2897</v>
      </c>
      <c r="AJ949" s="20">
        <f>IF(AN949=0,L949,0)</f>
        <v>0</v>
      </c>
      <c r="AK949" s="20">
        <f>IF(AN949=15,L949,0)</f>
        <v>0</v>
      </c>
      <c r="AL949" s="20">
        <f>IF(AN949=21,L949,0)</f>
        <v>0</v>
      </c>
      <c r="AN949" s="36">
        <v>21</v>
      </c>
      <c r="AO949" s="36">
        <f>I949*0</f>
        <v>0</v>
      </c>
      <c r="AP949" s="36">
        <f>I949*(1-0)</f>
        <v>0</v>
      </c>
      <c r="AQ949" s="37" t="s">
        <v>7</v>
      </c>
      <c r="AV949" s="36">
        <f>AW949+AX949</f>
        <v>0</v>
      </c>
      <c r="AW949" s="36">
        <f>H949*AO949</f>
        <v>0</v>
      </c>
      <c r="AX949" s="36">
        <f>H949*AP949</f>
        <v>0</v>
      </c>
      <c r="AY949" s="39" t="s">
        <v>2944</v>
      </c>
      <c r="AZ949" s="39" t="s">
        <v>2963</v>
      </c>
      <c r="BA949" s="35" t="s">
        <v>2970</v>
      </c>
      <c r="BC949" s="36">
        <f>AW949+AX949</f>
        <v>0</v>
      </c>
      <c r="BD949" s="36">
        <f>I949/(100-BE949)*100</f>
        <v>0</v>
      </c>
      <c r="BE949" s="36">
        <v>0</v>
      </c>
      <c r="BF949" s="36">
        <f>949</f>
        <v>949</v>
      </c>
      <c r="BH949" s="20">
        <f>H949*AO949</f>
        <v>0</v>
      </c>
      <c r="BI949" s="20">
        <f>H949*AP949</f>
        <v>0</v>
      </c>
      <c r="BJ949" s="20">
        <f>H949*I949</f>
        <v>0</v>
      </c>
      <c r="BK949" s="20" t="s">
        <v>2978</v>
      </c>
      <c r="BL949" s="36">
        <v>8</v>
      </c>
    </row>
    <row r="950" spans="1:64" x14ac:dyDescent="0.2">
      <c r="A950" s="4" t="s">
        <v>820</v>
      </c>
      <c r="B950" s="13" t="s">
        <v>1716</v>
      </c>
      <c r="C950" s="174" t="s">
        <v>2722</v>
      </c>
      <c r="D950" s="175"/>
      <c r="E950" s="175"/>
      <c r="F950" s="175"/>
      <c r="G950" s="13" t="s">
        <v>2855</v>
      </c>
      <c r="H950" s="82">
        <v>7</v>
      </c>
      <c r="I950" s="109">
        <v>0</v>
      </c>
      <c r="J950" s="20">
        <f>H950*AO950</f>
        <v>0</v>
      </c>
      <c r="K950" s="20">
        <f>H950*AP950</f>
        <v>0</v>
      </c>
      <c r="L950" s="20">
        <f>H950*I950</f>
        <v>0</v>
      </c>
      <c r="M950" s="31" t="s">
        <v>2884</v>
      </c>
      <c r="N950" s="5"/>
      <c r="Z950" s="36">
        <f>IF(AQ950="5",BJ950,0)</f>
        <v>0</v>
      </c>
      <c r="AB950" s="36">
        <f>IF(AQ950="1",BH950,0)</f>
        <v>0</v>
      </c>
      <c r="AC950" s="36">
        <f>IF(AQ950="1",BI950,0)</f>
        <v>0</v>
      </c>
      <c r="AD950" s="36">
        <f>IF(AQ950="7",BH950,0)</f>
        <v>0</v>
      </c>
      <c r="AE950" s="36">
        <f>IF(AQ950="7",BI950,0)</f>
        <v>0</v>
      </c>
      <c r="AF950" s="36">
        <f>IF(AQ950="2",BH950,0)</f>
        <v>0</v>
      </c>
      <c r="AG950" s="36">
        <f>IF(AQ950="2",BI950,0)</f>
        <v>0</v>
      </c>
      <c r="AH950" s="36">
        <f>IF(AQ950="0",BJ950,0)</f>
        <v>0</v>
      </c>
      <c r="AI950" s="35" t="s">
        <v>2897</v>
      </c>
      <c r="AJ950" s="20">
        <f>IF(AN950=0,L950,0)</f>
        <v>0</v>
      </c>
      <c r="AK950" s="20">
        <f>IF(AN950=15,L950,0)</f>
        <v>0</v>
      </c>
      <c r="AL950" s="20">
        <f>IF(AN950=21,L950,0)</f>
        <v>0</v>
      </c>
      <c r="AN950" s="36">
        <v>21</v>
      </c>
      <c r="AO950" s="36">
        <f>I950*0</f>
        <v>0</v>
      </c>
      <c r="AP950" s="36">
        <f>I950*(1-0)</f>
        <v>0</v>
      </c>
      <c r="AQ950" s="37" t="s">
        <v>7</v>
      </c>
      <c r="AV950" s="36">
        <f>AW950+AX950</f>
        <v>0</v>
      </c>
      <c r="AW950" s="36">
        <f>H950*AO950</f>
        <v>0</v>
      </c>
      <c r="AX950" s="36">
        <f>H950*AP950</f>
        <v>0</v>
      </c>
      <c r="AY950" s="39" t="s">
        <v>2944</v>
      </c>
      <c r="AZ950" s="39" t="s">
        <v>2963</v>
      </c>
      <c r="BA950" s="35" t="s">
        <v>2970</v>
      </c>
      <c r="BC950" s="36">
        <f>AW950+AX950</f>
        <v>0</v>
      </c>
      <c r="BD950" s="36">
        <f>I950/(100-BE950)*100</f>
        <v>0</v>
      </c>
      <c r="BE950" s="36">
        <v>0</v>
      </c>
      <c r="BF950" s="36">
        <f>950</f>
        <v>950</v>
      </c>
      <c r="BH950" s="20">
        <f>H950*AO950</f>
        <v>0</v>
      </c>
      <c r="BI950" s="20">
        <f>H950*AP950</f>
        <v>0</v>
      </c>
      <c r="BJ950" s="20">
        <f>H950*I950</f>
        <v>0</v>
      </c>
      <c r="BK950" s="20" t="s">
        <v>2978</v>
      </c>
      <c r="BL950" s="36">
        <v>8</v>
      </c>
    </row>
    <row r="951" spans="1:64" ht="25.7" customHeight="1" x14ac:dyDescent="0.2">
      <c r="A951" s="5"/>
      <c r="B951" s="14"/>
      <c r="C951" s="179" t="s">
        <v>2723</v>
      </c>
      <c r="D951" s="180"/>
      <c r="E951" s="180"/>
      <c r="F951" s="180"/>
      <c r="G951" s="180"/>
      <c r="H951" s="180"/>
      <c r="I951" s="180"/>
      <c r="J951" s="180"/>
      <c r="K951" s="180"/>
      <c r="L951" s="180"/>
      <c r="M951" s="181"/>
      <c r="N951" s="5"/>
    </row>
    <row r="952" spans="1:64" x14ac:dyDescent="0.2">
      <c r="A952" s="4" t="s">
        <v>821</v>
      </c>
      <c r="B952" s="13" t="s">
        <v>1717</v>
      </c>
      <c r="C952" s="174" t="s">
        <v>2724</v>
      </c>
      <c r="D952" s="175"/>
      <c r="E952" s="175"/>
      <c r="F952" s="175"/>
      <c r="G952" s="13" t="s">
        <v>2855</v>
      </c>
      <c r="H952" s="82">
        <v>36</v>
      </c>
      <c r="I952" s="109">
        <v>0</v>
      </c>
      <c r="J952" s="20">
        <f t="shared" ref="J952:J960" si="926">H952*AO952</f>
        <v>0</v>
      </c>
      <c r="K952" s="20">
        <f t="shared" ref="K952:K960" si="927">H952*AP952</f>
        <v>0</v>
      </c>
      <c r="L952" s="20">
        <f t="shared" ref="L952:L960" si="928">H952*I952</f>
        <v>0</v>
      </c>
      <c r="M952" s="31" t="s">
        <v>2884</v>
      </c>
      <c r="N952" s="5"/>
      <c r="Z952" s="36">
        <f t="shared" ref="Z952:Z960" si="929">IF(AQ952="5",BJ952,0)</f>
        <v>0</v>
      </c>
      <c r="AB952" s="36">
        <f t="shared" ref="AB952:AB960" si="930">IF(AQ952="1",BH952,0)</f>
        <v>0</v>
      </c>
      <c r="AC952" s="36">
        <f t="shared" ref="AC952:AC960" si="931">IF(AQ952="1",BI952,0)</f>
        <v>0</v>
      </c>
      <c r="AD952" s="36">
        <f t="shared" ref="AD952:AD960" si="932">IF(AQ952="7",BH952,0)</f>
        <v>0</v>
      </c>
      <c r="AE952" s="36">
        <f t="shared" ref="AE952:AE960" si="933">IF(AQ952="7",BI952,0)</f>
        <v>0</v>
      </c>
      <c r="AF952" s="36">
        <f t="shared" ref="AF952:AF960" si="934">IF(AQ952="2",BH952,0)</f>
        <v>0</v>
      </c>
      <c r="AG952" s="36">
        <f t="shared" ref="AG952:AG960" si="935">IF(AQ952="2",BI952,0)</f>
        <v>0</v>
      </c>
      <c r="AH952" s="36">
        <f t="shared" ref="AH952:AH960" si="936">IF(AQ952="0",BJ952,0)</f>
        <v>0</v>
      </c>
      <c r="AI952" s="35" t="s">
        <v>2897</v>
      </c>
      <c r="AJ952" s="20">
        <f t="shared" ref="AJ952:AJ960" si="937">IF(AN952=0,L952,0)</f>
        <v>0</v>
      </c>
      <c r="AK952" s="20">
        <f t="shared" ref="AK952:AK960" si="938">IF(AN952=15,L952,0)</f>
        <v>0</v>
      </c>
      <c r="AL952" s="20">
        <f t="shared" ref="AL952:AL960" si="939">IF(AN952=21,L952,0)</f>
        <v>0</v>
      </c>
      <c r="AN952" s="36">
        <v>21</v>
      </c>
      <c r="AO952" s="36">
        <f>I952*0</f>
        <v>0</v>
      </c>
      <c r="AP952" s="36">
        <f>I952*(1-0)</f>
        <v>0</v>
      </c>
      <c r="AQ952" s="37" t="s">
        <v>7</v>
      </c>
      <c r="AV952" s="36">
        <f t="shared" ref="AV952:AV960" si="940">AW952+AX952</f>
        <v>0</v>
      </c>
      <c r="AW952" s="36">
        <f t="shared" ref="AW952:AW960" si="941">H952*AO952</f>
        <v>0</v>
      </c>
      <c r="AX952" s="36">
        <f t="shared" ref="AX952:AX960" si="942">H952*AP952</f>
        <v>0</v>
      </c>
      <c r="AY952" s="39" t="s">
        <v>2944</v>
      </c>
      <c r="AZ952" s="39" t="s">
        <v>2963</v>
      </c>
      <c r="BA952" s="35" t="s">
        <v>2970</v>
      </c>
      <c r="BC952" s="36">
        <f t="shared" ref="BC952:BC960" si="943">AW952+AX952</f>
        <v>0</v>
      </c>
      <c r="BD952" s="36">
        <f t="shared" ref="BD952:BD960" si="944">I952/(100-BE952)*100</f>
        <v>0</v>
      </c>
      <c r="BE952" s="36">
        <v>0</v>
      </c>
      <c r="BF952" s="36">
        <f>952</f>
        <v>952</v>
      </c>
      <c r="BH952" s="20">
        <f t="shared" ref="BH952:BH960" si="945">H952*AO952</f>
        <v>0</v>
      </c>
      <c r="BI952" s="20">
        <f t="shared" ref="BI952:BI960" si="946">H952*AP952</f>
        <v>0</v>
      </c>
      <c r="BJ952" s="20">
        <f t="shared" ref="BJ952:BJ960" si="947">H952*I952</f>
        <v>0</v>
      </c>
      <c r="BK952" s="20" t="s">
        <v>2978</v>
      </c>
      <c r="BL952" s="36">
        <v>8</v>
      </c>
    </row>
    <row r="953" spans="1:64" x14ac:dyDescent="0.2">
      <c r="A953" s="4" t="s">
        <v>822</v>
      </c>
      <c r="B953" s="13" t="s">
        <v>1718</v>
      </c>
      <c r="C953" s="174" t="s">
        <v>2725</v>
      </c>
      <c r="D953" s="175"/>
      <c r="E953" s="175"/>
      <c r="F953" s="175"/>
      <c r="G953" s="13" t="s">
        <v>2860</v>
      </c>
      <c r="H953" s="82">
        <v>1</v>
      </c>
      <c r="I953" s="109">
        <v>0</v>
      </c>
      <c r="J953" s="20">
        <f t="shared" si="926"/>
        <v>0</v>
      </c>
      <c r="K953" s="20">
        <f t="shared" si="927"/>
        <v>0</v>
      </c>
      <c r="L953" s="20">
        <f t="shared" si="928"/>
        <v>0</v>
      </c>
      <c r="M953" s="31" t="s">
        <v>2884</v>
      </c>
      <c r="N953" s="5"/>
      <c r="Z953" s="36">
        <f t="shared" si="929"/>
        <v>0</v>
      </c>
      <c r="AB953" s="36">
        <f t="shared" si="930"/>
        <v>0</v>
      </c>
      <c r="AC953" s="36">
        <f t="shared" si="931"/>
        <v>0</v>
      </c>
      <c r="AD953" s="36">
        <f t="shared" si="932"/>
        <v>0</v>
      </c>
      <c r="AE953" s="36">
        <f t="shared" si="933"/>
        <v>0</v>
      </c>
      <c r="AF953" s="36">
        <f t="shared" si="934"/>
        <v>0</v>
      </c>
      <c r="AG953" s="36">
        <f t="shared" si="935"/>
        <v>0</v>
      </c>
      <c r="AH953" s="36">
        <f t="shared" si="936"/>
        <v>0</v>
      </c>
      <c r="AI953" s="35" t="s">
        <v>2897</v>
      </c>
      <c r="AJ953" s="20">
        <f t="shared" si="937"/>
        <v>0</v>
      </c>
      <c r="AK953" s="20">
        <f t="shared" si="938"/>
        <v>0</v>
      </c>
      <c r="AL953" s="20">
        <f t="shared" si="939"/>
        <v>0</v>
      </c>
      <c r="AN953" s="36">
        <v>21</v>
      </c>
      <c r="AO953" s="36">
        <f>I953*0</f>
        <v>0</v>
      </c>
      <c r="AP953" s="36">
        <f>I953*(1-0)</f>
        <v>0</v>
      </c>
      <c r="AQ953" s="37" t="s">
        <v>7</v>
      </c>
      <c r="AV953" s="36">
        <f t="shared" si="940"/>
        <v>0</v>
      </c>
      <c r="AW953" s="36">
        <f t="shared" si="941"/>
        <v>0</v>
      </c>
      <c r="AX953" s="36">
        <f t="shared" si="942"/>
        <v>0</v>
      </c>
      <c r="AY953" s="39" t="s">
        <v>2944</v>
      </c>
      <c r="AZ953" s="39" t="s">
        <v>2963</v>
      </c>
      <c r="BA953" s="35" t="s">
        <v>2970</v>
      </c>
      <c r="BC953" s="36">
        <f t="shared" si="943"/>
        <v>0</v>
      </c>
      <c r="BD953" s="36">
        <f t="shared" si="944"/>
        <v>0</v>
      </c>
      <c r="BE953" s="36">
        <v>0</v>
      </c>
      <c r="BF953" s="36">
        <f>953</f>
        <v>953</v>
      </c>
      <c r="BH953" s="20">
        <f t="shared" si="945"/>
        <v>0</v>
      </c>
      <c r="BI953" s="20">
        <f t="shared" si="946"/>
        <v>0</v>
      </c>
      <c r="BJ953" s="20">
        <f t="shared" si="947"/>
        <v>0</v>
      </c>
      <c r="BK953" s="20" t="s">
        <v>2978</v>
      </c>
      <c r="BL953" s="36">
        <v>8</v>
      </c>
    </row>
    <row r="954" spans="1:64" x14ac:dyDescent="0.2">
      <c r="A954" s="4" t="s">
        <v>823</v>
      </c>
      <c r="B954" s="13" t="s">
        <v>1718</v>
      </c>
      <c r="C954" s="174" t="s">
        <v>2726</v>
      </c>
      <c r="D954" s="175"/>
      <c r="E954" s="175"/>
      <c r="F954" s="175"/>
      <c r="G954" s="13" t="s">
        <v>2860</v>
      </c>
      <c r="H954" s="82">
        <v>1</v>
      </c>
      <c r="I954" s="109">
        <v>0</v>
      </c>
      <c r="J954" s="20">
        <f t="shared" si="926"/>
        <v>0</v>
      </c>
      <c r="K954" s="20">
        <f t="shared" si="927"/>
        <v>0</v>
      </c>
      <c r="L954" s="20">
        <f t="shared" si="928"/>
        <v>0</v>
      </c>
      <c r="M954" s="31" t="s">
        <v>2884</v>
      </c>
      <c r="N954" s="5"/>
      <c r="Z954" s="36">
        <f t="shared" si="929"/>
        <v>0</v>
      </c>
      <c r="AB954" s="36">
        <f t="shared" si="930"/>
        <v>0</v>
      </c>
      <c r="AC954" s="36">
        <f t="shared" si="931"/>
        <v>0</v>
      </c>
      <c r="AD954" s="36">
        <f t="shared" si="932"/>
        <v>0</v>
      </c>
      <c r="AE954" s="36">
        <f t="shared" si="933"/>
        <v>0</v>
      </c>
      <c r="AF954" s="36">
        <f t="shared" si="934"/>
        <v>0</v>
      </c>
      <c r="AG954" s="36">
        <f t="shared" si="935"/>
        <v>0</v>
      </c>
      <c r="AH954" s="36">
        <f t="shared" si="936"/>
        <v>0</v>
      </c>
      <c r="AI954" s="35" t="s">
        <v>2897</v>
      </c>
      <c r="AJ954" s="20">
        <f t="shared" si="937"/>
        <v>0</v>
      </c>
      <c r="AK954" s="20">
        <f t="shared" si="938"/>
        <v>0</v>
      </c>
      <c r="AL954" s="20">
        <f t="shared" si="939"/>
        <v>0</v>
      </c>
      <c r="AN954" s="36">
        <v>21</v>
      </c>
      <c r="AO954" s="36">
        <f>I954*0</f>
        <v>0</v>
      </c>
      <c r="AP954" s="36">
        <f>I954*(1-0)</f>
        <v>0</v>
      </c>
      <c r="AQ954" s="37" t="s">
        <v>7</v>
      </c>
      <c r="AV954" s="36">
        <f t="shared" si="940"/>
        <v>0</v>
      </c>
      <c r="AW954" s="36">
        <f t="shared" si="941"/>
        <v>0</v>
      </c>
      <c r="AX954" s="36">
        <f t="shared" si="942"/>
        <v>0</v>
      </c>
      <c r="AY954" s="39" t="s">
        <v>2944</v>
      </c>
      <c r="AZ954" s="39" t="s">
        <v>2963</v>
      </c>
      <c r="BA954" s="35" t="s">
        <v>2970</v>
      </c>
      <c r="BC954" s="36">
        <f t="shared" si="943"/>
        <v>0</v>
      </c>
      <c r="BD954" s="36">
        <f t="shared" si="944"/>
        <v>0</v>
      </c>
      <c r="BE954" s="36">
        <v>0</v>
      </c>
      <c r="BF954" s="36">
        <f>954</f>
        <v>954</v>
      </c>
      <c r="BH954" s="20">
        <f t="shared" si="945"/>
        <v>0</v>
      </c>
      <c r="BI954" s="20">
        <f t="shared" si="946"/>
        <v>0</v>
      </c>
      <c r="BJ954" s="20">
        <f t="shared" si="947"/>
        <v>0</v>
      </c>
      <c r="BK954" s="20" t="s">
        <v>2978</v>
      </c>
      <c r="BL954" s="36">
        <v>8</v>
      </c>
    </row>
    <row r="955" spans="1:64" x14ac:dyDescent="0.2">
      <c r="A955" s="4" t="s">
        <v>824</v>
      </c>
      <c r="B955" s="13" t="s">
        <v>1719</v>
      </c>
      <c r="C955" s="174" t="s">
        <v>2727</v>
      </c>
      <c r="D955" s="175"/>
      <c r="E955" s="175"/>
      <c r="F955" s="175"/>
      <c r="G955" s="13" t="s">
        <v>2855</v>
      </c>
      <c r="H955" s="82">
        <v>72</v>
      </c>
      <c r="I955" s="109">
        <v>0</v>
      </c>
      <c r="J955" s="20">
        <f t="shared" si="926"/>
        <v>0</v>
      </c>
      <c r="K955" s="20">
        <f t="shared" si="927"/>
        <v>0</v>
      </c>
      <c r="L955" s="20">
        <f t="shared" si="928"/>
        <v>0</v>
      </c>
      <c r="M955" s="31" t="s">
        <v>2884</v>
      </c>
      <c r="N955" s="5"/>
      <c r="Z955" s="36">
        <f t="shared" si="929"/>
        <v>0</v>
      </c>
      <c r="AB955" s="36">
        <f t="shared" si="930"/>
        <v>0</v>
      </c>
      <c r="AC955" s="36">
        <f t="shared" si="931"/>
        <v>0</v>
      </c>
      <c r="AD955" s="36">
        <f t="shared" si="932"/>
        <v>0</v>
      </c>
      <c r="AE955" s="36">
        <f t="shared" si="933"/>
        <v>0</v>
      </c>
      <c r="AF955" s="36">
        <f t="shared" si="934"/>
        <v>0</v>
      </c>
      <c r="AG955" s="36">
        <f t="shared" si="935"/>
        <v>0</v>
      </c>
      <c r="AH955" s="36">
        <f t="shared" si="936"/>
        <v>0</v>
      </c>
      <c r="AI955" s="35" t="s">
        <v>2897</v>
      </c>
      <c r="AJ955" s="20">
        <f t="shared" si="937"/>
        <v>0</v>
      </c>
      <c r="AK955" s="20">
        <f t="shared" si="938"/>
        <v>0</v>
      </c>
      <c r="AL955" s="20">
        <f t="shared" si="939"/>
        <v>0</v>
      </c>
      <c r="AN955" s="36">
        <v>21</v>
      </c>
      <c r="AO955" s="36">
        <f t="shared" ref="AO955:AO960" si="948">I955*0.53</f>
        <v>0</v>
      </c>
      <c r="AP955" s="36">
        <f t="shared" ref="AP955:AP960" si="949">I955*(1-0.53)</f>
        <v>0</v>
      </c>
      <c r="AQ955" s="37" t="s">
        <v>7</v>
      </c>
      <c r="AV955" s="36">
        <f t="shared" si="940"/>
        <v>0</v>
      </c>
      <c r="AW955" s="36">
        <f t="shared" si="941"/>
        <v>0</v>
      </c>
      <c r="AX955" s="36">
        <f t="shared" si="942"/>
        <v>0</v>
      </c>
      <c r="AY955" s="39" t="s">
        <v>2944</v>
      </c>
      <c r="AZ955" s="39" t="s">
        <v>2963</v>
      </c>
      <c r="BA955" s="35" t="s">
        <v>2970</v>
      </c>
      <c r="BC955" s="36">
        <f t="shared" si="943"/>
        <v>0</v>
      </c>
      <c r="BD955" s="36">
        <f t="shared" si="944"/>
        <v>0</v>
      </c>
      <c r="BE955" s="36">
        <v>0</v>
      </c>
      <c r="BF955" s="36">
        <f>955</f>
        <v>955</v>
      </c>
      <c r="BH955" s="20">
        <f t="shared" si="945"/>
        <v>0</v>
      </c>
      <c r="BI955" s="20">
        <f t="shared" si="946"/>
        <v>0</v>
      </c>
      <c r="BJ955" s="20">
        <f t="shared" si="947"/>
        <v>0</v>
      </c>
      <c r="BK955" s="20" t="s">
        <v>2978</v>
      </c>
      <c r="BL955" s="36">
        <v>8</v>
      </c>
    </row>
    <row r="956" spans="1:64" x14ac:dyDescent="0.2">
      <c r="A956" s="4" t="s">
        <v>825</v>
      </c>
      <c r="B956" s="13" t="s">
        <v>1720</v>
      </c>
      <c r="C956" s="174" t="s">
        <v>2728</v>
      </c>
      <c r="D956" s="175"/>
      <c r="E956" s="175"/>
      <c r="F956" s="175"/>
      <c r="G956" s="13" t="s">
        <v>2855</v>
      </c>
      <c r="H956" s="82">
        <v>36</v>
      </c>
      <c r="I956" s="109">
        <v>0</v>
      </c>
      <c r="J956" s="20">
        <f t="shared" si="926"/>
        <v>0</v>
      </c>
      <c r="K956" s="20">
        <f t="shared" si="927"/>
        <v>0</v>
      </c>
      <c r="L956" s="20">
        <f t="shared" si="928"/>
        <v>0</v>
      </c>
      <c r="M956" s="31" t="s">
        <v>2884</v>
      </c>
      <c r="N956" s="5"/>
      <c r="Z956" s="36">
        <f t="shared" si="929"/>
        <v>0</v>
      </c>
      <c r="AB956" s="36">
        <f t="shared" si="930"/>
        <v>0</v>
      </c>
      <c r="AC956" s="36">
        <f t="shared" si="931"/>
        <v>0</v>
      </c>
      <c r="AD956" s="36">
        <f t="shared" si="932"/>
        <v>0</v>
      </c>
      <c r="AE956" s="36">
        <f t="shared" si="933"/>
        <v>0</v>
      </c>
      <c r="AF956" s="36">
        <f t="shared" si="934"/>
        <v>0</v>
      </c>
      <c r="AG956" s="36">
        <f t="shared" si="935"/>
        <v>0</v>
      </c>
      <c r="AH956" s="36">
        <f t="shared" si="936"/>
        <v>0</v>
      </c>
      <c r="AI956" s="35" t="s">
        <v>2897</v>
      </c>
      <c r="AJ956" s="20">
        <f t="shared" si="937"/>
        <v>0</v>
      </c>
      <c r="AK956" s="20">
        <f t="shared" si="938"/>
        <v>0</v>
      </c>
      <c r="AL956" s="20">
        <f t="shared" si="939"/>
        <v>0</v>
      </c>
      <c r="AN956" s="36">
        <v>21</v>
      </c>
      <c r="AO956" s="36">
        <f t="shared" si="948"/>
        <v>0</v>
      </c>
      <c r="AP956" s="36">
        <f t="shared" si="949"/>
        <v>0</v>
      </c>
      <c r="AQ956" s="37" t="s">
        <v>7</v>
      </c>
      <c r="AV956" s="36">
        <f t="shared" si="940"/>
        <v>0</v>
      </c>
      <c r="AW956" s="36">
        <f t="shared" si="941"/>
        <v>0</v>
      </c>
      <c r="AX956" s="36">
        <f t="shared" si="942"/>
        <v>0</v>
      </c>
      <c r="AY956" s="39" t="s">
        <v>2944</v>
      </c>
      <c r="AZ956" s="39" t="s">
        <v>2963</v>
      </c>
      <c r="BA956" s="35" t="s">
        <v>2970</v>
      </c>
      <c r="BC956" s="36">
        <f t="shared" si="943"/>
        <v>0</v>
      </c>
      <c r="BD956" s="36">
        <f t="shared" si="944"/>
        <v>0</v>
      </c>
      <c r="BE956" s="36">
        <v>0</v>
      </c>
      <c r="BF956" s="36">
        <f>956</f>
        <v>956</v>
      </c>
      <c r="BH956" s="20">
        <f t="shared" si="945"/>
        <v>0</v>
      </c>
      <c r="BI956" s="20">
        <f t="shared" si="946"/>
        <v>0</v>
      </c>
      <c r="BJ956" s="20">
        <f t="shared" si="947"/>
        <v>0</v>
      </c>
      <c r="BK956" s="20" t="s">
        <v>2978</v>
      </c>
      <c r="BL956" s="36">
        <v>8</v>
      </c>
    </row>
    <row r="957" spans="1:64" x14ac:dyDescent="0.2">
      <c r="A957" s="4" t="s">
        <v>826</v>
      </c>
      <c r="B957" s="13" t="s">
        <v>1721</v>
      </c>
      <c r="C957" s="174" t="s">
        <v>2729</v>
      </c>
      <c r="D957" s="175"/>
      <c r="E957" s="175"/>
      <c r="F957" s="175"/>
      <c r="G957" s="13" t="s">
        <v>2853</v>
      </c>
      <c r="H957" s="82">
        <v>3.5</v>
      </c>
      <c r="I957" s="109">
        <v>0</v>
      </c>
      <c r="J957" s="20">
        <f t="shared" si="926"/>
        <v>0</v>
      </c>
      <c r="K957" s="20">
        <f t="shared" si="927"/>
        <v>0</v>
      </c>
      <c r="L957" s="20">
        <f t="shared" si="928"/>
        <v>0</v>
      </c>
      <c r="M957" s="31" t="s">
        <v>2884</v>
      </c>
      <c r="N957" s="5"/>
      <c r="Z957" s="36">
        <f t="shared" si="929"/>
        <v>0</v>
      </c>
      <c r="AB957" s="36">
        <f t="shared" si="930"/>
        <v>0</v>
      </c>
      <c r="AC957" s="36">
        <f t="shared" si="931"/>
        <v>0</v>
      </c>
      <c r="AD957" s="36">
        <f t="shared" si="932"/>
        <v>0</v>
      </c>
      <c r="AE957" s="36">
        <f t="shared" si="933"/>
        <v>0</v>
      </c>
      <c r="AF957" s="36">
        <f t="shared" si="934"/>
        <v>0</v>
      </c>
      <c r="AG957" s="36">
        <f t="shared" si="935"/>
        <v>0</v>
      </c>
      <c r="AH957" s="36">
        <f t="shared" si="936"/>
        <v>0</v>
      </c>
      <c r="AI957" s="35" t="s">
        <v>2897</v>
      </c>
      <c r="AJ957" s="20">
        <f t="shared" si="937"/>
        <v>0</v>
      </c>
      <c r="AK957" s="20">
        <f t="shared" si="938"/>
        <v>0</v>
      </c>
      <c r="AL957" s="20">
        <f t="shared" si="939"/>
        <v>0</v>
      </c>
      <c r="AN957" s="36">
        <v>21</v>
      </c>
      <c r="AO957" s="36">
        <f t="shared" si="948"/>
        <v>0</v>
      </c>
      <c r="AP957" s="36">
        <f t="shared" si="949"/>
        <v>0</v>
      </c>
      <c r="AQ957" s="37" t="s">
        <v>7</v>
      </c>
      <c r="AV957" s="36">
        <f t="shared" si="940"/>
        <v>0</v>
      </c>
      <c r="AW957" s="36">
        <f t="shared" si="941"/>
        <v>0</v>
      </c>
      <c r="AX957" s="36">
        <f t="shared" si="942"/>
        <v>0</v>
      </c>
      <c r="AY957" s="39" t="s">
        <v>2944</v>
      </c>
      <c r="AZ957" s="39" t="s">
        <v>2963</v>
      </c>
      <c r="BA957" s="35" t="s">
        <v>2970</v>
      </c>
      <c r="BC957" s="36">
        <f t="shared" si="943"/>
        <v>0</v>
      </c>
      <c r="BD957" s="36">
        <f t="shared" si="944"/>
        <v>0</v>
      </c>
      <c r="BE957" s="36">
        <v>0</v>
      </c>
      <c r="BF957" s="36">
        <f>957</f>
        <v>957</v>
      </c>
      <c r="BH957" s="20">
        <f t="shared" si="945"/>
        <v>0</v>
      </c>
      <c r="BI957" s="20">
        <f t="shared" si="946"/>
        <v>0</v>
      </c>
      <c r="BJ957" s="20">
        <f t="shared" si="947"/>
        <v>0</v>
      </c>
      <c r="BK957" s="20" t="s">
        <v>2978</v>
      </c>
      <c r="BL957" s="36">
        <v>8</v>
      </c>
    </row>
    <row r="958" spans="1:64" x14ac:dyDescent="0.2">
      <c r="A958" s="4" t="s">
        <v>827</v>
      </c>
      <c r="B958" s="13" t="s">
        <v>1722</v>
      </c>
      <c r="C958" s="174" t="s">
        <v>2730</v>
      </c>
      <c r="D958" s="175"/>
      <c r="E958" s="175"/>
      <c r="F958" s="175"/>
      <c r="G958" s="13" t="s">
        <v>2853</v>
      </c>
      <c r="H958" s="82">
        <v>1</v>
      </c>
      <c r="I958" s="109">
        <v>0</v>
      </c>
      <c r="J958" s="20">
        <f t="shared" si="926"/>
        <v>0</v>
      </c>
      <c r="K958" s="20">
        <f t="shared" si="927"/>
        <v>0</v>
      </c>
      <c r="L958" s="20">
        <f t="shared" si="928"/>
        <v>0</v>
      </c>
      <c r="M958" s="31" t="s">
        <v>2884</v>
      </c>
      <c r="N958" s="5"/>
      <c r="Z958" s="36">
        <f t="shared" si="929"/>
        <v>0</v>
      </c>
      <c r="AB958" s="36">
        <f t="shared" si="930"/>
        <v>0</v>
      </c>
      <c r="AC958" s="36">
        <f t="shared" si="931"/>
        <v>0</v>
      </c>
      <c r="AD958" s="36">
        <f t="shared" si="932"/>
        <v>0</v>
      </c>
      <c r="AE958" s="36">
        <f t="shared" si="933"/>
        <v>0</v>
      </c>
      <c r="AF958" s="36">
        <f t="shared" si="934"/>
        <v>0</v>
      </c>
      <c r="AG958" s="36">
        <f t="shared" si="935"/>
        <v>0</v>
      </c>
      <c r="AH958" s="36">
        <f t="shared" si="936"/>
        <v>0</v>
      </c>
      <c r="AI958" s="35" t="s">
        <v>2897</v>
      </c>
      <c r="AJ958" s="20">
        <f t="shared" si="937"/>
        <v>0</v>
      </c>
      <c r="AK958" s="20">
        <f t="shared" si="938"/>
        <v>0</v>
      </c>
      <c r="AL958" s="20">
        <f t="shared" si="939"/>
        <v>0</v>
      </c>
      <c r="AN958" s="36">
        <v>21</v>
      </c>
      <c r="AO958" s="36">
        <f t="shared" si="948"/>
        <v>0</v>
      </c>
      <c r="AP958" s="36">
        <f t="shared" si="949"/>
        <v>0</v>
      </c>
      <c r="AQ958" s="37" t="s">
        <v>7</v>
      </c>
      <c r="AV958" s="36">
        <f t="shared" si="940"/>
        <v>0</v>
      </c>
      <c r="AW958" s="36">
        <f t="shared" si="941"/>
        <v>0</v>
      </c>
      <c r="AX958" s="36">
        <f t="shared" si="942"/>
        <v>0</v>
      </c>
      <c r="AY958" s="39" t="s">
        <v>2944</v>
      </c>
      <c r="AZ958" s="39" t="s">
        <v>2963</v>
      </c>
      <c r="BA958" s="35" t="s">
        <v>2970</v>
      </c>
      <c r="BC958" s="36">
        <f t="shared" si="943"/>
        <v>0</v>
      </c>
      <c r="BD958" s="36">
        <f t="shared" si="944"/>
        <v>0</v>
      </c>
      <c r="BE958" s="36">
        <v>0</v>
      </c>
      <c r="BF958" s="36">
        <f>958</f>
        <v>958</v>
      </c>
      <c r="BH958" s="20">
        <f t="shared" si="945"/>
        <v>0</v>
      </c>
      <c r="BI958" s="20">
        <f t="shared" si="946"/>
        <v>0</v>
      </c>
      <c r="BJ958" s="20">
        <f t="shared" si="947"/>
        <v>0</v>
      </c>
      <c r="BK958" s="20" t="s">
        <v>2978</v>
      </c>
      <c r="BL958" s="36">
        <v>8</v>
      </c>
    </row>
    <row r="959" spans="1:64" x14ac:dyDescent="0.2">
      <c r="A959" s="4" t="s">
        <v>828</v>
      </c>
      <c r="B959" s="13" t="s">
        <v>1723</v>
      </c>
      <c r="C959" s="174" t="s">
        <v>2731</v>
      </c>
      <c r="D959" s="175"/>
      <c r="E959" s="175"/>
      <c r="F959" s="175"/>
      <c r="G959" s="13" t="s">
        <v>2853</v>
      </c>
      <c r="H959" s="82">
        <v>61</v>
      </c>
      <c r="I959" s="109">
        <v>0</v>
      </c>
      <c r="J959" s="20">
        <f t="shared" si="926"/>
        <v>0</v>
      </c>
      <c r="K959" s="20">
        <f t="shared" si="927"/>
        <v>0</v>
      </c>
      <c r="L959" s="20">
        <f t="shared" si="928"/>
        <v>0</v>
      </c>
      <c r="M959" s="31" t="s">
        <v>2884</v>
      </c>
      <c r="N959" s="5"/>
      <c r="Z959" s="36">
        <f t="shared" si="929"/>
        <v>0</v>
      </c>
      <c r="AB959" s="36">
        <f t="shared" si="930"/>
        <v>0</v>
      </c>
      <c r="AC959" s="36">
        <f t="shared" si="931"/>
        <v>0</v>
      </c>
      <c r="AD959" s="36">
        <f t="shared" si="932"/>
        <v>0</v>
      </c>
      <c r="AE959" s="36">
        <f t="shared" si="933"/>
        <v>0</v>
      </c>
      <c r="AF959" s="36">
        <f t="shared" si="934"/>
        <v>0</v>
      </c>
      <c r="AG959" s="36">
        <f t="shared" si="935"/>
        <v>0</v>
      </c>
      <c r="AH959" s="36">
        <f t="shared" si="936"/>
        <v>0</v>
      </c>
      <c r="AI959" s="35" t="s">
        <v>2897</v>
      </c>
      <c r="AJ959" s="20">
        <f t="shared" si="937"/>
        <v>0</v>
      </c>
      <c r="AK959" s="20">
        <f t="shared" si="938"/>
        <v>0</v>
      </c>
      <c r="AL959" s="20">
        <f t="shared" si="939"/>
        <v>0</v>
      </c>
      <c r="AN959" s="36">
        <v>21</v>
      </c>
      <c r="AO959" s="36">
        <f t="shared" si="948"/>
        <v>0</v>
      </c>
      <c r="AP959" s="36">
        <f t="shared" si="949"/>
        <v>0</v>
      </c>
      <c r="AQ959" s="37" t="s">
        <v>7</v>
      </c>
      <c r="AV959" s="36">
        <f t="shared" si="940"/>
        <v>0</v>
      </c>
      <c r="AW959" s="36">
        <f t="shared" si="941"/>
        <v>0</v>
      </c>
      <c r="AX959" s="36">
        <f t="shared" si="942"/>
        <v>0</v>
      </c>
      <c r="AY959" s="39" t="s">
        <v>2944</v>
      </c>
      <c r="AZ959" s="39" t="s">
        <v>2963</v>
      </c>
      <c r="BA959" s="35" t="s">
        <v>2970</v>
      </c>
      <c r="BC959" s="36">
        <f t="shared" si="943"/>
        <v>0</v>
      </c>
      <c r="BD959" s="36">
        <f t="shared" si="944"/>
        <v>0</v>
      </c>
      <c r="BE959" s="36">
        <v>0</v>
      </c>
      <c r="BF959" s="36">
        <f>959</f>
        <v>959</v>
      </c>
      <c r="BH959" s="20">
        <f t="shared" si="945"/>
        <v>0</v>
      </c>
      <c r="BI959" s="20">
        <f t="shared" si="946"/>
        <v>0</v>
      </c>
      <c r="BJ959" s="20">
        <f t="shared" si="947"/>
        <v>0</v>
      </c>
      <c r="BK959" s="20" t="s">
        <v>2978</v>
      </c>
      <c r="BL959" s="36">
        <v>8</v>
      </c>
    </row>
    <row r="960" spans="1:64" x14ac:dyDescent="0.2">
      <c r="A960" s="4" t="s">
        <v>829</v>
      </c>
      <c r="B960" s="13" t="s">
        <v>1724</v>
      </c>
      <c r="C960" s="174" t="s">
        <v>2732</v>
      </c>
      <c r="D960" s="175"/>
      <c r="E960" s="175"/>
      <c r="F960" s="175"/>
      <c r="G960" s="13" t="s">
        <v>2855</v>
      </c>
      <c r="H960" s="82">
        <v>72</v>
      </c>
      <c r="I960" s="109">
        <v>0</v>
      </c>
      <c r="J960" s="20">
        <f t="shared" si="926"/>
        <v>0</v>
      </c>
      <c r="K960" s="20">
        <f t="shared" si="927"/>
        <v>0</v>
      </c>
      <c r="L960" s="20">
        <f t="shared" si="928"/>
        <v>0</v>
      </c>
      <c r="M960" s="31" t="s">
        <v>2884</v>
      </c>
      <c r="N960" s="5"/>
      <c r="Z960" s="36">
        <f t="shared" si="929"/>
        <v>0</v>
      </c>
      <c r="AB960" s="36">
        <f t="shared" si="930"/>
        <v>0</v>
      </c>
      <c r="AC960" s="36">
        <f t="shared" si="931"/>
        <v>0</v>
      </c>
      <c r="AD960" s="36">
        <f t="shared" si="932"/>
        <v>0</v>
      </c>
      <c r="AE960" s="36">
        <f t="shared" si="933"/>
        <v>0</v>
      </c>
      <c r="AF960" s="36">
        <f t="shared" si="934"/>
        <v>0</v>
      </c>
      <c r="AG960" s="36">
        <f t="shared" si="935"/>
        <v>0</v>
      </c>
      <c r="AH960" s="36">
        <f t="shared" si="936"/>
        <v>0</v>
      </c>
      <c r="AI960" s="35" t="s">
        <v>2897</v>
      </c>
      <c r="AJ960" s="20">
        <f t="shared" si="937"/>
        <v>0</v>
      </c>
      <c r="AK960" s="20">
        <f t="shared" si="938"/>
        <v>0</v>
      </c>
      <c r="AL960" s="20">
        <f t="shared" si="939"/>
        <v>0</v>
      </c>
      <c r="AN960" s="36">
        <v>21</v>
      </c>
      <c r="AO960" s="36">
        <f t="shared" si="948"/>
        <v>0</v>
      </c>
      <c r="AP960" s="36">
        <f t="shared" si="949"/>
        <v>0</v>
      </c>
      <c r="AQ960" s="37" t="s">
        <v>7</v>
      </c>
      <c r="AV960" s="36">
        <f t="shared" si="940"/>
        <v>0</v>
      </c>
      <c r="AW960" s="36">
        <f t="shared" si="941"/>
        <v>0</v>
      </c>
      <c r="AX960" s="36">
        <f t="shared" si="942"/>
        <v>0</v>
      </c>
      <c r="AY960" s="39" t="s">
        <v>2944</v>
      </c>
      <c r="AZ960" s="39" t="s">
        <v>2963</v>
      </c>
      <c r="BA960" s="35" t="s">
        <v>2970</v>
      </c>
      <c r="BC960" s="36">
        <f t="shared" si="943"/>
        <v>0</v>
      </c>
      <c r="BD960" s="36">
        <f t="shared" si="944"/>
        <v>0</v>
      </c>
      <c r="BE960" s="36">
        <v>0</v>
      </c>
      <c r="BF960" s="36">
        <f>960</f>
        <v>960</v>
      </c>
      <c r="BH960" s="20">
        <f t="shared" si="945"/>
        <v>0</v>
      </c>
      <c r="BI960" s="20">
        <f t="shared" si="946"/>
        <v>0</v>
      </c>
      <c r="BJ960" s="20">
        <f t="shared" si="947"/>
        <v>0</v>
      </c>
      <c r="BK960" s="20" t="s">
        <v>2978</v>
      </c>
      <c r="BL960" s="36">
        <v>8</v>
      </c>
    </row>
    <row r="961" spans="1:64" ht="64.150000000000006" customHeight="1" x14ac:dyDescent="0.2">
      <c r="A961" s="5"/>
      <c r="B961" s="14"/>
      <c r="C961" s="179" t="s">
        <v>2733</v>
      </c>
      <c r="D961" s="180"/>
      <c r="E961" s="180"/>
      <c r="F961" s="180"/>
      <c r="G961" s="180"/>
      <c r="H961" s="180"/>
      <c r="I961" s="180"/>
      <c r="J961" s="180"/>
      <c r="K961" s="180"/>
      <c r="L961" s="180"/>
      <c r="M961" s="181"/>
      <c r="N961" s="5"/>
    </row>
    <row r="962" spans="1:64" x14ac:dyDescent="0.2">
      <c r="A962" s="4" t="s">
        <v>830</v>
      </c>
      <c r="B962" s="13" t="s">
        <v>1725</v>
      </c>
      <c r="C962" s="174" t="s">
        <v>2734</v>
      </c>
      <c r="D962" s="175"/>
      <c r="E962" s="175"/>
      <c r="F962" s="175"/>
      <c r="G962" s="13" t="s">
        <v>2855</v>
      </c>
      <c r="H962" s="82">
        <v>1.5</v>
      </c>
      <c r="I962" s="109">
        <v>0</v>
      </c>
      <c r="J962" s="20">
        <f>H962*AO962</f>
        <v>0</v>
      </c>
      <c r="K962" s="20">
        <f>H962*AP962</f>
        <v>0</v>
      </c>
      <c r="L962" s="20">
        <f>H962*I962</f>
        <v>0</v>
      </c>
      <c r="M962" s="31" t="s">
        <v>2884</v>
      </c>
      <c r="N962" s="5"/>
      <c r="Z962" s="36">
        <f>IF(AQ962="5",BJ962,0)</f>
        <v>0</v>
      </c>
      <c r="AB962" s="36">
        <f>IF(AQ962="1",BH962,0)</f>
        <v>0</v>
      </c>
      <c r="AC962" s="36">
        <f>IF(AQ962="1",BI962,0)</f>
        <v>0</v>
      </c>
      <c r="AD962" s="36">
        <f>IF(AQ962="7",BH962,0)</f>
        <v>0</v>
      </c>
      <c r="AE962" s="36">
        <f>IF(AQ962="7",BI962,0)</f>
        <v>0</v>
      </c>
      <c r="AF962" s="36">
        <f>IF(AQ962="2",BH962,0)</f>
        <v>0</v>
      </c>
      <c r="AG962" s="36">
        <f>IF(AQ962="2",BI962,0)</f>
        <v>0</v>
      </c>
      <c r="AH962" s="36">
        <f>IF(AQ962="0",BJ962,0)</f>
        <v>0</v>
      </c>
      <c r="AI962" s="35" t="s">
        <v>2897</v>
      </c>
      <c r="AJ962" s="20">
        <f>IF(AN962=0,L962,0)</f>
        <v>0</v>
      </c>
      <c r="AK962" s="20">
        <f>IF(AN962=15,L962,0)</f>
        <v>0</v>
      </c>
      <c r="AL962" s="20">
        <f>IF(AN962=21,L962,0)</f>
        <v>0</v>
      </c>
      <c r="AN962" s="36">
        <v>21</v>
      </c>
      <c r="AO962" s="36">
        <f>I962*0.53</f>
        <v>0</v>
      </c>
      <c r="AP962" s="36">
        <f>I962*(1-0.53)</f>
        <v>0</v>
      </c>
      <c r="AQ962" s="37" t="s">
        <v>7</v>
      </c>
      <c r="AV962" s="36">
        <f>AW962+AX962</f>
        <v>0</v>
      </c>
      <c r="AW962" s="36">
        <f>H962*AO962</f>
        <v>0</v>
      </c>
      <c r="AX962" s="36">
        <f>H962*AP962</f>
        <v>0</v>
      </c>
      <c r="AY962" s="39" t="s">
        <v>2944</v>
      </c>
      <c r="AZ962" s="39" t="s">
        <v>2963</v>
      </c>
      <c r="BA962" s="35" t="s">
        <v>2970</v>
      </c>
      <c r="BC962" s="36">
        <f>AW962+AX962</f>
        <v>0</v>
      </c>
      <c r="BD962" s="36">
        <f>I962/(100-BE962)*100</f>
        <v>0</v>
      </c>
      <c r="BE962" s="36">
        <v>0</v>
      </c>
      <c r="BF962" s="36">
        <f>962</f>
        <v>962</v>
      </c>
      <c r="BH962" s="20">
        <f>H962*AO962</f>
        <v>0</v>
      </c>
      <c r="BI962" s="20">
        <f>H962*AP962</f>
        <v>0</v>
      </c>
      <c r="BJ962" s="20">
        <f>H962*I962</f>
        <v>0</v>
      </c>
      <c r="BK962" s="20" t="s">
        <v>2978</v>
      </c>
      <c r="BL962" s="36">
        <v>8</v>
      </c>
    </row>
    <row r="963" spans="1:64" x14ac:dyDescent="0.2">
      <c r="A963" s="5"/>
      <c r="B963" s="14"/>
      <c r="C963" s="179" t="s">
        <v>2735</v>
      </c>
      <c r="D963" s="180"/>
      <c r="E963" s="180"/>
      <c r="F963" s="180"/>
      <c r="G963" s="180"/>
      <c r="H963" s="180"/>
      <c r="I963" s="180"/>
      <c r="J963" s="180"/>
      <c r="K963" s="180"/>
      <c r="L963" s="180"/>
      <c r="M963" s="181"/>
      <c r="N963" s="5"/>
    </row>
    <row r="964" spans="1:64" x14ac:dyDescent="0.2">
      <c r="A964" s="4" t="s">
        <v>831</v>
      </c>
      <c r="B964" s="13" t="s">
        <v>1726</v>
      </c>
      <c r="C964" s="174" t="s">
        <v>2736</v>
      </c>
      <c r="D964" s="175"/>
      <c r="E964" s="175"/>
      <c r="F964" s="175"/>
      <c r="G964" s="13" t="s">
        <v>2860</v>
      </c>
      <c r="H964" s="82">
        <v>4</v>
      </c>
      <c r="I964" s="109">
        <v>0</v>
      </c>
      <c r="J964" s="20">
        <f>H964*AO964</f>
        <v>0</v>
      </c>
      <c r="K964" s="20">
        <f>H964*AP964</f>
        <v>0</v>
      </c>
      <c r="L964" s="20">
        <f>H964*I964</f>
        <v>0</v>
      </c>
      <c r="M964" s="31" t="s">
        <v>2884</v>
      </c>
      <c r="N964" s="5"/>
      <c r="Z964" s="36">
        <f>IF(AQ964="5",BJ964,0)</f>
        <v>0</v>
      </c>
      <c r="AB964" s="36">
        <f>IF(AQ964="1",BH964,0)</f>
        <v>0</v>
      </c>
      <c r="AC964" s="36">
        <f>IF(AQ964="1",BI964,0)</f>
        <v>0</v>
      </c>
      <c r="AD964" s="36">
        <f>IF(AQ964="7",BH964,0)</f>
        <v>0</v>
      </c>
      <c r="AE964" s="36">
        <f>IF(AQ964="7",BI964,0)</f>
        <v>0</v>
      </c>
      <c r="AF964" s="36">
        <f>IF(AQ964="2",BH964,0)</f>
        <v>0</v>
      </c>
      <c r="AG964" s="36">
        <f>IF(AQ964="2",BI964,0)</f>
        <v>0</v>
      </c>
      <c r="AH964" s="36">
        <f>IF(AQ964="0",BJ964,0)</f>
        <v>0</v>
      </c>
      <c r="AI964" s="35" t="s">
        <v>2897</v>
      </c>
      <c r="AJ964" s="20">
        <f>IF(AN964=0,L964,0)</f>
        <v>0</v>
      </c>
      <c r="AK964" s="20">
        <f>IF(AN964=15,L964,0)</f>
        <v>0</v>
      </c>
      <c r="AL964" s="20">
        <f>IF(AN964=21,L964,0)</f>
        <v>0</v>
      </c>
      <c r="AN964" s="36">
        <v>21</v>
      </c>
      <c r="AO964" s="36">
        <f>I964*0.53</f>
        <v>0</v>
      </c>
      <c r="AP964" s="36">
        <f>I964*(1-0.53)</f>
        <v>0</v>
      </c>
      <c r="AQ964" s="37" t="s">
        <v>7</v>
      </c>
      <c r="AV964" s="36">
        <f>AW964+AX964</f>
        <v>0</v>
      </c>
      <c r="AW964" s="36">
        <f>H964*AO964</f>
        <v>0</v>
      </c>
      <c r="AX964" s="36">
        <f>H964*AP964</f>
        <v>0</v>
      </c>
      <c r="AY964" s="39" t="s">
        <v>2944</v>
      </c>
      <c r="AZ964" s="39" t="s">
        <v>2963</v>
      </c>
      <c r="BA964" s="35" t="s">
        <v>2970</v>
      </c>
      <c r="BC964" s="36">
        <f>AW964+AX964</f>
        <v>0</v>
      </c>
      <c r="BD964" s="36">
        <f>I964/(100-BE964)*100</f>
        <v>0</v>
      </c>
      <c r="BE964" s="36">
        <v>0</v>
      </c>
      <c r="BF964" s="36">
        <f>964</f>
        <v>964</v>
      </c>
      <c r="BH964" s="20">
        <f>H964*AO964</f>
        <v>0</v>
      </c>
      <c r="BI964" s="20">
        <f>H964*AP964</f>
        <v>0</v>
      </c>
      <c r="BJ964" s="20">
        <f>H964*I964</f>
        <v>0</v>
      </c>
      <c r="BK964" s="20" t="s">
        <v>2978</v>
      </c>
      <c r="BL964" s="36">
        <v>8</v>
      </c>
    </row>
    <row r="965" spans="1:64" x14ac:dyDescent="0.2">
      <c r="A965" s="5"/>
      <c r="B965" s="14"/>
      <c r="C965" s="179" t="s">
        <v>2737</v>
      </c>
      <c r="D965" s="180"/>
      <c r="E965" s="180"/>
      <c r="F965" s="180"/>
      <c r="G965" s="180"/>
      <c r="H965" s="180"/>
      <c r="I965" s="180"/>
      <c r="J965" s="180"/>
      <c r="K965" s="180"/>
      <c r="L965" s="180"/>
      <c r="M965" s="181"/>
      <c r="N965" s="5"/>
    </row>
    <row r="966" spans="1:64" x14ac:dyDescent="0.2">
      <c r="A966" s="4" t="s">
        <v>832</v>
      </c>
      <c r="B966" s="13" t="s">
        <v>1727</v>
      </c>
      <c r="C966" s="174" t="s">
        <v>2738</v>
      </c>
      <c r="D966" s="175"/>
      <c r="E966" s="175"/>
      <c r="F966" s="175"/>
      <c r="G966" s="13" t="s">
        <v>2860</v>
      </c>
      <c r="H966" s="82">
        <v>2</v>
      </c>
      <c r="I966" s="109">
        <v>0</v>
      </c>
      <c r="J966" s="20">
        <f t="shared" ref="J966:J993" si="950">H966*AO966</f>
        <v>0</v>
      </c>
      <c r="K966" s="20">
        <f t="shared" ref="K966:K993" si="951">H966*AP966</f>
        <v>0</v>
      </c>
      <c r="L966" s="20">
        <f t="shared" ref="L966:L993" si="952">H966*I966</f>
        <v>0</v>
      </c>
      <c r="M966" s="31" t="s">
        <v>2884</v>
      </c>
      <c r="N966" s="5"/>
      <c r="Z966" s="36">
        <f t="shared" ref="Z966:Z993" si="953">IF(AQ966="5",BJ966,0)</f>
        <v>0</v>
      </c>
      <c r="AB966" s="36">
        <f t="shared" ref="AB966:AB993" si="954">IF(AQ966="1",BH966,0)</f>
        <v>0</v>
      </c>
      <c r="AC966" s="36">
        <f t="shared" ref="AC966:AC993" si="955">IF(AQ966="1",BI966,0)</f>
        <v>0</v>
      </c>
      <c r="AD966" s="36">
        <f t="shared" ref="AD966:AD993" si="956">IF(AQ966="7",BH966,0)</f>
        <v>0</v>
      </c>
      <c r="AE966" s="36">
        <f t="shared" ref="AE966:AE993" si="957">IF(AQ966="7",BI966,0)</f>
        <v>0</v>
      </c>
      <c r="AF966" s="36">
        <f t="shared" ref="AF966:AF993" si="958">IF(AQ966="2",BH966,0)</f>
        <v>0</v>
      </c>
      <c r="AG966" s="36">
        <f t="shared" ref="AG966:AG993" si="959">IF(AQ966="2",BI966,0)</f>
        <v>0</v>
      </c>
      <c r="AH966" s="36">
        <f t="shared" ref="AH966:AH993" si="960">IF(AQ966="0",BJ966,0)</f>
        <v>0</v>
      </c>
      <c r="AI966" s="35" t="s">
        <v>2897</v>
      </c>
      <c r="AJ966" s="20">
        <f t="shared" ref="AJ966:AJ993" si="961">IF(AN966=0,L966,0)</f>
        <v>0</v>
      </c>
      <c r="AK966" s="20">
        <f t="shared" ref="AK966:AK993" si="962">IF(AN966=15,L966,0)</f>
        <v>0</v>
      </c>
      <c r="AL966" s="20">
        <f t="shared" ref="AL966:AL993" si="963">IF(AN966=21,L966,0)</f>
        <v>0</v>
      </c>
      <c r="AN966" s="36">
        <v>21</v>
      </c>
      <c r="AO966" s="36">
        <f t="shared" ref="AO966:AO979" si="964">I966*0.53</f>
        <v>0</v>
      </c>
      <c r="AP966" s="36">
        <f t="shared" ref="AP966:AP979" si="965">I966*(1-0.53)</f>
        <v>0</v>
      </c>
      <c r="AQ966" s="37" t="s">
        <v>7</v>
      </c>
      <c r="AV966" s="36">
        <f t="shared" ref="AV966:AV993" si="966">AW966+AX966</f>
        <v>0</v>
      </c>
      <c r="AW966" s="36">
        <f t="shared" ref="AW966:AW993" si="967">H966*AO966</f>
        <v>0</v>
      </c>
      <c r="AX966" s="36">
        <f t="shared" ref="AX966:AX993" si="968">H966*AP966</f>
        <v>0</v>
      </c>
      <c r="AY966" s="39" t="s">
        <v>2944</v>
      </c>
      <c r="AZ966" s="39" t="s">
        <v>2963</v>
      </c>
      <c r="BA966" s="35" t="s">
        <v>2970</v>
      </c>
      <c r="BC966" s="36">
        <f t="shared" ref="BC966:BC993" si="969">AW966+AX966</f>
        <v>0</v>
      </c>
      <c r="BD966" s="36">
        <f t="shared" ref="BD966:BD993" si="970">I966/(100-BE966)*100</f>
        <v>0</v>
      </c>
      <c r="BE966" s="36">
        <v>0</v>
      </c>
      <c r="BF966" s="36">
        <f>966</f>
        <v>966</v>
      </c>
      <c r="BH966" s="20">
        <f t="shared" ref="BH966:BH993" si="971">H966*AO966</f>
        <v>0</v>
      </c>
      <c r="BI966" s="20">
        <f t="shared" ref="BI966:BI993" si="972">H966*AP966</f>
        <v>0</v>
      </c>
      <c r="BJ966" s="20">
        <f t="shared" ref="BJ966:BJ993" si="973">H966*I966</f>
        <v>0</v>
      </c>
      <c r="BK966" s="20" t="s">
        <v>2978</v>
      </c>
      <c r="BL966" s="36">
        <v>8</v>
      </c>
    </row>
    <row r="967" spans="1:64" x14ac:dyDescent="0.2">
      <c r="A967" s="4" t="s">
        <v>833</v>
      </c>
      <c r="B967" s="13" t="s">
        <v>1728</v>
      </c>
      <c r="C967" s="174" t="s">
        <v>2739</v>
      </c>
      <c r="D967" s="175"/>
      <c r="E967" s="175"/>
      <c r="F967" s="175"/>
      <c r="G967" s="13" t="s">
        <v>2860</v>
      </c>
      <c r="H967" s="82">
        <v>12</v>
      </c>
      <c r="I967" s="109">
        <v>0</v>
      </c>
      <c r="J967" s="20">
        <f t="shared" si="950"/>
        <v>0</v>
      </c>
      <c r="K967" s="20">
        <f t="shared" si="951"/>
        <v>0</v>
      </c>
      <c r="L967" s="20">
        <f t="shared" si="952"/>
        <v>0</v>
      </c>
      <c r="M967" s="31" t="s">
        <v>2884</v>
      </c>
      <c r="N967" s="5"/>
      <c r="Z967" s="36">
        <f t="shared" si="953"/>
        <v>0</v>
      </c>
      <c r="AB967" s="36">
        <f t="shared" si="954"/>
        <v>0</v>
      </c>
      <c r="AC967" s="36">
        <f t="shared" si="955"/>
        <v>0</v>
      </c>
      <c r="AD967" s="36">
        <f t="shared" si="956"/>
        <v>0</v>
      </c>
      <c r="AE967" s="36">
        <f t="shared" si="957"/>
        <v>0</v>
      </c>
      <c r="AF967" s="36">
        <f t="shared" si="958"/>
        <v>0</v>
      </c>
      <c r="AG967" s="36">
        <f t="shared" si="959"/>
        <v>0</v>
      </c>
      <c r="AH967" s="36">
        <f t="shared" si="960"/>
        <v>0</v>
      </c>
      <c r="AI967" s="35" t="s">
        <v>2897</v>
      </c>
      <c r="AJ967" s="20">
        <f t="shared" si="961"/>
        <v>0</v>
      </c>
      <c r="AK967" s="20">
        <f t="shared" si="962"/>
        <v>0</v>
      </c>
      <c r="AL967" s="20">
        <f t="shared" si="963"/>
        <v>0</v>
      </c>
      <c r="AN967" s="36">
        <v>21</v>
      </c>
      <c r="AO967" s="36">
        <f t="shared" si="964"/>
        <v>0</v>
      </c>
      <c r="AP967" s="36">
        <f t="shared" si="965"/>
        <v>0</v>
      </c>
      <c r="AQ967" s="37" t="s">
        <v>7</v>
      </c>
      <c r="AV967" s="36">
        <f t="shared" si="966"/>
        <v>0</v>
      </c>
      <c r="AW967" s="36">
        <f t="shared" si="967"/>
        <v>0</v>
      </c>
      <c r="AX967" s="36">
        <f t="shared" si="968"/>
        <v>0</v>
      </c>
      <c r="AY967" s="39" t="s">
        <v>2944</v>
      </c>
      <c r="AZ967" s="39" t="s">
        <v>2963</v>
      </c>
      <c r="BA967" s="35" t="s">
        <v>2970</v>
      </c>
      <c r="BC967" s="36">
        <f t="shared" si="969"/>
        <v>0</v>
      </c>
      <c r="BD967" s="36">
        <f t="shared" si="970"/>
        <v>0</v>
      </c>
      <c r="BE967" s="36">
        <v>0</v>
      </c>
      <c r="BF967" s="36">
        <f>967</f>
        <v>967</v>
      </c>
      <c r="BH967" s="20">
        <f t="shared" si="971"/>
        <v>0</v>
      </c>
      <c r="BI967" s="20">
        <f t="shared" si="972"/>
        <v>0</v>
      </c>
      <c r="BJ967" s="20">
        <f t="shared" si="973"/>
        <v>0</v>
      </c>
      <c r="BK967" s="20" t="s">
        <v>2978</v>
      </c>
      <c r="BL967" s="36">
        <v>8</v>
      </c>
    </row>
    <row r="968" spans="1:64" x14ac:dyDescent="0.2">
      <c r="A968" s="4" t="s">
        <v>834</v>
      </c>
      <c r="B968" s="13" t="s">
        <v>1729</v>
      </c>
      <c r="C968" s="174" t="s">
        <v>2740</v>
      </c>
      <c r="D968" s="175"/>
      <c r="E968" s="175"/>
      <c r="F968" s="175"/>
      <c r="G968" s="13" t="s">
        <v>2860</v>
      </c>
      <c r="H968" s="82">
        <v>12</v>
      </c>
      <c r="I968" s="109">
        <v>0</v>
      </c>
      <c r="J968" s="20">
        <f t="shared" si="950"/>
        <v>0</v>
      </c>
      <c r="K968" s="20">
        <f t="shared" si="951"/>
        <v>0</v>
      </c>
      <c r="L968" s="20">
        <f t="shared" si="952"/>
        <v>0</v>
      </c>
      <c r="M968" s="31" t="s">
        <v>2884</v>
      </c>
      <c r="N968" s="5"/>
      <c r="Z968" s="36">
        <f t="shared" si="953"/>
        <v>0</v>
      </c>
      <c r="AB968" s="36">
        <f t="shared" si="954"/>
        <v>0</v>
      </c>
      <c r="AC968" s="36">
        <f t="shared" si="955"/>
        <v>0</v>
      </c>
      <c r="AD968" s="36">
        <f t="shared" si="956"/>
        <v>0</v>
      </c>
      <c r="AE968" s="36">
        <f t="shared" si="957"/>
        <v>0</v>
      </c>
      <c r="AF968" s="36">
        <f t="shared" si="958"/>
        <v>0</v>
      </c>
      <c r="AG968" s="36">
        <f t="shared" si="959"/>
        <v>0</v>
      </c>
      <c r="AH968" s="36">
        <f t="shared" si="960"/>
        <v>0</v>
      </c>
      <c r="AI968" s="35" t="s">
        <v>2897</v>
      </c>
      <c r="AJ968" s="20">
        <f t="shared" si="961"/>
        <v>0</v>
      </c>
      <c r="AK968" s="20">
        <f t="shared" si="962"/>
        <v>0</v>
      </c>
      <c r="AL968" s="20">
        <f t="shared" si="963"/>
        <v>0</v>
      </c>
      <c r="AN968" s="36">
        <v>21</v>
      </c>
      <c r="AO968" s="36">
        <f t="shared" si="964"/>
        <v>0</v>
      </c>
      <c r="AP968" s="36">
        <f t="shared" si="965"/>
        <v>0</v>
      </c>
      <c r="AQ968" s="37" t="s">
        <v>7</v>
      </c>
      <c r="AV968" s="36">
        <f t="shared" si="966"/>
        <v>0</v>
      </c>
      <c r="AW968" s="36">
        <f t="shared" si="967"/>
        <v>0</v>
      </c>
      <c r="AX968" s="36">
        <f t="shared" si="968"/>
        <v>0</v>
      </c>
      <c r="AY968" s="39" t="s">
        <v>2944</v>
      </c>
      <c r="AZ968" s="39" t="s">
        <v>2963</v>
      </c>
      <c r="BA968" s="35" t="s">
        <v>2970</v>
      </c>
      <c r="BC968" s="36">
        <f t="shared" si="969"/>
        <v>0</v>
      </c>
      <c r="BD968" s="36">
        <f t="shared" si="970"/>
        <v>0</v>
      </c>
      <c r="BE968" s="36">
        <v>0</v>
      </c>
      <c r="BF968" s="36">
        <f>968</f>
        <v>968</v>
      </c>
      <c r="BH968" s="20">
        <f t="shared" si="971"/>
        <v>0</v>
      </c>
      <c r="BI968" s="20">
        <f t="shared" si="972"/>
        <v>0</v>
      </c>
      <c r="BJ968" s="20">
        <f t="shared" si="973"/>
        <v>0</v>
      </c>
      <c r="BK968" s="20" t="s">
        <v>2978</v>
      </c>
      <c r="BL968" s="36">
        <v>8</v>
      </c>
    </row>
    <row r="969" spans="1:64" x14ac:dyDescent="0.2">
      <c r="A969" s="4" t="s">
        <v>835</v>
      </c>
      <c r="B969" s="13" t="s">
        <v>1730</v>
      </c>
      <c r="C969" s="174" t="s">
        <v>2741</v>
      </c>
      <c r="D969" s="175"/>
      <c r="E969" s="175"/>
      <c r="F969" s="175"/>
      <c r="G969" s="13" t="s">
        <v>2860</v>
      </c>
      <c r="H969" s="82">
        <v>4</v>
      </c>
      <c r="I969" s="109">
        <v>0</v>
      </c>
      <c r="J969" s="20">
        <f t="shared" si="950"/>
        <v>0</v>
      </c>
      <c r="K969" s="20">
        <f t="shared" si="951"/>
        <v>0</v>
      </c>
      <c r="L969" s="20">
        <f t="shared" si="952"/>
        <v>0</v>
      </c>
      <c r="M969" s="31" t="s">
        <v>2884</v>
      </c>
      <c r="N969" s="5"/>
      <c r="Z969" s="36">
        <f t="shared" si="953"/>
        <v>0</v>
      </c>
      <c r="AB969" s="36">
        <f t="shared" si="954"/>
        <v>0</v>
      </c>
      <c r="AC969" s="36">
        <f t="shared" si="955"/>
        <v>0</v>
      </c>
      <c r="AD969" s="36">
        <f t="shared" si="956"/>
        <v>0</v>
      </c>
      <c r="AE969" s="36">
        <f t="shared" si="957"/>
        <v>0</v>
      </c>
      <c r="AF969" s="36">
        <f t="shared" si="958"/>
        <v>0</v>
      </c>
      <c r="AG969" s="36">
        <f t="shared" si="959"/>
        <v>0</v>
      </c>
      <c r="AH969" s="36">
        <f t="shared" si="960"/>
        <v>0</v>
      </c>
      <c r="AI969" s="35" t="s">
        <v>2897</v>
      </c>
      <c r="AJ969" s="20">
        <f t="shared" si="961"/>
        <v>0</v>
      </c>
      <c r="AK969" s="20">
        <f t="shared" si="962"/>
        <v>0</v>
      </c>
      <c r="AL969" s="20">
        <f t="shared" si="963"/>
        <v>0</v>
      </c>
      <c r="AN969" s="36">
        <v>21</v>
      </c>
      <c r="AO969" s="36">
        <f t="shared" si="964"/>
        <v>0</v>
      </c>
      <c r="AP969" s="36">
        <f t="shared" si="965"/>
        <v>0</v>
      </c>
      <c r="AQ969" s="37" t="s">
        <v>7</v>
      </c>
      <c r="AV969" s="36">
        <f t="shared" si="966"/>
        <v>0</v>
      </c>
      <c r="AW969" s="36">
        <f t="shared" si="967"/>
        <v>0</v>
      </c>
      <c r="AX969" s="36">
        <f t="shared" si="968"/>
        <v>0</v>
      </c>
      <c r="AY969" s="39" t="s">
        <v>2944</v>
      </c>
      <c r="AZ969" s="39" t="s">
        <v>2963</v>
      </c>
      <c r="BA969" s="35" t="s">
        <v>2970</v>
      </c>
      <c r="BC969" s="36">
        <f t="shared" si="969"/>
        <v>0</v>
      </c>
      <c r="BD969" s="36">
        <f t="shared" si="970"/>
        <v>0</v>
      </c>
      <c r="BE969" s="36">
        <v>0</v>
      </c>
      <c r="BF969" s="36">
        <f>969</f>
        <v>969</v>
      </c>
      <c r="BH969" s="20">
        <f t="shared" si="971"/>
        <v>0</v>
      </c>
      <c r="BI969" s="20">
        <f t="shared" si="972"/>
        <v>0</v>
      </c>
      <c r="BJ969" s="20">
        <f t="shared" si="973"/>
        <v>0</v>
      </c>
      <c r="BK969" s="20" t="s">
        <v>2978</v>
      </c>
      <c r="BL969" s="36">
        <v>8</v>
      </c>
    </row>
    <row r="970" spans="1:64" x14ac:dyDescent="0.2">
      <c r="A970" s="4" t="s">
        <v>836</v>
      </c>
      <c r="B970" s="13" t="s">
        <v>1731</v>
      </c>
      <c r="C970" s="174" t="s">
        <v>2742</v>
      </c>
      <c r="D970" s="175"/>
      <c r="E970" s="175"/>
      <c r="F970" s="175"/>
      <c r="G970" s="13" t="s">
        <v>2860</v>
      </c>
      <c r="H970" s="82">
        <v>2</v>
      </c>
      <c r="I970" s="109">
        <v>0</v>
      </c>
      <c r="J970" s="20">
        <f t="shared" si="950"/>
        <v>0</v>
      </c>
      <c r="K970" s="20">
        <f t="shared" si="951"/>
        <v>0</v>
      </c>
      <c r="L970" s="20">
        <f t="shared" si="952"/>
        <v>0</v>
      </c>
      <c r="M970" s="31" t="s">
        <v>2884</v>
      </c>
      <c r="N970" s="5"/>
      <c r="Z970" s="36">
        <f t="shared" si="953"/>
        <v>0</v>
      </c>
      <c r="AB970" s="36">
        <f t="shared" si="954"/>
        <v>0</v>
      </c>
      <c r="AC970" s="36">
        <f t="shared" si="955"/>
        <v>0</v>
      </c>
      <c r="AD970" s="36">
        <f t="shared" si="956"/>
        <v>0</v>
      </c>
      <c r="AE970" s="36">
        <f t="shared" si="957"/>
        <v>0</v>
      </c>
      <c r="AF970" s="36">
        <f t="shared" si="958"/>
        <v>0</v>
      </c>
      <c r="AG970" s="36">
        <f t="shared" si="959"/>
        <v>0</v>
      </c>
      <c r="AH970" s="36">
        <f t="shared" si="960"/>
        <v>0</v>
      </c>
      <c r="AI970" s="35" t="s">
        <v>2897</v>
      </c>
      <c r="AJ970" s="20">
        <f t="shared" si="961"/>
        <v>0</v>
      </c>
      <c r="AK970" s="20">
        <f t="shared" si="962"/>
        <v>0</v>
      </c>
      <c r="AL970" s="20">
        <f t="shared" si="963"/>
        <v>0</v>
      </c>
      <c r="AN970" s="36">
        <v>21</v>
      </c>
      <c r="AO970" s="36">
        <f t="shared" si="964"/>
        <v>0</v>
      </c>
      <c r="AP970" s="36">
        <f t="shared" si="965"/>
        <v>0</v>
      </c>
      <c r="AQ970" s="37" t="s">
        <v>7</v>
      </c>
      <c r="AV970" s="36">
        <f t="shared" si="966"/>
        <v>0</v>
      </c>
      <c r="AW970" s="36">
        <f t="shared" si="967"/>
        <v>0</v>
      </c>
      <c r="AX970" s="36">
        <f t="shared" si="968"/>
        <v>0</v>
      </c>
      <c r="AY970" s="39" t="s">
        <v>2944</v>
      </c>
      <c r="AZ970" s="39" t="s">
        <v>2963</v>
      </c>
      <c r="BA970" s="35" t="s">
        <v>2970</v>
      </c>
      <c r="BC970" s="36">
        <f t="shared" si="969"/>
        <v>0</v>
      </c>
      <c r="BD970" s="36">
        <f t="shared" si="970"/>
        <v>0</v>
      </c>
      <c r="BE970" s="36">
        <v>0</v>
      </c>
      <c r="BF970" s="36">
        <f>970</f>
        <v>970</v>
      </c>
      <c r="BH970" s="20">
        <f t="shared" si="971"/>
        <v>0</v>
      </c>
      <c r="BI970" s="20">
        <f t="shared" si="972"/>
        <v>0</v>
      </c>
      <c r="BJ970" s="20">
        <f t="shared" si="973"/>
        <v>0</v>
      </c>
      <c r="BK970" s="20" t="s">
        <v>2978</v>
      </c>
      <c r="BL970" s="36">
        <v>8</v>
      </c>
    </row>
    <row r="971" spans="1:64" x14ac:dyDescent="0.2">
      <c r="A971" s="4" t="s">
        <v>837</v>
      </c>
      <c r="B971" s="13" t="s">
        <v>1732</v>
      </c>
      <c r="C971" s="174" t="s">
        <v>2743</v>
      </c>
      <c r="D971" s="175"/>
      <c r="E971" s="175"/>
      <c r="F971" s="175"/>
      <c r="G971" s="13" t="s">
        <v>2860</v>
      </c>
      <c r="H971" s="82">
        <v>2</v>
      </c>
      <c r="I971" s="109">
        <v>0</v>
      </c>
      <c r="J971" s="20">
        <f t="shared" si="950"/>
        <v>0</v>
      </c>
      <c r="K971" s="20">
        <f t="shared" si="951"/>
        <v>0</v>
      </c>
      <c r="L971" s="20">
        <f t="shared" si="952"/>
        <v>0</v>
      </c>
      <c r="M971" s="31" t="s">
        <v>2884</v>
      </c>
      <c r="N971" s="5"/>
      <c r="Z971" s="36">
        <f t="shared" si="953"/>
        <v>0</v>
      </c>
      <c r="AB971" s="36">
        <f t="shared" si="954"/>
        <v>0</v>
      </c>
      <c r="AC971" s="36">
        <f t="shared" si="955"/>
        <v>0</v>
      </c>
      <c r="AD971" s="36">
        <f t="shared" si="956"/>
        <v>0</v>
      </c>
      <c r="AE971" s="36">
        <f t="shared" si="957"/>
        <v>0</v>
      </c>
      <c r="AF971" s="36">
        <f t="shared" si="958"/>
        <v>0</v>
      </c>
      <c r="AG971" s="36">
        <f t="shared" si="959"/>
        <v>0</v>
      </c>
      <c r="AH971" s="36">
        <f t="shared" si="960"/>
        <v>0</v>
      </c>
      <c r="AI971" s="35" t="s">
        <v>2897</v>
      </c>
      <c r="AJ971" s="20">
        <f t="shared" si="961"/>
        <v>0</v>
      </c>
      <c r="AK971" s="20">
        <f t="shared" si="962"/>
        <v>0</v>
      </c>
      <c r="AL971" s="20">
        <f t="shared" si="963"/>
        <v>0</v>
      </c>
      <c r="AN971" s="36">
        <v>21</v>
      </c>
      <c r="AO971" s="36">
        <f t="shared" si="964"/>
        <v>0</v>
      </c>
      <c r="AP971" s="36">
        <f t="shared" si="965"/>
        <v>0</v>
      </c>
      <c r="AQ971" s="37" t="s">
        <v>7</v>
      </c>
      <c r="AV971" s="36">
        <f t="shared" si="966"/>
        <v>0</v>
      </c>
      <c r="AW971" s="36">
        <f t="shared" si="967"/>
        <v>0</v>
      </c>
      <c r="AX971" s="36">
        <f t="shared" si="968"/>
        <v>0</v>
      </c>
      <c r="AY971" s="39" t="s">
        <v>2944</v>
      </c>
      <c r="AZ971" s="39" t="s">
        <v>2963</v>
      </c>
      <c r="BA971" s="35" t="s">
        <v>2970</v>
      </c>
      <c r="BC971" s="36">
        <f t="shared" si="969"/>
        <v>0</v>
      </c>
      <c r="BD971" s="36">
        <f t="shared" si="970"/>
        <v>0</v>
      </c>
      <c r="BE971" s="36">
        <v>0</v>
      </c>
      <c r="BF971" s="36">
        <f>971</f>
        <v>971</v>
      </c>
      <c r="BH971" s="20">
        <f t="shared" si="971"/>
        <v>0</v>
      </c>
      <c r="BI971" s="20">
        <f t="shared" si="972"/>
        <v>0</v>
      </c>
      <c r="BJ971" s="20">
        <f t="shared" si="973"/>
        <v>0</v>
      </c>
      <c r="BK971" s="20" t="s">
        <v>2978</v>
      </c>
      <c r="BL971" s="36">
        <v>8</v>
      </c>
    </row>
    <row r="972" spans="1:64" x14ac:dyDescent="0.2">
      <c r="A972" s="4" t="s">
        <v>838</v>
      </c>
      <c r="B972" s="13" t="s">
        <v>1733</v>
      </c>
      <c r="C972" s="174" t="s">
        <v>2744</v>
      </c>
      <c r="D972" s="175"/>
      <c r="E972" s="175"/>
      <c r="F972" s="175"/>
      <c r="G972" s="13" t="s">
        <v>2861</v>
      </c>
      <c r="H972" s="82">
        <v>1</v>
      </c>
      <c r="I972" s="109">
        <v>0</v>
      </c>
      <c r="J972" s="20">
        <f t="shared" si="950"/>
        <v>0</v>
      </c>
      <c r="K972" s="20">
        <f t="shared" si="951"/>
        <v>0</v>
      </c>
      <c r="L972" s="20">
        <f t="shared" si="952"/>
        <v>0</v>
      </c>
      <c r="M972" s="31" t="s">
        <v>2884</v>
      </c>
      <c r="N972" s="5"/>
      <c r="Z972" s="36">
        <f t="shared" si="953"/>
        <v>0</v>
      </c>
      <c r="AB972" s="36">
        <f t="shared" si="954"/>
        <v>0</v>
      </c>
      <c r="AC972" s="36">
        <f t="shared" si="955"/>
        <v>0</v>
      </c>
      <c r="AD972" s="36">
        <f t="shared" si="956"/>
        <v>0</v>
      </c>
      <c r="AE972" s="36">
        <f t="shared" si="957"/>
        <v>0</v>
      </c>
      <c r="AF972" s="36">
        <f t="shared" si="958"/>
        <v>0</v>
      </c>
      <c r="AG972" s="36">
        <f t="shared" si="959"/>
        <v>0</v>
      </c>
      <c r="AH972" s="36">
        <f t="shared" si="960"/>
        <v>0</v>
      </c>
      <c r="AI972" s="35" t="s">
        <v>2897</v>
      </c>
      <c r="AJ972" s="20">
        <f t="shared" si="961"/>
        <v>0</v>
      </c>
      <c r="AK972" s="20">
        <f t="shared" si="962"/>
        <v>0</v>
      </c>
      <c r="AL972" s="20">
        <f t="shared" si="963"/>
        <v>0</v>
      </c>
      <c r="AN972" s="36">
        <v>21</v>
      </c>
      <c r="AO972" s="36">
        <f t="shared" si="964"/>
        <v>0</v>
      </c>
      <c r="AP972" s="36">
        <f t="shared" si="965"/>
        <v>0</v>
      </c>
      <c r="AQ972" s="37" t="s">
        <v>7</v>
      </c>
      <c r="AV972" s="36">
        <f t="shared" si="966"/>
        <v>0</v>
      </c>
      <c r="AW972" s="36">
        <f t="shared" si="967"/>
        <v>0</v>
      </c>
      <c r="AX972" s="36">
        <f t="shared" si="968"/>
        <v>0</v>
      </c>
      <c r="AY972" s="39" t="s">
        <v>2944</v>
      </c>
      <c r="AZ972" s="39" t="s">
        <v>2963</v>
      </c>
      <c r="BA972" s="35" t="s">
        <v>2970</v>
      </c>
      <c r="BC972" s="36">
        <f t="shared" si="969"/>
        <v>0</v>
      </c>
      <c r="BD972" s="36">
        <f t="shared" si="970"/>
        <v>0</v>
      </c>
      <c r="BE972" s="36">
        <v>0</v>
      </c>
      <c r="BF972" s="36">
        <f>972</f>
        <v>972</v>
      </c>
      <c r="BH972" s="20">
        <f t="shared" si="971"/>
        <v>0</v>
      </c>
      <c r="BI972" s="20">
        <f t="shared" si="972"/>
        <v>0</v>
      </c>
      <c r="BJ972" s="20">
        <f t="shared" si="973"/>
        <v>0</v>
      </c>
      <c r="BK972" s="20" t="s">
        <v>2978</v>
      </c>
      <c r="BL972" s="36">
        <v>8</v>
      </c>
    </row>
    <row r="973" spans="1:64" x14ac:dyDescent="0.2">
      <c r="A973" s="4" t="s">
        <v>839</v>
      </c>
      <c r="B973" s="13" t="s">
        <v>1734</v>
      </c>
      <c r="C973" s="174" t="s">
        <v>2745</v>
      </c>
      <c r="D973" s="175"/>
      <c r="E973" s="175"/>
      <c r="F973" s="175"/>
      <c r="G973" s="13" t="s">
        <v>2861</v>
      </c>
      <c r="H973" s="82">
        <v>1</v>
      </c>
      <c r="I973" s="109">
        <v>0</v>
      </c>
      <c r="J973" s="20">
        <f t="shared" si="950"/>
        <v>0</v>
      </c>
      <c r="K973" s="20">
        <f t="shared" si="951"/>
        <v>0</v>
      </c>
      <c r="L973" s="20">
        <f t="shared" si="952"/>
        <v>0</v>
      </c>
      <c r="M973" s="31" t="s">
        <v>2884</v>
      </c>
      <c r="N973" s="5"/>
      <c r="Z973" s="36">
        <f t="shared" si="953"/>
        <v>0</v>
      </c>
      <c r="AB973" s="36">
        <f t="shared" si="954"/>
        <v>0</v>
      </c>
      <c r="AC973" s="36">
        <f t="shared" si="955"/>
        <v>0</v>
      </c>
      <c r="AD973" s="36">
        <f t="shared" si="956"/>
        <v>0</v>
      </c>
      <c r="AE973" s="36">
        <f t="shared" si="957"/>
        <v>0</v>
      </c>
      <c r="AF973" s="36">
        <f t="shared" si="958"/>
        <v>0</v>
      </c>
      <c r="AG973" s="36">
        <f t="shared" si="959"/>
        <v>0</v>
      </c>
      <c r="AH973" s="36">
        <f t="shared" si="960"/>
        <v>0</v>
      </c>
      <c r="AI973" s="35" t="s">
        <v>2897</v>
      </c>
      <c r="AJ973" s="20">
        <f t="shared" si="961"/>
        <v>0</v>
      </c>
      <c r="AK973" s="20">
        <f t="shared" si="962"/>
        <v>0</v>
      </c>
      <c r="AL973" s="20">
        <f t="shared" si="963"/>
        <v>0</v>
      </c>
      <c r="AN973" s="36">
        <v>21</v>
      </c>
      <c r="AO973" s="36">
        <f t="shared" si="964"/>
        <v>0</v>
      </c>
      <c r="AP973" s="36">
        <f t="shared" si="965"/>
        <v>0</v>
      </c>
      <c r="AQ973" s="37" t="s">
        <v>7</v>
      </c>
      <c r="AV973" s="36">
        <f t="shared" si="966"/>
        <v>0</v>
      </c>
      <c r="AW973" s="36">
        <f t="shared" si="967"/>
        <v>0</v>
      </c>
      <c r="AX973" s="36">
        <f t="shared" si="968"/>
        <v>0</v>
      </c>
      <c r="AY973" s="39" t="s">
        <v>2944</v>
      </c>
      <c r="AZ973" s="39" t="s">
        <v>2963</v>
      </c>
      <c r="BA973" s="35" t="s">
        <v>2970</v>
      </c>
      <c r="BC973" s="36">
        <f t="shared" si="969"/>
        <v>0</v>
      </c>
      <c r="BD973" s="36">
        <f t="shared" si="970"/>
        <v>0</v>
      </c>
      <c r="BE973" s="36">
        <v>0</v>
      </c>
      <c r="BF973" s="36">
        <f>973</f>
        <v>973</v>
      </c>
      <c r="BH973" s="20">
        <f t="shared" si="971"/>
        <v>0</v>
      </c>
      <c r="BI973" s="20">
        <f t="shared" si="972"/>
        <v>0</v>
      </c>
      <c r="BJ973" s="20">
        <f t="shared" si="973"/>
        <v>0</v>
      </c>
      <c r="BK973" s="20" t="s">
        <v>2978</v>
      </c>
      <c r="BL973" s="36">
        <v>8</v>
      </c>
    </row>
    <row r="974" spans="1:64" x14ac:dyDescent="0.2">
      <c r="A974" s="4" t="s">
        <v>840</v>
      </c>
      <c r="B974" s="13" t="s">
        <v>1735</v>
      </c>
      <c r="C974" s="174" t="s">
        <v>2746</v>
      </c>
      <c r="D974" s="175"/>
      <c r="E974" s="175"/>
      <c r="F974" s="175"/>
      <c r="G974" s="13" t="s">
        <v>2861</v>
      </c>
      <c r="H974" s="82">
        <v>1</v>
      </c>
      <c r="I974" s="109">
        <v>0</v>
      </c>
      <c r="J974" s="20">
        <f t="shared" si="950"/>
        <v>0</v>
      </c>
      <c r="K974" s="20">
        <f t="shared" si="951"/>
        <v>0</v>
      </c>
      <c r="L974" s="20">
        <f t="shared" si="952"/>
        <v>0</v>
      </c>
      <c r="M974" s="31" t="s">
        <v>2884</v>
      </c>
      <c r="N974" s="5"/>
      <c r="Z974" s="36">
        <f t="shared" si="953"/>
        <v>0</v>
      </c>
      <c r="AB974" s="36">
        <f t="shared" si="954"/>
        <v>0</v>
      </c>
      <c r="AC974" s="36">
        <f t="shared" si="955"/>
        <v>0</v>
      </c>
      <c r="AD974" s="36">
        <f t="shared" si="956"/>
        <v>0</v>
      </c>
      <c r="AE974" s="36">
        <f t="shared" si="957"/>
        <v>0</v>
      </c>
      <c r="AF974" s="36">
        <f t="shared" si="958"/>
        <v>0</v>
      </c>
      <c r="AG974" s="36">
        <f t="shared" si="959"/>
        <v>0</v>
      </c>
      <c r="AH974" s="36">
        <f t="shared" si="960"/>
        <v>0</v>
      </c>
      <c r="AI974" s="35" t="s">
        <v>2897</v>
      </c>
      <c r="AJ974" s="20">
        <f t="shared" si="961"/>
        <v>0</v>
      </c>
      <c r="AK974" s="20">
        <f t="shared" si="962"/>
        <v>0</v>
      </c>
      <c r="AL974" s="20">
        <f t="shared" si="963"/>
        <v>0</v>
      </c>
      <c r="AN974" s="36">
        <v>21</v>
      </c>
      <c r="AO974" s="36">
        <f t="shared" si="964"/>
        <v>0</v>
      </c>
      <c r="AP974" s="36">
        <f t="shared" si="965"/>
        <v>0</v>
      </c>
      <c r="AQ974" s="37" t="s">
        <v>7</v>
      </c>
      <c r="AV974" s="36">
        <f t="shared" si="966"/>
        <v>0</v>
      </c>
      <c r="AW974" s="36">
        <f t="shared" si="967"/>
        <v>0</v>
      </c>
      <c r="AX974" s="36">
        <f t="shared" si="968"/>
        <v>0</v>
      </c>
      <c r="AY974" s="39" t="s">
        <v>2944</v>
      </c>
      <c r="AZ974" s="39" t="s">
        <v>2963</v>
      </c>
      <c r="BA974" s="35" t="s">
        <v>2970</v>
      </c>
      <c r="BC974" s="36">
        <f t="shared" si="969"/>
        <v>0</v>
      </c>
      <c r="BD974" s="36">
        <f t="shared" si="970"/>
        <v>0</v>
      </c>
      <c r="BE974" s="36">
        <v>0</v>
      </c>
      <c r="BF974" s="36">
        <f>974</f>
        <v>974</v>
      </c>
      <c r="BH974" s="20">
        <f t="shared" si="971"/>
        <v>0</v>
      </c>
      <c r="BI974" s="20">
        <f t="shared" si="972"/>
        <v>0</v>
      </c>
      <c r="BJ974" s="20">
        <f t="shared" si="973"/>
        <v>0</v>
      </c>
      <c r="BK974" s="20" t="s">
        <v>2978</v>
      </c>
      <c r="BL974" s="36">
        <v>8</v>
      </c>
    </row>
    <row r="975" spans="1:64" x14ac:dyDescent="0.2">
      <c r="A975" s="4" t="s">
        <v>841</v>
      </c>
      <c r="B975" s="13" t="s">
        <v>1736</v>
      </c>
      <c r="C975" s="174" t="s">
        <v>2747</v>
      </c>
      <c r="D975" s="175"/>
      <c r="E975" s="175"/>
      <c r="F975" s="175"/>
      <c r="G975" s="13" t="s">
        <v>2860</v>
      </c>
      <c r="H975" s="82">
        <v>3</v>
      </c>
      <c r="I975" s="109">
        <v>0</v>
      </c>
      <c r="J975" s="20">
        <f t="shared" si="950"/>
        <v>0</v>
      </c>
      <c r="K975" s="20">
        <f t="shared" si="951"/>
        <v>0</v>
      </c>
      <c r="L975" s="20">
        <f t="shared" si="952"/>
        <v>0</v>
      </c>
      <c r="M975" s="31" t="s">
        <v>2884</v>
      </c>
      <c r="N975" s="5"/>
      <c r="Z975" s="36">
        <f t="shared" si="953"/>
        <v>0</v>
      </c>
      <c r="AB975" s="36">
        <f t="shared" si="954"/>
        <v>0</v>
      </c>
      <c r="AC975" s="36">
        <f t="shared" si="955"/>
        <v>0</v>
      </c>
      <c r="AD975" s="36">
        <f t="shared" si="956"/>
        <v>0</v>
      </c>
      <c r="AE975" s="36">
        <f t="shared" si="957"/>
        <v>0</v>
      </c>
      <c r="AF975" s="36">
        <f t="shared" si="958"/>
        <v>0</v>
      </c>
      <c r="AG975" s="36">
        <f t="shared" si="959"/>
        <v>0</v>
      </c>
      <c r="AH975" s="36">
        <f t="shared" si="960"/>
        <v>0</v>
      </c>
      <c r="AI975" s="35" t="s">
        <v>2897</v>
      </c>
      <c r="AJ975" s="20">
        <f t="shared" si="961"/>
        <v>0</v>
      </c>
      <c r="AK975" s="20">
        <f t="shared" si="962"/>
        <v>0</v>
      </c>
      <c r="AL975" s="20">
        <f t="shared" si="963"/>
        <v>0</v>
      </c>
      <c r="AN975" s="36">
        <v>21</v>
      </c>
      <c r="AO975" s="36">
        <f t="shared" si="964"/>
        <v>0</v>
      </c>
      <c r="AP975" s="36">
        <f t="shared" si="965"/>
        <v>0</v>
      </c>
      <c r="AQ975" s="37" t="s">
        <v>7</v>
      </c>
      <c r="AV975" s="36">
        <f t="shared" si="966"/>
        <v>0</v>
      </c>
      <c r="AW975" s="36">
        <f t="shared" si="967"/>
        <v>0</v>
      </c>
      <c r="AX975" s="36">
        <f t="shared" si="968"/>
        <v>0</v>
      </c>
      <c r="AY975" s="39" t="s">
        <v>2944</v>
      </c>
      <c r="AZ975" s="39" t="s">
        <v>2963</v>
      </c>
      <c r="BA975" s="35" t="s">
        <v>2970</v>
      </c>
      <c r="BC975" s="36">
        <f t="shared" si="969"/>
        <v>0</v>
      </c>
      <c r="BD975" s="36">
        <f t="shared" si="970"/>
        <v>0</v>
      </c>
      <c r="BE975" s="36">
        <v>0</v>
      </c>
      <c r="BF975" s="36">
        <f>975</f>
        <v>975</v>
      </c>
      <c r="BH975" s="20">
        <f t="shared" si="971"/>
        <v>0</v>
      </c>
      <c r="BI975" s="20">
        <f t="shared" si="972"/>
        <v>0</v>
      </c>
      <c r="BJ975" s="20">
        <f t="shared" si="973"/>
        <v>0</v>
      </c>
      <c r="BK975" s="20" t="s">
        <v>2978</v>
      </c>
      <c r="BL975" s="36">
        <v>8</v>
      </c>
    </row>
    <row r="976" spans="1:64" x14ac:dyDescent="0.2">
      <c r="A976" s="4" t="s">
        <v>842</v>
      </c>
      <c r="B976" s="13" t="s">
        <v>1737</v>
      </c>
      <c r="C976" s="174" t="s">
        <v>2748</v>
      </c>
      <c r="D976" s="175"/>
      <c r="E976" s="175"/>
      <c r="F976" s="175"/>
      <c r="G976" s="13" t="s">
        <v>2860</v>
      </c>
      <c r="H976" s="82">
        <v>3</v>
      </c>
      <c r="I976" s="109">
        <v>0</v>
      </c>
      <c r="J976" s="20">
        <f t="shared" si="950"/>
        <v>0</v>
      </c>
      <c r="K976" s="20">
        <f t="shared" si="951"/>
        <v>0</v>
      </c>
      <c r="L976" s="20">
        <f t="shared" si="952"/>
        <v>0</v>
      </c>
      <c r="M976" s="31" t="s">
        <v>2884</v>
      </c>
      <c r="N976" s="5"/>
      <c r="Z976" s="36">
        <f t="shared" si="953"/>
        <v>0</v>
      </c>
      <c r="AB976" s="36">
        <f t="shared" si="954"/>
        <v>0</v>
      </c>
      <c r="AC976" s="36">
        <f t="shared" si="955"/>
        <v>0</v>
      </c>
      <c r="AD976" s="36">
        <f t="shared" si="956"/>
        <v>0</v>
      </c>
      <c r="AE976" s="36">
        <f t="shared" si="957"/>
        <v>0</v>
      </c>
      <c r="AF976" s="36">
        <f t="shared" si="958"/>
        <v>0</v>
      </c>
      <c r="AG976" s="36">
        <f t="shared" si="959"/>
        <v>0</v>
      </c>
      <c r="AH976" s="36">
        <f t="shared" si="960"/>
        <v>0</v>
      </c>
      <c r="AI976" s="35" t="s">
        <v>2897</v>
      </c>
      <c r="AJ976" s="20">
        <f t="shared" si="961"/>
        <v>0</v>
      </c>
      <c r="AK976" s="20">
        <f t="shared" si="962"/>
        <v>0</v>
      </c>
      <c r="AL976" s="20">
        <f t="shared" si="963"/>
        <v>0</v>
      </c>
      <c r="AN976" s="36">
        <v>21</v>
      </c>
      <c r="AO976" s="36">
        <f t="shared" si="964"/>
        <v>0</v>
      </c>
      <c r="AP976" s="36">
        <f t="shared" si="965"/>
        <v>0</v>
      </c>
      <c r="AQ976" s="37" t="s">
        <v>7</v>
      </c>
      <c r="AV976" s="36">
        <f t="shared" si="966"/>
        <v>0</v>
      </c>
      <c r="AW976" s="36">
        <f t="shared" si="967"/>
        <v>0</v>
      </c>
      <c r="AX976" s="36">
        <f t="shared" si="968"/>
        <v>0</v>
      </c>
      <c r="AY976" s="39" t="s">
        <v>2944</v>
      </c>
      <c r="AZ976" s="39" t="s">
        <v>2963</v>
      </c>
      <c r="BA976" s="35" t="s">
        <v>2970</v>
      </c>
      <c r="BC976" s="36">
        <f t="shared" si="969"/>
        <v>0</v>
      </c>
      <c r="BD976" s="36">
        <f t="shared" si="970"/>
        <v>0</v>
      </c>
      <c r="BE976" s="36">
        <v>0</v>
      </c>
      <c r="BF976" s="36">
        <f>976</f>
        <v>976</v>
      </c>
      <c r="BH976" s="20">
        <f t="shared" si="971"/>
        <v>0</v>
      </c>
      <c r="BI976" s="20">
        <f t="shared" si="972"/>
        <v>0</v>
      </c>
      <c r="BJ976" s="20">
        <f t="shared" si="973"/>
        <v>0</v>
      </c>
      <c r="BK976" s="20" t="s">
        <v>2978</v>
      </c>
      <c r="BL976" s="36">
        <v>8</v>
      </c>
    </row>
    <row r="977" spans="1:64" x14ac:dyDescent="0.2">
      <c r="A977" s="4" t="s">
        <v>843</v>
      </c>
      <c r="B977" s="13" t="s">
        <v>1738</v>
      </c>
      <c r="C977" s="174" t="s">
        <v>2749</v>
      </c>
      <c r="D977" s="175"/>
      <c r="E977" s="175"/>
      <c r="F977" s="175"/>
      <c r="G977" s="13" t="s">
        <v>2860</v>
      </c>
      <c r="H977" s="82">
        <v>2</v>
      </c>
      <c r="I977" s="109">
        <v>0</v>
      </c>
      <c r="J977" s="20">
        <f t="shared" si="950"/>
        <v>0</v>
      </c>
      <c r="K977" s="20">
        <f t="shared" si="951"/>
        <v>0</v>
      </c>
      <c r="L977" s="20">
        <f t="shared" si="952"/>
        <v>0</v>
      </c>
      <c r="M977" s="31" t="s">
        <v>2884</v>
      </c>
      <c r="N977" s="5"/>
      <c r="Z977" s="36">
        <f t="shared" si="953"/>
        <v>0</v>
      </c>
      <c r="AB977" s="36">
        <f t="shared" si="954"/>
        <v>0</v>
      </c>
      <c r="AC977" s="36">
        <f t="shared" si="955"/>
        <v>0</v>
      </c>
      <c r="AD977" s="36">
        <f t="shared" si="956"/>
        <v>0</v>
      </c>
      <c r="AE977" s="36">
        <f t="shared" si="957"/>
        <v>0</v>
      </c>
      <c r="AF977" s="36">
        <f t="shared" si="958"/>
        <v>0</v>
      </c>
      <c r="AG977" s="36">
        <f t="shared" si="959"/>
        <v>0</v>
      </c>
      <c r="AH977" s="36">
        <f t="shared" si="960"/>
        <v>0</v>
      </c>
      <c r="AI977" s="35" t="s">
        <v>2897</v>
      </c>
      <c r="AJ977" s="20">
        <f t="shared" si="961"/>
        <v>0</v>
      </c>
      <c r="AK977" s="20">
        <f t="shared" si="962"/>
        <v>0</v>
      </c>
      <c r="AL977" s="20">
        <f t="shared" si="963"/>
        <v>0</v>
      </c>
      <c r="AN977" s="36">
        <v>21</v>
      </c>
      <c r="AO977" s="36">
        <f t="shared" si="964"/>
        <v>0</v>
      </c>
      <c r="AP977" s="36">
        <f t="shared" si="965"/>
        <v>0</v>
      </c>
      <c r="AQ977" s="37" t="s">
        <v>7</v>
      </c>
      <c r="AV977" s="36">
        <f t="shared" si="966"/>
        <v>0</v>
      </c>
      <c r="AW977" s="36">
        <f t="shared" si="967"/>
        <v>0</v>
      </c>
      <c r="AX977" s="36">
        <f t="shared" si="968"/>
        <v>0</v>
      </c>
      <c r="AY977" s="39" t="s">
        <v>2944</v>
      </c>
      <c r="AZ977" s="39" t="s">
        <v>2963</v>
      </c>
      <c r="BA977" s="35" t="s">
        <v>2970</v>
      </c>
      <c r="BC977" s="36">
        <f t="shared" si="969"/>
        <v>0</v>
      </c>
      <c r="BD977" s="36">
        <f t="shared" si="970"/>
        <v>0</v>
      </c>
      <c r="BE977" s="36">
        <v>0</v>
      </c>
      <c r="BF977" s="36">
        <f>977</f>
        <v>977</v>
      </c>
      <c r="BH977" s="20">
        <f t="shared" si="971"/>
        <v>0</v>
      </c>
      <c r="BI977" s="20">
        <f t="shared" si="972"/>
        <v>0</v>
      </c>
      <c r="BJ977" s="20">
        <f t="shared" si="973"/>
        <v>0</v>
      </c>
      <c r="BK977" s="20" t="s">
        <v>2978</v>
      </c>
      <c r="BL977" s="36">
        <v>8</v>
      </c>
    </row>
    <row r="978" spans="1:64" x14ac:dyDescent="0.2">
      <c r="A978" s="4" t="s">
        <v>844</v>
      </c>
      <c r="B978" s="13" t="s">
        <v>1739</v>
      </c>
      <c r="C978" s="174" t="s">
        <v>2750</v>
      </c>
      <c r="D978" s="175"/>
      <c r="E978" s="175"/>
      <c r="F978" s="175"/>
      <c r="G978" s="13" t="s">
        <v>2855</v>
      </c>
      <c r="H978" s="82">
        <v>3</v>
      </c>
      <c r="I978" s="109">
        <v>0</v>
      </c>
      <c r="J978" s="20">
        <f t="shared" si="950"/>
        <v>0</v>
      </c>
      <c r="K978" s="20">
        <f t="shared" si="951"/>
        <v>0</v>
      </c>
      <c r="L978" s="20">
        <f t="shared" si="952"/>
        <v>0</v>
      </c>
      <c r="M978" s="31" t="s">
        <v>2884</v>
      </c>
      <c r="N978" s="5"/>
      <c r="Z978" s="36">
        <f t="shared" si="953"/>
        <v>0</v>
      </c>
      <c r="AB978" s="36">
        <f t="shared" si="954"/>
        <v>0</v>
      </c>
      <c r="AC978" s="36">
        <f t="shared" si="955"/>
        <v>0</v>
      </c>
      <c r="AD978" s="36">
        <f t="shared" si="956"/>
        <v>0</v>
      </c>
      <c r="AE978" s="36">
        <f t="shared" si="957"/>
        <v>0</v>
      </c>
      <c r="AF978" s="36">
        <f t="shared" si="958"/>
        <v>0</v>
      </c>
      <c r="AG978" s="36">
        <f t="shared" si="959"/>
        <v>0</v>
      </c>
      <c r="AH978" s="36">
        <f t="shared" si="960"/>
        <v>0</v>
      </c>
      <c r="AI978" s="35" t="s">
        <v>2897</v>
      </c>
      <c r="AJ978" s="20">
        <f t="shared" si="961"/>
        <v>0</v>
      </c>
      <c r="AK978" s="20">
        <f t="shared" si="962"/>
        <v>0</v>
      </c>
      <c r="AL978" s="20">
        <f t="shared" si="963"/>
        <v>0</v>
      </c>
      <c r="AN978" s="36">
        <v>21</v>
      </c>
      <c r="AO978" s="36">
        <f t="shared" si="964"/>
        <v>0</v>
      </c>
      <c r="AP978" s="36">
        <f t="shared" si="965"/>
        <v>0</v>
      </c>
      <c r="AQ978" s="37" t="s">
        <v>7</v>
      </c>
      <c r="AV978" s="36">
        <f t="shared" si="966"/>
        <v>0</v>
      </c>
      <c r="AW978" s="36">
        <f t="shared" si="967"/>
        <v>0</v>
      </c>
      <c r="AX978" s="36">
        <f t="shared" si="968"/>
        <v>0</v>
      </c>
      <c r="AY978" s="39" t="s">
        <v>2944</v>
      </c>
      <c r="AZ978" s="39" t="s">
        <v>2963</v>
      </c>
      <c r="BA978" s="35" t="s">
        <v>2970</v>
      </c>
      <c r="BC978" s="36">
        <f t="shared" si="969"/>
        <v>0</v>
      </c>
      <c r="BD978" s="36">
        <f t="shared" si="970"/>
        <v>0</v>
      </c>
      <c r="BE978" s="36">
        <v>0</v>
      </c>
      <c r="BF978" s="36">
        <f>978</f>
        <v>978</v>
      </c>
      <c r="BH978" s="20">
        <f t="shared" si="971"/>
        <v>0</v>
      </c>
      <c r="BI978" s="20">
        <f t="shared" si="972"/>
        <v>0</v>
      </c>
      <c r="BJ978" s="20">
        <f t="shared" si="973"/>
        <v>0</v>
      </c>
      <c r="BK978" s="20" t="s">
        <v>2978</v>
      </c>
      <c r="BL978" s="36">
        <v>8</v>
      </c>
    </row>
    <row r="979" spans="1:64" x14ac:dyDescent="0.2">
      <c r="A979" s="4" t="s">
        <v>845</v>
      </c>
      <c r="B979" s="13" t="s">
        <v>1740</v>
      </c>
      <c r="C979" s="174" t="s">
        <v>2751</v>
      </c>
      <c r="D979" s="175"/>
      <c r="E979" s="175"/>
      <c r="F979" s="175"/>
      <c r="G979" s="13" t="s">
        <v>2855</v>
      </c>
      <c r="H979" s="82">
        <v>6</v>
      </c>
      <c r="I979" s="109">
        <v>0</v>
      </c>
      <c r="J979" s="20">
        <f t="shared" si="950"/>
        <v>0</v>
      </c>
      <c r="K979" s="20">
        <f t="shared" si="951"/>
        <v>0</v>
      </c>
      <c r="L979" s="20">
        <f t="shared" si="952"/>
        <v>0</v>
      </c>
      <c r="M979" s="31" t="s">
        <v>2884</v>
      </c>
      <c r="N979" s="5"/>
      <c r="Z979" s="36">
        <f t="shared" si="953"/>
        <v>0</v>
      </c>
      <c r="AB979" s="36">
        <f t="shared" si="954"/>
        <v>0</v>
      </c>
      <c r="AC979" s="36">
        <f t="shared" si="955"/>
        <v>0</v>
      </c>
      <c r="AD979" s="36">
        <f t="shared" si="956"/>
        <v>0</v>
      </c>
      <c r="AE979" s="36">
        <f t="shared" si="957"/>
        <v>0</v>
      </c>
      <c r="AF979" s="36">
        <f t="shared" si="958"/>
        <v>0</v>
      </c>
      <c r="AG979" s="36">
        <f t="shared" si="959"/>
        <v>0</v>
      </c>
      <c r="AH979" s="36">
        <f t="shared" si="960"/>
        <v>0</v>
      </c>
      <c r="AI979" s="35" t="s">
        <v>2897</v>
      </c>
      <c r="AJ979" s="20">
        <f t="shared" si="961"/>
        <v>0</v>
      </c>
      <c r="AK979" s="20">
        <f t="shared" si="962"/>
        <v>0</v>
      </c>
      <c r="AL979" s="20">
        <f t="shared" si="963"/>
        <v>0</v>
      </c>
      <c r="AN979" s="36">
        <v>21</v>
      </c>
      <c r="AO979" s="36">
        <f t="shared" si="964"/>
        <v>0</v>
      </c>
      <c r="AP979" s="36">
        <f t="shared" si="965"/>
        <v>0</v>
      </c>
      <c r="AQ979" s="37" t="s">
        <v>7</v>
      </c>
      <c r="AV979" s="36">
        <f t="shared" si="966"/>
        <v>0</v>
      </c>
      <c r="AW979" s="36">
        <f t="shared" si="967"/>
        <v>0</v>
      </c>
      <c r="AX979" s="36">
        <f t="shared" si="968"/>
        <v>0</v>
      </c>
      <c r="AY979" s="39" t="s">
        <v>2944</v>
      </c>
      <c r="AZ979" s="39" t="s">
        <v>2963</v>
      </c>
      <c r="BA979" s="35" t="s">
        <v>2970</v>
      </c>
      <c r="BC979" s="36">
        <f t="shared" si="969"/>
        <v>0</v>
      </c>
      <c r="BD979" s="36">
        <f t="shared" si="970"/>
        <v>0</v>
      </c>
      <c r="BE979" s="36">
        <v>0</v>
      </c>
      <c r="BF979" s="36">
        <f>979</f>
        <v>979</v>
      </c>
      <c r="BH979" s="20">
        <f t="shared" si="971"/>
        <v>0</v>
      </c>
      <c r="BI979" s="20">
        <f t="shared" si="972"/>
        <v>0</v>
      </c>
      <c r="BJ979" s="20">
        <f t="shared" si="973"/>
        <v>0</v>
      </c>
      <c r="BK979" s="20" t="s">
        <v>2978</v>
      </c>
      <c r="BL979" s="36">
        <v>8</v>
      </c>
    </row>
    <row r="980" spans="1:64" x14ac:dyDescent="0.2">
      <c r="A980" s="4" t="s">
        <v>846</v>
      </c>
      <c r="B980" s="13" t="s">
        <v>1741</v>
      </c>
      <c r="C980" s="174" t="s">
        <v>2752</v>
      </c>
      <c r="D980" s="175"/>
      <c r="E980" s="175"/>
      <c r="F980" s="175"/>
      <c r="G980" s="13" t="s">
        <v>2860</v>
      </c>
      <c r="H980" s="82">
        <v>1</v>
      </c>
      <c r="I980" s="109">
        <v>0</v>
      </c>
      <c r="J980" s="20">
        <f t="shared" si="950"/>
        <v>0</v>
      </c>
      <c r="K980" s="20">
        <f t="shared" si="951"/>
        <v>0</v>
      </c>
      <c r="L980" s="20">
        <f t="shared" si="952"/>
        <v>0</v>
      </c>
      <c r="M980" s="31" t="s">
        <v>2884</v>
      </c>
      <c r="N980" s="5"/>
      <c r="Z980" s="36">
        <f t="shared" si="953"/>
        <v>0</v>
      </c>
      <c r="AB980" s="36">
        <f t="shared" si="954"/>
        <v>0</v>
      </c>
      <c r="AC980" s="36">
        <f t="shared" si="955"/>
        <v>0</v>
      </c>
      <c r="AD980" s="36">
        <f t="shared" si="956"/>
        <v>0</v>
      </c>
      <c r="AE980" s="36">
        <f t="shared" si="957"/>
        <v>0</v>
      </c>
      <c r="AF980" s="36">
        <f t="shared" si="958"/>
        <v>0</v>
      </c>
      <c r="AG980" s="36">
        <f t="shared" si="959"/>
        <v>0</v>
      </c>
      <c r="AH980" s="36">
        <f t="shared" si="960"/>
        <v>0</v>
      </c>
      <c r="AI980" s="35" t="s">
        <v>2897</v>
      </c>
      <c r="AJ980" s="20">
        <f t="shared" si="961"/>
        <v>0</v>
      </c>
      <c r="AK980" s="20">
        <f t="shared" si="962"/>
        <v>0</v>
      </c>
      <c r="AL980" s="20">
        <f t="shared" si="963"/>
        <v>0</v>
      </c>
      <c r="AN980" s="36">
        <v>21</v>
      </c>
      <c r="AO980" s="36">
        <f t="shared" ref="AO980:AO993" si="974">I980*0</f>
        <v>0</v>
      </c>
      <c r="AP980" s="36">
        <f t="shared" ref="AP980:AP993" si="975">I980*(1-0)</f>
        <v>0</v>
      </c>
      <c r="AQ980" s="37" t="s">
        <v>7</v>
      </c>
      <c r="AV980" s="36">
        <f t="shared" si="966"/>
        <v>0</v>
      </c>
      <c r="AW980" s="36">
        <f t="shared" si="967"/>
        <v>0</v>
      </c>
      <c r="AX980" s="36">
        <f t="shared" si="968"/>
        <v>0</v>
      </c>
      <c r="AY980" s="39" t="s">
        <v>2944</v>
      </c>
      <c r="AZ980" s="39" t="s">
        <v>2963</v>
      </c>
      <c r="BA980" s="35" t="s">
        <v>2970</v>
      </c>
      <c r="BC980" s="36">
        <f t="shared" si="969"/>
        <v>0</v>
      </c>
      <c r="BD980" s="36">
        <f t="shared" si="970"/>
        <v>0</v>
      </c>
      <c r="BE980" s="36">
        <v>0</v>
      </c>
      <c r="BF980" s="36">
        <f>980</f>
        <v>980</v>
      </c>
      <c r="BH980" s="20">
        <f t="shared" si="971"/>
        <v>0</v>
      </c>
      <c r="BI980" s="20">
        <f t="shared" si="972"/>
        <v>0</v>
      </c>
      <c r="BJ980" s="20">
        <f t="shared" si="973"/>
        <v>0</v>
      </c>
      <c r="BK980" s="20" t="s">
        <v>2978</v>
      </c>
      <c r="BL980" s="36">
        <v>8</v>
      </c>
    </row>
    <row r="981" spans="1:64" x14ac:dyDescent="0.2">
      <c r="A981" s="4" t="s">
        <v>847</v>
      </c>
      <c r="B981" s="13" t="s">
        <v>1742</v>
      </c>
      <c r="C981" s="174" t="s">
        <v>2753</v>
      </c>
      <c r="D981" s="175"/>
      <c r="E981" s="175"/>
      <c r="F981" s="175"/>
      <c r="G981" s="13" t="s">
        <v>2860</v>
      </c>
      <c r="H981" s="82">
        <v>1</v>
      </c>
      <c r="I981" s="109">
        <v>0</v>
      </c>
      <c r="J981" s="20">
        <f t="shared" si="950"/>
        <v>0</v>
      </c>
      <c r="K981" s="20">
        <f t="shared" si="951"/>
        <v>0</v>
      </c>
      <c r="L981" s="20">
        <f t="shared" si="952"/>
        <v>0</v>
      </c>
      <c r="M981" s="31" t="s">
        <v>2884</v>
      </c>
      <c r="N981" s="5"/>
      <c r="Z981" s="36">
        <f t="shared" si="953"/>
        <v>0</v>
      </c>
      <c r="AB981" s="36">
        <f t="shared" si="954"/>
        <v>0</v>
      </c>
      <c r="AC981" s="36">
        <f t="shared" si="955"/>
        <v>0</v>
      </c>
      <c r="AD981" s="36">
        <f t="shared" si="956"/>
        <v>0</v>
      </c>
      <c r="AE981" s="36">
        <f t="shared" si="957"/>
        <v>0</v>
      </c>
      <c r="AF981" s="36">
        <f t="shared" si="958"/>
        <v>0</v>
      </c>
      <c r="AG981" s="36">
        <f t="shared" si="959"/>
        <v>0</v>
      </c>
      <c r="AH981" s="36">
        <f t="shared" si="960"/>
        <v>0</v>
      </c>
      <c r="AI981" s="35" t="s">
        <v>2897</v>
      </c>
      <c r="AJ981" s="20">
        <f t="shared" si="961"/>
        <v>0</v>
      </c>
      <c r="AK981" s="20">
        <f t="shared" si="962"/>
        <v>0</v>
      </c>
      <c r="AL981" s="20">
        <f t="shared" si="963"/>
        <v>0</v>
      </c>
      <c r="AN981" s="36">
        <v>21</v>
      </c>
      <c r="AO981" s="36">
        <f t="shared" si="974"/>
        <v>0</v>
      </c>
      <c r="AP981" s="36">
        <f t="shared" si="975"/>
        <v>0</v>
      </c>
      <c r="AQ981" s="37" t="s">
        <v>7</v>
      </c>
      <c r="AV981" s="36">
        <f t="shared" si="966"/>
        <v>0</v>
      </c>
      <c r="AW981" s="36">
        <f t="shared" si="967"/>
        <v>0</v>
      </c>
      <c r="AX981" s="36">
        <f t="shared" si="968"/>
        <v>0</v>
      </c>
      <c r="AY981" s="39" t="s">
        <v>2944</v>
      </c>
      <c r="AZ981" s="39" t="s">
        <v>2963</v>
      </c>
      <c r="BA981" s="35" t="s">
        <v>2970</v>
      </c>
      <c r="BC981" s="36">
        <f t="shared" si="969"/>
        <v>0</v>
      </c>
      <c r="BD981" s="36">
        <f t="shared" si="970"/>
        <v>0</v>
      </c>
      <c r="BE981" s="36">
        <v>0</v>
      </c>
      <c r="BF981" s="36">
        <f>981</f>
        <v>981</v>
      </c>
      <c r="BH981" s="20">
        <f t="shared" si="971"/>
        <v>0</v>
      </c>
      <c r="BI981" s="20">
        <f t="shared" si="972"/>
        <v>0</v>
      </c>
      <c r="BJ981" s="20">
        <f t="shared" si="973"/>
        <v>0</v>
      </c>
      <c r="BK981" s="20" t="s">
        <v>2978</v>
      </c>
      <c r="BL981" s="36">
        <v>8</v>
      </c>
    </row>
    <row r="982" spans="1:64" x14ac:dyDescent="0.2">
      <c r="A982" s="4" t="s">
        <v>848</v>
      </c>
      <c r="B982" s="13" t="s">
        <v>1743</v>
      </c>
      <c r="C982" s="174" t="s">
        <v>2114</v>
      </c>
      <c r="D982" s="175"/>
      <c r="E982" s="175"/>
      <c r="F982" s="175"/>
      <c r="G982" s="13" t="s">
        <v>2862</v>
      </c>
      <c r="H982" s="82">
        <v>30</v>
      </c>
      <c r="I982" s="109">
        <v>0</v>
      </c>
      <c r="J982" s="20">
        <f t="shared" si="950"/>
        <v>0</v>
      </c>
      <c r="K982" s="20">
        <f t="shared" si="951"/>
        <v>0</v>
      </c>
      <c r="L982" s="20">
        <f t="shared" si="952"/>
        <v>0</v>
      </c>
      <c r="M982" s="31" t="s">
        <v>2884</v>
      </c>
      <c r="N982" s="5"/>
      <c r="Z982" s="36">
        <f t="shared" si="953"/>
        <v>0</v>
      </c>
      <c r="AB982" s="36">
        <f t="shared" si="954"/>
        <v>0</v>
      </c>
      <c r="AC982" s="36">
        <f t="shared" si="955"/>
        <v>0</v>
      </c>
      <c r="AD982" s="36">
        <f t="shared" si="956"/>
        <v>0</v>
      </c>
      <c r="AE982" s="36">
        <f t="shared" si="957"/>
        <v>0</v>
      </c>
      <c r="AF982" s="36">
        <f t="shared" si="958"/>
        <v>0</v>
      </c>
      <c r="AG982" s="36">
        <f t="shared" si="959"/>
        <v>0</v>
      </c>
      <c r="AH982" s="36">
        <f t="shared" si="960"/>
        <v>0</v>
      </c>
      <c r="AI982" s="35" t="s">
        <v>2897</v>
      </c>
      <c r="AJ982" s="20">
        <f t="shared" si="961"/>
        <v>0</v>
      </c>
      <c r="AK982" s="20">
        <f t="shared" si="962"/>
        <v>0</v>
      </c>
      <c r="AL982" s="20">
        <f t="shared" si="963"/>
        <v>0</v>
      </c>
      <c r="AN982" s="36">
        <v>21</v>
      </c>
      <c r="AO982" s="36">
        <f t="shared" si="974"/>
        <v>0</v>
      </c>
      <c r="AP982" s="36">
        <f t="shared" si="975"/>
        <v>0</v>
      </c>
      <c r="AQ982" s="37" t="s">
        <v>7</v>
      </c>
      <c r="AV982" s="36">
        <f t="shared" si="966"/>
        <v>0</v>
      </c>
      <c r="AW982" s="36">
        <f t="shared" si="967"/>
        <v>0</v>
      </c>
      <c r="AX982" s="36">
        <f t="shared" si="968"/>
        <v>0</v>
      </c>
      <c r="AY982" s="39" t="s">
        <v>2944</v>
      </c>
      <c r="AZ982" s="39" t="s">
        <v>2963</v>
      </c>
      <c r="BA982" s="35" t="s">
        <v>2970</v>
      </c>
      <c r="BC982" s="36">
        <f t="shared" si="969"/>
        <v>0</v>
      </c>
      <c r="BD982" s="36">
        <f t="shared" si="970"/>
        <v>0</v>
      </c>
      <c r="BE982" s="36">
        <v>0</v>
      </c>
      <c r="BF982" s="36">
        <f>982</f>
        <v>982</v>
      </c>
      <c r="BH982" s="20">
        <f t="shared" si="971"/>
        <v>0</v>
      </c>
      <c r="BI982" s="20">
        <f t="shared" si="972"/>
        <v>0</v>
      </c>
      <c r="BJ982" s="20">
        <f t="shared" si="973"/>
        <v>0</v>
      </c>
      <c r="BK982" s="20" t="s">
        <v>2978</v>
      </c>
      <c r="BL982" s="36">
        <v>8</v>
      </c>
    </row>
    <row r="983" spans="1:64" x14ac:dyDescent="0.2">
      <c r="A983" s="4" t="s">
        <v>849</v>
      </c>
      <c r="B983" s="13" t="s">
        <v>1744</v>
      </c>
      <c r="C983" s="174" t="s">
        <v>2754</v>
      </c>
      <c r="D983" s="175"/>
      <c r="E983" s="175"/>
      <c r="F983" s="175"/>
      <c r="G983" s="13" t="s">
        <v>2860</v>
      </c>
      <c r="H983" s="82">
        <v>1</v>
      </c>
      <c r="I983" s="109">
        <v>0</v>
      </c>
      <c r="J983" s="20">
        <f t="shared" si="950"/>
        <v>0</v>
      </c>
      <c r="K983" s="20">
        <f t="shared" si="951"/>
        <v>0</v>
      </c>
      <c r="L983" s="20">
        <f t="shared" si="952"/>
        <v>0</v>
      </c>
      <c r="M983" s="31" t="s">
        <v>2884</v>
      </c>
      <c r="N983" s="5"/>
      <c r="Z983" s="36">
        <f t="shared" si="953"/>
        <v>0</v>
      </c>
      <c r="AB983" s="36">
        <f t="shared" si="954"/>
        <v>0</v>
      </c>
      <c r="AC983" s="36">
        <f t="shared" si="955"/>
        <v>0</v>
      </c>
      <c r="AD983" s="36">
        <f t="shared" si="956"/>
        <v>0</v>
      </c>
      <c r="AE983" s="36">
        <f t="shared" si="957"/>
        <v>0</v>
      </c>
      <c r="AF983" s="36">
        <f t="shared" si="958"/>
        <v>0</v>
      </c>
      <c r="AG983" s="36">
        <f t="shared" si="959"/>
        <v>0</v>
      </c>
      <c r="AH983" s="36">
        <f t="shared" si="960"/>
        <v>0</v>
      </c>
      <c r="AI983" s="35" t="s">
        <v>2897</v>
      </c>
      <c r="AJ983" s="20">
        <f t="shared" si="961"/>
        <v>0</v>
      </c>
      <c r="AK983" s="20">
        <f t="shared" si="962"/>
        <v>0</v>
      </c>
      <c r="AL983" s="20">
        <f t="shared" si="963"/>
        <v>0</v>
      </c>
      <c r="AN983" s="36">
        <v>21</v>
      </c>
      <c r="AO983" s="36">
        <f t="shared" si="974"/>
        <v>0</v>
      </c>
      <c r="AP983" s="36">
        <f t="shared" si="975"/>
        <v>0</v>
      </c>
      <c r="AQ983" s="37" t="s">
        <v>7</v>
      </c>
      <c r="AV983" s="36">
        <f t="shared" si="966"/>
        <v>0</v>
      </c>
      <c r="AW983" s="36">
        <f t="shared" si="967"/>
        <v>0</v>
      </c>
      <c r="AX983" s="36">
        <f t="shared" si="968"/>
        <v>0</v>
      </c>
      <c r="AY983" s="39" t="s">
        <v>2944</v>
      </c>
      <c r="AZ983" s="39" t="s">
        <v>2963</v>
      </c>
      <c r="BA983" s="35" t="s">
        <v>2970</v>
      </c>
      <c r="BC983" s="36">
        <f t="shared" si="969"/>
        <v>0</v>
      </c>
      <c r="BD983" s="36">
        <f t="shared" si="970"/>
        <v>0</v>
      </c>
      <c r="BE983" s="36">
        <v>0</v>
      </c>
      <c r="BF983" s="36">
        <f>983</f>
        <v>983</v>
      </c>
      <c r="BH983" s="20">
        <f t="shared" si="971"/>
        <v>0</v>
      </c>
      <c r="BI983" s="20">
        <f t="shared" si="972"/>
        <v>0</v>
      </c>
      <c r="BJ983" s="20">
        <f t="shared" si="973"/>
        <v>0</v>
      </c>
      <c r="BK983" s="20" t="s">
        <v>2978</v>
      </c>
      <c r="BL983" s="36">
        <v>8</v>
      </c>
    </row>
    <row r="984" spans="1:64" x14ac:dyDescent="0.2">
      <c r="A984" s="4" t="s">
        <v>850</v>
      </c>
      <c r="B984" s="13" t="s">
        <v>1745</v>
      </c>
      <c r="C984" s="174" t="s">
        <v>2755</v>
      </c>
      <c r="D984" s="175"/>
      <c r="E984" s="175"/>
      <c r="F984" s="175"/>
      <c r="G984" s="13" t="s">
        <v>2855</v>
      </c>
      <c r="H984" s="82">
        <v>72</v>
      </c>
      <c r="I984" s="109">
        <v>0</v>
      </c>
      <c r="J984" s="20">
        <f t="shared" si="950"/>
        <v>0</v>
      </c>
      <c r="K984" s="20">
        <f t="shared" si="951"/>
        <v>0</v>
      </c>
      <c r="L984" s="20">
        <f t="shared" si="952"/>
        <v>0</v>
      </c>
      <c r="M984" s="31" t="s">
        <v>2884</v>
      </c>
      <c r="N984" s="5"/>
      <c r="Z984" s="36">
        <f t="shared" si="953"/>
        <v>0</v>
      </c>
      <c r="AB984" s="36">
        <f t="shared" si="954"/>
        <v>0</v>
      </c>
      <c r="AC984" s="36">
        <f t="shared" si="955"/>
        <v>0</v>
      </c>
      <c r="AD984" s="36">
        <f t="shared" si="956"/>
        <v>0</v>
      </c>
      <c r="AE984" s="36">
        <f t="shared" si="957"/>
        <v>0</v>
      </c>
      <c r="AF984" s="36">
        <f t="shared" si="958"/>
        <v>0</v>
      </c>
      <c r="AG984" s="36">
        <f t="shared" si="959"/>
        <v>0</v>
      </c>
      <c r="AH984" s="36">
        <f t="shared" si="960"/>
        <v>0</v>
      </c>
      <c r="AI984" s="35" t="s">
        <v>2897</v>
      </c>
      <c r="AJ984" s="20">
        <f t="shared" si="961"/>
        <v>0</v>
      </c>
      <c r="AK984" s="20">
        <f t="shared" si="962"/>
        <v>0</v>
      </c>
      <c r="AL984" s="20">
        <f t="shared" si="963"/>
        <v>0</v>
      </c>
      <c r="AN984" s="36">
        <v>21</v>
      </c>
      <c r="AO984" s="36">
        <f t="shared" si="974"/>
        <v>0</v>
      </c>
      <c r="AP984" s="36">
        <f t="shared" si="975"/>
        <v>0</v>
      </c>
      <c r="AQ984" s="37" t="s">
        <v>7</v>
      </c>
      <c r="AV984" s="36">
        <f t="shared" si="966"/>
        <v>0</v>
      </c>
      <c r="AW984" s="36">
        <f t="shared" si="967"/>
        <v>0</v>
      </c>
      <c r="AX984" s="36">
        <f t="shared" si="968"/>
        <v>0</v>
      </c>
      <c r="AY984" s="39" t="s">
        <v>2944</v>
      </c>
      <c r="AZ984" s="39" t="s">
        <v>2963</v>
      </c>
      <c r="BA984" s="35" t="s">
        <v>2970</v>
      </c>
      <c r="BC984" s="36">
        <f t="shared" si="969"/>
        <v>0</v>
      </c>
      <c r="BD984" s="36">
        <f t="shared" si="970"/>
        <v>0</v>
      </c>
      <c r="BE984" s="36">
        <v>0</v>
      </c>
      <c r="BF984" s="36">
        <f>984</f>
        <v>984</v>
      </c>
      <c r="BH984" s="20">
        <f t="shared" si="971"/>
        <v>0</v>
      </c>
      <c r="BI984" s="20">
        <f t="shared" si="972"/>
        <v>0</v>
      </c>
      <c r="BJ984" s="20">
        <f t="shared" si="973"/>
        <v>0</v>
      </c>
      <c r="BK984" s="20" t="s">
        <v>2978</v>
      </c>
      <c r="BL984" s="36">
        <v>8</v>
      </c>
    </row>
    <row r="985" spans="1:64" x14ac:dyDescent="0.2">
      <c r="A985" s="4" t="s">
        <v>851</v>
      </c>
      <c r="B985" s="13" t="s">
        <v>1746</v>
      </c>
      <c r="C985" s="174" t="s">
        <v>2756</v>
      </c>
      <c r="D985" s="175"/>
      <c r="E985" s="175"/>
      <c r="F985" s="175"/>
      <c r="G985" s="13" t="s">
        <v>2855</v>
      </c>
      <c r="H985" s="82">
        <v>72</v>
      </c>
      <c r="I985" s="109">
        <v>0</v>
      </c>
      <c r="J985" s="20">
        <f t="shared" si="950"/>
        <v>0</v>
      </c>
      <c r="K985" s="20">
        <f t="shared" si="951"/>
        <v>0</v>
      </c>
      <c r="L985" s="20">
        <f t="shared" si="952"/>
        <v>0</v>
      </c>
      <c r="M985" s="31" t="s">
        <v>2884</v>
      </c>
      <c r="N985" s="5"/>
      <c r="Z985" s="36">
        <f t="shared" si="953"/>
        <v>0</v>
      </c>
      <c r="AB985" s="36">
        <f t="shared" si="954"/>
        <v>0</v>
      </c>
      <c r="AC985" s="36">
        <f t="shared" si="955"/>
        <v>0</v>
      </c>
      <c r="AD985" s="36">
        <f t="shared" si="956"/>
        <v>0</v>
      </c>
      <c r="AE985" s="36">
        <f t="shared" si="957"/>
        <v>0</v>
      </c>
      <c r="AF985" s="36">
        <f t="shared" si="958"/>
        <v>0</v>
      </c>
      <c r="AG985" s="36">
        <f t="shared" si="959"/>
        <v>0</v>
      </c>
      <c r="AH985" s="36">
        <f t="shared" si="960"/>
        <v>0</v>
      </c>
      <c r="AI985" s="35" t="s">
        <v>2897</v>
      </c>
      <c r="AJ985" s="20">
        <f t="shared" si="961"/>
        <v>0</v>
      </c>
      <c r="AK985" s="20">
        <f t="shared" si="962"/>
        <v>0</v>
      </c>
      <c r="AL985" s="20">
        <f t="shared" si="963"/>
        <v>0</v>
      </c>
      <c r="AN985" s="36">
        <v>21</v>
      </c>
      <c r="AO985" s="36">
        <f t="shared" si="974"/>
        <v>0</v>
      </c>
      <c r="AP985" s="36">
        <f t="shared" si="975"/>
        <v>0</v>
      </c>
      <c r="AQ985" s="37" t="s">
        <v>7</v>
      </c>
      <c r="AV985" s="36">
        <f t="shared" si="966"/>
        <v>0</v>
      </c>
      <c r="AW985" s="36">
        <f t="shared" si="967"/>
        <v>0</v>
      </c>
      <c r="AX985" s="36">
        <f t="shared" si="968"/>
        <v>0</v>
      </c>
      <c r="AY985" s="39" t="s">
        <v>2944</v>
      </c>
      <c r="AZ985" s="39" t="s">
        <v>2963</v>
      </c>
      <c r="BA985" s="35" t="s">
        <v>2970</v>
      </c>
      <c r="BC985" s="36">
        <f t="shared" si="969"/>
        <v>0</v>
      </c>
      <c r="BD985" s="36">
        <f t="shared" si="970"/>
        <v>0</v>
      </c>
      <c r="BE985" s="36">
        <v>0</v>
      </c>
      <c r="BF985" s="36">
        <f>985</f>
        <v>985</v>
      </c>
      <c r="BH985" s="20">
        <f t="shared" si="971"/>
        <v>0</v>
      </c>
      <c r="BI985" s="20">
        <f t="shared" si="972"/>
        <v>0</v>
      </c>
      <c r="BJ985" s="20">
        <f t="shared" si="973"/>
        <v>0</v>
      </c>
      <c r="BK985" s="20" t="s">
        <v>2978</v>
      </c>
      <c r="BL985" s="36">
        <v>8</v>
      </c>
    </row>
    <row r="986" spans="1:64" x14ac:dyDescent="0.2">
      <c r="A986" s="4" t="s">
        <v>852</v>
      </c>
      <c r="B986" s="13" t="s">
        <v>1747</v>
      </c>
      <c r="C986" s="174" t="s">
        <v>2757</v>
      </c>
      <c r="D986" s="175"/>
      <c r="E986" s="175"/>
      <c r="F986" s="175"/>
      <c r="G986" s="13" t="s">
        <v>2860</v>
      </c>
      <c r="H986" s="82">
        <v>1</v>
      </c>
      <c r="I986" s="109">
        <v>0</v>
      </c>
      <c r="J986" s="20">
        <f t="shared" si="950"/>
        <v>0</v>
      </c>
      <c r="K986" s="20">
        <f t="shared" si="951"/>
        <v>0</v>
      </c>
      <c r="L986" s="20">
        <f t="shared" si="952"/>
        <v>0</v>
      </c>
      <c r="M986" s="31" t="s">
        <v>2884</v>
      </c>
      <c r="N986" s="5"/>
      <c r="Z986" s="36">
        <f t="shared" si="953"/>
        <v>0</v>
      </c>
      <c r="AB986" s="36">
        <f t="shared" si="954"/>
        <v>0</v>
      </c>
      <c r="AC986" s="36">
        <f t="shared" si="955"/>
        <v>0</v>
      </c>
      <c r="AD986" s="36">
        <f t="shared" si="956"/>
        <v>0</v>
      </c>
      <c r="AE986" s="36">
        <f t="shared" si="957"/>
        <v>0</v>
      </c>
      <c r="AF986" s="36">
        <f t="shared" si="958"/>
        <v>0</v>
      </c>
      <c r="AG986" s="36">
        <f t="shared" si="959"/>
        <v>0</v>
      </c>
      <c r="AH986" s="36">
        <f t="shared" si="960"/>
        <v>0</v>
      </c>
      <c r="AI986" s="35" t="s">
        <v>2897</v>
      </c>
      <c r="AJ986" s="20">
        <f t="shared" si="961"/>
        <v>0</v>
      </c>
      <c r="AK986" s="20">
        <f t="shared" si="962"/>
        <v>0</v>
      </c>
      <c r="AL986" s="20">
        <f t="shared" si="963"/>
        <v>0</v>
      </c>
      <c r="AN986" s="36">
        <v>21</v>
      </c>
      <c r="AO986" s="36">
        <f t="shared" si="974"/>
        <v>0</v>
      </c>
      <c r="AP986" s="36">
        <f t="shared" si="975"/>
        <v>0</v>
      </c>
      <c r="AQ986" s="37" t="s">
        <v>7</v>
      </c>
      <c r="AV986" s="36">
        <f t="shared" si="966"/>
        <v>0</v>
      </c>
      <c r="AW986" s="36">
        <f t="shared" si="967"/>
        <v>0</v>
      </c>
      <c r="AX986" s="36">
        <f t="shared" si="968"/>
        <v>0</v>
      </c>
      <c r="AY986" s="39" t="s">
        <v>2944</v>
      </c>
      <c r="AZ986" s="39" t="s">
        <v>2963</v>
      </c>
      <c r="BA986" s="35" t="s">
        <v>2970</v>
      </c>
      <c r="BC986" s="36">
        <f t="shared" si="969"/>
        <v>0</v>
      </c>
      <c r="BD986" s="36">
        <f t="shared" si="970"/>
        <v>0</v>
      </c>
      <c r="BE986" s="36">
        <v>0</v>
      </c>
      <c r="BF986" s="36">
        <f>986</f>
        <v>986</v>
      </c>
      <c r="BH986" s="20">
        <f t="shared" si="971"/>
        <v>0</v>
      </c>
      <c r="BI986" s="20">
        <f t="shared" si="972"/>
        <v>0</v>
      </c>
      <c r="BJ986" s="20">
        <f t="shared" si="973"/>
        <v>0</v>
      </c>
      <c r="BK986" s="20" t="s">
        <v>2978</v>
      </c>
      <c r="BL986" s="36">
        <v>8</v>
      </c>
    </row>
    <row r="987" spans="1:64" x14ac:dyDescent="0.2">
      <c r="A987" s="4" t="s">
        <v>853</v>
      </c>
      <c r="B987" s="13" t="s">
        <v>1748</v>
      </c>
      <c r="C987" s="174" t="s">
        <v>2758</v>
      </c>
      <c r="D987" s="175"/>
      <c r="E987" s="175"/>
      <c r="F987" s="175"/>
      <c r="G987" s="13" t="s">
        <v>2860</v>
      </c>
      <c r="H987" s="82">
        <v>16</v>
      </c>
      <c r="I987" s="109">
        <v>0</v>
      </c>
      <c r="J987" s="20">
        <f t="shared" si="950"/>
        <v>0</v>
      </c>
      <c r="K987" s="20">
        <f t="shared" si="951"/>
        <v>0</v>
      </c>
      <c r="L987" s="20">
        <f t="shared" si="952"/>
        <v>0</v>
      </c>
      <c r="M987" s="31" t="s">
        <v>2884</v>
      </c>
      <c r="N987" s="5"/>
      <c r="Z987" s="36">
        <f t="shared" si="953"/>
        <v>0</v>
      </c>
      <c r="AB987" s="36">
        <f t="shared" si="954"/>
        <v>0</v>
      </c>
      <c r="AC987" s="36">
        <f t="shared" si="955"/>
        <v>0</v>
      </c>
      <c r="AD987" s="36">
        <f t="shared" si="956"/>
        <v>0</v>
      </c>
      <c r="AE987" s="36">
        <f t="shared" si="957"/>
        <v>0</v>
      </c>
      <c r="AF987" s="36">
        <f t="shared" si="958"/>
        <v>0</v>
      </c>
      <c r="AG987" s="36">
        <f t="shared" si="959"/>
        <v>0</v>
      </c>
      <c r="AH987" s="36">
        <f t="shared" si="960"/>
        <v>0</v>
      </c>
      <c r="AI987" s="35" t="s">
        <v>2897</v>
      </c>
      <c r="AJ987" s="20">
        <f t="shared" si="961"/>
        <v>0</v>
      </c>
      <c r="AK987" s="20">
        <f t="shared" si="962"/>
        <v>0</v>
      </c>
      <c r="AL987" s="20">
        <f t="shared" si="963"/>
        <v>0</v>
      </c>
      <c r="AN987" s="36">
        <v>21</v>
      </c>
      <c r="AO987" s="36">
        <f t="shared" si="974"/>
        <v>0</v>
      </c>
      <c r="AP987" s="36">
        <f t="shared" si="975"/>
        <v>0</v>
      </c>
      <c r="AQ987" s="37" t="s">
        <v>7</v>
      </c>
      <c r="AV987" s="36">
        <f t="shared" si="966"/>
        <v>0</v>
      </c>
      <c r="AW987" s="36">
        <f t="shared" si="967"/>
        <v>0</v>
      </c>
      <c r="AX987" s="36">
        <f t="shared" si="968"/>
        <v>0</v>
      </c>
      <c r="AY987" s="39" t="s">
        <v>2944</v>
      </c>
      <c r="AZ987" s="39" t="s">
        <v>2963</v>
      </c>
      <c r="BA987" s="35" t="s">
        <v>2970</v>
      </c>
      <c r="BC987" s="36">
        <f t="shared" si="969"/>
        <v>0</v>
      </c>
      <c r="BD987" s="36">
        <f t="shared" si="970"/>
        <v>0</v>
      </c>
      <c r="BE987" s="36">
        <v>0</v>
      </c>
      <c r="BF987" s="36">
        <f>987</f>
        <v>987</v>
      </c>
      <c r="BH987" s="20">
        <f t="shared" si="971"/>
        <v>0</v>
      </c>
      <c r="BI987" s="20">
        <f t="shared" si="972"/>
        <v>0</v>
      </c>
      <c r="BJ987" s="20">
        <f t="shared" si="973"/>
        <v>0</v>
      </c>
      <c r="BK987" s="20" t="s">
        <v>2978</v>
      </c>
      <c r="BL987" s="36">
        <v>8</v>
      </c>
    </row>
    <row r="988" spans="1:64" x14ac:dyDescent="0.2">
      <c r="A988" s="4" t="s">
        <v>854</v>
      </c>
      <c r="B988" s="13" t="s">
        <v>1749</v>
      </c>
      <c r="C988" s="174" t="s">
        <v>2759</v>
      </c>
      <c r="D988" s="175"/>
      <c r="E988" s="175"/>
      <c r="F988" s="175"/>
      <c r="G988" s="13" t="s">
        <v>2860</v>
      </c>
      <c r="H988" s="82">
        <v>1</v>
      </c>
      <c r="I988" s="109">
        <v>0</v>
      </c>
      <c r="J988" s="20">
        <f t="shared" si="950"/>
        <v>0</v>
      </c>
      <c r="K988" s="20">
        <f t="shared" si="951"/>
        <v>0</v>
      </c>
      <c r="L988" s="20">
        <f t="shared" si="952"/>
        <v>0</v>
      </c>
      <c r="M988" s="31" t="s">
        <v>2884</v>
      </c>
      <c r="N988" s="5"/>
      <c r="Z988" s="36">
        <f t="shared" si="953"/>
        <v>0</v>
      </c>
      <c r="AB988" s="36">
        <f t="shared" si="954"/>
        <v>0</v>
      </c>
      <c r="AC988" s="36">
        <f t="shared" si="955"/>
        <v>0</v>
      </c>
      <c r="AD988" s="36">
        <f t="shared" si="956"/>
        <v>0</v>
      </c>
      <c r="AE988" s="36">
        <f t="shared" si="957"/>
        <v>0</v>
      </c>
      <c r="AF988" s="36">
        <f t="shared" si="958"/>
        <v>0</v>
      </c>
      <c r="AG988" s="36">
        <f t="shared" si="959"/>
        <v>0</v>
      </c>
      <c r="AH988" s="36">
        <f t="shared" si="960"/>
        <v>0</v>
      </c>
      <c r="AI988" s="35" t="s">
        <v>2897</v>
      </c>
      <c r="AJ988" s="20">
        <f t="shared" si="961"/>
        <v>0</v>
      </c>
      <c r="AK988" s="20">
        <f t="shared" si="962"/>
        <v>0</v>
      </c>
      <c r="AL988" s="20">
        <f t="shared" si="963"/>
        <v>0</v>
      </c>
      <c r="AN988" s="36">
        <v>21</v>
      </c>
      <c r="AO988" s="36">
        <f t="shared" si="974"/>
        <v>0</v>
      </c>
      <c r="AP988" s="36">
        <f t="shared" si="975"/>
        <v>0</v>
      </c>
      <c r="AQ988" s="37" t="s">
        <v>7</v>
      </c>
      <c r="AV988" s="36">
        <f t="shared" si="966"/>
        <v>0</v>
      </c>
      <c r="AW988" s="36">
        <f t="shared" si="967"/>
        <v>0</v>
      </c>
      <c r="AX988" s="36">
        <f t="shared" si="968"/>
        <v>0</v>
      </c>
      <c r="AY988" s="39" t="s">
        <v>2944</v>
      </c>
      <c r="AZ988" s="39" t="s">
        <v>2963</v>
      </c>
      <c r="BA988" s="35" t="s">
        <v>2970</v>
      </c>
      <c r="BC988" s="36">
        <f t="shared" si="969"/>
        <v>0</v>
      </c>
      <c r="BD988" s="36">
        <f t="shared" si="970"/>
        <v>0</v>
      </c>
      <c r="BE988" s="36">
        <v>0</v>
      </c>
      <c r="BF988" s="36">
        <f>988</f>
        <v>988</v>
      </c>
      <c r="BH988" s="20">
        <f t="shared" si="971"/>
        <v>0</v>
      </c>
      <c r="BI988" s="20">
        <f t="shared" si="972"/>
        <v>0</v>
      </c>
      <c r="BJ988" s="20">
        <f t="shared" si="973"/>
        <v>0</v>
      </c>
      <c r="BK988" s="20" t="s">
        <v>2978</v>
      </c>
      <c r="BL988" s="36">
        <v>8</v>
      </c>
    </row>
    <row r="989" spans="1:64" x14ac:dyDescent="0.2">
      <c r="A989" s="4" t="s">
        <v>855</v>
      </c>
      <c r="B989" s="13" t="s">
        <v>1750</v>
      </c>
      <c r="C989" s="174" t="s">
        <v>2760</v>
      </c>
      <c r="D989" s="175"/>
      <c r="E989" s="175"/>
      <c r="F989" s="175"/>
      <c r="G989" s="13" t="s">
        <v>2860</v>
      </c>
      <c r="H989" s="82">
        <v>4</v>
      </c>
      <c r="I989" s="109">
        <v>0</v>
      </c>
      <c r="J989" s="20">
        <f t="shared" si="950"/>
        <v>0</v>
      </c>
      <c r="K989" s="20">
        <f t="shared" si="951"/>
        <v>0</v>
      </c>
      <c r="L989" s="20">
        <f t="shared" si="952"/>
        <v>0</v>
      </c>
      <c r="M989" s="31" t="s">
        <v>2884</v>
      </c>
      <c r="N989" s="5"/>
      <c r="Z989" s="36">
        <f t="shared" si="953"/>
        <v>0</v>
      </c>
      <c r="AB989" s="36">
        <f t="shared" si="954"/>
        <v>0</v>
      </c>
      <c r="AC989" s="36">
        <f t="shared" si="955"/>
        <v>0</v>
      </c>
      <c r="AD989" s="36">
        <f t="shared" si="956"/>
        <v>0</v>
      </c>
      <c r="AE989" s="36">
        <f t="shared" si="957"/>
        <v>0</v>
      </c>
      <c r="AF989" s="36">
        <f t="shared" si="958"/>
        <v>0</v>
      </c>
      <c r="AG989" s="36">
        <f t="shared" si="959"/>
        <v>0</v>
      </c>
      <c r="AH989" s="36">
        <f t="shared" si="960"/>
        <v>0</v>
      </c>
      <c r="AI989" s="35" t="s">
        <v>2897</v>
      </c>
      <c r="AJ989" s="20">
        <f t="shared" si="961"/>
        <v>0</v>
      </c>
      <c r="AK989" s="20">
        <f t="shared" si="962"/>
        <v>0</v>
      </c>
      <c r="AL989" s="20">
        <f t="shared" si="963"/>
        <v>0</v>
      </c>
      <c r="AN989" s="36">
        <v>21</v>
      </c>
      <c r="AO989" s="36">
        <f t="shared" si="974"/>
        <v>0</v>
      </c>
      <c r="AP989" s="36">
        <f t="shared" si="975"/>
        <v>0</v>
      </c>
      <c r="AQ989" s="37" t="s">
        <v>7</v>
      </c>
      <c r="AV989" s="36">
        <f t="shared" si="966"/>
        <v>0</v>
      </c>
      <c r="AW989" s="36">
        <f t="shared" si="967"/>
        <v>0</v>
      </c>
      <c r="AX989" s="36">
        <f t="shared" si="968"/>
        <v>0</v>
      </c>
      <c r="AY989" s="39" t="s">
        <v>2944</v>
      </c>
      <c r="AZ989" s="39" t="s">
        <v>2963</v>
      </c>
      <c r="BA989" s="35" t="s">
        <v>2970</v>
      </c>
      <c r="BC989" s="36">
        <f t="shared" si="969"/>
        <v>0</v>
      </c>
      <c r="BD989" s="36">
        <f t="shared" si="970"/>
        <v>0</v>
      </c>
      <c r="BE989" s="36">
        <v>0</v>
      </c>
      <c r="BF989" s="36">
        <f>989</f>
        <v>989</v>
      </c>
      <c r="BH989" s="20">
        <f t="shared" si="971"/>
        <v>0</v>
      </c>
      <c r="BI989" s="20">
        <f t="shared" si="972"/>
        <v>0</v>
      </c>
      <c r="BJ989" s="20">
        <f t="shared" si="973"/>
        <v>0</v>
      </c>
      <c r="BK989" s="20" t="s">
        <v>2978</v>
      </c>
      <c r="BL989" s="36">
        <v>8</v>
      </c>
    </row>
    <row r="990" spans="1:64" x14ac:dyDescent="0.2">
      <c r="A990" s="4" t="s">
        <v>856</v>
      </c>
      <c r="B990" s="13" t="s">
        <v>1751</v>
      </c>
      <c r="C990" s="174" t="s">
        <v>2761</v>
      </c>
      <c r="D990" s="175"/>
      <c r="E990" s="175"/>
      <c r="F990" s="175"/>
      <c r="G990" s="13" t="s">
        <v>2861</v>
      </c>
      <c r="H990" s="82">
        <v>1</v>
      </c>
      <c r="I990" s="109">
        <v>0</v>
      </c>
      <c r="J990" s="20">
        <f t="shared" si="950"/>
        <v>0</v>
      </c>
      <c r="K990" s="20">
        <f t="shared" si="951"/>
        <v>0</v>
      </c>
      <c r="L990" s="20">
        <f t="shared" si="952"/>
        <v>0</v>
      </c>
      <c r="M990" s="31" t="s">
        <v>2884</v>
      </c>
      <c r="N990" s="5"/>
      <c r="Z990" s="36">
        <f t="shared" si="953"/>
        <v>0</v>
      </c>
      <c r="AB990" s="36">
        <f t="shared" si="954"/>
        <v>0</v>
      </c>
      <c r="AC990" s="36">
        <f t="shared" si="955"/>
        <v>0</v>
      </c>
      <c r="AD990" s="36">
        <f t="shared" si="956"/>
        <v>0</v>
      </c>
      <c r="AE990" s="36">
        <f t="shared" si="957"/>
        <v>0</v>
      </c>
      <c r="AF990" s="36">
        <f t="shared" si="958"/>
        <v>0</v>
      </c>
      <c r="AG990" s="36">
        <f t="shared" si="959"/>
        <v>0</v>
      </c>
      <c r="AH990" s="36">
        <f t="shared" si="960"/>
        <v>0</v>
      </c>
      <c r="AI990" s="35" t="s">
        <v>2897</v>
      </c>
      <c r="AJ990" s="20">
        <f t="shared" si="961"/>
        <v>0</v>
      </c>
      <c r="AK990" s="20">
        <f t="shared" si="962"/>
        <v>0</v>
      </c>
      <c r="AL990" s="20">
        <f t="shared" si="963"/>
        <v>0</v>
      </c>
      <c r="AN990" s="36">
        <v>21</v>
      </c>
      <c r="AO990" s="36">
        <f t="shared" si="974"/>
        <v>0</v>
      </c>
      <c r="AP990" s="36">
        <f t="shared" si="975"/>
        <v>0</v>
      </c>
      <c r="AQ990" s="37" t="s">
        <v>7</v>
      </c>
      <c r="AV990" s="36">
        <f t="shared" si="966"/>
        <v>0</v>
      </c>
      <c r="AW990" s="36">
        <f t="shared" si="967"/>
        <v>0</v>
      </c>
      <c r="AX990" s="36">
        <f t="shared" si="968"/>
        <v>0</v>
      </c>
      <c r="AY990" s="39" t="s">
        <v>2944</v>
      </c>
      <c r="AZ990" s="39" t="s">
        <v>2963</v>
      </c>
      <c r="BA990" s="35" t="s">
        <v>2970</v>
      </c>
      <c r="BC990" s="36">
        <f t="shared" si="969"/>
        <v>0</v>
      </c>
      <c r="BD990" s="36">
        <f t="shared" si="970"/>
        <v>0</v>
      </c>
      <c r="BE990" s="36">
        <v>0</v>
      </c>
      <c r="BF990" s="36">
        <f>990</f>
        <v>990</v>
      </c>
      <c r="BH990" s="20">
        <f t="shared" si="971"/>
        <v>0</v>
      </c>
      <c r="BI990" s="20">
        <f t="shared" si="972"/>
        <v>0</v>
      </c>
      <c r="BJ990" s="20">
        <f t="shared" si="973"/>
        <v>0</v>
      </c>
      <c r="BK990" s="20" t="s">
        <v>2978</v>
      </c>
      <c r="BL990" s="36">
        <v>8</v>
      </c>
    </row>
    <row r="991" spans="1:64" x14ac:dyDescent="0.2">
      <c r="A991" s="4" t="s">
        <v>857</v>
      </c>
      <c r="B991" s="13" t="s">
        <v>1752</v>
      </c>
      <c r="C991" s="174" t="s">
        <v>2121</v>
      </c>
      <c r="D991" s="175"/>
      <c r="E991" s="175"/>
      <c r="F991" s="175"/>
      <c r="G991" s="13" t="s">
        <v>2860</v>
      </c>
      <c r="H991" s="82">
        <v>1</v>
      </c>
      <c r="I991" s="109">
        <v>0</v>
      </c>
      <c r="J991" s="20">
        <f t="shared" si="950"/>
        <v>0</v>
      </c>
      <c r="K991" s="20">
        <f t="shared" si="951"/>
        <v>0</v>
      </c>
      <c r="L991" s="20">
        <f t="shared" si="952"/>
        <v>0</v>
      </c>
      <c r="M991" s="31" t="s">
        <v>2884</v>
      </c>
      <c r="N991" s="5"/>
      <c r="Z991" s="36">
        <f t="shared" si="953"/>
        <v>0</v>
      </c>
      <c r="AB991" s="36">
        <f t="shared" si="954"/>
        <v>0</v>
      </c>
      <c r="AC991" s="36">
        <f t="shared" si="955"/>
        <v>0</v>
      </c>
      <c r="AD991" s="36">
        <f t="shared" si="956"/>
        <v>0</v>
      </c>
      <c r="AE991" s="36">
        <f t="shared" si="957"/>
        <v>0</v>
      </c>
      <c r="AF991" s="36">
        <f t="shared" si="958"/>
        <v>0</v>
      </c>
      <c r="AG991" s="36">
        <f t="shared" si="959"/>
        <v>0</v>
      </c>
      <c r="AH991" s="36">
        <f t="shared" si="960"/>
        <v>0</v>
      </c>
      <c r="AI991" s="35" t="s">
        <v>2897</v>
      </c>
      <c r="AJ991" s="20">
        <f t="shared" si="961"/>
        <v>0</v>
      </c>
      <c r="AK991" s="20">
        <f t="shared" si="962"/>
        <v>0</v>
      </c>
      <c r="AL991" s="20">
        <f t="shared" si="963"/>
        <v>0</v>
      </c>
      <c r="AN991" s="36">
        <v>21</v>
      </c>
      <c r="AO991" s="36">
        <f t="shared" si="974"/>
        <v>0</v>
      </c>
      <c r="AP991" s="36">
        <f t="shared" si="975"/>
        <v>0</v>
      </c>
      <c r="AQ991" s="37" t="s">
        <v>7</v>
      </c>
      <c r="AV991" s="36">
        <f t="shared" si="966"/>
        <v>0</v>
      </c>
      <c r="AW991" s="36">
        <f t="shared" si="967"/>
        <v>0</v>
      </c>
      <c r="AX991" s="36">
        <f t="shared" si="968"/>
        <v>0</v>
      </c>
      <c r="AY991" s="39" t="s">
        <v>2944</v>
      </c>
      <c r="AZ991" s="39" t="s">
        <v>2963</v>
      </c>
      <c r="BA991" s="35" t="s">
        <v>2970</v>
      </c>
      <c r="BC991" s="36">
        <f t="shared" si="969"/>
        <v>0</v>
      </c>
      <c r="BD991" s="36">
        <f t="shared" si="970"/>
        <v>0</v>
      </c>
      <c r="BE991" s="36">
        <v>0</v>
      </c>
      <c r="BF991" s="36">
        <f>991</f>
        <v>991</v>
      </c>
      <c r="BH991" s="20">
        <f t="shared" si="971"/>
        <v>0</v>
      </c>
      <c r="BI991" s="20">
        <f t="shared" si="972"/>
        <v>0</v>
      </c>
      <c r="BJ991" s="20">
        <f t="shared" si="973"/>
        <v>0</v>
      </c>
      <c r="BK991" s="20" t="s">
        <v>2978</v>
      </c>
      <c r="BL991" s="36">
        <v>8</v>
      </c>
    </row>
    <row r="992" spans="1:64" x14ac:dyDescent="0.2">
      <c r="A992" s="4" t="s">
        <v>858</v>
      </c>
      <c r="B992" s="13" t="s">
        <v>1753</v>
      </c>
      <c r="C992" s="174" t="s">
        <v>2122</v>
      </c>
      <c r="D992" s="175"/>
      <c r="E992" s="175"/>
      <c r="F992" s="175"/>
      <c r="G992" s="13" t="s">
        <v>2860</v>
      </c>
      <c r="H992" s="82">
        <v>1</v>
      </c>
      <c r="I992" s="109">
        <v>0</v>
      </c>
      <c r="J992" s="20">
        <f t="shared" si="950"/>
        <v>0</v>
      </c>
      <c r="K992" s="20">
        <f t="shared" si="951"/>
        <v>0</v>
      </c>
      <c r="L992" s="20">
        <f t="shared" si="952"/>
        <v>0</v>
      </c>
      <c r="M992" s="31" t="s">
        <v>2884</v>
      </c>
      <c r="N992" s="5"/>
      <c r="Z992" s="36">
        <f t="shared" si="953"/>
        <v>0</v>
      </c>
      <c r="AB992" s="36">
        <f t="shared" si="954"/>
        <v>0</v>
      </c>
      <c r="AC992" s="36">
        <f t="shared" si="955"/>
        <v>0</v>
      </c>
      <c r="AD992" s="36">
        <f t="shared" si="956"/>
        <v>0</v>
      </c>
      <c r="AE992" s="36">
        <f t="shared" si="957"/>
        <v>0</v>
      </c>
      <c r="AF992" s="36">
        <f t="shared" si="958"/>
        <v>0</v>
      </c>
      <c r="AG992" s="36">
        <f t="shared" si="959"/>
        <v>0</v>
      </c>
      <c r="AH992" s="36">
        <f t="shared" si="960"/>
        <v>0</v>
      </c>
      <c r="AI992" s="35" t="s">
        <v>2897</v>
      </c>
      <c r="AJ992" s="20">
        <f t="shared" si="961"/>
        <v>0</v>
      </c>
      <c r="AK992" s="20">
        <f t="shared" si="962"/>
        <v>0</v>
      </c>
      <c r="AL992" s="20">
        <f t="shared" si="963"/>
        <v>0</v>
      </c>
      <c r="AN992" s="36">
        <v>21</v>
      </c>
      <c r="AO992" s="36">
        <f t="shared" si="974"/>
        <v>0</v>
      </c>
      <c r="AP992" s="36">
        <f t="shared" si="975"/>
        <v>0</v>
      </c>
      <c r="AQ992" s="37" t="s">
        <v>7</v>
      </c>
      <c r="AV992" s="36">
        <f t="shared" si="966"/>
        <v>0</v>
      </c>
      <c r="AW992" s="36">
        <f t="shared" si="967"/>
        <v>0</v>
      </c>
      <c r="AX992" s="36">
        <f t="shared" si="968"/>
        <v>0</v>
      </c>
      <c r="AY992" s="39" t="s">
        <v>2944</v>
      </c>
      <c r="AZ992" s="39" t="s">
        <v>2963</v>
      </c>
      <c r="BA992" s="35" t="s">
        <v>2970</v>
      </c>
      <c r="BC992" s="36">
        <f t="shared" si="969"/>
        <v>0</v>
      </c>
      <c r="BD992" s="36">
        <f t="shared" si="970"/>
        <v>0</v>
      </c>
      <c r="BE992" s="36">
        <v>0</v>
      </c>
      <c r="BF992" s="36">
        <f>992</f>
        <v>992</v>
      </c>
      <c r="BH992" s="20">
        <f t="shared" si="971"/>
        <v>0</v>
      </c>
      <c r="BI992" s="20">
        <f t="shared" si="972"/>
        <v>0</v>
      </c>
      <c r="BJ992" s="20">
        <f t="shared" si="973"/>
        <v>0</v>
      </c>
      <c r="BK992" s="20" t="s">
        <v>2978</v>
      </c>
      <c r="BL992" s="36">
        <v>8</v>
      </c>
    </row>
    <row r="993" spans="1:64" x14ac:dyDescent="0.2">
      <c r="A993" s="4" t="s">
        <v>859</v>
      </c>
      <c r="B993" s="13" t="s">
        <v>1754</v>
      </c>
      <c r="C993" s="174" t="s">
        <v>2123</v>
      </c>
      <c r="D993" s="175"/>
      <c r="E993" s="175"/>
      <c r="F993" s="175"/>
      <c r="G993" s="13" t="s">
        <v>2860</v>
      </c>
      <c r="H993" s="82">
        <v>1</v>
      </c>
      <c r="I993" s="109">
        <v>0</v>
      </c>
      <c r="J993" s="20">
        <f t="shared" si="950"/>
        <v>0</v>
      </c>
      <c r="K993" s="20">
        <f t="shared" si="951"/>
        <v>0</v>
      </c>
      <c r="L993" s="20">
        <f t="shared" si="952"/>
        <v>0</v>
      </c>
      <c r="M993" s="31" t="s">
        <v>2884</v>
      </c>
      <c r="N993" s="5"/>
      <c r="Z993" s="36">
        <f t="shared" si="953"/>
        <v>0</v>
      </c>
      <c r="AB993" s="36">
        <f t="shared" si="954"/>
        <v>0</v>
      </c>
      <c r="AC993" s="36">
        <f t="shared" si="955"/>
        <v>0</v>
      </c>
      <c r="AD993" s="36">
        <f t="shared" si="956"/>
        <v>0</v>
      </c>
      <c r="AE993" s="36">
        <f t="shared" si="957"/>
        <v>0</v>
      </c>
      <c r="AF993" s="36">
        <f t="shared" si="958"/>
        <v>0</v>
      </c>
      <c r="AG993" s="36">
        <f t="shared" si="959"/>
        <v>0</v>
      </c>
      <c r="AH993" s="36">
        <f t="shared" si="960"/>
        <v>0</v>
      </c>
      <c r="AI993" s="35" t="s">
        <v>2897</v>
      </c>
      <c r="AJ993" s="20">
        <f t="shared" si="961"/>
        <v>0</v>
      </c>
      <c r="AK993" s="20">
        <f t="shared" si="962"/>
        <v>0</v>
      </c>
      <c r="AL993" s="20">
        <f t="shared" si="963"/>
        <v>0</v>
      </c>
      <c r="AN993" s="36">
        <v>21</v>
      </c>
      <c r="AO993" s="36">
        <f t="shared" si="974"/>
        <v>0</v>
      </c>
      <c r="AP993" s="36">
        <f t="shared" si="975"/>
        <v>0</v>
      </c>
      <c r="AQ993" s="37" t="s">
        <v>7</v>
      </c>
      <c r="AV993" s="36">
        <f t="shared" si="966"/>
        <v>0</v>
      </c>
      <c r="AW993" s="36">
        <f t="shared" si="967"/>
        <v>0</v>
      </c>
      <c r="AX993" s="36">
        <f t="shared" si="968"/>
        <v>0</v>
      </c>
      <c r="AY993" s="39" t="s">
        <v>2944</v>
      </c>
      <c r="AZ993" s="39" t="s">
        <v>2963</v>
      </c>
      <c r="BA993" s="35" t="s">
        <v>2970</v>
      </c>
      <c r="BC993" s="36">
        <f t="shared" si="969"/>
        <v>0</v>
      </c>
      <c r="BD993" s="36">
        <f t="shared" si="970"/>
        <v>0</v>
      </c>
      <c r="BE993" s="36">
        <v>0</v>
      </c>
      <c r="BF993" s="36">
        <f>993</f>
        <v>993</v>
      </c>
      <c r="BH993" s="20">
        <f t="shared" si="971"/>
        <v>0</v>
      </c>
      <c r="BI993" s="20">
        <f t="shared" si="972"/>
        <v>0</v>
      </c>
      <c r="BJ993" s="20">
        <f t="shared" si="973"/>
        <v>0</v>
      </c>
      <c r="BK993" s="20" t="s">
        <v>2978</v>
      </c>
      <c r="BL993" s="36">
        <v>8</v>
      </c>
    </row>
    <row r="994" spans="1:64" x14ac:dyDescent="0.2">
      <c r="A994" s="98"/>
      <c r="B994" s="99"/>
      <c r="C994" s="185" t="s">
        <v>2762</v>
      </c>
      <c r="D994" s="186"/>
      <c r="E994" s="186"/>
      <c r="F994" s="186"/>
      <c r="G994" s="100" t="s">
        <v>6</v>
      </c>
      <c r="H994" s="100" t="s">
        <v>6</v>
      </c>
      <c r="I994" s="100" t="s">
        <v>6</v>
      </c>
      <c r="J994" s="101">
        <f>J995</f>
        <v>0</v>
      </c>
      <c r="K994" s="101">
        <f>K995</f>
        <v>0</v>
      </c>
      <c r="L994" s="101">
        <f>L995</f>
        <v>0</v>
      </c>
      <c r="M994" s="102"/>
      <c r="N994" s="5"/>
    </row>
    <row r="995" spans="1:64" x14ac:dyDescent="0.2">
      <c r="A995" s="3"/>
      <c r="B995" s="12" t="s">
        <v>14</v>
      </c>
      <c r="C995" s="172" t="s">
        <v>2718</v>
      </c>
      <c r="D995" s="173"/>
      <c r="E995" s="173"/>
      <c r="F995" s="173"/>
      <c r="G995" s="18" t="s">
        <v>6</v>
      </c>
      <c r="H995" s="18" t="s">
        <v>6</v>
      </c>
      <c r="I995" s="18" t="s">
        <v>6</v>
      </c>
      <c r="J995" s="41">
        <f>SUM(J996:J1056)</f>
        <v>0</v>
      </c>
      <c r="K995" s="41">
        <f>SUM(K996:K1056)</f>
        <v>0</v>
      </c>
      <c r="L995" s="41">
        <f>SUM(L996:L1056)</f>
        <v>0</v>
      </c>
      <c r="M995" s="30"/>
      <c r="N995" s="5"/>
      <c r="AI995" s="35" t="s">
        <v>2898</v>
      </c>
      <c r="AS995" s="41">
        <f>SUM(AJ996:AJ1056)</f>
        <v>0</v>
      </c>
      <c r="AT995" s="41">
        <f>SUM(AK996:AK1056)</f>
        <v>0</v>
      </c>
      <c r="AU995" s="41">
        <f>SUM(AL996:AL1056)</f>
        <v>0</v>
      </c>
    </row>
    <row r="996" spans="1:64" x14ac:dyDescent="0.2">
      <c r="A996" s="4" t="s">
        <v>860</v>
      </c>
      <c r="B996" s="13" t="s">
        <v>1755</v>
      </c>
      <c r="C996" s="174" t="s">
        <v>2763</v>
      </c>
      <c r="D996" s="175"/>
      <c r="E996" s="175"/>
      <c r="F996" s="175"/>
      <c r="G996" s="13" t="s">
        <v>2855</v>
      </c>
      <c r="H996" s="82">
        <v>114</v>
      </c>
      <c r="I996" s="109">
        <v>0</v>
      </c>
      <c r="J996" s="20">
        <f>H996*AO996</f>
        <v>0</v>
      </c>
      <c r="K996" s="20">
        <f>H996*AP996</f>
        <v>0</v>
      </c>
      <c r="L996" s="20">
        <f>H996*I996</f>
        <v>0</v>
      </c>
      <c r="M996" s="31" t="s">
        <v>2884</v>
      </c>
      <c r="N996" s="5"/>
      <c r="Z996" s="36">
        <f>IF(AQ996="5",BJ996,0)</f>
        <v>0</v>
      </c>
      <c r="AB996" s="36">
        <f>IF(AQ996="1",BH996,0)</f>
        <v>0</v>
      </c>
      <c r="AC996" s="36">
        <f>IF(AQ996="1",BI996,0)</f>
        <v>0</v>
      </c>
      <c r="AD996" s="36">
        <f>IF(AQ996="7",BH996,0)</f>
        <v>0</v>
      </c>
      <c r="AE996" s="36">
        <f>IF(AQ996="7",BI996,0)</f>
        <v>0</v>
      </c>
      <c r="AF996" s="36">
        <f>IF(AQ996="2",BH996,0)</f>
        <v>0</v>
      </c>
      <c r="AG996" s="36">
        <f>IF(AQ996="2",BI996,0)</f>
        <v>0</v>
      </c>
      <c r="AH996" s="36">
        <f>IF(AQ996="0",BJ996,0)</f>
        <v>0</v>
      </c>
      <c r="AI996" s="35" t="s">
        <v>2898</v>
      </c>
      <c r="AJ996" s="20">
        <f>IF(AN996=0,L996,0)</f>
        <v>0</v>
      </c>
      <c r="AK996" s="20">
        <f>IF(AN996=15,L996,0)</f>
        <v>0</v>
      </c>
      <c r="AL996" s="20">
        <f>IF(AN996=21,L996,0)</f>
        <v>0</v>
      </c>
      <c r="AN996" s="36">
        <v>21</v>
      </c>
      <c r="AO996" s="36">
        <f>I996*0</f>
        <v>0</v>
      </c>
      <c r="AP996" s="36">
        <f>I996*(1-0)</f>
        <v>0</v>
      </c>
      <c r="AQ996" s="37" t="s">
        <v>7</v>
      </c>
      <c r="AV996" s="36">
        <f>AW996+AX996</f>
        <v>0</v>
      </c>
      <c r="AW996" s="36">
        <f>H996*AO996</f>
        <v>0</v>
      </c>
      <c r="AX996" s="36">
        <f>H996*AP996</f>
        <v>0</v>
      </c>
      <c r="AY996" s="39" t="s">
        <v>2944</v>
      </c>
      <c r="AZ996" s="39" t="s">
        <v>2964</v>
      </c>
      <c r="BA996" s="35" t="s">
        <v>2971</v>
      </c>
      <c r="BC996" s="36">
        <f>AW996+AX996</f>
        <v>0</v>
      </c>
      <c r="BD996" s="36">
        <f>I996/(100-BE996)*100</f>
        <v>0</v>
      </c>
      <c r="BE996" s="36">
        <v>0</v>
      </c>
      <c r="BF996" s="36">
        <f>996</f>
        <v>996</v>
      </c>
      <c r="BH996" s="20">
        <f>H996*AO996</f>
        <v>0</v>
      </c>
      <c r="BI996" s="20">
        <f>H996*AP996</f>
        <v>0</v>
      </c>
      <c r="BJ996" s="20">
        <f>H996*I996</f>
        <v>0</v>
      </c>
      <c r="BK996" s="20" t="s">
        <v>2978</v>
      </c>
      <c r="BL996" s="36">
        <v>8</v>
      </c>
    </row>
    <row r="997" spans="1:64" x14ac:dyDescent="0.2">
      <c r="A997" s="5"/>
      <c r="B997" s="14"/>
      <c r="C997" s="179" t="s">
        <v>2764</v>
      </c>
      <c r="D997" s="180"/>
      <c r="E997" s="180"/>
      <c r="F997" s="180"/>
      <c r="G997" s="180"/>
      <c r="H997" s="180"/>
      <c r="I997" s="180"/>
      <c r="J997" s="180"/>
      <c r="K997" s="180"/>
      <c r="L997" s="180"/>
      <c r="M997" s="181"/>
      <c r="N997" s="5"/>
    </row>
    <row r="998" spans="1:64" x14ac:dyDescent="0.2">
      <c r="A998" s="4" t="s">
        <v>861</v>
      </c>
      <c r="B998" s="13" t="s">
        <v>1756</v>
      </c>
      <c r="C998" s="174" t="s">
        <v>2765</v>
      </c>
      <c r="D998" s="175"/>
      <c r="E998" s="175"/>
      <c r="F998" s="175"/>
      <c r="G998" s="13" t="s">
        <v>2860</v>
      </c>
      <c r="H998" s="82">
        <v>2</v>
      </c>
      <c r="I998" s="109">
        <v>0</v>
      </c>
      <c r="J998" s="20">
        <f>H998*AO998</f>
        <v>0</v>
      </c>
      <c r="K998" s="20">
        <f>H998*AP998</f>
        <v>0</v>
      </c>
      <c r="L998" s="20">
        <f>H998*I998</f>
        <v>0</v>
      </c>
      <c r="M998" s="31" t="s">
        <v>2884</v>
      </c>
      <c r="N998" s="5"/>
      <c r="Z998" s="36">
        <f>IF(AQ998="5",BJ998,0)</f>
        <v>0</v>
      </c>
      <c r="AB998" s="36">
        <f>IF(AQ998="1",BH998,0)</f>
        <v>0</v>
      </c>
      <c r="AC998" s="36">
        <f>IF(AQ998="1",BI998,0)</f>
        <v>0</v>
      </c>
      <c r="AD998" s="36">
        <f>IF(AQ998="7",BH998,0)</f>
        <v>0</v>
      </c>
      <c r="AE998" s="36">
        <f>IF(AQ998="7",BI998,0)</f>
        <v>0</v>
      </c>
      <c r="AF998" s="36">
        <f>IF(AQ998="2",BH998,0)</f>
        <v>0</v>
      </c>
      <c r="AG998" s="36">
        <f>IF(AQ998="2",BI998,0)</f>
        <v>0</v>
      </c>
      <c r="AH998" s="36">
        <f>IF(AQ998="0",BJ998,0)</f>
        <v>0</v>
      </c>
      <c r="AI998" s="35" t="s">
        <v>2898</v>
      </c>
      <c r="AJ998" s="20">
        <f>IF(AN998=0,L998,0)</f>
        <v>0</v>
      </c>
      <c r="AK998" s="20">
        <f>IF(AN998=15,L998,0)</f>
        <v>0</v>
      </c>
      <c r="AL998" s="20">
        <f>IF(AN998=21,L998,0)</f>
        <v>0</v>
      </c>
      <c r="AN998" s="36">
        <v>21</v>
      </c>
      <c r="AO998" s="36">
        <f>I998*0</f>
        <v>0</v>
      </c>
      <c r="AP998" s="36">
        <f>I998*(1-0)</f>
        <v>0</v>
      </c>
      <c r="AQ998" s="37" t="s">
        <v>7</v>
      </c>
      <c r="AV998" s="36">
        <f>AW998+AX998</f>
        <v>0</v>
      </c>
      <c r="AW998" s="36">
        <f>H998*AO998</f>
        <v>0</v>
      </c>
      <c r="AX998" s="36">
        <f>H998*AP998</f>
        <v>0</v>
      </c>
      <c r="AY998" s="39" t="s">
        <v>2944</v>
      </c>
      <c r="AZ998" s="39" t="s">
        <v>2964</v>
      </c>
      <c r="BA998" s="35" t="s">
        <v>2971</v>
      </c>
      <c r="BC998" s="36">
        <f>AW998+AX998</f>
        <v>0</v>
      </c>
      <c r="BD998" s="36">
        <f>I998/(100-BE998)*100</f>
        <v>0</v>
      </c>
      <c r="BE998" s="36">
        <v>0</v>
      </c>
      <c r="BF998" s="36">
        <f>998</f>
        <v>998</v>
      </c>
      <c r="BH998" s="20">
        <f>H998*AO998</f>
        <v>0</v>
      </c>
      <c r="BI998" s="20">
        <f>H998*AP998</f>
        <v>0</v>
      </c>
      <c r="BJ998" s="20">
        <f>H998*I998</f>
        <v>0</v>
      </c>
      <c r="BK998" s="20" t="s">
        <v>2978</v>
      </c>
      <c r="BL998" s="36">
        <v>8</v>
      </c>
    </row>
    <row r="999" spans="1:64" x14ac:dyDescent="0.2">
      <c r="A999" s="4" t="s">
        <v>862</v>
      </c>
      <c r="B999" s="13" t="s">
        <v>1757</v>
      </c>
      <c r="C999" s="174" t="s">
        <v>2766</v>
      </c>
      <c r="D999" s="175"/>
      <c r="E999" s="175"/>
      <c r="F999" s="175"/>
      <c r="G999" s="13" t="s">
        <v>2860</v>
      </c>
      <c r="H999" s="82">
        <v>4</v>
      </c>
      <c r="I999" s="109">
        <v>0</v>
      </c>
      <c r="J999" s="20">
        <f>H999*AO999</f>
        <v>0</v>
      </c>
      <c r="K999" s="20">
        <f>H999*AP999</f>
        <v>0</v>
      </c>
      <c r="L999" s="20">
        <f>H999*I999</f>
        <v>0</v>
      </c>
      <c r="M999" s="31" t="s">
        <v>2884</v>
      </c>
      <c r="N999" s="5"/>
      <c r="Z999" s="36">
        <f>IF(AQ999="5",BJ999,0)</f>
        <v>0</v>
      </c>
      <c r="AB999" s="36">
        <f>IF(AQ999="1",BH999,0)</f>
        <v>0</v>
      </c>
      <c r="AC999" s="36">
        <f>IF(AQ999="1",BI999,0)</f>
        <v>0</v>
      </c>
      <c r="AD999" s="36">
        <f>IF(AQ999="7",BH999,0)</f>
        <v>0</v>
      </c>
      <c r="AE999" s="36">
        <f>IF(AQ999="7",BI999,0)</f>
        <v>0</v>
      </c>
      <c r="AF999" s="36">
        <f>IF(AQ999="2",BH999,0)</f>
        <v>0</v>
      </c>
      <c r="AG999" s="36">
        <f>IF(AQ999="2",BI999,0)</f>
        <v>0</v>
      </c>
      <c r="AH999" s="36">
        <f>IF(AQ999="0",BJ999,0)</f>
        <v>0</v>
      </c>
      <c r="AI999" s="35" t="s">
        <v>2898</v>
      </c>
      <c r="AJ999" s="20">
        <f>IF(AN999=0,L999,0)</f>
        <v>0</v>
      </c>
      <c r="AK999" s="20">
        <f>IF(AN999=15,L999,0)</f>
        <v>0</v>
      </c>
      <c r="AL999" s="20">
        <f>IF(AN999=21,L999,0)</f>
        <v>0</v>
      </c>
      <c r="AN999" s="36">
        <v>21</v>
      </c>
      <c r="AO999" s="36">
        <f>I999*0</f>
        <v>0</v>
      </c>
      <c r="AP999" s="36">
        <f>I999*(1-0)</f>
        <v>0</v>
      </c>
      <c r="AQ999" s="37" t="s">
        <v>7</v>
      </c>
      <c r="AV999" s="36">
        <f>AW999+AX999</f>
        <v>0</v>
      </c>
      <c r="AW999" s="36">
        <f>H999*AO999</f>
        <v>0</v>
      </c>
      <c r="AX999" s="36">
        <f>H999*AP999</f>
        <v>0</v>
      </c>
      <c r="AY999" s="39" t="s">
        <v>2944</v>
      </c>
      <c r="AZ999" s="39" t="s">
        <v>2964</v>
      </c>
      <c r="BA999" s="35" t="s">
        <v>2971</v>
      </c>
      <c r="BC999" s="36">
        <f>AW999+AX999</f>
        <v>0</v>
      </c>
      <c r="BD999" s="36">
        <f>I999/(100-BE999)*100</f>
        <v>0</v>
      </c>
      <c r="BE999" s="36">
        <v>0</v>
      </c>
      <c r="BF999" s="36">
        <f>999</f>
        <v>999</v>
      </c>
      <c r="BH999" s="20">
        <f>H999*AO999</f>
        <v>0</v>
      </c>
      <c r="BI999" s="20">
        <f>H999*AP999</f>
        <v>0</v>
      </c>
      <c r="BJ999" s="20">
        <f>H999*I999</f>
        <v>0</v>
      </c>
      <c r="BK999" s="20" t="s">
        <v>2978</v>
      </c>
      <c r="BL999" s="36">
        <v>8</v>
      </c>
    </row>
    <row r="1000" spans="1:64" x14ac:dyDescent="0.2">
      <c r="A1000" s="4" t="s">
        <v>863</v>
      </c>
      <c r="B1000" s="13" t="s">
        <v>1758</v>
      </c>
      <c r="C1000" s="174" t="s">
        <v>2767</v>
      </c>
      <c r="D1000" s="175"/>
      <c r="E1000" s="175"/>
      <c r="F1000" s="175"/>
      <c r="G1000" s="13" t="s">
        <v>2861</v>
      </c>
      <c r="H1000" s="82">
        <v>4</v>
      </c>
      <c r="I1000" s="109">
        <v>0</v>
      </c>
      <c r="J1000" s="20">
        <f>H1000*AO1000</f>
        <v>0</v>
      </c>
      <c r="K1000" s="20">
        <f>H1000*AP1000</f>
        <v>0</v>
      </c>
      <c r="L1000" s="20">
        <f>H1000*I1000</f>
        <v>0</v>
      </c>
      <c r="M1000" s="31" t="s">
        <v>2884</v>
      </c>
      <c r="N1000" s="5"/>
      <c r="Z1000" s="36">
        <f>IF(AQ1000="5",BJ1000,0)</f>
        <v>0</v>
      </c>
      <c r="AB1000" s="36">
        <f>IF(AQ1000="1",BH1000,0)</f>
        <v>0</v>
      </c>
      <c r="AC1000" s="36">
        <f>IF(AQ1000="1",BI1000,0)</f>
        <v>0</v>
      </c>
      <c r="AD1000" s="36">
        <f>IF(AQ1000="7",BH1000,0)</f>
        <v>0</v>
      </c>
      <c r="AE1000" s="36">
        <f>IF(AQ1000="7",BI1000,0)</f>
        <v>0</v>
      </c>
      <c r="AF1000" s="36">
        <f>IF(AQ1000="2",BH1000,0)</f>
        <v>0</v>
      </c>
      <c r="AG1000" s="36">
        <f>IF(AQ1000="2",BI1000,0)</f>
        <v>0</v>
      </c>
      <c r="AH1000" s="36">
        <f>IF(AQ1000="0",BJ1000,0)</f>
        <v>0</v>
      </c>
      <c r="AI1000" s="35" t="s">
        <v>2898</v>
      </c>
      <c r="AJ1000" s="20">
        <f>IF(AN1000=0,L1000,0)</f>
        <v>0</v>
      </c>
      <c r="AK1000" s="20">
        <f>IF(AN1000=15,L1000,0)</f>
        <v>0</v>
      </c>
      <c r="AL1000" s="20">
        <f>IF(AN1000=21,L1000,0)</f>
        <v>0</v>
      </c>
      <c r="AN1000" s="36">
        <v>21</v>
      </c>
      <c r="AO1000" s="36">
        <f>I1000*0</f>
        <v>0</v>
      </c>
      <c r="AP1000" s="36">
        <f>I1000*(1-0)</f>
        <v>0</v>
      </c>
      <c r="AQ1000" s="37" t="s">
        <v>7</v>
      </c>
      <c r="AV1000" s="36">
        <f>AW1000+AX1000</f>
        <v>0</v>
      </c>
      <c r="AW1000" s="36">
        <f>H1000*AO1000</f>
        <v>0</v>
      </c>
      <c r="AX1000" s="36">
        <f>H1000*AP1000</f>
        <v>0</v>
      </c>
      <c r="AY1000" s="39" t="s">
        <v>2944</v>
      </c>
      <c r="AZ1000" s="39" t="s">
        <v>2964</v>
      </c>
      <c r="BA1000" s="35" t="s">
        <v>2971</v>
      </c>
      <c r="BC1000" s="36">
        <f>AW1000+AX1000</f>
        <v>0</v>
      </c>
      <c r="BD1000" s="36">
        <f>I1000/(100-BE1000)*100</f>
        <v>0</v>
      </c>
      <c r="BE1000" s="36">
        <v>0</v>
      </c>
      <c r="BF1000" s="36">
        <f>1000</f>
        <v>1000</v>
      </c>
      <c r="BH1000" s="20">
        <f>H1000*AO1000</f>
        <v>0</v>
      </c>
      <c r="BI1000" s="20">
        <f>H1000*AP1000</f>
        <v>0</v>
      </c>
      <c r="BJ1000" s="20">
        <f>H1000*I1000</f>
        <v>0</v>
      </c>
      <c r="BK1000" s="20" t="s">
        <v>2978</v>
      </c>
      <c r="BL1000" s="36">
        <v>8</v>
      </c>
    </row>
    <row r="1001" spans="1:64" x14ac:dyDescent="0.2">
      <c r="A1001" s="4" t="s">
        <v>864</v>
      </c>
      <c r="B1001" s="13" t="s">
        <v>1759</v>
      </c>
      <c r="C1001" s="174" t="s">
        <v>2768</v>
      </c>
      <c r="D1001" s="175"/>
      <c r="E1001" s="175"/>
      <c r="F1001" s="175"/>
      <c r="G1001" s="13" t="s">
        <v>2855</v>
      </c>
      <c r="H1001" s="82">
        <v>114</v>
      </c>
      <c r="I1001" s="109">
        <v>0</v>
      </c>
      <c r="J1001" s="20">
        <f>H1001*AO1001</f>
        <v>0</v>
      </c>
      <c r="K1001" s="20">
        <f>H1001*AP1001</f>
        <v>0</v>
      </c>
      <c r="L1001" s="20">
        <f>H1001*I1001</f>
        <v>0</v>
      </c>
      <c r="M1001" s="31" t="s">
        <v>2884</v>
      </c>
      <c r="N1001" s="5"/>
      <c r="Z1001" s="36">
        <f>IF(AQ1001="5",BJ1001,0)</f>
        <v>0</v>
      </c>
      <c r="AB1001" s="36">
        <f>IF(AQ1001="1",BH1001,0)</f>
        <v>0</v>
      </c>
      <c r="AC1001" s="36">
        <f>IF(AQ1001="1",BI1001,0)</f>
        <v>0</v>
      </c>
      <c r="AD1001" s="36">
        <f>IF(AQ1001="7",BH1001,0)</f>
        <v>0</v>
      </c>
      <c r="AE1001" s="36">
        <f>IF(AQ1001="7",BI1001,0)</f>
        <v>0</v>
      </c>
      <c r="AF1001" s="36">
        <f>IF(AQ1001="2",BH1001,0)</f>
        <v>0</v>
      </c>
      <c r="AG1001" s="36">
        <f>IF(AQ1001="2",BI1001,0)</f>
        <v>0</v>
      </c>
      <c r="AH1001" s="36">
        <f>IF(AQ1001="0",BJ1001,0)</f>
        <v>0</v>
      </c>
      <c r="AI1001" s="35" t="s">
        <v>2898</v>
      </c>
      <c r="AJ1001" s="20">
        <f>IF(AN1001=0,L1001,0)</f>
        <v>0</v>
      </c>
      <c r="AK1001" s="20">
        <f>IF(AN1001=15,L1001,0)</f>
        <v>0</v>
      </c>
      <c r="AL1001" s="20">
        <f>IF(AN1001=21,L1001,0)</f>
        <v>0</v>
      </c>
      <c r="AN1001" s="36">
        <v>21</v>
      </c>
      <c r="AO1001" s="36">
        <f>I1001*0</f>
        <v>0</v>
      </c>
      <c r="AP1001" s="36">
        <f>I1001*(1-0)</f>
        <v>0</v>
      </c>
      <c r="AQ1001" s="37" t="s">
        <v>7</v>
      </c>
      <c r="AV1001" s="36">
        <f>AW1001+AX1001</f>
        <v>0</v>
      </c>
      <c r="AW1001" s="36">
        <f>H1001*AO1001</f>
        <v>0</v>
      </c>
      <c r="AX1001" s="36">
        <f>H1001*AP1001</f>
        <v>0</v>
      </c>
      <c r="AY1001" s="39" t="s">
        <v>2944</v>
      </c>
      <c r="AZ1001" s="39" t="s">
        <v>2964</v>
      </c>
      <c r="BA1001" s="35" t="s">
        <v>2971</v>
      </c>
      <c r="BC1001" s="36">
        <f>AW1001+AX1001</f>
        <v>0</v>
      </c>
      <c r="BD1001" s="36">
        <f>I1001/(100-BE1001)*100</f>
        <v>0</v>
      </c>
      <c r="BE1001" s="36">
        <v>0</v>
      </c>
      <c r="BF1001" s="36">
        <f>1001</f>
        <v>1001</v>
      </c>
      <c r="BH1001" s="20">
        <f>H1001*AO1001</f>
        <v>0</v>
      </c>
      <c r="BI1001" s="20">
        <f>H1001*AP1001</f>
        <v>0</v>
      </c>
      <c r="BJ1001" s="20">
        <f>H1001*I1001</f>
        <v>0</v>
      </c>
      <c r="BK1001" s="20" t="s">
        <v>2978</v>
      </c>
      <c r="BL1001" s="36">
        <v>8</v>
      </c>
    </row>
    <row r="1002" spans="1:64" ht="25.7" customHeight="1" x14ac:dyDescent="0.2">
      <c r="A1002" s="5"/>
      <c r="B1002" s="14"/>
      <c r="C1002" s="179" t="s">
        <v>2769</v>
      </c>
      <c r="D1002" s="180"/>
      <c r="E1002" s="180"/>
      <c r="F1002" s="180"/>
      <c r="G1002" s="180"/>
      <c r="H1002" s="180"/>
      <c r="I1002" s="180"/>
      <c r="J1002" s="180"/>
      <c r="K1002" s="180"/>
      <c r="L1002" s="180"/>
      <c r="M1002" s="181"/>
      <c r="N1002" s="5"/>
    </row>
    <row r="1003" spans="1:64" x14ac:dyDescent="0.2">
      <c r="A1003" s="4" t="s">
        <v>865</v>
      </c>
      <c r="B1003" s="13" t="s">
        <v>1760</v>
      </c>
      <c r="C1003" s="174" t="s">
        <v>2770</v>
      </c>
      <c r="D1003" s="175"/>
      <c r="E1003" s="175"/>
      <c r="F1003" s="175"/>
      <c r="G1003" s="13" t="s">
        <v>2855</v>
      </c>
      <c r="H1003" s="82">
        <v>80</v>
      </c>
      <c r="I1003" s="109">
        <v>0</v>
      </c>
      <c r="J1003" s="20">
        <f t="shared" ref="J1003:J1014" si="976">H1003*AO1003</f>
        <v>0</v>
      </c>
      <c r="K1003" s="20">
        <f t="shared" ref="K1003:K1014" si="977">H1003*AP1003</f>
        <v>0</v>
      </c>
      <c r="L1003" s="20">
        <f t="shared" ref="L1003:L1014" si="978">H1003*I1003</f>
        <v>0</v>
      </c>
      <c r="M1003" s="31" t="s">
        <v>2884</v>
      </c>
      <c r="N1003" s="5"/>
      <c r="Z1003" s="36">
        <f t="shared" ref="Z1003:Z1014" si="979">IF(AQ1003="5",BJ1003,0)</f>
        <v>0</v>
      </c>
      <c r="AB1003" s="36">
        <f t="shared" ref="AB1003:AB1014" si="980">IF(AQ1003="1",BH1003,0)</f>
        <v>0</v>
      </c>
      <c r="AC1003" s="36">
        <f t="shared" ref="AC1003:AC1014" si="981">IF(AQ1003="1",BI1003,0)</f>
        <v>0</v>
      </c>
      <c r="AD1003" s="36">
        <f t="shared" ref="AD1003:AD1014" si="982">IF(AQ1003="7",BH1003,0)</f>
        <v>0</v>
      </c>
      <c r="AE1003" s="36">
        <f t="shared" ref="AE1003:AE1014" si="983">IF(AQ1003="7",BI1003,0)</f>
        <v>0</v>
      </c>
      <c r="AF1003" s="36">
        <f t="shared" ref="AF1003:AF1014" si="984">IF(AQ1003="2",BH1003,0)</f>
        <v>0</v>
      </c>
      <c r="AG1003" s="36">
        <f t="shared" ref="AG1003:AG1014" si="985">IF(AQ1003="2",BI1003,0)</f>
        <v>0</v>
      </c>
      <c r="AH1003" s="36">
        <f t="shared" ref="AH1003:AH1014" si="986">IF(AQ1003="0",BJ1003,0)</f>
        <v>0</v>
      </c>
      <c r="AI1003" s="35" t="s">
        <v>2898</v>
      </c>
      <c r="AJ1003" s="20">
        <f t="shared" ref="AJ1003:AJ1014" si="987">IF(AN1003=0,L1003,0)</f>
        <v>0</v>
      </c>
      <c r="AK1003" s="20">
        <f t="shared" ref="AK1003:AK1014" si="988">IF(AN1003=15,L1003,0)</f>
        <v>0</v>
      </c>
      <c r="AL1003" s="20">
        <f t="shared" ref="AL1003:AL1014" si="989">IF(AN1003=21,L1003,0)</f>
        <v>0</v>
      </c>
      <c r="AN1003" s="36">
        <v>21</v>
      </c>
      <c r="AO1003" s="36">
        <f t="shared" ref="AO1003:AO1008" si="990">I1003*0</f>
        <v>0</v>
      </c>
      <c r="AP1003" s="36">
        <f t="shared" ref="AP1003:AP1008" si="991">I1003*(1-0)</f>
        <v>0</v>
      </c>
      <c r="AQ1003" s="37" t="s">
        <v>7</v>
      </c>
      <c r="AV1003" s="36">
        <f t="shared" ref="AV1003:AV1014" si="992">AW1003+AX1003</f>
        <v>0</v>
      </c>
      <c r="AW1003" s="36">
        <f t="shared" ref="AW1003:AW1014" si="993">H1003*AO1003</f>
        <v>0</v>
      </c>
      <c r="AX1003" s="36">
        <f t="shared" ref="AX1003:AX1014" si="994">H1003*AP1003</f>
        <v>0</v>
      </c>
      <c r="AY1003" s="39" t="s">
        <v>2944</v>
      </c>
      <c r="AZ1003" s="39" t="s">
        <v>2964</v>
      </c>
      <c r="BA1003" s="35" t="s">
        <v>2971</v>
      </c>
      <c r="BC1003" s="36">
        <f t="shared" ref="BC1003:BC1014" si="995">AW1003+AX1003</f>
        <v>0</v>
      </c>
      <c r="BD1003" s="36">
        <f t="shared" ref="BD1003:BD1014" si="996">I1003/(100-BE1003)*100</f>
        <v>0</v>
      </c>
      <c r="BE1003" s="36">
        <v>0</v>
      </c>
      <c r="BF1003" s="36">
        <f>1003</f>
        <v>1003</v>
      </c>
      <c r="BH1003" s="20">
        <f t="shared" ref="BH1003:BH1014" si="997">H1003*AO1003</f>
        <v>0</v>
      </c>
      <c r="BI1003" s="20">
        <f t="shared" ref="BI1003:BI1014" si="998">H1003*AP1003</f>
        <v>0</v>
      </c>
      <c r="BJ1003" s="20">
        <f t="shared" ref="BJ1003:BJ1014" si="999">H1003*I1003</f>
        <v>0</v>
      </c>
      <c r="BK1003" s="20" t="s">
        <v>2978</v>
      </c>
      <c r="BL1003" s="36">
        <v>8</v>
      </c>
    </row>
    <row r="1004" spans="1:64" x14ac:dyDescent="0.2">
      <c r="A1004" s="4" t="s">
        <v>866</v>
      </c>
      <c r="B1004" s="13" t="s">
        <v>1761</v>
      </c>
      <c r="C1004" s="174" t="s">
        <v>2771</v>
      </c>
      <c r="D1004" s="175"/>
      <c r="E1004" s="175"/>
      <c r="F1004" s="175"/>
      <c r="G1004" s="13" t="s">
        <v>2860</v>
      </c>
      <c r="H1004" s="82">
        <v>3</v>
      </c>
      <c r="I1004" s="109">
        <v>0</v>
      </c>
      <c r="J1004" s="20">
        <f t="shared" si="976"/>
        <v>0</v>
      </c>
      <c r="K1004" s="20">
        <f t="shared" si="977"/>
        <v>0</v>
      </c>
      <c r="L1004" s="20">
        <f t="shared" si="978"/>
        <v>0</v>
      </c>
      <c r="M1004" s="31" t="s">
        <v>2884</v>
      </c>
      <c r="N1004" s="5"/>
      <c r="Z1004" s="36">
        <f t="shared" si="979"/>
        <v>0</v>
      </c>
      <c r="AB1004" s="36">
        <f t="shared" si="980"/>
        <v>0</v>
      </c>
      <c r="AC1004" s="36">
        <f t="shared" si="981"/>
        <v>0</v>
      </c>
      <c r="AD1004" s="36">
        <f t="shared" si="982"/>
        <v>0</v>
      </c>
      <c r="AE1004" s="36">
        <f t="shared" si="983"/>
        <v>0</v>
      </c>
      <c r="AF1004" s="36">
        <f t="shared" si="984"/>
        <v>0</v>
      </c>
      <c r="AG1004" s="36">
        <f t="shared" si="985"/>
        <v>0</v>
      </c>
      <c r="AH1004" s="36">
        <f t="shared" si="986"/>
        <v>0</v>
      </c>
      <c r="AI1004" s="35" t="s">
        <v>2898</v>
      </c>
      <c r="AJ1004" s="20">
        <f t="shared" si="987"/>
        <v>0</v>
      </c>
      <c r="AK1004" s="20">
        <f t="shared" si="988"/>
        <v>0</v>
      </c>
      <c r="AL1004" s="20">
        <f t="shared" si="989"/>
        <v>0</v>
      </c>
      <c r="AN1004" s="36">
        <v>21</v>
      </c>
      <c r="AO1004" s="36">
        <f t="shared" si="990"/>
        <v>0</v>
      </c>
      <c r="AP1004" s="36">
        <f t="shared" si="991"/>
        <v>0</v>
      </c>
      <c r="AQ1004" s="37" t="s">
        <v>7</v>
      </c>
      <c r="AV1004" s="36">
        <f t="shared" si="992"/>
        <v>0</v>
      </c>
      <c r="AW1004" s="36">
        <f t="shared" si="993"/>
        <v>0</v>
      </c>
      <c r="AX1004" s="36">
        <f t="shared" si="994"/>
        <v>0</v>
      </c>
      <c r="AY1004" s="39" t="s">
        <v>2944</v>
      </c>
      <c r="AZ1004" s="39" t="s">
        <v>2964</v>
      </c>
      <c r="BA1004" s="35" t="s">
        <v>2971</v>
      </c>
      <c r="BC1004" s="36">
        <f t="shared" si="995"/>
        <v>0</v>
      </c>
      <c r="BD1004" s="36">
        <f t="shared" si="996"/>
        <v>0</v>
      </c>
      <c r="BE1004" s="36">
        <v>0</v>
      </c>
      <c r="BF1004" s="36">
        <f>1004</f>
        <v>1004</v>
      </c>
      <c r="BH1004" s="20">
        <f t="shared" si="997"/>
        <v>0</v>
      </c>
      <c r="BI1004" s="20">
        <f t="shared" si="998"/>
        <v>0</v>
      </c>
      <c r="BJ1004" s="20">
        <f t="shared" si="999"/>
        <v>0</v>
      </c>
      <c r="BK1004" s="20" t="s">
        <v>2978</v>
      </c>
      <c r="BL1004" s="36">
        <v>8</v>
      </c>
    </row>
    <row r="1005" spans="1:64" x14ac:dyDescent="0.2">
      <c r="A1005" s="4" t="s">
        <v>867</v>
      </c>
      <c r="B1005" s="13" t="s">
        <v>1762</v>
      </c>
      <c r="C1005" s="174" t="s">
        <v>2772</v>
      </c>
      <c r="D1005" s="175"/>
      <c r="E1005" s="175"/>
      <c r="F1005" s="175"/>
      <c r="G1005" s="13" t="s">
        <v>2860</v>
      </c>
      <c r="H1005" s="82">
        <v>2</v>
      </c>
      <c r="I1005" s="109">
        <v>0</v>
      </c>
      <c r="J1005" s="20">
        <f t="shared" si="976"/>
        <v>0</v>
      </c>
      <c r="K1005" s="20">
        <f t="shared" si="977"/>
        <v>0</v>
      </c>
      <c r="L1005" s="20">
        <f t="shared" si="978"/>
        <v>0</v>
      </c>
      <c r="M1005" s="31" t="s">
        <v>2884</v>
      </c>
      <c r="N1005" s="5"/>
      <c r="Z1005" s="36">
        <f t="shared" si="979"/>
        <v>0</v>
      </c>
      <c r="AB1005" s="36">
        <f t="shared" si="980"/>
        <v>0</v>
      </c>
      <c r="AC1005" s="36">
        <f t="shared" si="981"/>
        <v>0</v>
      </c>
      <c r="AD1005" s="36">
        <f t="shared" si="982"/>
        <v>0</v>
      </c>
      <c r="AE1005" s="36">
        <f t="shared" si="983"/>
        <v>0</v>
      </c>
      <c r="AF1005" s="36">
        <f t="shared" si="984"/>
        <v>0</v>
      </c>
      <c r="AG1005" s="36">
        <f t="shared" si="985"/>
        <v>0</v>
      </c>
      <c r="AH1005" s="36">
        <f t="shared" si="986"/>
        <v>0</v>
      </c>
      <c r="AI1005" s="35" t="s">
        <v>2898</v>
      </c>
      <c r="AJ1005" s="20">
        <f t="shared" si="987"/>
        <v>0</v>
      </c>
      <c r="AK1005" s="20">
        <f t="shared" si="988"/>
        <v>0</v>
      </c>
      <c r="AL1005" s="20">
        <f t="shared" si="989"/>
        <v>0</v>
      </c>
      <c r="AN1005" s="36">
        <v>21</v>
      </c>
      <c r="AO1005" s="36">
        <f t="shared" si="990"/>
        <v>0</v>
      </c>
      <c r="AP1005" s="36">
        <f t="shared" si="991"/>
        <v>0</v>
      </c>
      <c r="AQ1005" s="37" t="s">
        <v>7</v>
      </c>
      <c r="AV1005" s="36">
        <f t="shared" si="992"/>
        <v>0</v>
      </c>
      <c r="AW1005" s="36">
        <f t="shared" si="993"/>
        <v>0</v>
      </c>
      <c r="AX1005" s="36">
        <f t="shared" si="994"/>
        <v>0</v>
      </c>
      <c r="AY1005" s="39" t="s">
        <v>2944</v>
      </c>
      <c r="AZ1005" s="39" t="s">
        <v>2964</v>
      </c>
      <c r="BA1005" s="35" t="s">
        <v>2971</v>
      </c>
      <c r="BC1005" s="36">
        <f t="shared" si="995"/>
        <v>0</v>
      </c>
      <c r="BD1005" s="36">
        <f t="shared" si="996"/>
        <v>0</v>
      </c>
      <c r="BE1005" s="36">
        <v>0</v>
      </c>
      <c r="BF1005" s="36">
        <f>1005</f>
        <v>1005</v>
      </c>
      <c r="BH1005" s="20">
        <f t="shared" si="997"/>
        <v>0</v>
      </c>
      <c r="BI1005" s="20">
        <f t="shared" si="998"/>
        <v>0</v>
      </c>
      <c r="BJ1005" s="20">
        <f t="shared" si="999"/>
        <v>0</v>
      </c>
      <c r="BK1005" s="20" t="s">
        <v>2978</v>
      </c>
      <c r="BL1005" s="36">
        <v>8</v>
      </c>
    </row>
    <row r="1006" spans="1:64" x14ac:dyDescent="0.2">
      <c r="A1006" s="4" t="s">
        <v>868</v>
      </c>
      <c r="B1006" s="13" t="s">
        <v>1763</v>
      </c>
      <c r="C1006" s="174" t="s">
        <v>2773</v>
      </c>
      <c r="D1006" s="175"/>
      <c r="E1006" s="175"/>
      <c r="F1006" s="175"/>
      <c r="G1006" s="13" t="s">
        <v>2860</v>
      </c>
      <c r="H1006" s="82">
        <v>1</v>
      </c>
      <c r="I1006" s="109">
        <v>0</v>
      </c>
      <c r="J1006" s="20">
        <f t="shared" si="976"/>
        <v>0</v>
      </c>
      <c r="K1006" s="20">
        <f t="shared" si="977"/>
        <v>0</v>
      </c>
      <c r="L1006" s="20">
        <f t="shared" si="978"/>
        <v>0</v>
      </c>
      <c r="M1006" s="31" t="s">
        <v>2884</v>
      </c>
      <c r="N1006" s="5"/>
      <c r="Z1006" s="36">
        <f t="shared" si="979"/>
        <v>0</v>
      </c>
      <c r="AB1006" s="36">
        <f t="shared" si="980"/>
        <v>0</v>
      </c>
      <c r="AC1006" s="36">
        <f t="shared" si="981"/>
        <v>0</v>
      </c>
      <c r="AD1006" s="36">
        <f t="shared" si="982"/>
        <v>0</v>
      </c>
      <c r="AE1006" s="36">
        <f t="shared" si="983"/>
        <v>0</v>
      </c>
      <c r="AF1006" s="36">
        <f t="shared" si="984"/>
        <v>0</v>
      </c>
      <c r="AG1006" s="36">
        <f t="shared" si="985"/>
        <v>0</v>
      </c>
      <c r="AH1006" s="36">
        <f t="shared" si="986"/>
        <v>0</v>
      </c>
      <c r="AI1006" s="35" t="s">
        <v>2898</v>
      </c>
      <c r="AJ1006" s="20">
        <f t="shared" si="987"/>
        <v>0</v>
      </c>
      <c r="AK1006" s="20">
        <f t="shared" si="988"/>
        <v>0</v>
      </c>
      <c r="AL1006" s="20">
        <f t="shared" si="989"/>
        <v>0</v>
      </c>
      <c r="AN1006" s="36">
        <v>21</v>
      </c>
      <c r="AO1006" s="36">
        <f t="shared" si="990"/>
        <v>0</v>
      </c>
      <c r="AP1006" s="36">
        <f t="shared" si="991"/>
        <v>0</v>
      </c>
      <c r="AQ1006" s="37" t="s">
        <v>7</v>
      </c>
      <c r="AV1006" s="36">
        <f t="shared" si="992"/>
        <v>0</v>
      </c>
      <c r="AW1006" s="36">
        <f t="shared" si="993"/>
        <v>0</v>
      </c>
      <c r="AX1006" s="36">
        <f t="shared" si="994"/>
        <v>0</v>
      </c>
      <c r="AY1006" s="39" t="s">
        <v>2944</v>
      </c>
      <c r="AZ1006" s="39" t="s">
        <v>2964</v>
      </c>
      <c r="BA1006" s="35" t="s">
        <v>2971</v>
      </c>
      <c r="BC1006" s="36">
        <f t="shared" si="995"/>
        <v>0</v>
      </c>
      <c r="BD1006" s="36">
        <f t="shared" si="996"/>
        <v>0</v>
      </c>
      <c r="BE1006" s="36">
        <v>0</v>
      </c>
      <c r="BF1006" s="36">
        <f>1006</f>
        <v>1006</v>
      </c>
      <c r="BH1006" s="20">
        <f t="shared" si="997"/>
        <v>0</v>
      </c>
      <c r="BI1006" s="20">
        <f t="shared" si="998"/>
        <v>0</v>
      </c>
      <c r="BJ1006" s="20">
        <f t="shared" si="999"/>
        <v>0</v>
      </c>
      <c r="BK1006" s="20" t="s">
        <v>2978</v>
      </c>
      <c r="BL1006" s="36">
        <v>8</v>
      </c>
    </row>
    <row r="1007" spans="1:64" x14ac:dyDescent="0.2">
      <c r="A1007" s="4" t="s">
        <v>869</v>
      </c>
      <c r="B1007" s="13" t="s">
        <v>1764</v>
      </c>
      <c r="C1007" s="174" t="s">
        <v>2774</v>
      </c>
      <c r="D1007" s="175"/>
      <c r="E1007" s="175"/>
      <c r="F1007" s="175"/>
      <c r="G1007" s="13" t="s">
        <v>2860</v>
      </c>
      <c r="H1007" s="82">
        <v>1</v>
      </c>
      <c r="I1007" s="109">
        <v>0</v>
      </c>
      <c r="J1007" s="20">
        <f t="shared" si="976"/>
        <v>0</v>
      </c>
      <c r="K1007" s="20">
        <f t="shared" si="977"/>
        <v>0</v>
      </c>
      <c r="L1007" s="20">
        <f t="shared" si="978"/>
        <v>0</v>
      </c>
      <c r="M1007" s="31" t="s">
        <v>2884</v>
      </c>
      <c r="N1007" s="5"/>
      <c r="Z1007" s="36">
        <f t="shared" si="979"/>
        <v>0</v>
      </c>
      <c r="AB1007" s="36">
        <f t="shared" si="980"/>
        <v>0</v>
      </c>
      <c r="AC1007" s="36">
        <f t="shared" si="981"/>
        <v>0</v>
      </c>
      <c r="AD1007" s="36">
        <f t="shared" si="982"/>
        <v>0</v>
      </c>
      <c r="AE1007" s="36">
        <f t="shared" si="983"/>
        <v>0</v>
      </c>
      <c r="AF1007" s="36">
        <f t="shared" si="984"/>
        <v>0</v>
      </c>
      <c r="AG1007" s="36">
        <f t="shared" si="985"/>
        <v>0</v>
      </c>
      <c r="AH1007" s="36">
        <f t="shared" si="986"/>
        <v>0</v>
      </c>
      <c r="AI1007" s="35" t="s">
        <v>2898</v>
      </c>
      <c r="AJ1007" s="20">
        <f t="shared" si="987"/>
        <v>0</v>
      </c>
      <c r="AK1007" s="20">
        <f t="shared" si="988"/>
        <v>0</v>
      </c>
      <c r="AL1007" s="20">
        <f t="shared" si="989"/>
        <v>0</v>
      </c>
      <c r="AN1007" s="36">
        <v>21</v>
      </c>
      <c r="AO1007" s="36">
        <f t="shared" si="990"/>
        <v>0</v>
      </c>
      <c r="AP1007" s="36">
        <f t="shared" si="991"/>
        <v>0</v>
      </c>
      <c r="AQ1007" s="37" t="s">
        <v>7</v>
      </c>
      <c r="AV1007" s="36">
        <f t="shared" si="992"/>
        <v>0</v>
      </c>
      <c r="AW1007" s="36">
        <f t="shared" si="993"/>
        <v>0</v>
      </c>
      <c r="AX1007" s="36">
        <f t="shared" si="994"/>
        <v>0</v>
      </c>
      <c r="AY1007" s="39" t="s">
        <v>2944</v>
      </c>
      <c r="AZ1007" s="39" t="s">
        <v>2964</v>
      </c>
      <c r="BA1007" s="35" t="s">
        <v>2971</v>
      </c>
      <c r="BC1007" s="36">
        <f t="shared" si="995"/>
        <v>0</v>
      </c>
      <c r="BD1007" s="36">
        <f t="shared" si="996"/>
        <v>0</v>
      </c>
      <c r="BE1007" s="36">
        <v>0</v>
      </c>
      <c r="BF1007" s="36">
        <f>1007</f>
        <v>1007</v>
      </c>
      <c r="BH1007" s="20">
        <f t="shared" si="997"/>
        <v>0</v>
      </c>
      <c r="BI1007" s="20">
        <f t="shared" si="998"/>
        <v>0</v>
      </c>
      <c r="BJ1007" s="20">
        <f t="shared" si="999"/>
        <v>0</v>
      </c>
      <c r="BK1007" s="20" t="s">
        <v>2978</v>
      </c>
      <c r="BL1007" s="36">
        <v>8</v>
      </c>
    </row>
    <row r="1008" spans="1:64" x14ac:dyDescent="0.2">
      <c r="A1008" s="4" t="s">
        <v>870</v>
      </c>
      <c r="B1008" s="13" t="s">
        <v>1765</v>
      </c>
      <c r="C1008" s="174" t="s">
        <v>2775</v>
      </c>
      <c r="D1008" s="175"/>
      <c r="E1008" s="175"/>
      <c r="F1008" s="175"/>
      <c r="G1008" s="13" t="s">
        <v>2860</v>
      </c>
      <c r="H1008" s="82">
        <v>1</v>
      </c>
      <c r="I1008" s="109">
        <v>0</v>
      </c>
      <c r="J1008" s="20">
        <f t="shared" si="976"/>
        <v>0</v>
      </c>
      <c r="K1008" s="20">
        <f t="shared" si="977"/>
        <v>0</v>
      </c>
      <c r="L1008" s="20">
        <f t="shared" si="978"/>
        <v>0</v>
      </c>
      <c r="M1008" s="31" t="s">
        <v>2884</v>
      </c>
      <c r="N1008" s="5"/>
      <c r="Z1008" s="36">
        <f t="shared" si="979"/>
        <v>0</v>
      </c>
      <c r="AB1008" s="36">
        <f t="shared" si="980"/>
        <v>0</v>
      </c>
      <c r="AC1008" s="36">
        <f t="shared" si="981"/>
        <v>0</v>
      </c>
      <c r="AD1008" s="36">
        <f t="shared" si="982"/>
        <v>0</v>
      </c>
      <c r="AE1008" s="36">
        <f t="shared" si="983"/>
        <v>0</v>
      </c>
      <c r="AF1008" s="36">
        <f t="shared" si="984"/>
        <v>0</v>
      </c>
      <c r="AG1008" s="36">
        <f t="shared" si="985"/>
        <v>0</v>
      </c>
      <c r="AH1008" s="36">
        <f t="shared" si="986"/>
        <v>0</v>
      </c>
      <c r="AI1008" s="35" t="s">
        <v>2898</v>
      </c>
      <c r="AJ1008" s="20">
        <f t="shared" si="987"/>
        <v>0</v>
      </c>
      <c r="AK1008" s="20">
        <f t="shared" si="988"/>
        <v>0</v>
      </c>
      <c r="AL1008" s="20">
        <f t="shared" si="989"/>
        <v>0</v>
      </c>
      <c r="AN1008" s="36">
        <v>21</v>
      </c>
      <c r="AO1008" s="36">
        <f t="shared" si="990"/>
        <v>0</v>
      </c>
      <c r="AP1008" s="36">
        <f t="shared" si="991"/>
        <v>0</v>
      </c>
      <c r="AQ1008" s="37" t="s">
        <v>7</v>
      </c>
      <c r="AV1008" s="36">
        <f t="shared" si="992"/>
        <v>0</v>
      </c>
      <c r="AW1008" s="36">
        <f t="shared" si="993"/>
        <v>0</v>
      </c>
      <c r="AX1008" s="36">
        <f t="shared" si="994"/>
        <v>0</v>
      </c>
      <c r="AY1008" s="39" t="s">
        <v>2944</v>
      </c>
      <c r="AZ1008" s="39" t="s">
        <v>2964</v>
      </c>
      <c r="BA1008" s="35" t="s">
        <v>2971</v>
      </c>
      <c r="BC1008" s="36">
        <f t="shared" si="995"/>
        <v>0</v>
      </c>
      <c r="BD1008" s="36">
        <f t="shared" si="996"/>
        <v>0</v>
      </c>
      <c r="BE1008" s="36">
        <v>0</v>
      </c>
      <c r="BF1008" s="36">
        <f>1008</f>
        <v>1008</v>
      </c>
      <c r="BH1008" s="20">
        <f t="shared" si="997"/>
        <v>0</v>
      </c>
      <c r="BI1008" s="20">
        <f t="shared" si="998"/>
        <v>0</v>
      </c>
      <c r="BJ1008" s="20">
        <f t="shared" si="999"/>
        <v>0</v>
      </c>
      <c r="BK1008" s="20" t="s">
        <v>2978</v>
      </c>
      <c r="BL1008" s="36">
        <v>8</v>
      </c>
    </row>
    <row r="1009" spans="1:64" x14ac:dyDescent="0.2">
      <c r="A1009" s="4" t="s">
        <v>871</v>
      </c>
      <c r="B1009" s="13" t="s">
        <v>1766</v>
      </c>
      <c r="C1009" s="174" t="s">
        <v>2727</v>
      </c>
      <c r="D1009" s="175"/>
      <c r="E1009" s="175"/>
      <c r="F1009" s="175"/>
      <c r="G1009" s="13" t="s">
        <v>2855</v>
      </c>
      <c r="H1009" s="82">
        <v>80</v>
      </c>
      <c r="I1009" s="109">
        <v>0</v>
      </c>
      <c r="J1009" s="20">
        <f t="shared" si="976"/>
        <v>0</v>
      </c>
      <c r="K1009" s="20">
        <f t="shared" si="977"/>
        <v>0</v>
      </c>
      <c r="L1009" s="20">
        <f t="shared" si="978"/>
        <v>0</v>
      </c>
      <c r="M1009" s="31" t="s">
        <v>2884</v>
      </c>
      <c r="N1009" s="5"/>
      <c r="Z1009" s="36">
        <f t="shared" si="979"/>
        <v>0</v>
      </c>
      <c r="AB1009" s="36">
        <f t="shared" si="980"/>
        <v>0</v>
      </c>
      <c r="AC1009" s="36">
        <f t="shared" si="981"/>
        <v>0</v>
      </c>
      <c r="AD1009" s="36">
        <f t="shared" si="982"/>
        <v>0</v>
      </c>
      <c r="AE1009" s="36">
        <f t="shared" si="983"/>
        <v>0</v>
      </c>
      <c r="AF1009" s="36">
        <f t="shared" si="984"/>
        <v>0</v>
      </c>
      <c r="AG1009" s="36">
        <f t="shared" si="985"/>
        <v>0</v>
      </c>
      <c r="AH1009" s="36">
        <f t="shared" si="986"/>
        <v>0</v>
      </c>
      <c r="AI1009" s="35" t="s">
        <v>2898</v>
      </c>
      <c r="AJ1009" s="20">
        <f t="shared" si="987"/>
        <v>0</v>
      </c>
      <c r="AK1009" s="20">
        <f t="shared" si="988"/>
        <v>0</v>
      </c>
      <c r="AL1009" s="20">
        <f t="shared" si="989"/>
        <v>0</v>
      </c>
      <c r="AN1009" s="36">
        <v>21</v>
      </c>
      <c r="AO1009" s="36">
        <f t="shared" ref="AO1009:AO1014" si="1000">I1009*0.53</f>
        <v>0</v>
      </c>
      <c r="AP1009" s="36">
        <f t="shared" ref="AP1009:AP1014" si="1001">I1009*(1-0.53)</f>
        <v>0</v>
      </c>
      <c r="AQ1009" s="37" t="s">
        <v>7</v>
      </c>
      <c r="AV1009" s="36">
        <f t="shared" si="992"/>
        <v>0</v>
      </c>
      <c r="AW1009" s="36">
        <f t="shared" si="993"/>
        <v>0</v>
      </c>
      <c r="AX1009" s="36">
        <f t="shared" si="994"/>
        <v>0</v>
      </c>
      <c r="AY1009" s="39" t="s">
        <v>2944</v>
      </c>
      <c r="AZ1009" s="39" t="s">
        <v>2964</v>
      </c>
      <c r="BA1009" s="35" t="s">
        <v>2971</v>
      </c>
      <c r="BC1009" s="36">
        <f t="shared" si="995"/>
        <v>0</v>
      </c>
      <c r="BD1009" s="36">
        <f t="shared" si="996"/>
        <v>0</v>
      </c>
      <c r="BE1009" s="36">
        <v>0</v>
      </c>
      <c r="BF1009" s="36">
        <f>1009</f>
        <v>1009</v>
      </c>
      <c r="BH1009" s="20">
        <f t="shared" si="997"/>
        <v>0</v>
      </c>
      <c r="BI1009" s="20">
        <f t="shared" si="998"/>
        <v>0</v>
      </c>
      <c r="BJ1009" s="20">
        <f t="shared" si="999"/>
        <v>0</v>
      </c>
      <c r="BK1009" s="20" t="s">
        <v>2978</v>
      </c>
      <c r="BL1009" s="36">
        <v>8</v>
      </c>
    </row>
    <row r="1010" spans="1:64" x14ac:dyDescent="0.2">
      <c r="A1010" s="4" t="s">
        <v>872</v>
      </c>
      <c r="B1010" s="13" t="s">
        <v>1767</v>
      </c>
      <c r="C1010" s="174" t="s">
        <v>2728</v>
      </c>
      <c r="D1010" s="175"/>
      <c r="E1010" s="175"/>
      <c r="F1010" s="175"/>
      <c r="G1010" s="13" t="s">
        <v>2855</v>
      </c>
      <c r="H1010" s="82">
        <v>80</v>
      </c>
      <c r="I1010" s="109">
        <v>0</v>
      </c>
      <c r="J1010" s="20">
        <f t="shared" si="976"/>
        <v>0</v>
      </c>
      <c r="K1010" s="20">
        <f t="shared" si="977"/>
        <v>0</v>
      </c>
      <c r="L1010" s="20">
        <f t="shared" si="978"/>
        <v>0</v>
      </c>
      <c r="M1010" s="31" t="s">
        <v>2884</v>
      </c>
      <c r="N1010" s="5"/>
      <c r="Z1010" s="36">
        <f t="shared" si="979"/>
        <v>0</v>
      </c>
      <c r="AB1010" s="36">
        <f t="shared" si="980"/>
        <v>0</v>
      </c>
      <c r="AC1010" s="36">
        <f t="shared" si="981"/>
        <v>0</v>
      </c>
      <c r="AD1010" s="36">
        <f t="shared" si="982"/>
        <v>0</v>
      </c>
      <c r="AE1010" s="36">
        <f t="shared" si="983"/>
        <v>0</v>
      </c>
      <c r="AF1010" s="36">
        <f t="shared" si="984"/>
        <v>0</v>
      </c>
      <c r="AG1010" s="36">
        <f t="shared" si="985"/>
        <v>0</v>
      </c>
      <c r="AH1010" s="36">
        <f t="shared" si="986"/>
        <v>0</v>
      </c>
      <c r="AI1010" s="35" t="s">
        <v>2898</v>
      </c>
      <c r="AJ1010" s="20">
        <f t="shared" si="987"/>
        <v>0</v>
      </c>
      <c r="AK1010" s="20">
        <f t="shared" si="988"/>
        <v>0</v>
      </c>
      <c r="AL1010" s="20">
        <f t="shared" si="989"/>
        <v>0</v>
      </c>
      <c r="AN1010" s="36">
        <v>21</v>
      </c>
      <c r="AO1010" s="36">
        <f t="shared" si="1000"/>
        <v>0</v>
      </c>
      <c r="AP1010" s="36">
        <f t="shared" si="1001"/>
        <v>0</v>
      </c>
      <c r="AQ1010" s="37" t="s">
        <v>7</v>
      </c>
      <c r="AV1010" s="36">
        <f t="shared" si="992"/>
        <v>0</v>
      </c>
      <c r="AW1010" s="36">
        <f t="shared" si="993"/>
        <v>0</v>
      </c>
      <c r="AX1010" s="36">
        <f t="shared" si="994"/>
        <v>0</v>
      </c>
      <c r="AY1010" s="39" t="s">
        <v>2944</v>
      </c>
      <c r="AZ1010" s="39" t="s">
        <v>2964</v>
      </c>
      <c r="BA1010" s="35" t="s">
        <v>2971</v>
      </c>
      <c r="BC1010" s="36">
        <f t="shared" si="995"/>
        <v>0</v>
      </c>
      <c r="BD1010" s="36">
        <f t="shared" si="996"/>
        <v>0</v>
      </c>
      <c r="BE1010" s="36">
        <v>0</v>
      </c>
      <c r="BF1010" s="36">
        <f>1010</f>
        <v>1010</v>
      </c>
      <c r="BH1010" s="20">
        <f t="shared" si="997"/>
        <v>0</v>
      </c>
      <c r="BI1010" s="20">
        <f t="shared" si="998"/>
        <v>0</v>
      </c>
      <c r="BJ1010" s="20">
        <f t="shared" si="999"/>
        <v>0</v>
      </c>
      <c r="BK1010" s="20" t="s">
        <v>2978</v>
      </c>
      <c r="BL1010" s="36">
        <v>8</v>
      </c>
    </row>
    <row r="1011" spans="1:64" x14ac:dyDescent="0.2">
      <c r="A1011" s="4" t="s">
        <v>873</v>
      </c>
      <c r="B1011" s="13" t="s">
        <v>1768</v>
      </c>
      <c r="C1011" s="174" t="s">
        <v>2776</v>
      </c>
      <c r="D1011" s="175"/>
      <c r="E1011" s="175"/>
      <c r="F1011" s="175"/>
      <c r="G1011" s="13" t="s">
        <v>2853</v>
      </c>
      <c r="H1011" s="82">
        <v>6.5</v>
      </c>
      <c r="I1011" s="109">
        <v>0</v>
      </c>
      <c r="J1011" s="20">
        <f t="shared" si="976"/>
        <v>0</v>
      </c>
      <c r="K1011" s="20">
        <f t="shared" si="977"/>
        <v>0</v>
      </c>
      <c r="L1011" s="20">
        <f t="shared" si="978"/>
        <v>0</v>
      </c>
      <c r="M1011" s="31" t="s">
        <v>2884</v>
      </c>
      <c r="N1011" s="5"/>
      <c r="Z1011" s="36">
        <f t="shared" si="979"/>
        <v>0</v>
      </c>
      <c r="AB1011" s="36">
        <f t="shared" si="980"/>
        <v>0</v>
      </c>
      <c r="AC1011" s="36">
        <f t="shared" si="981"/>
        <v>0</v>
      </c>
      <c r="AD1011" s="36">
        <f t="shared" si="982"/>
        <v>0</v>
      </c>
      <c r="AE1011" s="36">
        <f t="shared" si="983"/>
        <v>0</v>
      </c>
      <c r="AF1011" s="36">
        <f t="shared" si="984"/>
        <v>0</v>
      </c>
      <c r="AG1011" s="36">
        <f t="shared" si="985"/>
        <v>0</v>
      </c>
      <c r="AH1011" s="36">
        <f t="shared" si="986"/>
        <v>0</v>
      </c>
      <c r="AI1011" s="35" t="s">
        <v>2898</v>
      </c>
      <c r="AJ1011" s="20">
        <f t="shared" si="987"/>
        <v>0</v>
      </c>
      <c r="AK1011" s="20">
        <f t="shared" si="988"/>
        <v>0</v>
      </c>
      <c r="AL1011" s="20">
        <f t="shared" si="989"/>
        <v>0</v>
      </c>
      <c r="AN1011" s="36">
        <v>21</v>
      </c>
      <c r="AO1011" s="36">
        <f t="shared" si="1000"/>
        <v>0</v>
      </c>
      <c r="AP1011" s="36">
        <f t="shared" si="1001"/>
        <v>0</v>
      </c>
      <c r="AQ1011" s="37" t="s">
        <v>7</v>
      </c>
      <c r="AV1011" s="36">
        <f t="shared" si="992"/>
        <v>0</v>
      </c>
      <c r="AW1011" s="36">
        <f t="shared" si="993"/>
        <v>0</v>
      </c>
      <c r="AX1011" s="36">
        <f t="shared" si="994"/>
        <v>0</v>
      </c>
      <c r="AY1011" s="39" t="s">
        <v>2944</v>
      </c>
      <c r="AZ1011" s="39" t="s">
        <v>2964</v>
      </c>
      <c r="BA1011" s="35" t="s">
        <v>2971</v>
      </c>
      <c r="BC1011" s="36">
        <f t="shared" si="995"/>
        <v>0</v>
      </c>
      <c r="BD1011" s="36">
        <f t="shared" si="996"/>
        <v>0</v>
      </c>
      <c r="BE1011" s="36">
        <v>0</v>
      </c>
      <c r="BF1011" s="36">
        <f>1011</f>
        <v>1011</v>
      </c>
      <c r="BH1011" s="20">
        <f t="shared" si="997"/>
        <v>0</v>
      </c>
      <c r="BI1011" s="20">
        <f t="shared" si="998"/>
        <v>0</v>
      </c>
      <c r="BJ1011" s="20">
        <f t="shared" si="999"/>
        <v>0</v>
      </c>
      <c r="BK1011" s="20" t="s">
        <v>2978</v>
      </c>
      <c r="BL1011" s="36">
        <v>8</v>
      </c>
    </row>
    <row r="1012" spans="1:64" x14ac:dyDescent="0.2">
      <c r="A1012" s="4" t="s">
        <v>874</v>
      </c>
      <c r="B1012" s="13" t="s">
        <v>1769</v>
      </c>
      <c r="C1012" s="174" t="s">
        <v>2777</v>
      </c>
      <c r="D1012" s="175"/>
      <c r="E1012" s="175"/>
      <c r="F1012" s="175"/>
      <c r="G1012" s="13" t="s">
        <v>2853</v>
      </c>
      <c r="H1012" s="82">
        <v>26</v>
      </c>
      <c r="I1012" s="109">
        <v>0</v>
      </c>
      <c r="J1012" s="20">
        <f t="shared" si="976"/>
        <v>0</v>
      </c>
      <c r="K1012" s="20">
        <f t="shared" si="977"/>
        <v>0</v>
      </c>
      <c r="L1012" s="20">
        <f t="shared" si="978"/>
        <v>0</v>
      </c>
      <c r="M1012" s="31" t="s">
        <v>2884</v>
      </c>
      <c r="N1012" s="5"/>
      <c r="Z1012" s="36">
        <f t="shared" si="979"/>
        <v>0</v>
      </c>
      <c r="AB1012" s="36">
        <f t="shared" si="980"/>
        <v>0</v>
      </c>
      <c r="AC1012" s="36">
        <f t="shared" si="981"/>
        <v>0</v>
      </c>
      <c r="AD1012" s="36">
        <f t="shared" si="982"/>
        <v>0</v>
      </c>
      <c r="AE1012" s="36">
        <f t="shared" si="983"/>
        <v>0</v>
      </c>
      <c r="AF1012" s="36">
        <f t="shared" si="984"/>
        <v>0</v>
      </c>
      <c r="AG1012" s="36">
        <f t="shared" si="985"/>
        <v>0</v>
      </c>
      <c r="AH1012" s="36">
        <f t="shared" si="986"/>
        <v>0</v>
      </c>
      <c r="AI1012" s="35" t="s">
        <v>2898</v>
      </c>
      <c r="AJ1012" s="20">
        <f t="shared" si="987"/>
        <v>0</v>
      </c>
      <c r="AK1012" s="20">
        <f t="shared" si="988"/>
        <v>0</v>
      </c>
      <c r="AL1012" s="20">
        <f t="shared" si="989"/>
        <v>0</v>
      </c>
      <c r="AN1012" s="36">
        <v>21</v>
      </c>
      <c r="AO1012" s="36">
        <f t="shared" si="1000"/>
        <v>0</v>
      </c>
      <c r="AP1012" s="36">
        <f t="shared" si="1001"/>
        <v>0</v>
      </c>
      <c r="AQ1012" s="37" t="s">
        <v>7</v>
      </c>
      <c r="AV1012" s="36">
        <f t="shared" si="992"/>
        <v>0</v>
      </c>
      <c r="AW1012" s="36">
        <f t="shared" si="993"/>
        <v>0</v>
      </c>
      <c r="AX1012" s="36">
        <f t="shared" si="994"/>
        <v>0</v>
      </c>
      <c r="AY1012" s="39" t="s">
        <v>2944</v>
      </c>
      <c r="AZ1012" s="39" t="s">
        <v>2964</v>
      </c>
      <c r="BA1012" s="35" t="s">
        <v>2971</v>
      </c>
      <c r="BC1012" s="36">
        <f t="shared" si="995"/>
        <v>0</v>
      </c>
      <c r="BD1012" s="36">
        <f t="shared" si="996"/>
        <v>0</v>
      </c>
      <c r="BE1012" s="36">
        <v>0</v>
      </c>
      <c r="BF1012" s="36">
        <f>1012</f>
        <v>1012</v>
      </c>
      <c r="BH1012" s="20">
        <f t="shared" si="997"/>
        <v>0</v>
      </c>
      <c r="BI1012" s="20">
        <f t="shared" si="998"/>
        <v>0</v>
      </c>
      <c r="BJ1012" s="20">
        <f t="shared" si="999"/>
        <v>0</v>
      </c>
      <c r="BK1012" s="20" t="s">
        <v>2978</v>
      </c>
      <c r="BL1012" s="36">
        <v>8</v>
      </c>
    </row>
    <row r="1013" spans="1:64" x14ac:dyDescent="0.2">
      <c r="A1013" s="4" t="s">
        <v>875</v>
      </c>
      <c r="B1013" s="13" t="s">
        <v>1770</v>
      </c>
      <c r="C1013" s="174" t="s">
        <v>2731</v>
      </c>
      <c r="D1013" s="175"/>
      <c r="E1013" s="175"/>
      <c r="F1013" s="175"/>
      <c r="G1013" s="13" t="s">
        <v>2853</v>
      </c>
      <c r="H1013" s="82">
        <v>460</v>
      </c>
      <c r="I1013" s="109">
        <v>0</v>
      </c>
      <c r="J1013" s="20">
        <f t="shared" si="976"/>
        <v>0</v>
      </c>
      <c r="K1013" s="20">
        <f t="shared" si="977"/>
        <v>0</v>
      </c>
      <c r="L1013" s="20">
        <f t="shared" si="978"/>
        <v>0</v>
      </c>
      <c r="M1013" s="31" t="s">
        <v>2884</v>
      </c>
      <c r="N1013" s="5"/>
      <c r="Z1013" s="36">
        <f t="shared" si="979"/>
        <v>0</v>
      </c>
      <c r="AB1013" s="36">
        <f t="shared" si="980"/>
        <v>0</v>
      </c>
      <c r="AC1013" s="36">
        <f t="shared" si="981"/>
        <v>0</v>
      </c>
      <c r="AD1013" s="36">
        <f t="shared" si="982"/>
        <v>0</v>
      </c>
      <c r="AE1013" s="36">
        <f t="shared" si="983"/>
        <v>0</v>
      </c>
      <c r="AF1013" s="36">
        <f t="shared" si="984"/>
        <v>0</v>
      </c>
      <c r="AG1013" s="36">
        <f t="shared" si="985"/>
        <v>0</v>
      </c>
      <c r="AH1013" s="36">
        <f t="shared" si="986"/>
        <v>0</v>
      </c>
      <c r="AI1013" s="35" t="s">
        <v>2898</v>
      </c>
      <c r="AJ1013" s="20">
        <f t="shared" si="987"/>
        <v>0</v>
      </c>
      <c r="AK1013" s="20">
        <f t="shared" si="988"/>
        <v>0</v>
      </c>
      <c r="AL1013" s="20">
        <f t="shared" si="989"/>
        <v>0</v>
      </c>
      <c r="AN1013" s="36">
        <v>21</v>
      </c>
      <c r="AO1013" s="36">
        <f t="shared" si="1000"/>
        <v>0</v>
      </c>
      <c r="AP1013" s="36">
        <f t="shared" si="1001"/>
        <v>0</v>
      </c>
      <c r="AQ1013" s="37" t="s">
        <v>7</v>
      </c>
      <c r="AV1013" s="36">
        <f t="shared" si="992"/>
        <v>0</v>
      </c>
      <c r="AW1013" s="36">
        <f t="shared" si="993"/>
        <v>0</v>
      </c>
      <c r="AX1013" s="36">
        <f t="shared" si="994"/>
        <v>0</v>
      </c>
      <c r="AY1013" s="39" t="s">
        <v>2944</v>
      </c>
      <c r="AZ1013" s="39" t="s">
        <v>2964</v>
      </c>
      <c r="BA1013" s="35" t="s">
        <v>2971</v>
      </c>
      <c r="BC1013" s="36">
        <f t="shared" si="995"/>
        <v>0</v>
      </c>
      <c r="BD1013" s="36">
        <f t="shared" si="996"/>
        <v>0</v>
      </c>
      <c r="BE1013" s="36">
        <v>0</v>
      </c>
      <c r="BF1013" s="36">
        <f>1013</f>
        <v>1013</v>
      </c>
      <c r="BH1013" s="20">
        <f t="shared" si="997"/>
        <v>0</v>
      </c>
      <c r="BI1013" s="20">
        <f t="shared" si="998"/>
        <v>0</v>
      </c>
      <c r="BJ1013" s="20">
        <f t="shared" si="999"/>
        <v>0</v>
      </c>
      <c r="BK1013" s="20" t="s">
        <v>2978</v>
      </c>
      <c r="BL1013" s="36">
        <v>8</v>
      </c>
    </row>
    <row r="1014" spans="1:64" x14ac:dyDescent="0.2">
      <c r="A1014" s="4" t="s">
        <v>876</v>
      </c>
      <c r="B1014" s="13" t="s">
        <v>1771</v>
      </c>
      <c r="C1014" s="174" t="s">
        <v>2778</v>
      </c>
      <c r="D1014" s="175"/>
      <c r="E1014" s="175"/>
      <c r="F1014" s="175"/>
      <c r="G1014" s="13" t="s">
        <v>2855</v>
      </c>
      <c r="H1014" s="82">
        <v>44</v>
      </c>
      <c r="I1014" s="109">
        <v>0</v>
      </c>
      <c r="J1014" s="20">
        <f t="shared" si="976"/>
        <v>0</v>
      </c>
      <c r="K1014" s="20">
        <f t="shared" si="977"/>
        <v>0</v>
      </c>
      <c r="L1014" s="20">
        <f t="shared" si="978"/>
        <v>0</v>
      </c>
      <c r="M1014" s="31" t="s">
        <v>2884</v>
      </c>
      <c r="N1014" s="5"/>
      <c r="Z1014" s="36">
        <f t="shared" si="979"/>
        <v>0</v>
      </c>
      <c r="AB1014" s="36">
        <f t="shared" si="980"/>
        <v>0</v>
      </c>
      <c r="AC1014" s="36">
        <f t="shared" si="981"/>
        <v>0</v>
      </c>
      <c r="AD1014" s="36">
        <f t="shared" si="982"/>
        <v>0</v>
      </c>
      <c r="AE1014" s="36">
        <f t="shared" si="983"/>
        <v>0</v>
      </c>
      <c r="AF1014" s="36">
        <f t="shared" si="984"/>
        <v>0</v>
      </c>
      <c r="AG1014" s="36">
        <f t="shared" si="985"/>
        <v>0</v>
      </c>
      <c r="AH1014" s="36">
        <f t="shared" si="986"/>
        <v>0</v>
      </c>
      <c r="AI1014" s="35" t="s">
        <v>2898</v>
      </c>
      <c r="AJ1014" s="20">
        <f t="shared" si="987"/>
        <v>0</v>
      </c>
      <c r="AK1014" s="20">
        <f t="shared" si="988"/>
        <v>0</v>
      </c>
      <c r="AL1014" s="20">
        <f t="shared" si="989"/>
        <v>0</v>
      </c>
      <c r="AN1014" s="36">
        <v>21</v>
      </c>
      <c r="AO1014" s="36">
        <f t="shared" si="1000"/>
        <v>0</v>
      </c>
      <c r="AP1014" s="36">
        <f t="shared" si="1001"/>
        <v>0</v>
      </c>
      <c r="AQ1014" s="37" t="s">
        <v>7</v>
      </c>
      <c r="AV1014" s="36">
        <f t="shared" si="992"/>
        <v>0</v>
      </c>
      <c r="AW1014" s="36">
        <f t="shared" si="993"/>
        <v>0</v>
      </c>
      <c r="AX1014" s="36">
        <f t="shared" si="994"/>
        <v>0</v>
      </c>
      <c r="AY1014" s="39" t="s">
        <v>2944</v>
      </c>
      <c r="AZ1014" s="39" t="s">
        <v>2964</v>
      </c>
      <c r="BA1014" s="35" t="s">
        <v>2971</v>
      </c>
      <c r="BC1014" s="36">
        <f t="shared" si="995"/>
        <v>0</v>
      </c>
      <c r="BD1014" s="36">
        <f t="shared" si="996"/>
        <v>0</v>
      </c>
      <c r="BE1014" s="36">
        <v>0</v>
      </c>
      <c r="BF1014" s="36">
        <f>1014</f>
        <v>1014</v>
      </c>
      <c r="BH1014" s="20">
        <f t="shared" si="997"/>
        <v>0</v>
      </c>
      <c r="BI1014" s="20">
        <f t="shared" si="998"/>
        <v>0</v>
      </c>
      <c r="BJ1014" s="20">
        <f t="shared" si="999"/>
        <v>0</v>
      </c>
      <c r="BK1014" s="20" t="s">
        <v>2978</v>
      </c>
      <c r="BL1014" s="36">
        <v>8</v>
      </c>
    </row>
    <row r="1015" spans="1:64" ht="25.7" customHeight="1" x14ac:dyDescent="0.2">
      <c r="A1015" s="5"/>
      <c r="B1015" s="14"/>
      <c r="C1015" s="179" t="s">
        <v>2779</v>
      </c>
      <c r="D1015" s="180"/>
      <c r="E1015" s="180"/>
      <c r="F1015" s="180"/>
      <c r="G1015" s="180"/>
      <c r="H1015" s="180"/>
      <c r="I1015" s="180"/>
      <c r="J1015" s="180"/>
      <c r="K1015" s="180"/>
      <c r="L1015" s="180"/>
      <c r="M1015" s="181"/>
      <c r="N1015" s="5"/>
    </row>
    <row r="1016" spans="1:64" x14ac:dyDescent="0.2">
      <c r="A1016" s="4" t="s">
        <v>877</v>
      </c>
      <c r="B1016" s="13" t="s">
        <v>1772</v>
      </c>
      <c r="C1016" s="174" t="s">
        <v>2780</v>
      </c>
      <c r="D1016" s="175"/>
      <c r="E1016" s="175"/>
      <c r="F1016" s="175"/>
      <c r="G1016" s="13" t="s">
        <v>2855</v>
      </c>
      <c r="H1016" s="82">
        <v>17</v>
      </c>
      <c r="I1016" s="109">
        <v>0</v>
      </c>
      <c r="J1016" s="20">
        <f>H1016*AO1016</f>
        <v>0</v>
      </c>
      <c r="K1016" s="20">
        <f>H1016*AP1016</f>
        <v>0</v>
      </c>
      <c r="L1016" s="20">
        <f>H1016*I1016</f>
        <v>0</v>
      </c>
      <c r="M1016" s="31" t="s">
        <v>2884</v>
      </c>
      <c r="N1016" s="5"/>
      <c r="Z1016" s="36">
        <f>IF(AQ1016="5",BJ1016,0)</f>
        <v>0</v>
      </c>
      <c r="AB1016" s="36">
        <f>IF(AQ1016="1",BH1016,0)</f>
        <v>0</v>
      </c>
      <c r="AC1016" s="36">
        <f>IF(AQ1016="1",BI1016,0)</f>
        <v>0</v>
      </c>
      <c r="AD1016" s="36">
        <f>IF(AQ1016="7",BH1016,0)</f>
        <v>0</v>
      </c>
      <c r="AE1016" s="36">
        <f>IF(AQ1016="7",BI1016,0)</f>
        <v>0</v>
      </c>
      <c r="AF1016" s="36">
        <f>IF(AQ1016="2",BH1016,0)</f>
        <v>0</v>
      </c>
      <c r="AG1016" s="36">
        <f>IF(AQ1016="2",BI1016,0)</f>
        <v>0</v>
      </c>
      <c r="AH1016" s="36">
        <f>IF(AQ1016="0",BJ1016,0)</f>
        <v>0</v>
      </c>
      <c r="AI1016" s="35" t="s">
        <v>2898</v>
      </c>
      <c r="AJ1016" s="20">
        <f>IF(AN1016=0,L1016,0)</f>
        <v>0</v>
      </c>
      <c r="AK1016" s="20">
        <f>IF(AN1016=15,L1016,0)</f>
        <v>0</v>
      </c>
      <c r="AL1016" s="20">
        <f>IF(AN1016=21,L1016,0)</f>
        <v>0</v>
      </c>
      <c r="AN1016" s="36">
        <v>21</v>
      </c>
      <c r="AO1016" s="36">
        <f>I1016*0.53</f>
        <v>0</v>
      </c>
      <c r="AP1016" s="36">
        <f>I1016*(1-0.53)</f>
        <v>0</v>
      </c>
      <c r="AQ1016" s="37" t="s">
        <v>7</v>
      </c>
      <c r="AV1016" s="36">
        <f>AW1016+AX1016</f>
        <v>0</v>
      </c>
      <c r="AW1016" s="36">
        <f>H1016*AO1016</f>
        <v>0</v>
      </c>
      <c r="AX1016" s="36">
        <f>H1016*AP1016</f>
        <v>0</v>
      </c>
      <c r="AY1016" s="39" t="s">
        <v>2944</v>
      </c>
      <c r="AZ1016" s="39" t="s">
        <v>2964</v>
      </c>
      <c r="BA1016" s="35" t="s">
        <v>2971</v>
      </c>
      <c r="BC1016" s="36">
        <f>AW1016+AX1016</f>
        <v>0</v>
      </c>
      <c r="BD1016" s="36">
        <f>I1016/(100-BE1016)*100</f>
        <v>0</v>
      </c>
      <c r="BE1016" s="36">
        <v>0</v>
      </c>
      <c r="BF1016" s="36">
        <f>1016</f>
        <v>1016</v>
      </c>
      <c r="BH1016" s="20">
        <f>H1016*AO1016</f>
        <v>0</v>
      </c>
      <c r="BI1016" s="20">
        <f>H1016*AP1016</f>
        <v>0</v>
      </c>
      <c r="BJ1016" s="20">
        <f>H1016*I1016</f>
        <v>0</v>
      </c>
      <c r="BK1016" s="20" t="s">
        <v>2978</v>
      </c>
      <c r="BL1016" s="36">
        <v>8</v>
      </c>
    </row>
    <row r="1017" spans="1:64" x14ac:dyDescent="0.2">
      <c r="A1017" s="4" t="s">
        <v>878</v>
      </c>
      <c r="B1017" s="13" t="s">
        <v>1773</v>
      </c>
      <c r="C1017" s="174" t="s">
        <v>2781</v>
      </c>
      <c r="D1017" s="175"/>
      <c r="E1017" s="175"/>
      <c r="F1017" s="175"/>
      <c r="G1017" s="13" t="s">
        <v>2855</v>
      </c>
      <c r="H1017" s="82">
        <v>19</v>
      </c>
      <c r="I1017" s="109">
        <v>0</v>
      </c>
      <c r="J1017" s="20">
        <f>H1017*AO1017</f>
        <v>0</v>
      </c>
      <c r="K1017" s="20">
        <f>H1017*AP1017</f>
        <v>0</v>
      </c>
      <c r="L1017" s="20">
        <f>H1017*I1017</f>
        <v>0</v>
      </c>
      <c r="M1017" s="31" t="s">
        <v>2884</v>
      </c>
      <c r="N1017" s="5"/>
      <c r="Z1017" s="36">
        <f>IF(AQ1017="5",BJ1017,0)</f>
        <v>0</v>
      </c>
      <c r="AB1017" s="36">
        <f>IF(AQ1017="1",BH1017,0)</f>
        <v>0</v>
      </c>
      <c r="AC1017" s="36">
        <f>IF(AQ1017="1",BI1017,0)</f>
        <v>0</v>
      </c>
      <c r="AD1017" s="36">
        <f>IF(AQ1017="7",BH1017,0)</f>
        <v>0</v>
      </c>
      <c r="AE1017" s="36">
        <f>IF(AQ1017="7",BI1017,0)</f>
        <v>0</v>
      </c>
      <c r="AF1017" s="36">
        <f>IF(AQ1017="2",BH1017,0)</f>
        <v>0</v>
      </c>
      <c r="AG1017" s="36">
        <f>IF(AQ1017="2",BI1017,0)</f>
        <v>0</v>
      </c>
      <c r="AH1017" s="36">
        <f>IF(AQ1017="0",BJ1017,0)</f>
        <v>0</v>
      </c>
      <c r="AI1017" s="35" t="s">
        <v>2898</v>
      </c>
      <c r="AJ1017" s="20">
        <f>IF(AN1017=0,L1017,0)</f>
        <v>0</v>
      </c>
      <c r="AK1017" s="20">
        <f>IF(AN1017=15,L1017,0)</f>
        <v>0</v>
      </c>
      <c r="AL1017" s="20">
        <f>IF(AN1017=21,L1017,0)</f>
        <v>0</v>
      </c>
      <c r="AN1017" s="36">
        <v>21</v>
      </c>
      <c r="AO1017" s="36">
        <f>I1017*0.53</f>
        <v>0</v>
      </c>
      <c r="AP1017" s="36">
        <f>I1017*(1-0.53)</f>
        <v>0</v>
      </c>
      <c r="AQ1017" s="37" t="s">
        <v>7</v>
      </c>
      <c r="AV1017" s="36">
        <f>AW1017+AX1017</f>
        <v>0</v>
      </c>
      <c r="AW1017" s="36">
        <f>H1017*AO1017</f>
        <v>0</v>
      </c>
      <c r="AX1017" s="36">
        <f>H1017*AP1017</f>
        <v>0</v>
      </c>
      <c r="AY1017" s="39" t="s">
        <v>2944</v>
      </c>
      <c r="AZ1017" s="39" t="s">
        <v>2964</v>
      </c>
      <c r="BA1017" s="35" t="s">
        <v>2971</v>
      </c>
      <c r="BC1017" s="36">
        <f>AW1017+AX1017</f>
        <v>0</v>
      </c>
      <c r="BD1017" s="36">
        <f>I1017/(100-BE1017)*100</f>
        <v>0</v>
      </c>
      <c r="BE1017" s="36">
        <v>0</v>
      </c>
      <c r="BF1017" s="36">
        <f>1017</f>
        <v>1017</v>
      </c>
      <c r="BH1017" s="20">
        <f>H1017*AO1017</f>
        <v>0</v>
      </c>
      <c r="BI1017" s="20">
        <f>H1017*AP1017</f>
        <v>0</v>
      </c>
      <c r="BJ1017" s="20">
        <f>H1017*I1017</f>
        <v>0</v>
      </c>
      <c r="BK1017" s="20" t="s">
        <v>2978</v>
      </c>
      <c r="BL1017" s="36">
        <v>8</v>
      </c>
    </row>
    <row r="1018" spans="1:64" x14ac:dyDescent="0.2">
      <c r="A1018" s="4" t="s">
        <v>879</v>
      </c>
      <c r="B1018" s="13" t="s">
        <v>1774</v>
      </c>
      <c r="C1018" s="174" t="s">
        <v>2115</v>
      </c>
      <c r="D1018" s="175"/>
      <c r="E1018" s="175"/>
      <c r="F1018" s="175"/>
      <c r="G1018" s="13" t="s">
        <v>2855</v>
      </c>
      <c r="H1018" s="82">
        <v>13.5</v>
      </c>
      <c r="I1018" s="109">
        <v>0</v>
      </c>
      <c r="J1018" s="20">
        <f>H1018*AO1018</f>
        <v>0</v>
      </c>
      <c r="K1018" s="20">
        <f>H1018*AP1018</f>
        <v>0</v>
      </c>
      <c r="L1018" s="20">
        <f>H1018*I1018</f>
        <v>0</v>
      </c>
      <c r="M1018" s="31" t="s">
        <v>2884</v>
      </c>
      <c r="N1018" s="5"/>
      <c r="Z1018" s="36">
        <f>IF(AQ1018="5",BJ1018,0)</f>
        <v>0</v>
      </c>
      <c r="AB1018" s="36">
        <f>IF(AQ1018="1",BH1018,0)</f>
        <v>0</v>
      </c>
      <c r="AC1018" s="36">
        <f>IF(AQ1018="1",BI1018,0)</f>
        <v>0</v>
      </c>
      <c r="AD1018" s="36">
        <f>IF(AQ1018="7",BH1018,0)</f>
        <v>0</v>
      </c>
      <c r="AE1018" s="36">
        <f>IF(AQ1018="7",BI1018,0)</f>
        <v>0</v>
      </c>
      <c r="AF1018" s="36">
        <f>IF(AQ1018="2",BH1018,0)</f>
        <v>0</v>
      </c>
      <c r="AG1018" s="36">
        <f>IF(AQ1018="2",BI1018,0)</f>
        <v>0</v>
      </c>
      <c r="AH1018" s="36">
        <f>IF(AQ1018="0",BJ1018,0)</f>
        <v>0</v>
      </c>
      <c r="AI1018" s="35" t="s">
        <v>2898</v>
      </c>
      <c r="AJ1018" s="20">
        <f>IF(AN1018=0,L1018,0)</f>
        <v>0</v>
      </c>
      <c r="AK1018" s="20">
        <f>IF(AN1018=15,L1018,0)</f>
        <v>0</v>
      </c>
      <c r="AL1018" s="20">
        <f>IF(AN1018=21,L1018,0)</f>
        <v>0</v>
      </c>
      <c r="AN1018" s="36">
        <v>21</v>
      </c>
      <c r="AO1018" s="36">
        <f>I1018*0.529998253752784</f>
        <v>0</v>
      </c>
      <c r="AP1018" s="36">
        <f>I1018*(1-0.529998253752784)</f>
        <v>0</v>
      </c>
      <c r="AQ1018" s="37" t="s">
        <v>7</v>
      </c>
      <c r="AV1018" s="36">
        <f>AW1018+AX1018</f>
        <v>0</v>
      </c>
      <c r="AW1018" s="36">
        <f>H1018*AO1018</f>
        <v>0</v>
      </c>
      <c r="AX1018" s="36">
        <f>H1018*AP1018</f>
        <v>0</v>
      </c>
      <c r="AY1018" s="39" t="s">
        <v>2944</v>
      </c>
      <c r="AZ1018" s="39" t="s">
        <v>2964</v>
      </c>
      <c r="BA1018" s="35" t="s">
        <v>2971</v>
      </c>
      <c r="BC1018" s="36">
        <f>AW1018+AX1018</f>
        <v>0</v>
      </c>
      <c r="BD1018" s="36">
        <f>I1018/(100-BE1018)*100</f>
        <v>0</v>
      </c>
      <c r="BE1018" s="36">
        <v>0</v>
      </c>
      <c r="BF1018" s="36">
        <f>1018</f>
        <v>1018</v>
      </c>
      <c r="BH1018" s="20">
        <f>H1018*AO1018</f>
        <v>0</v>
      </c>
      <c r="BI1018" s="20">
        <f>H1018*AP1018</f>
        <v>0</v>
      </c>
      <c r="BJ1018" s="20">
        <f>H1018*I1018</f>
        <v>0</v>
      </c>
      <c r="BK1018" s="20" t="s">
        <v>2978</v>
      </c>
      <c r="BL1018" s="36">
        <v>8</v>
      </c>
    </row>
    <row r="1019" spans="1:64" ht="25.7" customHeight="1" x14ac:dyDescent="0.2">
      <c r="A1019" s="5"/>
      <c r="B1019" s="14"/>
      <c r="C1019" s="179" t="s">
        <v>2782</v>
      </c>
      <c r="D1019" s="180"/>
      <c r="E1019" s="180"/>
      <c r="F1019" s="180"/>
      <c r="G1019" s="180"/>
      <c r="H1019" s="180"/>
      <c r="I1019" s="180"/>
      <c r="J1019" s="180"/>
      <c r="K1019" s="180"/>
      <c r="L1019" s="180"/>
      <c r="M1019" s="181"/>
      <c r="N1019" s="5"/>
    </row>
    <row r="1020" spans="1:64" x14ac:dyDescent="0.2">
      <c r="A1020" s="4" t="s">
        <v>880</v>
      </c>
      <c r="B1020" s="13" t="s">
        <v>1775</v>
      </c>
      <c r="C1020" s="174" t="s">
        <v>2783</v>
      </c>
      <c r="D1020" s="175"/>
      <c r="E1020" s="175"/>
      <c r="F1020" s="175"/>
      <c r="G1020" s="13" t="s">
        <v>2860</v>
      </c>
      <c r="H1020" s="82">
        <v>2</v>
      </c>
      <c r="I1020" s="109">
        <v>0</v>
      </c>
      <c r="J1020" s="20">
        <f>H1020*AO1020</f>
        <v>0</v>
      </c>
      <c r="K1020" s="20">
        <f>H1020*AP1020</f>
        <v>0</v>
      </c>
      <c r="L1020" s="20">
        <f>H1020*I1020</f>
        <v>0</v>
      </c>
      <c r="M1020" s="31" t="s">
        <v>2884</v>
      </c>
      <c r="N1020" s="5"/>
      <c r="Z1020" s="36">
        <f>IF(AQ1020="5",BJ1020,0)</f>
        <v>0</v>
      </c>
      <c r="AB1020" s="36">
        <f>IF(AQ1020="1",BH1020,0)</f>
        <v>0</v>
      </c>
      <c r="AC1020" s="36">
        <f>IF(AQ1020="1",BI1020,0)</f>
        <v>0</v>
      </c>
      <c r="AD1020" s="36">
        <f>IF(AQ1020="7",BH1020,0)</f>
        <v>0</v>
      </c>
      <c r="AE1020" s="36">
        <f>IF(AQ1020="7",BI1020,0)</f>
        <v>0</v>
      </c>
      <c r="AF1020" s="36">
        <f>IF(AQ1020="2",BH1020,0)</f>
        <v>0</v>
      </c>
      <c r="AG1020" s="36">
        <f>IF(AQ1020="2",BI1020,0)</f>
        <v>0</v>
      </c>
      <c r="AH1020" s="36">
        <f>IF(AQ1020="0",BJ1020,0)</f>
        <v>0</v>
      </c>
      <c r="AI1020" s="35" t="s">
        <v>2898</v>
      </c>
      <c r="AJ1020" s="20">
        <f>IF(AN1020=0,L1020,0)</f>
        <v>0</v>
      </c>
      <c r="AK1020" s="20">
        <f>IF(AN1020=15,L1020,0)</f>
        <v>0</v>
      </c>
      <c r="AL1020" s="20">
        <f>IF(AN1020=21,L1020,0)</f>
        <v>0</v>
      </c>
      <c r="AN1020" s="36">
        <v>21</v>
      </c>
      <c r="AO1020" s="36">
        <f>I1020*0.53</f>
        <v>0</v>
      </c>
      <c r="AP1020" s="36">
        <f>I1020*(1-0.53)</f>
        <v>0</v>
      </c>
      <c r="AQ1020" s="37" t="s">
        <v>7</v>
      </c>
      <c r="AV1020" s="36">
        <f>AW1020+AX1020</f>
        <v>0</v>
      </c>
      <c r="AW1020" s="36">
        <f>H1020*AO1020</f>
        <v>0</v>
      </c>
      <c r="AX1020" s="36">
        <f>H1020*AP1020</f>
        <v>0</v>
      </c>
      <c r="AY1020" s="39" t="s">
        <v>2944</v>
      </c>
      <c r="AZ1020" s="39" t="s">
        <v>2964</v>
      </c>
      <c r="BA1020" s="35" t="s">
        <v>2971</v>
      </c>
      <c r="BC1020" s="36">
        <f>AW1020+AX1020</f>
        <v>0</v>
      </c>
      <c r="BD1020" s="36">
        <f>I1020/(100-BE1020)*100</f>
        <v>0</v>
      </c>
      <c r="BE1020" s="36">
        <v>0</v>
      </c>
      <c r="BF1020" s="36">
        <f>1020</f>
        <v>1020</v>
      </c>
      <c r="BH1020" s="20">
        <f>H1020*AO1020</f>
        <v>0</v>
      </c>
      <c r="BI1020" s="20">
        <f>H1020*AP1020</f>
        <v>0</v>
      </c>
      <c r="BJ1020" s="20">
        <f>H1020*I1020</f>
        <v>0</v>
      </c>
      <c r="BK1020" s="20" t="s">
        <v>2978</v>
      </c>
      <c r="BL1020" s="36">
        <v>8</v>
      </c>
    </row>
    <row r="1021" spans="1:64" x14ac:dyDescent="0.2">
      <c r="A1021" s="5"/>
      <c r="B1021" s="14"/>
      <c r="C1021" s="179" t="s">
        <v>2784</v>
      </c>
      <c r="D1021" s="180"/>
      <c r="E1021" s="180"/>
      <c r="F1021" s="180"/>
      <c r="G1021" s="180"/>
      <c r="H1021" s="180"/>
      <c r="I1021" s="180"/>
      <c r="J1021" s="180"/>
      <c r="K1021" s="180"/>
      <c r="L1021" s="180"/>
      <c r="M1021" s="181"/>
      <c r="N1021" s="5"/>
    </row>
    <row r="1022" spans="1:64" x14ac:dyDescent="0.2">
      <c r="A1022" s="4" t="s">
        <v>881</v>
      </c>
      <c r="B1022" s="13" t="s">
        <v>1776</v>
      </c>
      <c r="C1022" s="174" t="s">
        <v>2785</v>
      </c>
      <c r="D1022" s="175"/>
      <c r="E1022" s="175"/>
      <c r="F1022" s="175"/>
      <c r="G1022" s="13" t="s">
        <v>2860</v>
      </c>
      <c r="H1022" s="82">
        <v>1</v>
      </c>
      <c r="I1022" s="109">
        <v>0</v>
      </c>
      <c r="J1022" s="20">
        <f>H1022*AO1022</f>
        <v>0</v>
      </c>
      <c r="K1022" s="20">
        <f>H1022*AP1022</f>
        <v>0</v>
      </c>
      <c r="L1022" s="20">
        <f>H1022*I1022</f>
        <v>0</v>
      </c>
      <c r="M1022" s="31" t="s">
        <v>2884</v>
      </c>
      <c r="N1022" s="5"/>
      <c r="Z1022" s="36">
        <f>IF(AQ1022="5",BJ1022,0)</f>
        <v>0</v>
      </c>
      <c r="AB1022" s="36">
        <f>IF(AQ1022="1",BH1022,0)</f>
        <v>0</v>
      </c>
      <c r="AC1022" s="36">
        <f>IF(AQ1022="1",BI1022,0)</f>
        <v>0</v>
      </c>
      <c r="AD1022" s="36">
        <f>IF(AQ1022="7",BH1022,0)</f>
        <v>0</v>
      </c>
      <c r="AE1022" s="36">
        <f>IF(AQ1022="7",BI1022,0)</f>
        <v>0</v>
      </c>
      <c r="AF1022" s="36">
        <f>IF(AQ1022="2",BH1022,0)</f>
        <v>0</v>
      </c>
      <c r="AG1022" s="36">
        <f>IF(AQ1022="2",BI1022,0)</f>
        <v>0</v>
      </c>
      <c r="AH1022" s="36">
        <f>IF(AQ1022="0",BJ1022,0)</f>
        <v>0</v>
      </c>
      <c r="AI1022" s="35" t="s">
        <v>2898</v>
      </c>
      <c r="AJ1022" s="20">
        <f>IF(AN1022=0,L1022,0)</f>
        <v>0</v>
      </c>
      <c r="AK1022" s="20">
        <f>IF(AN1022=15,L1022,0)</f>
        <v>0</v>
      </c>
      <c r="AL1022" s="20">
        <f>IF(AN1022=21,L1022,0)</f>
        <v>0</v>
      </c>
      <c r="AN1022" s="36">
        <v>21</v>
      </c>
      <c r="AO1022" s="36">
        <f>I1022*0.53</f>
        <v>0</v>
      </c>
      <c r="AP1022" s="36">
        <f>I1022*(1-0.53)</f>
        <v>0</v>
      </c>
      <c r="AQ1022" s="37" t="s">
        <v>7</v>
      </c>
      <c r="AV1022" s="36">
        <f>AW1022+AX1022</f>
        <v>0</v>
      </c>
      <c r="AW1022" s="36">
        <f>H1022*AO1022</f>
        <v>0</v>
      </c>
      <c r="AX1022" s="36">
        <f>H1022*AP1022</f>
        <v>0</v>
      </c>
      <c r="AY1022" s="39" t="s">
        <v>2944</v>
      </c>
      <c r="AZ1022" s="39" t="s">
        <v>2964</v>
      </c>
      <c r="BA1022" s="35" t="s">
        <v>2971</v>
      </c>
      <c r="BC1022" s="36">
        <f>AW1022+AX1022</f>
        <v>0</v>
      </c>
      <c r="BD1022" s="36">
        <f>I1022/(100-BE1022)*100</f>
        <v>0</v>
      </c>
      <c r="BE1022" s="36">
        <v>0</v>
      </c>
      <c r="BF1022" s="36">
        <f>1022</f>
        <v>1022</v>
      </c>
      <c r="BH1022" s="20">
        <f>H1022*AO1022</f>
        <v>0</v>
      </c>
      <c r="BI1022" s="20">
        <f>H1022*AP1022</f>
        <v>0</v>
      </c>
      <c r="BJ1022" s="20">
        <f>H1022*I1022</f>
        <v>0</v>
      </c>
      <c r="BK1022" s="20" t="s">
        <v>2978</v>
      </c>
      <c r="BL1022" s="36">
        <v>8</v>
      </c>
    </row>
    <row r="1023" spans="1:64" x14ac:dyDescent="0.2">
      <c r="A1023" s="4" t="s">
        <v>882</v>
      </c>
      <c r="B1023" s="13" t="s">
        <v>1777</v>
      </c>
      <c r="C1023" s="174" t="s">
        <v>2786</v>
      </c>
      <c r="D1023" s="175"/>
      <c r="E1023" s="175"/>
      <c r="F1023" s="175"/>
      <c r="G1023" s="13" t="s">
        <v>2860</v>
      </c>
      <c r="H1023" s="82">
        <v>1</v>
      </c>
      <c r="I1023" s="109">
        <v>0</v>
      </c>
      <c r="J1023" s="20">
        <f>H1023*AO1023</f>
        <v>0</v>
      </c>
      <c r="K1023" s="20">
        <f>H1023*AP1023</f>
        <v>0</v>
      </c>
      <c r="L1023" s="20">
        <f>H1023*I1023</f>
        <v>0</v>
      </c>
      <c r="M1023" s="31" t="s">
        <v>2884</v>
      </c>
      <c r="N1023" s="5"/>
      <c r="Z1023" s="36">
        <f>IF(AQ1023="5",BJ1023,0)</f>
        <v>0</v>
      </c>
      <c r="AB1023" s="36">
        <f>IF(AQ1023="1",BH1023,0)</f>
        <v>0</v>
      </c>
      <c r="AC1023" s="36">
        <f>IF(AQ1023="1",BI1023,0)</f>
        <v>0</v>
      </c>
      <c r="AD1023" s="36">
        <f>IF(AQ1023="7",BH1023,0)</f>
        <v>0</v>
      </c>
      <c r="AE1023" s="36">
        <f>IF(AQ1023="7",BI1023,0)</f>
        <v>0</v>
      </c>
      <c r="AF1023" s="36">
        <f>IF(AQ1023="2",BH1023,0)</f>
        <v>0</v>
      </c>
      <c r="AG1023" s="36">
        <f>IF(AQ1023="2",BI1023,0)</f>
        <v>0</v>
      </c>
      <c r="AH1023" s="36">
        <f>IF(AQ1023="0",BJ1023,0)</f>
        <v>0</v>
      </c>
      <c r="AI1023" s="35" t="s">
        <v>2898</v>
      </c>
      <c r="AJ1023" s="20">
        <f>IF(AN1023=0,L1023,0)</f>
        <v>0</v>
      </c>
      <c r="AK1023" s="20">
        <f>IF(AN1023=15,L1023,0)</f>
        <v>0</v>
      </c>
      <c r="AL1023" s="20">
        <f>IF(AN1023=21,L1023,0)</f>
        <v>0</v>
      </c>
      <c r="AN1023" s="36">
        <v>21</v>
      </c>
      <c r="AO1023" s="36">
        <f>I1023*0.53</f>
        <v>0</v>
      </c>
      <c r="AP1023" s="36">
        <f>I1023*(1-0.53)</f>
        <v>0</v>
      </c>
      <c r="AQ1023" s="37" t="s">
        <v>7</v>
      </c>
      <c r="AV1023" s="36">
        <f>AW1023+AX1023</f>
        <v>0</v>
      </c>
      <c r="AW1023" s="36">
        <f>H1023*AO1023</f>
        <v>0</v>
      </c>
      <c r="AX1023" s="36">
        <f>H1023*AP1023</f>
        <v>0</v>
      </c>
      <c r="AY1023" s="39" t="s">
        <v>2944</v>
      </c>
      <c r="AZ1023" s="39" t="s">
        <v>2964</v>
      </c>
      <c r="BA1023" s="35" t="s">
        <v>2971</v>
      </c>
      <c r="BC1023" s="36">
        <f>AW1023+AX1023</f>
        <v>0</v>
      </c>
      <c r="BD1023" s="36">
        <f>I1023/(100-BE1023)*100</f>
        <v>0</v>
      </c>
      <c r="BE1023" s="36">
        <v>0</v>
      </c>
      <c r="BF1023" s="36">
        <f>1023</f>
        <v>1023</v>
      </c>
      <c r="BH1023" s="20">
        <f>H1023*AO1023</f>
        <v>0</v>
      </c>
      <c r="BI1023" s="20">
        <f>H1023*AP1023</f>
        <v>0</v>
      </c>
      <c r="BJ1023" s="20">
        <f>H1023*I1023</f>
        <v>0</v>
      </c>
      <c r="BK1023" s="20" t="s">
        <v>2978</v>
      </c>
      <c r="BL1023" s="36">
        <v>8</v>
      </c>
    </row>
    <row r="1024" spans="1:64" x14ac:dyDescent="0.2">
      <c r="A1024" s="4" t="s">
        <v>883</v>
      </c>
      <c r="B1024" s="13" t="s">
        <v>1778</v>
      </c>
      <c r="C1024" s="174" t="s">
        <v>2787</v>
      </c>
      <c r="D1024" s="175"/>
      <c r="E1024" s="175"/>
      <c r="F1024" s="175"/>
      <c r="G1024" s="13" t="s">
        <v>2860</v>
      </c>
      <c r="H1024" s="82">
        <v>1</v>
      </c>
      <c r="I1024" s="109">
        <v>0</v>
      </c>
      <c r="J1024" s="20">
        <f>H1024*AO1024</f>
        <v>0</v>
      </c>
      <c r="K1024" s="20">
        <f>H1024*AP1024</f>
        <v>0</v>
      </c>
      <c r="L1024" s="20">
        <f>H1024*I1024</f>
        <v>0</v>
      </c>
      <c r="M1024" s="31" t="s">
        <v>2884</v>
      </c>
      <c r="N1024" s="5"/>
      <c r="Z1024" s="36">
        <f>IF(AQ1024="5",BJ1024,0)</f>
        <v>0</v>
      </c>
      <c r="AB1024" s="36">
        <f>IF(AQ1024="1",BH1024,0)</f>
        <v>0</v>
      </c>
      <c r="AC1024" s="36">
        <f>IF(AQ1024="1",BI1024,0)</f>
        <v>0</v>
      </c>
      <c r="AD1024" s="36">
        <f>IF(AQ1024="7",BH1024,0)</f>
        <v>0</v>
      </c>
      <c r="AE1024" s="36">
        <f>IF(AQ1024="7",BI1024,0)</f>
        <v>0</v>
      </c>
      <c r="AF1024" s="36">
        <f>IF(AQ1024="2",BH1024,0)</f>
        <v>0</v>
      </c>
      <c r="AG1024" s="36">
        <f>IF(AQ1024="2",BI1024,0)</f>
        <v>0</v>
      </c>
      <c r="AH1024" s="36">
        <f>IF(AQ1024="0",BJ1024,0)</f>
        <v>0</v>
      </c>
      <c r="AI1024" s="35" t="s">
        <v>2898</v>
      </c>
      <c r="AJ1024" s="20">
        <f>IF(AN1024=0,L1024,0)</f>
        <v>0</v>
      </c>
      <c r="AK1024" s="20">
        <f>IF(AN1024=15,L1024,0)</f>
        <v>0</v>
      </c>
      <c r="AL1024" s="20">
        <f>IF(AN1024=21,L1024,0)</f>
        <v>0</v>
      </c>
      <c r="AN1024" s="36">
        <v>21</v>
      </c>
      <c r="AO1024" s="36">
        <f>I1024*0.53</f>
        <v>0</v>
      </c>
      <c r="AP1024" s="36">
        <f>I1024*(1-0.53)</f>
        <v>0</v>
      </c>
      <c r="AQ1024" s="37" t="s">
        <v>7</v>
      </c>
      <c r="AV1024" s="36">
        <f>AW1024+AX1024</f>
        <v>0</v>
      </c>
      <c r="AW1024" s="36">
        <f>H1024*AO1024</f>
        <v>0</v>
      </c>
      <c r="AX1024" s="36">
        <f>H1024*AP1024</f>
        <v>0</v>
      </c>
      <c r="AY1024" s="39" t="s">
        <v>2944</v>
      </c>
      <c r="AZ1024" s="39" t="s">
        <v>2964</v>
      </c>
      <c r="BA1024" s="35" t="s">
        <v>2971</v>
      </c>
      <c r="BC1024" s="36">
        <f>AW1024+AX1024</f>
        <v>0</v>
      </c>
      <c r="BD1024" s="36">
        <f>I1024/(100-BE1024)*100</f>
        <v>0</v>
      </c>
      <c r="BE1024" s="36">
        <v>0</v>
      </c>
      <c r="BF1024" s="36">
        <f>1024</f>
        <v>1024</v>
      </c>
      <c r="BH1024" s="20">
        <f>H1024*AO1024</f>
        <v>0</v>
      </c>
      <c r="BI1024" s="20">
        <f>H1024*AP1024</f>
        <v>0</v>
      </c>
      <c r="BJ1024" s="20">
        <f>H1024*I1024</f>
        <v>0</v>
      </c>
      <c r="BK1024" s="20" t="s">
        <v>2978</v>
      </c>
      <c r="BL1024" s="36">
        <v>8</v>
      </c>
    </row>
    <row r="1025" spans="1:64" x14ac:dyDescent="0.2">
      <c r="A1025" s="4" t="s">
        <v>884</v>
      </c>
      <c r="B1025" s="13" t="s">
        <v>1779</v>
      </c>
      <c r="C1025" s="174" t="s">
        <v>2788</v>
      </c>
      <c r="D1025" s="175"/>
      <c r="E1025" s="175"/>
      <c r="F1025" s="175"/>
      <c r="G1025" s="13" t="s">
        <v>2860</v>
      </c>
      <c r="H1025" s="82">
        <v>1</v>
      </c>
      <c r="I1025" s="109">
        <v>0</v>
      </c>
      <c r="J1025" s="20">
        <f>H1025*AO1025</f>
        <v>0</v>
      </c>
      <c r="K1025" s="20">
        <f>H1025*AP1025</f>
        <v>0</v>
      </c>
      <c r="L1025" s="20">
        <f>H1025*I1025</f>
        <v>0</v>
      </c>
      <c r="M1025" s="31" t="s">
        <v>2884</v>
      </c>
      <c r="N1025" s="5"/>
      <c r="Z1025" s="36">
        <f>IF(AQ1025="5",BJ1025,0)</f>
        <v>0</v>
      </c>
      <c r="AB1025" s="36">
        <f>IF(AQ1025="1",BH1025,0)</f>
        <v>0</v>
      </c>
      <c r="AC1025" s="36">
        <f>IF(AQ1025="1",BI1025,0)</f>
        <v>0</v>
      </c>
      <c r="AD1025" s="36">
        <f>IF(AQ1025="7",BH1025,0)</f>
        <v>0</v>
      </c>
      <c r="AE1025" s="36">
        <f>IF(AQ1025="7",BI1025,0)</f>
        <v>0</v>
      </c>
      <c r="AF1025" s="36">
        <f>IF(AQ1025="2",BH1025,0)</f>
        <v>0</v>
      </c>
      <c r="AG1025" s="36">
        <f>IF(AQ1025="2",BI1025,0)</f>
        <v>0</v>
      </c>
      <c r="AH1025" s="36">
        <f>IF(AQ1025="0",BJ1025,0)</f>
        <v>0</v>
      </c>
      <c r="AI1025" s="35" t="s">
        <v>2898</v>
      </c>
      <c r="AJ1025" s="20">
        <f>IF(AN1025=0,L1025,0)</f>
        <v>0</v>
      </c>
      <c r="AK1025" s="20">
        <f>IF(AN1025=15,L1025,0)</f>
        <v>0</v>
      </c>
      <c r="AL1025" s="20">
        <f>IF(AN1025=21,L1025,0)</f>
        <v>0</v>
      </c>
      <c r="AN1025" s="36">
        <v>21</v>
      </c>
      <c r="AO1025" s="36">
        <f>I1025*0.53</f>
        <v>0</v>
      </c>
      <c r="AP1025" s="36">
        <f>I1025*(1-0.53)</f>
        <v>0</v>
      </c>
      <c r="AQ1025" s="37" t="s">
        <v>7</v>
      </c>
      <c r="AV1025" s="36">
        <f>AW1025+AX1025</f>
        <v>0</v>
      </c>
      <c r="AW1025" s="36">
        <f>H1025*AO1025</f>
        <v>0</v>
      </c>
      <c r="AX1025" s="36">
        <f>H1025*AP1025</f>
        <v>0</v>
      </c>
      <c r="AY1025" s="39" t="s">
        <v>2944</v>
      </c>
      <c r="AZ1025" s="39" t="s">
        <v>2964</v>
      </c>
      <c r="BA1025" s="35" t="s">
        <v>2971</v>
      </c>
      <c r="BC1025" s="36">
        <f>AW1025+AX1025</f>
        <v>0</v>
      </c>
      <c r="BD1025" s="36">
        <f>I1025/(100-BE1025)*100</f>
        <v>0</v>
      </c>
      <c r="BE1025" s="36">
        <v>0</v>
      </c>
      <c r="BF1025" s="36">
        <f>1025</f>
        <v>1025</v>
      </c>
      <c r="BH1025" s="20">
        <f>H1025*AO1025</f>
        <v>0</v>
      </c>
      <c r="BI1025" s="20">
        <f>H1025*AP1025</f>
        <v>0</v>
      </c>
      <c r="BJ1025" s="20">
        <f>H1025*I1025</f>
        <v>0</v>
      </c>
      <c r="BK1025" s="20" t="s">
        <v>2978</v>
      </c>
      <c r="BL1025" s="36">
        <v>8</v>
      </c>
    </row>
    <row r="1026" spans="1:64" ht="25.7" customHeight="1" x14ac:dyDescent="0.2">
      <c r="A1026" s="5"/>
      <c r="B1026" s="14"/>
      <c r="C1026" s="179" t="s">
        <v>2789</v>
      </c>
      <c r="D1026" s="180"/>
      <c r="E1026" s="180"/>
      <c r="F1026" s="180"/>
      <c r="G1026" s="180"/>
      <c r="H1026" s="180"/>
      <c r="I1026" s="180"/>
      <c r="J1026" s="180"/>
      <c r="K1026" s="180"/>
      <c r="L1026" s="180"/>
      <c r="M1026" s="181"/>
      <c r="N1026" s="5"/>
    </row>
    <row r="1027" spans="1:64" x14ac:dyDescent="0.2">
      <c r="A1027" s="4" t="s">
        <v>885</v>
      </c>
      <c r="B1027" s="13" t="s">
        <v>1780</v>
      </c>
      <c r="C1027" s="174" t="s">
        <v>2790</v>
      </c>
      <c r="D1027" s="175"/>
      <c r="E1027" s="175"/>
      <c r="F1027" s="175"/>
      <c r="G1027" s="13" t="s">
        <v>2860</v>
      </c>
      <c r="H1027" s="82">
        <v>1</v>
      </c>
      <c r="I1027" s="109">
        <v>0</v>
      </c>
      <c r="J1027" s="20">
        <f>H1027*AO1027</f>
        <v>0</v>
      </c>
      <c r="K1027" s="20">
        <f>H1027*AP1027</f>
        <v>0</v>
      </c>
      <c r="L1027" s="20">
        <f>H1027*I1027</f>
        <v>0</v>
      </c>
      <c r="M1027" s="31" t="s">
        <v>2884</v>
      </c>
      <c r="N1027" s="5"/>
      <c r="Z1027" s="36">
        <f>IF(AQ1027="5",BJ1027,0)</f>
        <v>0</v>
      </c>
      <c r="AB1027" s="36">
        <f>IF(AQ1027="1",BH1027,0)</f>
        <v>0</v>
      </c>
      <c r="AC1027" s="36">
        <f>IF(AQ1027="1",BI1027,0)</f>
        <v>0</v>
      </c>
      <c r="AD1027" s="36">
        <f>IF(AQ1027="7",BH1027,0)</f>
        <v>0</v>
      </c>
      <c r="AE1027" s="36">
        <f>IF(AQ1027="7",BI1027,0)</f>
        <v>0</v>
      </c>
      <c r="AF1027" s="36">
        <f>IF(AQ1027="2",BH1027,0)</f>
        <v>0</v>
      </c>
      <c r="AG1027" s="36">
        <f>IF(AQ1027="2",BI1027,0)</f>
        <v>0</v>
      </c>
      <c r="AH1027" s="36">
        <f>IF(AQ1027="0",BJ1027,0)</f>
        <v>0</v>
      </c>
      <c r="AI1027" s="35" t="s">
        <v>2898</v>
      </c>
      <c r="AJ1027" s="20">
        <f>IF(AN1027=0,L1027,0)</f>
        <v>0</v>
      </c>
      <c r="AK1027" s="20">
        <f>IF(AN1027=15,L1027,0)</f>
        <v>0</v>
      </c>
      <c r="AL1027" s="20">
        <f>IF(AN1027=21,L1027,0)</f>
        <v>0</v>
      </c>
      <c r="AN1027" s="36">
        <v>21</v>
      </c>
      <c r="AO1027" s="36">
        <f>I1027*0.53</f>
        <v>0</v>
      </c>
      <c r="AP1027" s="36">
        <f>I1027*(1-0.53)</f>
        <v>0</v>
      </c>
      <c r="AQ1027" s="37" t="s">
        <v>7</v>
      </c>
      <c r="AV1027" s="36">
        <f>AW1027+AX1027</f>
        <v>0</v>
      </c>
      <c r="AW1027" s="36">
        <f>H1027*AO1027</f>
        <v>0</v>
      </c>
      <c r="AX1027" s="36">
        <f>H1027*AP1027</f>
        <v>0</v>
      </c>
      <c r="AY1027" s="39" t="s">
        <v>2944</v>
      </c>
      <c r="AZ1027" s="39" t="s">
        <v>2964</v>
      </c>
      <c r="BA1027" s="35" t="s">
        <v>2971</v>
      </c>
      <c r="BC1027" s="36">
        <f>AW1027+AX1027</f>
        <v>0</v>
      </c>
      <c r="BD1027" s="36">
        <f>I1027/(100-BE1027)*100</f>
        <v>0</v>
      </c>
      <c r="BE1027" s="36">
        <v>0</v>
      </c>
      <c r="BF1027" s="36">
        <f>1027</f>
        <v>1027</v>
      </c>
      <c r="BH1027" s="20">
        <f>H1027*AO1027</f>
        <v>0</v>
      </c>
      <c r="BI1027" s="20">
        <f>H1027*AP1027</f>
        <v>0</v>
      </c>
      <c r="BJ1027" s="20">
        <f>H1027*I1027</f>
        <v>0</v>
      </c>
      <c r="BK1027" s="20" t="s">
        <v>2978</v>
      </c>
      <c r="BL1027" s="36">
        <v>8</v>
      </c>
    </row>
    <row r="1028" spans="1:64" ht="25.7" customHeight="1" x14ac:dyDescent="0.2">
      <c r="A1028" s="5"/>
      <c r="B1028" s="14"/>
      <c r="C1028" s="179" t="s">
        <v>2791</v>
      </c>
      <c r="D1028" s="180"/>
      <c r="E1028" s="180"/>
      <c r="F1028" s="180"/>
      <c r="G1028" s="180"/>
      <c r="H1028" s="180"/>
      <c r="I1028" s="180"/>
      <c r="J1028" s="180"/>
      <c r="K1028" s="180"/>
      <c r="L1028" s="180"/>
      <c r="M1028" s="181"/>
      <c r="N1028" s="5"/>
    </row>
    <row r="1029" spans="1:64" x14ac:dyDescent="0.2">
      <c r="A1029" s="4" t="s">
        <v>886</v>
      </c>
      <c r="B1029" s="13" t="s">
        <v>1781</v>
      </c>
      <c r="C1029" s="174" t="s">
        <v>2792</v>
      </c>
      <c r="D1029" s="175"/>
      <c r="E1029" s="175"/>
      <c r="F1029" s="175"/>
      <c r="G1029" s="13" t="s">
        <v>2860</v>
      </c>
      <c r="H1029" s="82">
        <v>1</v>
      </c>
      <c r="I1029" s="109">
        <v>0</v>
      </c>
      <c r="J1029" s="20">
        <f t="shared" ref="J1029:J1037" si="1002">H1029*AO1029</f>
        <v>0</v>
      </c>
      <c r="K1029" s="20">
        <f t="shared" ref="K1029:K1037" si="1003">H1029*AP1029</f>
        <v>0</v>
      </c>
      <c r="L1029" s="20">
        <f t="shared" ref="L1029:L1037" si="1004">H1029*I1029</f>
        <v>0</v>
      </c>
      <c r="M1029" s="31" t="s">
        <v>2884</v>
      </c>
      <c r="N1029" s="5"/>
      <c r="Z1029" s="36">
        <f t="shared" ref="Z1029:Z1037" si="1005">IF(AQ1029="5",BJ1029,0)</f>
        <v>0</v>
      </c>
      <c r="AB1029" s="36">
        <f t="shared" ref="AB1029:AB1037" si="1006">IF(AQ1029="1",BH1029,0)</f>
        <v>0</v>
      </c>
      <c r="AC1029" s="36">
        <f t="shared" ref="AC1029:AC1037" si="1007">IF(AQ1029="1",BI1029,0)</f>
        <v>0</v>
      </c>
      <c r="AD1029" s="36">
        <f t="shared" ref="AD1029:AD1037" si="1008">IF(AQ1029="7",BH1029,0)</f>
        <v>0</v>
      </c>
      <c r="AE1029" s="36">
        <f t="shared" ref="AE1029:AE1037" si="1009">IF(AQ1029="7",BI1029,0)</f>
        <v>0</v>
      </c>
      <c r="AF1029" s="36">
        <f t="shared" ref="AF1029:AF1037" si="1010">IF(AQ1029="2",BH1029,0)</f>
        <v>0</v>
      </c>
      <c r="AG1029" s="36">
        <f t="shared" ref="AG1029:AG1037" si="1011">IF(AQ1029="2",BI1029,0)</f>
        <v>0</v>
      </c>
      <c r="AH1029" s="36">
        <f t="shared" ref="AH1029:AH1037" si="1012">IF(AQ1029="0",BJ1029,0)</f>
        <v>0</v>
      </c>
      <c r="AI1029" s="35" t="s">
        <v>2898</v>
      </c>
      <c r="AJ1029" s="20">
        <f t="shared" ref="AJ1029:AJ1037" si="1013">IF(AN1029=0,L1029,0)</f>
        <v>0</v>
      </c>
      <c r="AK1029" s="20">
        <f t="shared" ref="AK1029:AK1037" si="1014">IF(AN1029=15,L1029,0)</f>
        <v>0</v>
      </c>
      <c r="AL1029" s="20">
        <f t="shared" ref="AL1029:AL1037" si="1015">IF(AN1029=21,L1029,0)</f>
        <v>0</v>
      </c>
      <c r="AN1029" s="36">
        <v>21</v>
      </c>
      <c r="AO1029" s="36">
        <f t="shared" ref="AO1029:AO1037" si="1016">I1029*0.53</f>
        <v>0</v>
      </c>
      <c r="AP1029" s="36">
        <f t="shared" ref="AP1029:AP1037" si="1017">I1029*(1-0.53)</f>
        <v>0</v>
      </c>
      <c r="AQ1029" s="37" t="s">
        <v>7</v>
      </c>
      <c r="AV1029" s="36">
        <f t="shared" ref="AV1029:AV1037" si="1018">AW1029+AX1029</f>
        <v>0</v>
      </c>
      <c r="AW1029" s="36">
        <f t="shared" ref="AW1029:AW1037" si="1019">H1029*AO1029</f>
        <v>0</v>
      </c>
      <c r="AX1029" s="36">
        <f t="shared" ref="AX1029:AX1037" si="1020">H1029*AP1029</f>
        <v>0</v>
      </c>
      <c r="AY1029" s="39" t="s">
        <v>2944</v>
      </c>
      <c r="AZ1029" s="39" t="s">
        <v>2964</v>
      </c>
      <c r="BA1029" s="35" t="s">
        <v>2971</v>
      </c>
      <c r="BC1029" s="36">
        <f t="shared" ref="BC1029:BC1037" si="1021">AW1029+AX1029</f>
        <v>0</v>
      </c>
      <c r="BD1029" s="36">
        <f t="shared" ref="BD1029:BD1037" si="1022">I1029/(100-BE1029)*100</f>
        <v>0</v>
      </c>
      <c r="BE1029" s="36">
        <v>0</v>
      </c>
      <c r="BF1029" s="36">
        <f>1029</f>
        <v>1029</v>
      </c>
      <c r="BH1029" s="20">
        <f t="shared" ref="BH1029:BH1037" si="1023">H1029*AO1029</f>
        <v>0</v>
      </c>
      <c r="BI1029" s="20">
        <f t="shared" ref="BI1029:BI1037" si="1024">H1029*AP1029</f>
        <v>0</v>
      </c>
      <c r="BJ1029" s="20">
        <f t="shared" ref="BJ1029:BJ1037" si="1025">H1029*I1029</f>
        <v>0</v>
      </c>
      <c r="BK1029" s="20" t="s">
        <v>2978</v>
      </c>
      <c r="BL1029" s="36">
        <v>8</v>
      </c>
    </row>
    <row r="1030" spans="1:64" x14ac:dyDescent="0.2">
      <c r="A1030" s="4" t="s">
        <v>887</v>
      </c>
      <c r="B1030" s="13" t="s">
        <v>1782</v>
      </c>
      <c r="C1030" s="174" t="s">
        <v>2793</v>
      </c>
      <c r="D1030" s="175"/>
      <c r="E1030" s="175"/>
      <c r="F1030" s="175"/>
      <c r="G1030" s="13" t="s">
        <v>2860</v>
      </c>
      <c r="H1030" s="82">
        <v>1</v>
      </c>
      <c r="I1030" s="109">
        <v>0</v>
      </c>
      <c r="J1030" s="20">
        <f t="shared" si="1002"/>
        <v>0</v>
      </c>
      <c r="K1030" s="20">
        <f t="shared" si="1003"/>
        <v>0</v>
      </c>
      <c r="L1030" s="20">
        <f t="shared" si="1004"/>
        <v>0</v>
      </c>
      <c r="M1030" s="31" t="s">
        <v>2884</v>
      </c>
      <c r="N1030" s="5"/>
      <c r="Z1030" s="36">
        <f t="shared" si="1005"/>
        <v>0</v>
      </c>
      <c r="AB1030" s="36">
        <f t="shared" si="1006"/>
        <v>0</v>
      </c>
      <c r="AC1030" s="36">
        <f t="shared" si="1007"/>
        <v>0</v>
      </c>
      <c r="AD1030" s="36">
        <f t="shared" si="1008"/>
        <v>0</v>
      </c>
      <c r="AE1030" s="36">
        <f t="shared" si="1009"/>
        <v>0</v>
      </c>
      <c r="AF1030" s="36">
        <f t="shared" si="1010"/>
        <v>0</v>
      </c>
      <c r="AG1030" s="36">
        <f t="shared" si="1011"/>
        <v>0</v>
      </c>
      <c r="AH1030" s="36">
        <f t="shared" si="1012"/>
        <v>0</v>
      </c>
      <c r="AI1030" s="35" t="s">
        <v>2898</v>
      </c>
      <c r="AJ1030" s="20">
        <f t="shared" si="1013"/>
        <v>0</v>
      </c>
      <c r="AK1030" s="20">
        <f t="shared" si="1014"/>
        <v>0</v>
      </c>
      <c r="AL1030" s="20">
        <f t="shared" si="1015"/>
        <v>0</v>
      </c>
      <c r="AN1030" s="36">
        <v>21</v>
      </c>
      <c r="AO1030" s="36">
        <f t="shared" si="1016"/>
        <v>0</v>
      </c>
      <c r="AP1030" s="36">
        <f t="shared" si="1017"/>
        <v>0</v>
      </c>
      <c r="AQ1030" s="37" t="s">
        <v>7</v>
      </c>
      <c r="AV1030" s="36">
        <f t="shared" si="1018"/>
        <v>0</v>
      </c>
      <c r="AW1030" s="36">
        <f t="shared" si="1019"/>
        <v>0</v>
      </c>
      <c r="AX1030" s="36">
        <f t="shared" si="1020"/>
        <v>0</v>
      </c>
      <c r="AY1030" s="39" t="s">
        <v>2944</v>
      </c>
      <c r="AZ1030" s="39" t="s">
        <v>2964</v>
      </c>
      <c r="BA1030" s="35" t="s">
        <v>2971</v>
      </c>
      <c r="BC1030" s="36">
        <f t="shared" si="1021"/>
        <v>0</v>
      </c>
      <c r="BD1030" s="36">
        <f t="shared" si="1022"/>
        <v>0</v>
      </c>
      <c r="BE1030" s="36">
        <v>0</v>
      </c>
      <c r="BF1030" s="36">
        <f>1030</f>
        <v>1030</v>
      </c>
      <c r="BH1030" s="20">
        <f t="shared" si="1023"/>
        <v>0</v>
      </c>
      <c r="BI1030" s="20">
        <f t="shared" si="1024"/>
        <v>0</v>
      </c>
      <c r="BJ1030" s="20">
        <f t="shared" si="1025"/>
        <v>0</v>
      </c>
      <c r="BK1030" s="20" t="s">
        <v>2978</v>
      </c>
      <c r="BL1030" s="36">
        <v>8</v>
      </c>
    </row>
    <row r="1031" spans="1:64" x14ac:dyDescent="0.2">
      <c r="A1031" s="4" t="s">
        <v>888</v>
      </c>
      <c r="B1031" s="13" t="s">
        <v>1783</v>
      </c>
      <c r="C1031" s="174" t="s">
        <v>2794</v>
      </c>
      <c r="D1031" s="175"/>
      <c r="E1031" s="175"/>
      <c r="F1031" s="175"/>
      <c r="G1031" s="13" t="s">
        <v>2860</v>
      </c>
      <c r="H1031" s="82">
        <v>1</v>
      </c>
      <c r="I1031" s="109">
        <v>0</v>
      </c>
      <c r="J1031" s="20">
        <f t="shared" si="1002"/>
        <v>0</v>
      </c>
      <c r="K1031" s="20">
        <f t="shared" si="1003"/>
        <v>0</v>
      </c>
      <c r="L1031" s="20">
        <f t="shared" si="1004"/>
        <v>0</v>
      </c>
      <c r="M1031" s="31" t="s">
        <v>2884</v>
      </c>
      <c r="N1031" s="5"/>
      <c r="Z1031" s="36">
        <f t="shared" si="1005"/>
        <v>0</v>
      </c>
      <c r="AB1031" s="36">
        <f t="shared" si="1006"/>
        <v>0</v>
      </c>
      <c r="AC1031" s="36">
        <f t="shared" si="1007"/>
        <v>0</v>
      </c>
      <c r="AD1031" s="36">
        <f t="shared" si="1008"/>
        <v>0</v>
      </c>
      <c r="AE1031" s="36">
        <f t="shared" si="1009"/>
        <v>0</v>
      </c>
      <c r="AF1031" s="36">
        <f t="shared" si="1010"/>
        <v>0</v>
      </c>
      <c r="AG1031" s="36">
        <f t="shared" si="1011"/>
        <v>0</v>
      </c>
      <c r="AH1031" s="36">
        <f t="shared" si="1012"/>
        <v>0</v>
      </c>
      <c r="AI1031" s="35" t="s">
        <v>2898</v>
      </c>
      <c r="AJ1031" s="20">
        <f t="shared" si="1013"/>
        <v>0</v>
      </c>
      <c r="AK1031" s="20">
        <f t="shared" si="1014"/>
        <v>0</v>
      </c>
      <c r="AL1031" s="20">
        <f t="shared" si="1015"/>
        <v>0</v>
      </c>
      <c r="AN1031" s="36">
        <v>21</v>
      </c>
      <c r="AO1031" s="36">
        <f t="shared" si="1016"/>
        <v>0</v>
      </c>
      <c r="AP1031" s="36">
        <f t="shared" si="1017"/>
        <v>0</v>
      </c>
      <c r="AQ1031" s="37" t="s">
        <v>7</v>
      </c>
      <c r="AV1031" s="36">
        <f t="shared" si="1018"/>
        <v>0</v>
      </c>
      <c r="AW1031" s="36">
        <f t="shared" si="1019"/>
        <v>0</v>
      </c>
      <c r="AX1031" s="36">
        <f t="shared" si="1020"/>
        <v>0</v>
      </c>
      <c r="AY1031" s="39" t="s">
        <v>2944</v>
      </c>
      <c r="AZ1031" s="39" t="s">
        <v>2964</v>
      </c>
      <c r="BA1031" s="35" t="s">
        <v>2971</v>
      </c>
      <c r="BC1031" s="36">
        <f t="shared" si="1021"/>
        <v>0</v>
      </c>
      <c r="BD1031" s="36">
        <f t="shared" si="1022"/>
        <v>0</v>
      </c>
      <c r="BE1031" s="36">
        <v>0</v>
      </c>
      <c r="BF1031" s="36">
        <f>1031</f>
        <v>1031</v>
      </c>
      <c r="BH1031" s="20">
        <f t="shared" si="1023"/>
        <v>0</v>
      </c>
      <c r="BI1031" s="20">
        <f t="shared" si="1024"/>
        <v>0</v>
      </c>
      <c r="BJ1031" s="20">
        <f t="shared" si="1025"/>
        <v>0</v>
      </c>
      <c r="BK1031" s="20" t="s">
        <v>2978</v>
      </c>
      <c r="BL1031" s="36">
        <v>8</v>
      </c>
    </row>
    <row r="1032" spans="1:64" x14ac:dyDescent="0.2">
      <c r="A1032" s="4" t="s">
        <v>889</v>
      </c>
      <c r="B1032" s="13" t="s">
        <v>1784</v>
      </c>
      <c r="C1032" s="174" t="s">
        <v>2795</v>
      </c>
      <c r="D1032" s="175"/>
      <c r="E1032" s="175"/>
      <c r="F1032" s="175"/>
      <c r="G1032" s="13" t="s">
        <v>2860</v>
      </c>
      <c r="H1032" s="82">
        <v>1</v>
      </c>
      <c r="I1032" s="109">
        <v>0</v>
      </c>
      <c r="J1032" s="20">
        <f t="shared" si="1002"/>
        <v>0</v>
      </c>
      <c r="K1032" s="20">
        <f t="shared" si="1003"/>
        <v>0</v>
      </c>
      <c r="L1032" s="20">
        <f t="shared" si="1004"/>
        <v>0</v>
      </c>
      <c r="M1032" s="31" t="s">
        <v>2884</v>
      </c>
      <c r="N1032" s="5"/>
      <c r="Z1032" s="36">
        <f t="shared" si="1005"/>
        <v>0</v>
      </c>
      <c r="AB1032" s="36">
        <f t="shared" si="1006"/>
        <v>0</v>
      </c>
      <c r="AC1032" s="36">
        <f t="shared" si="1007"/>
        <v>0</v>
      </c>
      <c r="AD1032" s="36">
        <f t="shared" si="1008"/>
        <v>0</v>
      </c>
      <c r="AE1032" s="36">
        <f t="shared" si="1009"/>
        <v>0</v>
      </c>
      <c r="AF1032" s="36">
        <f t="shared" si="1010"/>
        <v>0</v>
      </c>
      <c r="AG1032" s="36">
        <f t="shared" si="1011"/>
        <v>0</v>
      </c>
      <c r="AH1032" s="36">
        <f t="shared" si="1012"/>
        <v>0</v>
      </c>
      <c r="AI1032" s="35" t="s">
        <v>2898</v>
      </c>
      <c r="AJ1032" s="20">
        <f t="shared" si="1013"/>
        <v>0</v>
      </c>
      <c r="AK1032" s="20">
        <f t="shared" si="1014"/>
        <v>0</v>
      </c>
      <c r="AL1032" s="20">
        <f t="shared" si="1015"/>
        <v>0</v>
      </c>
      <c r="AN1032" s="36">
        <v>21</v>
      </c>
      <c r="AO1032" s="36">
        <f t="shared" si="1016"/>
        <v>0</v>
      </c>
      <c r="AP1032" s="36">
        <f t="shared" si="1017"/>
        <v>0</v>
      </c>
      <c r="AQ1032" s="37" t="s">
        <v>7</v>
      </c>
      <c r="AV1032" s="36">
        <f t="shared" si="1018"/>
        <v>0</v>
      </c>
      <c r="AW1032" s="36">
        <f t="shared" si="1019"/>
        <v>0</v>
      </c>
      <c r="AX1032" s="36">
        <f t="shared" si="1020"/>
        <v>0</v>
      </c>
      <c r="AY1032" s="39" t="s">
        <v>2944</v>
      </c>
      <c r="AZ1032" s="39" t="s">
        <v>2964</v>
      </c>
      <c r="BA1032" s="35" t="s">
        <v>2971</v>
      </c>
      <c r="BC1032" s="36">
        <f t="shared" si="1021"/>
        <v>0</v>
      </c>
      <c r="BD1032" s="36">
        <f t="shared" si="1022"/>
        <v>0</v>
      </c>
      <c r="BE1032" s="36">
        <v>0</v>
      </c>
      <c r="BF1032" s="36">
        <f>1032</f>
        <v>1032</v>
      </c>
      <c r="BH1032" s="20">
        <f t="shared" si="1023"/>
        <v>0</v>
      </c>
      <c r="BI1032" s="20">
        <f t="shared" si="1024"/>
        <v>0</v>
      </c>
      <c r="BJ1032" s="20">
        <f t="shared" si="1025"/>
        <v>0</v>
      </c>
      <c r="BK1032" s="20" t="s">
        <v>2978</v>
      </c>
      <c r="BL1032" s="36">
        <v>8</v>
      </c>
    </row>
    <row r="1033" spans="1:64" x14ac:dyDescent="0.2">
      <c r="A1033" s="4" t="s">
        <v>890</v>
      </c>
      <c r="B1033" s="13" t="s">
        <v>1785</v>
      </c>
      <c r="C1033" s="174" t="s">
        <v>2796</v>
      </c>
      <c r="D1033" s="175"/>
      <c r="E1033" s="175"/>
      <c r="F1033" s="175"/>
      <c r="G1033" s="13" t="s">
        <v>2860</v>
      </c>
      <c r="H1033" s="82">
        <v>1</v>
      </c>
      <c r="I1033" s="109">
        <v>0</v>
      </c>
      <c r="J1033" s="20">
        <f t="shared" si="1002"/>
        <v>0</v>
      </c>
      <c r="K1033" s="20">
        <f t="shared" si="1003"/>
        <v>0</v>
      </c>
      <c r="L1033" s="20">
        <f t="shared" si="1004"/>
        <v>0</v>
      </c>
      <c r="M1033" s="31" t="s">
        <v>2884</v>
      </c>
      <c r="N1033" s="5"/>
      <c r="Z1033" s="36">
        <f t="shared" si="1005"/>
        <v>0</v>
      </c>
      <c r="AB1033" s="36">
        <f t="shared" si="1006"/>
        <v>0</v>
      </c>
      <c r="AC1033" s="36">
        <f t="shared" si="1007"/>
        <v>0</v>
      </c>
      <c r="AD1033" s="36">
        <f t="shared" si="1008"/>
        <v>0</v>
      </c>
      <c r="AE1033" s="36">
        <f t="shared" si="1009"/>
        <v>0</v>
      </c>
      <c r="AF1033" s="36">
        <f t="shared" si="1010"/>
        <v>0</v>
      </c>
      <c r="AG1033" s="36">
        <f t="shared" si="1011"/>
        <v>0</v>
      </c>
      <c r="AH1033" s="36">
        <f t="shared" si="1012"/>
        <v>0</v>
      </c>
      <c r="AI1033" s="35" t="s">
        <v>2898</v>
      </c>
      <c r="AJ1033" s="20">
        <f t="shared" si="1013"/>
        <v>0</v>
      </c>
      <c r="AK1033" s="20">
        <f t="shared" si="1014"/>
        <v>0</v>
      </c>
      <c r="AL1033" s="20">
        <f t="shared" si="1015"/>
        <v>0</v>
      </c>
      <c r="AN1033" s="36">
        <v>21</v>
      </c>
      <c r="AO1033" s="36">
        <f t="shared" si="1016"/>
        <v>0</v>
      </c>
      <c r="AP1033" s="36">
        <f t="shared" si="1017"/>
        <v>0</v>
      </c>
      <c r="AQ1033" s="37" t="s">
        <v>7</v>
      </c>
      <c r="AV1033" s="36">
        <f t="shared" si="1018"/>
        <v>0</v>
      </c>
      <c r="AW1033" s="36">
        <f t="shared" si="1019"/>
        <v>0</v>
      </c>
      <c r="AX1033" s="36">
        <f t="shared" si="1020"/>
        <v>0</v>
      </c>
      <c r="AY1033" s="39" t="s">
        <v>2944</v>
      </c>
      <c r="AZ1033" s="39" t="s">
        <v>2964</v>
      </c>
      <c r="BA1033" s="35" t="s">
        <v>2971</v>
      </c>
      <c r="BC1033" s="36">
        <f t="shared" si="1021"/>
        <v>0</v>
      </c>
      <c r="BD1033" s="36">
        <f t="shared" si="1022"/>
        <v>0</v>
      </c>
      <c r="BE1033" s="36">
        <v>0</v>
      </c>
      <c r="BF1033" s="36">
        <f>1033</f>
        <v>1033</v>
      </c>
      <c r="BH1033" s="20">
        <f t="shared" si="1023"/>
        <v>0</v>
      </c>
      <c r="BI1033" s="20">
        <f t="shared" si="1024"/>
        <v>0</v>
      </c>
      <c r="BJ1033" s="20">
        <f t="shared" si="1025"/>
        <v>0</v>
      </c>
      <c r="BK1033" s="20" t="s">
        <v>2978</v>
      </c>
      <c r="BL1033" s="36">
        <v>8</v>
      </c>
    </row>
    <row r="1034" spans="1:64" x14ac:dyDescent="0.2">
      <c r="A1034" s="4" t="s">
        <v>891</v>
      </c>
      <c r="B1034" s="13" t="s">
        <v>1786</v>
      </c>
      <c r="C1034" s="174" t="s">
        <v>2797</v>
      </c>
      <c r="D1034" s="175"/>
      <c r="E1034" s="175"/>
      <c r="F1034" s="175"/>
      <c r="G1034" s="13" t="s">
        <v>2860</v>
      </c>
      <c r="H1034" s="82">
        <v>1</v>
      </c>
      <c r="I1034" s="109">
        <v>0</v>
      </c>
      <c r="J1034" s="20">
        <f t="shared" si="1002"/>
        <v>0</v>
      </c>
      <c r="K1034" s="20">
        <f t="shared" si="1003"/>
        <v>0</v>
      </c>
      <c r="L1034" s="20">
        <f t="shared" si="1004"/>
        <v>0</v>
      </c>
      <c r="M1034" s="31" t="s">
        <v>2884</v>
      </c>
      <c r="N1034" s="5"/>
      <c r="Z1034" s="36">
        <f t="shared" si="1005"/>
        <v>0</v>
      </c>
      <c r="AB1034" s="36">
        <f t="shared" si="1006"/>
        <v>0</v>
      </c>
      <c r="AC1034" s="36">
        <f t="shared" si="1007"/>
        <v>0</v>
      </c>
      <c r="AD1034" s="36">
        <f t="shared" si="1008"/>
        <v>0</v>
      </c>
      <c r="AE1034" s="36">
        <f t="shared" si="1009"/>
        <v>0</v>
      </c>
      <c r="AF1034" s="36">
        <f t="shared" si="1010"/>
        <v>0</v>
      </c>
      <c r="AG1034" s="36">
        <f t="shared" si="1011"/>
        <v>0</v>
      </c>
      <c r="AH1034" s="36">
        <f t="shared" si="1012"/>
        <v>0</v>
      </c>
      <c r="AI1034" s="35" t="s">
        <v>2898</v>
      </c>
      <c r="AJ1034" s="20">
        <f t="shared" si="1013"/>
        <v>0</v>
      </c>
      <c r="AK1034" s="20">
        <f t="shared" si="1014"/>
        <v>0</v>
      </c>
      <c r="AL1034" s="20">
        <f t="shared" si="1015"/>
        <v>0</v>
      </c>
      <c r="AN1034" s="36">
        <v>21</v>
      </c>
      <c r="AO1034" s="36">
        <f t="shared" si="1016"/>
        <v>0</v>
      </c>
      <c r="AP1034" s="36">
        <f t="shared" si="1017"/>
        <v>0</v>
      </c>
      <c r="AQ1034" s="37" t="s">
        <v>7</v>
      </c>
      <c r="AV1034" s="36">
        <f t="shared" si="1018"/>
        <v>0</v>
      </c>
      <c r="AW1034" s="36">
        <f t="shared" si="1019"/>
        <v>0</v>
      </c>
      <c r="AX1034" s="36">
        <f t="shared" si="1020"/>
        <v>0</v>
      </c>
      <c r="AY1034" s="39" t="s">
        <v>2944</v>
      </c>
      <c r="AZ1034" s="39" t="s">
        <v>2964</v>
      </c>
      <c r="BA1034" s="35" t="s">
        <v>2971</v>
      </c>
      <c r="BC1034" s="36">
        <f t="shared" si="1021"/>
        <v>0</v>
      </c>
      <c r="BD1034" s="36">
        <f t="shared" si="1022"/>
        <v>0</v>
      </c>
      <c r="BE1034" s="36">
        <v>0</v>
      </c>
      <c r="BF1034" s="36">
        <f>1034</f>
        <v>1034</v>
      </c>
      <c r="BH1034" s="20">
        <f t="shared" si="1023"/>
        <v>0</v>
      </c>
      <c r="BI1034" s="20">
        <f t="shared" si="1024"/>
        <v>0</v>
      </c>
      <c r="BJ1034" s="20">
        <f t="shared" si="1025"/>
        <v>0</v>
      </c>
      <c r="BK1034" s="20" t="s">
        <v>2978</v>
      </c>
      <c r="BL1034" s="36">
        <v>8</v>
      </c>
    </row>
    <row r="1035" spans="1:64" x14ac:dyDescent="0.2">
      <c r="A1035" s="4" t="s">
        <v>892</v>
      </c>
      <c r="B1035" s="13" t="s">
        <v>1787</v>
      </c>
      <c r="C1035" s="174" t="s">
        <v>2798</v>
      </c>
      <c r="D1035" s="175"/>
      <c r="E1035" s="175"/>
      <c r="F1035" s="175"/>
      <c r="G1035" s="13" t="s">
        <v>2860</v>
      </c>
      <c r="H1035" s="82">
        <v>1</v>
      </c>
      <c r="I1035" s="109">
        <v>0</v>
      </c>
      <c r="J1035" s="20">
        <f t="shared" si="1002"/>
        <v>0</v>
      </c>
      <c r="K1035" s="20">
        <f t="shared" si="1003"/>
        <v>0</v>
      </c>
      <c r="L1035" s="20">
        <f t="shared" si="1004"/>
        <v>0</v>
      </c>
      <c r="M1035" s="31" t="s">
        <v>2884</v>
      </c>
      <c r="N1035" s="5"/>
      <c r="Z1035" s="36">
        <f t="shared" si="1005"/>
        <v>0</v>
      </c>
      <c r="AB1035" s="36">
        <f t="shared" si="1006"/>
        <v>0</v>
      </c>
      <c r="AC1035" s="36">
        <f t="shared" si="1007"/>
        <v>0</v>
      </c>
      <c r="AD1035" s="36">
        <f t="shared" si="1008"/>
        <v>0</v>
      </c>
      <c r="AE1035" s="36">
        <f t="shared" si="1009"/>
        <v>0</v>
      </c>
      <c r="AF1035" s="36">
        <f t="shared" si="1010"/>
        <v>0</v>
      </c>
      <c r="AG1035" s="36">
        <f t="shared" si="1011"/>
        <v>0</v>
      </c>
      <c r="AH1035" s="36">
        <f t="shared" si="1012"/>
        <v>0</v>
      </c>
      <c r="AI1035" s="35" t="s">
        <v>2898</v>
      </c>
      <c r="AJ1035" s="20">
        <f t="shared" si="1013"/>
        <v>0</v>
      </c>
      <c r="AK1035" s="20">
        <f t="shared" si="1014"/>
        <v>0</v>
      </c>
      <c r="AL1035" s="20">
        <f t="shared" si="1015"/>
        <v>0</v>
      </c>
      <c r="AN1035" s="36">
        <v>21</v>
      </c>
      <c r="AO1035" s="36">
        <f t="shared" si="1016"/>
        <v>0</v>
      </c>
      <c r="AP1035" s="36">
        <f t="shared" si="1017"/>
        <v>0</v>
      </c>
      <c r="AQ1035" s="37" t="s">
        <v>7</v>
      </c>
      <c r="AV1035" s="36">
        <f t="shared" si="1018"/>
        <v>0</v>
      </c>
      <c r="AW1035" s="36">
        <f t="shared" si="1019"/>
        <v>0</v>
      </c>
      <c r="AX1035" s="36">
        <f t="shared" si="1020"/>
        <v>0</v>
      </c>
      <c r="AY1035" s="39" t="s">
        <v>2944</v>
      </c>
      <c r="AZ1035" s="39" t="s">
        <v>2964</v>
      </c>
      <c r="BA1035" s="35" t="s">
        <v>2971</v>
      </c>
      <c r="BC1035" s="36">
        <f t="shared" si="1021"/>
        <v>0</v>
      </c>
      <c r="BD1035" s="36">
        <f t="shared" si="1022"/>
        <v>0</v>
      </c>
      <c r="BE1035" s="36">
        <v>0</v>
      </c>
      <c r="BF1035" s="36">
        <f>1035</f>
        <v>1035</v>
      </c>
      <c r="BH1035" s="20">
        <f t="shared" si="1023"/>
        <v>0</v>
      </c>
      <c r="BI1035" s="20">
        <f t="shared" si="1024"/>
        <v>0</v>
      </c>
      <c r="BJ1035" s="20">
        <f t="shared" si="1025"/>
        <v>0</v>
      </c>
      <c r="BK1035" s="20" t="s">
        <v>2978</v>
      </c>
      <c r="BL1035" s="36">
        <v>8</v>
      </c>
    </row>
    <row r="1036" spans="1:64" x14ac:dyDescent="0.2">
      <c r="A1036" s="4" t="s">
        <v>893</v>
      </c>
      <c r="B1036" s="13" t="s">
        <v>1788</v>
      </c>
      <c r="C1036" s="174" t="s">
        <v>2799</v>
      </c>
      <c r="D1036" s="175"/>
      <c r="E1036" s="175"/>
      <c r="F1036" s="175"/>
      <c r="G1036" s="13" t="s">
        <v>2860</v>
      </c>
      <c r="H1036" s="82">
        <v>1</v>
      </c>
      <c r="I1036" s="109">
        <v>0</v>
      </c>
      <c r="J1036" s="20">
        <f t="shared" si="1002"/>
        <v>0</v>
      </c>
      <c r="K1036" s="20">
        <f t="shared" si="1003"/>
        <v>0</v>
      </c>
      <c r="L1036" s="20">
        <f t="shared" si="1004"/>
        <v>0</v>
      </c>
      <c r="M1036" s="31" t="s">
        <v>2884</v>
      </c>
      <c r="N1036" s="5"/>
      <c r="Z1036" s="36">
        <f t="shared" si="1005"/>
        <v>0</v>
      </c>
      <c r="AB1036" s="36">
        <f t="shared" si="1006"/>
        <v>0</v>
      </c>
      <c r="AC1036" s="36">
        <f t="shared" si="1007"/>
        <v>0</v>
      </c>
      <c r="AD1036" s="36">
        <f t="shared" si="1008"/>
        <v>0</v>
      </c>
      <c r="AE1036" s="36">
        <f t="shared" si="1009"/>
        <v>0</v>
      </c>
      <c r="AF1036" s="36">
        <f t="shared" si="1010"/>
        <v>0</v>
      </c>
      <c r="AG1036" s="36">
        <f t="shared" si="1011"/>
        <v>0</v>
      </c>
      <c r="AH1036" s="36">
        <f t="shared" si="1012"/>
        <v>0</v>
      </c>
      <c r="AI1036" s="35" t="s">
        <v>2898</v>
      </c>
      <c r="AJ1036" s="20">
        <f t="shared" si="1013"/>
        <v>0</v>
      </c>
      <c r="AK1036" s="20">
        <f t="shared" si="1014"/>
        <v>0</v>
      </c>
      <c r="AL1036" s="20">
        <f t="shared" si="1015"/>
        <v>0</v>
      </c>
      <c r="AN1036" s="36">
        <v>21</v>
      </c>
      <c r="AO1036" s="36">
        <f t="shared" si="1016"/>
        <v>0</v>
      </c>
      <c r="AP1036" s="36">
        <f t="shared" si="1017"/>
        <v>0</v>
      </c>
      <c r="AQ1036" s="37" t="s">
        <v>7</v>
      </c>
      <c r="AV1036" s="36">
        <f t="shared" si="1018"/>
        <v>0</v>
      </c>
      <c r="AW1036" s="36">
        <f t="shared" si="1019"/>
        <v>0</v>
      </c>
      <c r="AX1036" s="36">
        <f t="shared" si="1020"/>
        <v>0</v>
      </c>
      <c r="AY1036" s="39" t="s">
        <v>2944</v>
      </c>
      <c r="AZ1036" s="39" t="s">
        <v>2964</v>
      </c>
      <c r="BA1036" s="35" t="s">
        <v>2971</v>
      </c>
      <c r="BC1036" s="36">
        <f t="shared" si="1021"/>
        <v>0</v>
      </c>
      <c r="BD1036" s="36">
        <f t="shared" si="1022"/>
        <v>0</v>
      </c>
      <c r="BE1036" s="36">
        <v>0</v>
      </c>
      <c r="BF1036" s="36">
        <f>1036</f>
        <v>1036</v>
      </c>
      <c r="BH1036" s="20">
        <f t="shared" si="1023"/>
        <v>0</v>
      </c>
      <c r="BI1036" s="20">
        <f t="shared" si="1024"/>
        <v>0</v>
      </c>
      <c r="BJ1036" s="20">
        <f t="shared" si="1025"/>
        <v>0</v>
      </c>
      <c r="BK1036" s="20" t="s">
        <v>2978</v>
      </c>
      <c r="BL1036" s="36">
        <v>8</v>
      </c>
    </row>
    <row r="1037" spans="1:64" x14ac:dyDescent="0.2">
      <c r="A1037" s="4" t="s">
        <v>894</v>
      </c>
      <c r="B1037" s="13" t="s">
        <v>1789</v>
      </c>
      <c r="C1037" s="174" t="s">
        <v>2800</v>
      </c>
      <c r="D1037" s="175"/>
      <c r="E1037" s="175"/>
      <c r="F1037" s="175"/>
      <c r="G1037" s="13" t="s">
        <v>2861</v>
      </c>
      <c r="H1037" s="82">
        <v>1</v>
      </c>
      <c r="I1037" s="109">
        <v>0</v>
      </c>
      <c r="J1037" s="20">
        <f t="shared" si="1002"/>
        <v>0</v>
      </c>
      <c r="K1037" s="20">
        <f t="shared" si="1003"/>
        <v>0</v>
      </c>
      <c r="L1037" s="20">
        <f t="shared" si="1004"/>
        <v>0</v>
      </c>
      <c r="M1037" s="31" t="s">
        <v>2884</v>
      </c>
      <c r="N1037" s="5"/>
      <c r="Z1037" s="36">
        <f t="shared" si="1005"/>
        <v>0</v>
      </c>
      <c r="AB1037" s="36">
        <f t="shared" si="1006"/>
        <v>0</v>
      </c>
      <c r="AC1037" s="36">
        <f t="shared" si="1007"/>
        <v>0</v>
      </c>
      <c r="AD1037" s="36">
        <f t="shared" si="1008"/>
        <v>0</v>
      </c>
      <c r="AE1037" s="36">
        <f t="shared" si="1009"/>
        <v>0</v>
      </c>
      <c r="AF1037" s="36">
        <f t="shared" si="1010"/>
        <v>0</v>
      </c>
      <c r="AG1037" s="36">
        <f t="shared" si="1011"/>
        <v>0</v>
      </c>
      <c r="AH1037" s="36">
        <f t="shared" si="1012"/>
        <v>0</v>
      </c>
      <c r="AI1037" s="35" t="s">
        <v>2898</v>
      </c>
      <c r="AJ1037" s="20">
        <f t="shared" si="1013"/>
        <v>0</v>
      </c>
      <c r="AK1037" s="20">
        <f t="shared" si="1014"/>
        <v>0</v>
      </c>
      <c r="AL1037" s="20">
        <f t="shared" si="1015"/>
        <v>0</v>
      </c>
      <c r="AN1037" s="36">
        <v>21</v>
      </c>
      <c r="AO1037" s="36">
        <f t="shared" si="1016"/>
        <v>0</v>
      </c>
      <c r="AP1037" s="36">
        <f t="shared" si="1017"/>
        <v>0</v>
      </c>
      <c r="AQ1037" s="37" t="s">
        <v>7</v>
      </c>
      <c r="AV1037" s="36">
        <f t="shared" si="1018"/>
        <v>0</v>
      </c>
      <c r="AW1037" s="36">
        <f t="shared" si="1019"/>
        <v>0</v>
      </c>
      <c r="AX1037" s="36">
        <f t="shared" si="1020"/>
        <v>0</v>
      </c>
      <c r="AY1037" s="39" t="s">
        <v>2944</v>
      </c>
      <c r="AZ1037" s="39" t="s">
        <v>2964</v>
      </c>
      <c r="BA1037" s="35" t="s">
        <v>2971</v>
      </c>
      <c r="BC1037" s="36">
        <f t="shared" si="1021"/>
        <v>0</v>
      </c>
      <c r="BD1037" s="36">
        <f t="shared" si="1022"/>
        <v>0</v>
      </c>
      <c r="BE1037" s="36">
        <v>0</v>
      </c>
      <c r="BF1037" s="36">
        <f>1037</f>
        <v>1037</v>
      </c>
      <c r="BH1037" s="20">
        <f t="shared" si="1023"/>
        <v>0</v>
      </c>
      <c r="BI1037" s="20">
        <f t="shared" si="1024"/>
        <v>0</v>
      </c>
      <c r="BJ1037" s="20">
        <f t="shared" si="1025"/>
        <v>0</v>
      </c>
      <c r="BK1037" s="20" t="s">
        <v>2978</v>
      </c>
      <c r="BL1037" s="36">
        <v>8</v>
      </c>
    </row>
    <row r="1038" spans="1:64" ht="25.7" customHeight="1" x14ac:dyDescent="0.2">
      <c r="A1038" s="5"/>
      <c r="B1038" s="14"/>
      <c r="C1038" s="179" t="s">
        <v>2801</v>
      </c>
      <c r="D1038" s="180"/>
      <c r="E1038" s="180"/>
      <c r="F1038" s="180"/>
      <c r="G1038" s="180"/>
      <c r="H1038" s="180"/>
      <c r="I1038" s="180"/>
      <c r="J1038" s="180"/>
      <c r="K1038" s="180"/>
      <c r="L1038" s="180"/>
      <c r="M1038" s="181"/>
      <c r="N1038" s="5"/>
    </row>
    <row r="1039" spans="1:64" x14ac:dyDescent="0.2">
      <c r="A1039" s="4" t="s">
        <v>895</v>
      </c>
      <c r="B1039" s="13" t="s">
        <v>1790</v>
      </c>
      <c r="C1039" s="174" t="s">
        <v>2802</v>
      </c>
      <c r="D1039" s="175"/>
      <c r="E1039" s="175"/>
      <c r="F1039" s="175"/>
      <c r="G1039" s="13" t="s">
        <v>2861</v>
      </c>
      <c r="H1039" s="82">
        <v>1</v>
      </c>
      <c r="I1039" s="109">
        <v>0</v>
      </c>
      <c r="J1039" s="20">
        <f t="shared" ref="J1039:J1056" si="1026">H1039*AO1039</f>
        <v>0</v>
      </c>
      <c r="K1039" s="20">
        <f t="shared" ref="K1039:K1056" si="1027">H1039*AP1039</f>
        <v>0</v>
      </c>
      <c r="L1039" s="20">
        <f t="shared" ref="L1039:L1056" si="1028">H1039*I1039</f>
        <v>0</v>
      </c>
      <c r="M1039" s="31" t="s">
        <v>2884</v>
      </c>
      <c r="N1039" s="5"/>
      <c r="Z1039" s="36">
        <f t="shared" ref="Z1039:Z1056" si="1029">IF(AQ1039="5",BJ1039,0)</f>
        <v>0</v>
      </c>
      <c r="AB1039" s="36">
        <f t="shared" ref="AB1039:AB1056" si="1030">IF(AQ1039="1",BH1039,0)</f>
        <v>0</v>
      </c>
      <c r="AC1039" s="36">
        <f t="shared" ref="AC1039:AC1056" si="1031">IF(AQ1039="1",BI1039,0)</f>
        <v>0</v>
      </c>
      <c r="AD1039" s="36">
        <f t="shared" ref="AD1039:AD1056" si="1032">IF(AQ1039="7",BH1039,0)</f>
        <v>0</v>
      </c>
      <c r="AE1039" s="36">
        <f t="shared" ref="AE1039:AE1056" si="1033">IF(AQ1039="7",BI1039,0)</f>
        <v>0</v>
      </c>
      <c r="AF1039" s="36">
        <f t="shared" ref="AF1039:AF1056" si="1034">IF(AQ1039="2",BH1039,0)</f>
        <v>0</v>
      </c>
      <c r="AG1039" s="36">
        <f t="shared" ref="AG1039:AG1056" si="1035">IF(AQ1039="2",BI1039,0)</f>
        <v>0</v>
      </c>
      <c r="AH1039" s="36">
        <f t="shared" ref="AH1039:AH1056" si="1036">IF(AQ1039="0",BJ1039,0)</f>
        <v>0</v>
      </c>
      <c r="AI1039" s="35" t="s">
        <v>2898</v>
      </c>
      <c r="AJ1039" s="20">
        <f t="shared" ref="AJ1039:AJ1056" si="1037">IF(AN1039=0,L1039,0)</f>
        <v>0</v>
      </c>
      <c r="AK1039" s="20">
        <f t="shared" ref="AK1039:AK1056" si="1038">IF(AN1039=15,L1039,0)</f>
        <v>0</v>
      </c>
      <c r="AL1039" s="20">
        <f t="shared" ref="AL1039:AL1056" si="1039">IF(AN1039=21,L1039,0)</f>
        <v>0</v>
      </c>
      <c r="AN1039" s="36">
        <v>21</v>
      </c>
      <c r="AO1039" s="36">
        <f>I1039*0.53</f>
        <v>0</v>
      </c>
      <c r="AP1039" s="36">
        <f>I1039*(1-0.53)</f>
        <v>0</v>
      </c>
      <c r="AQ1039" s="37" t="s">
        <v>7</v>
      </c>
      <c r="AV1039" s="36">
        <f t="shared" ref="AV1039:AV1056" si="1040">AW1039+AX1039</f>
        <v>0</v>
      </c>
      <c r="AW1039" s="36">
        <f t="shared" ref="AW1039:AW1056" si="1041">H1039*AO1039</f>
        <v>0</v>
      </c>
      <c r="AX1039" s="36">
        <f t="shared" ref="AX1039:AX1056" si="1042">H1039*AP1039</f>
        <v>0</v>
      </c>
      <c r="AY1039" s="39" t="s">
        <v>2944</v>
      </c>
      <c r="AZ1039" s="39" t="s">
        <v>2964</v>
      </c>
      <c r="BA1039" s="35" t="s">
        <v>2971</v>
      </c>
      <c r="BC1039" s="36">
        <f t="shared" ref="BC1039:BC1056" si="1043">AW1039+AX1039</f>
        <v>0</v>
      </c>
      <c r="BD1039" s="36">
        <f t="shared" ref="BD1039:BD1056" si="1044">I1039/(100-BE1039)*100</f>
        <v>0</v>
      </c>
      <c r="BE1039" s="36">
        <v>0</v>
      </c>
      <c r="BF1039" s="36">
        <f>1039</f>
        <v>1039</v>
      </c>
      <c r="BH1039" s="20">
        <f t="shared" ref="BH1039:BH1056" si="1045">H1039*AO1039</f>
        <v>0</v>
      </c>
      <c r="BI1039" s="20">
        <f t="shared" ref="BI1039:BI1056" si="1046">H1039*AP1039</f>
        <v>0</v>
      </c>
      <c r="BJ1039" s="20">
        <f t="shared" ref="BJ1039:BJ1056" si="1047">H1039*I1039</f>
        <v>0</v>
      </c>
      <c r="BK1039" s="20" t="s">
        <v>2978</v>
      </c>
      <c r="BL1039" s="36">
        <v>8</v>
      </c>
    </row>
    <row r="1040" spans="1:64" x14ac:dyDescent="0.2">
      <c r="A1040" s="4" t="s">
        <v>896</v>
      </c>
      <c r="B1040" s="13" t="s">
        <v>1791</v>
      </c>
      <c r="C1040" s="174" t="s">
        <v>2803</v>
      </c>
      <c r="D1040" s="175"/>
      <c r="E1040" s="175"/>
      <c r="F1040" s="175"/>
      <c r="G1040" s="13" t="s">
        <v>2860</v>
      </c>
      <c r="H1040" s="82">
        <v>1</v>
      </c>
      <c r="I1040" s="109">
        <v>0</v>
      </c>
      <c r="J1040" s="20">
        <f t="shared" si="1026"/>
        <v>0</v>
      </c>
      <c r="K1040" s="20">
        <f t="shared" si="1027"/>
        <v>0</v>
      </c>
      <c r="L1040" s="20">
        <f t="shared" si="1028"/>
        <v>0</v>
      </c>
      <c r="M1040" s="31" t="s">
        <v>2884</v>
      </c>
      <c r="N1040" s="5"/>
      <c r="Z1040" s="36">
        <f t="shared" si="1029"/>
        <v>0</v>
      </c>
      <c r="AB1040" s="36">
        <f t="shared" si="1030"/>
        <v>0</v>
      </c>
      <c r="AC1040" s="36">
        <f t="shared" si="1031"/>
        <v>0</v>
      </c>
      <c r="AD1040" s="36">
        <f t="shared" si="1032"/>
        <v>0</v>
      </c>
      <c r="AE1040" s="36">
        <f t="shared" si="1033"/>
        <v>0</v>
      </c>
      <c r="AF1040" s="36">
        <f t="shared" si="1034"/>
        <v>0</v>
      </c>
      <c r="AG1040" s="36">
        <f t="shared" si="1035"/>
        <v>0</v>
      </c>
      <c r="AH1040" s="36">
        <f t="shared" si="1036"/>
        <v>0</v>
      </c>
      <c r="AI1040" s="35" t="s">
        <v>2898</v>
      </c>
      <c r="AJ1040" s="20">
        <f t="shared" si="1037"/>
        <v>0</v>
      </c>
      <c r="AK1040" s="20">
        <f t="shared" si="1038"/>
        <v>0</v>
      </c>
      <c r="AL1040" s="20">
        <f t="shared" si="1039"/>
        <v>0</v>
      </c>
      <c r="AN1040" s="36">
        <v>21</v>
      </c>
      <c r="AO1040" s="36">
        <f>I1040*0.53</f>
        <v>0</v>
      </c>
      <c r="AP1040" s="36">
        <f>I1040*(1-0.53)</f>
        <v>0</v>
      </c>
      <c r="AQ1040" s="37" t="s">
        <v>7</v>
      </c>
      <c r="AV1040" s="36">
        <f t="shared" si="1040"/>
        <v>0</v>
      </c>
      <c r="AW1040" s="36">
        <f t="shared" si="1041"/>
        <v>0</v>
      </c>
      <c r="AX1040" s="36">
        <f t="shared" si="1042"/>
        <v>0</v>
      </c>
      <c r="AY1040" s="39" t="s">
        <v>2944</v>
      </c>
      <c r="AZ1040" s="39" t="s">
        <v>2964</v>
      </c>
      <c r="BA1040" s="35" t="s">
        <v>2971</v>
      </c>
      <c r="BC1040" s="36">
        <f t="shared" si="1043"/>
        <v>0</v>
      </c>
      <c r="BD1040" s="36">
        <f t="shared" si="1044"/>
        <v>0</v>
      </c>
      <c r="BE1040" s="36">
        <v>0</v>
      </c>
      <c r="BF1040" s="36">
        <f>1040</f>
        <v>1040</v>
      </c>
      <c r="BH1040" s="20">
        <f t="shared" si="1045"/>
        <v>0</v>
      </c>
      <c r="BI1040" s="20">
        <f t="shared" si="1046"/>
        <v>0</v>
      </c>
      <c r="BJ1040" s="20">
        <f t="shared" si="1047"/>
        <v>0</v>
      </c>
      <c r="BK1040" s="20" t="s">
        <v>2978</v>
      </c>
      <c r="BL1040" s="36">
        <v>8</v>
      </c>
    </row>
    <row r="1041" spans="1:64" x14ac:dyDescent="0.2">
      <c r="A1041" s="4" t="s">
        <v>897</v>
      </c>
      <c r="B1041" s="13" t="s">
        <v>1792</v>
      </c>
      <c r="C1041" s="174" t="s">
        <v>2804</v>
      </c>
      <c r="D1041" s="175"/>
      <c r="E1041" s="175"/>
      <c r="F1041" s="175"/>
      <c r="G1041" s="13" t="s">
        <v>2860</v>
      </c>
      <c r="H1041" s="82">
        <v>1</v>
      </c>
      <c r="I1041" s="109">
        <v>0</v>
      </c>
      <c r="J1041" s="20">
        <f t="shared" si="1026"/>
        <v>0</v>
      </c>
      <c r="K1041" s="20">
        <f t="shared" si="1027"/>
        <v>0</v>
      </c>
      <c r="L1041" s="20">
        <f t="shared" si="1028"/>
        <v>0</v>
      </c>
      <c r="M1041" s="31" t="s">
        <v>2884</v>
      </c>
      <c r="N1041" s="5"/>
      <c r="Z1041" s="36">
        <f t="shared" si="1029"/>
        <v>0</v>
      </c>
      <c r="AB1041" s="36">
        <f t="shared" si="1030"/>
        <v>0</v>
      </c>
      <c r="AC1041" s="36">
        <f t="shared" si="1031"/>
        <v>0</v>
      </c>
      <c r="AD1041" s="36">
        <f t="shared" si="1032"/>
        <v>0</v>
      </c>
      <c r="AE1041" s="36">
        <f t="shared" si="1033"/>
        <v>0</v>
      </c>
      <c r="AF1041" s="36">
        <f t="shared" si="1034"/>
        <v>0</v>
      </c>
      <c r="AG1041" s="36">
        <f t="shared" si="1035"/>
        <v>0</v>
      </c>
      <c r="AH1041" s="36">
        <f t="shared" si="1036"/>
        <v>0</v>
      </c>
      <c r="AI1041" s="35" t="s">
        <v>2898</v>
      </c>
      <c r="AJ1041" s="20">
        <f t="shared" si="1037"/>
        <v>0</v>
      </c>
      <c r="AK1041" s="20">
        <f t="shared" si="1038"/>
        <v>0</v>
      </c>
      <c r="AL1041" s="20">
        <f t="shared" si="1039"/>
        <v>0</v>
      </c>
      <c r="AN1041" s="36">
        <v>21</v>
      </c>
      <c r="AO1041" s="36">
        <f>I1041*0.53</f>
        <v>0</v>
      </c>
      <c r="AP1041" s="36">
        <f>I1041*(1-0.53)</f>
        <v>0</v>
      </c>
      <c r="AQ1041" s="37" t="s">
        <v>7</v>
      </c>
      <c r="AV1041" s="36">
        <f t="shared" si="1040"/>
        <v>0</v>
      </c>
      <c r="AW1041" s="36">
        <f t="shared" si="1041"/>
        <v>0</v>
      </c>
      <c r="AX1041" s="36">
        <f t="shared" si="1042"/>
        <v>0</v>
      </c>
      <c r="AY1041" s="39" t="s">
        <v>2944</v>
      </c>
      <c r="AZ1041" s="39" t="s">
        <v>2964</v>
      </c>
      <c r="BA1041" s="35" t="s">
        <v>2971</v>
      </c>
      <c r="BC1041" s="36">
        <f t="shared" si="1043"/>
        <v>0</v>
      </c>
      <c r="BD1041" s="36">
        <f t="shared" si="1044"/>
        <v>0</v>
      </c>
      <c r="BE1041" s="36">
        <v>0</v>
      </c>
      <c r="BF1041" s="36">
        <f>1041</f>
        <v>1041</v>
      </c>
      <c r="BH1041" s="20">
        <f t="shared" si="1045"/>
        <v>0</v>
      </c>
      <c r="BI1041" s="20">
        <f t="shared" si="1046"/>
        <v>0</v>
      </c>
      <c r="BJ1041" s="20">
        <f t="shared" si="1047"/>
        <v>0</v>
      </c>
      <c r="BK1041" s="20" t="s">
        <v>2978</v>
      </c>
      <c r="BL1041" s="36">
        <v>8</v>
      </c>
    </row>
    <row r="1042" spans="1:64" x14ac:dyDescent="0.2">
      <c r="A1042" s="4" t="s">
        <v>898</v>
      </c>
      <c r="B1042" s="13" t="s">
        <v>1793</v>
      </c>
      <c r="C1042" s="174" t="s">
        <v>2805</v>
      </c>
      <c r="D1042" s="175"/>
      <c r="E1042" s="175"/>
      <c r="F1042" s="175"/>
      <c r="G1042" s="13" t="s">
        <v>2861</v>
      </c>
      <c r="H1042" s="82">
        <v>1</v>
      </c>
      <c r="I1042" s="109">
        <v>0</v>
      </c>
      <c r="J1042" s="20">
        <f t="shared" si="1026"/>
        <v>0</v>
      </c>
      <c r="K1042" s="20">
        <f t="shared" si="1027"/>
        <v>0</v>
      </c>
      <c r="L1042" s="20">
        <f t="shared" si="1028"/>
        <v>0</v>
      </c>
      <c r="M1042" s="31" t="s">
        <v>2884</v>
      </c>
      <c r="N1042" s="5"/>
      <c r="Z1042" s="36">
        <f t="shared" si="1029"/>
        <v>0</v>
      </c>
      <c r="AB1042" s="36">
        <f t="shared" si="1030"/>
        <v>0</v>
      </c>
      <c r="AC1042" s="36">
        <f t="shared" si="1031"/>
        <v>0</v>
      </c>
      <c r="AD1042" s="36">
        <f t="shared" si="1032"/>
        <v>0</v>
      </c>
      <c r="AE1042" s="36">
        <f t="shared" si="1033"/>
        <v>0</v>
      </c>
      <c r="AF1042" s="36">
        <f t="shared" si="1034"/>
        <v>0</v>
      </c>
      <c r="AG1042" s="36">
        <f t="shared" si="1035"/>
        <v>0</v>
      </c>
      <c r="AH1042" s="36">
        <f t="shared" si="1036"/>
        <v>0</v>
      </c>
      <c r="AI1042" s="35" t="s">
        <v>2898</v>
      </c>
      <c r="AJ1042" s="20">
        <f t="shared" si="1037"/>
        <v>0</v>
      </c>
      <c r="AK1042" s="20">
        <f t="shared" si="1038"/>
        <v>0</v>
      </c>
      <c r="AL1042" s="20">
        <f t="shared" si="1039"/>
        <v>0</v>
      </c>
      <c r="AN1042" s="36">
        <v>21</v>
      </c>
      <c r="AO1042" s="36">
        <f t="shared" ref="AO1042:AO1056" si="1048">I1042*0</f>
        <v>0</v>
      </c>
      <c r="AP1042" s="36">
        <f t="shared" ref="AP1042:AP1056" si="1049">I1042*(1-0)</f>
        <v>0</v>
      </c>
      <c r="AQ1042" s="37" t="s">
        <v>7</v>
      </c>
      <c r="AV1042" s="36">
        <f t="shared" si="1040"/>
        <v>0</v>
      </c>
      <c r="AW1042" s="36">
        <f t="shared" si="1041"/>
        <v>0</v>
      </c>
      <c r="AX1042" s="36">
        <f t="shared" si="1042"/>
        <v>0</v>
      </c>
      <c r="AY1042" s="39" t="s">
        <v>2944</v>
      </c>
      <c r="AZ1042" s="39" t="s">
        <v>2964</v>
      </c>
      <c r="BA1042" s="35" t="s">
        <v>2971</v>
      </c>
      <c r="BC1042" s="36">
        <f t="shared" si="1043"/>
        <v>0</v>
      </c>
      <c r="BD1042" s="36">
        <f t="shared" si="1044"/>
        <v>0</v>
      </c>
      <c r="BE1042" s="36">
        <v>0</v>
      </c>
      <c r="BF1042" s="36">
        <f>1042</f>
        <v>1042</v>
      </c>
      <c r="BH1042" s="20">
        <f t="shared" si="1045"/>
        <v>0</v>
      </c>
      <c r="BI1042" s="20">
        <f t="shared" si="1046"/>
        <v>0</v>
      </c>
      <c r="BJ1042" s="20">
        <f t="shared" si="1047"/>
        <v>0</v>
      </c>
      <c r="BK1042" s="20" t="s">
        <v>2978</v>
      </c>
      <c r="BL1042" s="36">
        <v>8</v>
      </c>
    </row>
    <row r="1043" spans="1:64" x14ac:dyDescent="0.2">
      <c r="A1043" s="4" t="s">
        <v>899</v>
      </c>
      <c r="B1043" s="13" t="s">
        <v>1794</v>
      </c>
      <c r="C1043" s="174" t="s">
        <v>2114</v>
      </c>
      <c r="D1043" s="175"/>
      <c r="E1043" s="175"/>
      <c r="F1043" s="175"/>
      <c r="G1043" s="13" t="s">
        <v>2862</v>
      </c>
      <c r="H1043" s="82">
        <v>30</v>
      </c>
      <c r="I1043" s="109">
        <v>0</v>
      </c>
      <c r="J1043" s="20">
        <f t="shared" si="1026"/>
        <v>0</v>
      </c>
      <c r="K1043" s="20">
        <f t="shared" si="1027"/>
        <v>0</v>
      </c>
      <c r="L1043" s="20">
        <f t="shared" si="1028"/>
        <v>0</v>
      </c>
      <c r="M1043" s="31" t="s">
        <v>2884</v>
      </c>
      <c r="N1043" s="5"/>
      <c r="Z1043" s="36">
        <f t="shared" si="1029"/>
        <v>0</v>
      </c>
      <c r="AB1043" s="36">
        <f t="shared" si="1030"/>
        <v>0</v>
      </c>
      <c r="AC1043" s="36">
        <f t="shared" si="1031"/>
        <v>0</v>
      </c>
      <c r="AD1043" s="36">
        <f t="shared" si="1032"/>
        <v>0</v>
      </c>
      <c r="AE1043" s="36">
        <f t="shared" si="1033"/>
        <v>0</v>
      </c>
      <c r="AF1043" s="36">
        <f t="shared" si="1034"/>
        <v>0</v>
      </c>
      <c r="AG1043" s="36">
        <f t="shared" si="1035"/>
        <v>0</v>
      </c>
      <c r="AH1043" s="36">
        <f t="shared" si="1036"/>
        <v>0</v>
      </c>
      <c r="AI1043" s="35" t="s">
        <v>2898</v>
      </c>
      <c r="AJ1043" s="20">
        <f t="shared" si="1037"/>
        <v>0</v>
      </c>
      <c r="AK1043" s="20">
        <f t="shared" si="1038"/>
        <v>0</v>
      </c>
      <c r="AL1043" s="20">
        <f t="shared" si="1039"/>
        <v>0</v>
      </c>
      <c r="AN1043" s="36">
        <v>21</v>
      </c>
      <c r="AO1043" s="36">
        <f t="shared" si="1048"/>
        <v>0</v>
      </c>
      <c r="AP1043" s="36">
        <f t="shared" si="1049"/>
        <v>0</v>
      </c>
      <c r="AQ1043" s="37" t="s">
        <v>7</v>
      </c>
      <c r="AV1043" s="36">
        <f t="shared" si="1040"/>
        <v>0</v>
      </c>
      <c r="AW1043" s="36">
        <f t="shared" si="1041"/>
        <v>0</v>
      </c>
      <c r="AX1043" s="36">
        <f t="shared" si="1042"/>
        <v>0</v>
      </c>
      <c r="AY1043" s="39" t="s">
        <v>2944</v>
      </c>
      <c r="AZ1043" s="39" t="s">
        <v>2964</v>
      </c>
      <c r="BA1043" s="35" t="s">
        <v>2971</v>
      </c>
      <c r="BC1043" s="36">
        <f t="shared" si="1043"/>
        <v>0</v>
      </c>
      <c r="BD1043" s="36">
        <f t="shared" si="1044"/>
        <v>0</v>
      </c>
      <c r="BE1043" s="36">
        <v>0</v>
      </c>
      <c r="BF1043" s="36">
        <f>1043</f>
        <v>1043</v>
      </c>
      <c r="BH1043" s="20">
        <f t="shared" si="1045"/>
        <v>0</v>
      </c>
      <c r="BI1043" s="20">
        <f t="shared" si="1046"/>
        <v>0</v>
      </c>
      <c r="BJ1043" s="20">
        <f t="shared" si="1047"/>
        <v>0</v>
      </c>
      <c r="BK1043" s="20" t="s">
        <v>2978</v>
      </c>
      <c r="BL1043" s="36">
        <v>8</v>
      </c>
    </row>
    <row r="1044" spans="1:64" x14ac:dyDescent="0.2">
      <c r="A1044" s="4" t="s">
        <v>900</v>
      </c>
      <c r="B1044" s="13" t="s">
        <v>1795</v>
      </c>
      <c r="C1044" s="174" t="s">
        <v>2806</v>
      </c>
      <c r="D1044" s="175"/>
      <c r="E1044" s="175"/>
      <c r="F1044" s="175"/>
      <c r="G1044" s="13" t="s">
        <v>2855</v>
      </c>
      <c r="H1044" s="82">
        <v>80</v>
      </c>
      <c r="I1044" s="109">
        <v>0</v>
      </c>
      <c r="J1044" s="20">
        <f t="shared" si="1026"/>
        <v>0</v>
      </c>
      <c r="K1044" s="20">
        <f t="shared" si="1027"/>
        <v>0</v>
      </c>
      <c r="L1044" s="20">
        <f t="shared" si="1028"/>
        <v>0</v>
      </c>
      <c r="M1044" s="31" t="s">
        <v>2884</v>
      </c>
      <c r="N1044" s="5"/>
      <c r="Z1044" s="36">
        <f t="shared" si="1029"/>
        <v>0</v>
      </c>
      <c r="AB1044" s="36">
        <f t="shared" si="1030"/>
        <v>0</v>
      </c>
      <c r="AC1044" s="36">
        <f t="shared" si="1031"/>
        <v>0</v>
      </c>
      <c r="AD1044" s="36">
        <f t="shared" si="1032"/>
        <v>0</v>
      </c>
      <c r="AE1044" s="36">
        <f t="shared" si="1033"/>
        <v>0</v>
      </c>
      <c r="AF1044" s="36">
        <f t="shared" si="1034"/>
        <v>0</v>
      </c>
      <c r="AG1044" s="36">
        <f t="shared" si="1035"/>
        <v>0</v>
      </c>
      <c r="AH1044" s="36">
        <f t="shared" si="1036"/>
        <v>0</v>
      </c>
      <c r="AI1044" s="35" t="s">
        <v>2898</v>
      </c>
      <c r="AJ1044" s="20">
        <f t="shared" si="1037"/>
        <v>0</v>
      </c>
      <c r="AK1044" s="20">
        <f t="shared" si="1038"/>
        <v>0</v>
      </c>
      <c r="AL1044" s="20">
        <f t="shared" si="1039"/>
        <v>0</v>
      </c>
      <c r="AN1044" s="36">
        <v>21</v>
      </c>
      <c r="AO1044" s="36">
        <f t="shared" si="1048"/>
        <v>0</v>
      </c>
      <c r="AP1044" s="36">
        <f t="shared" si="1049"/>
        <v>0</v>
      </c>
      <c r="AQ1044" s="37" t="s">
        <v>7</v>
      </c>
      <c r="AV1044" s="36">
        <f t="shared" si="1040"/>
        <v>0</v>
      </c>
      <c r="AW1044" s="36">
        <f t="shared" si="1041"/>
        <v>0</v>
      </c>
      <c r="AX1044" s="36">
        <f t="shared" si="1042"/>
        <v>0</v>
      </c>
      <c r="AY1044" s="39" t="s">
        <v>2944</v>
      </c>
      <c r="AZ1044" s="39" t="s">
        <v>2964</v>
      </c>
      <c r="BA1044" s="35" t="s">
        <v>2971</v>
      </c>
      <c r="BC1044" s="36">
        <f t="shared" si="1043"/>
        <v>0</v>
      </c>
      <c r="BD1044" s="36">
        <f t="shared" si="1044"/>
        <v>0</v>
      </c>
      <c r="BE1044" s="36">
        <v>0</v>
      </c>
      <c r="BF1044" s="36">
        <f>1044</f>
        <v>1044</v>
      </c>
      <c r="BH1044" s="20">
        <f t="shared" si="1045"/>
        <v>0</v>
      </c>
      <c r="BI1044" s="20">
        <f t="shared" si="1046"/>
        <v>0</v>
      </c>
      <c r="BJ1044" s="20">
        <f t="shared" si="1047"/>
        <v>0</v>
      </c>
      <c r="BK1044" s="20" t="s">
        <v>2978</v>
      </c>
      <c r="BL1044" s="36">
        <v>8</v>
      </c>
    </row>
    <row r="1045" spans="1:64" x14ac:dyDescent="0.2">
      <c r="A1045" s="4" t="s">
        <v>901</v>
      </c>
      <c r="B1045" s="13" t="s">
        <v>1796</v>
      </c>
      <c r="C1045" s="174" t="s">
        <v>2807</v>
      </c>
      <c r="D1045" s="175"/>
      <c r="E1045" s="175"/>
      <c r="F1045" s="175"/>
      <c r="G1045" s="13" t="s">
        <v>2855</v>
      </c>
      <c r="H1045" s="82">
        <v>80</v>
      </c>
      <c r="I1045" s="109">
        <v>0</v>
      </c>
      <c r="J1045" s="20">
        <f t="shared" si="1026"/>
        <v>0</v>
      </c>
      <c r="K1045" s="20">
        <f t="shared" si="1027"/>
        <v>0</v>
      </c>
      <c r="L1045" s="20">
        <f t="shared" si="1028"/>
        <v>0</v>
      </c>
      <c r="M1045" s="31" t="s">
        <v>2884</v>
      </c>
      <c r="N1045" s="5"/>
      <c r="Z1045" s="36">
        <f t="shared" si="1029"/>
        <v>0</v>
      </c>
      <c r="AB1045" s="36">
        <f t="shared" si="1030"/>
        <v>0</v>
      </c>
      <c r="AC1045" s="36">
        <f t="shared" si="1031"/>
        <v>0</v>
      </c>
      <c r="AD1045" s="36">
        <f t="shared" si="1032"/>
        <v>0</v>
      </c>
      <c r="AE1045" s="36">
        <f t="shared" si="1033"/>
        <v>0</v>
      </c>
      <c r="AF1045" s="36">
        <f t="shared" si="1034"/>
        <v>0</v>
      </c>
      <c r="AG1045" s="36">
        <f t="shared" si="1035"/>
        <v>0</v>
      </c>
      <c r="AH1045" s="36">
        <f t="shared" si="1036"/>
        <v>0</v>
      </c>
      <c r="AI1045" s="35" t="s">
        <v>2898</v>
      </c>
      <c r="AJ1045" s="20">
        <f t="shared" si="1037"/>
        <v>0</v>
      </c>
      <c r="AK1045" s="20">
        <f t="shared" si="1038"/>
        <v>0</v>
      </c>
      <c r="AL1045" s="20">
        <f t="shared" si="1039"/>
        <v>0</v>
      </c>
      <c r="AN1045" s="36">
        <v>21</v>
      </c>
      <c r="AO1045" s="36">
        <f t="shared" si="1048"/>
        <v>0</v>
      </c>
      <c r="AP1045" s="36">
        <f t="shared" si="1049"/>
        <v>0</v>
      </c>
      <c r="AQ1045" s="37" t="s">
        <v>7</v>
      </c>
      <c r="AV1045" s="36">
        <f t="shared" si="1040"/>
        <v>0</v>
      </c>
      <c r="AW1045" s="36">
        <f t="shared" si="1041"/>
        <v>0</v>
      </c>
      <c r="AX1045" s="36">
        <f t="shared" si="1042"/>
        <v>0</v>
      </c>
      <c r="AY1045" s="39" t="s">
        <v>2944</v>
      </c>
      <c r="AZ1045" s="39" t="s">
        <v>2964</v>
      </c>
      <c r="BA1045" s="35" t="s">
        <v>2971</v>
      </c>
      <c r="BC1045" s="36">
        <f t="shared" si="1043"/>
        <v>0</v>
      </c>
      <c r="BD1045" s="36">
        <f t="shared" si="1044"/>
        <v>0</v>
      </c>
      <c r="BE1045" s="36">
        <v>0</v>
      </c>
      <c r="BF1045" s="36">
        <f>1045</f>
        <v>1045</v>
      </c>
      <c r="BH1045" s="20">
        <f t="shared" si="1045"/>
        <v>0</v>
      </c>
      <c r="BI1045" s="20">
        <f t="shared" si="1046"/>
        <v>0</v>
      </c>
      <c r="BJ1045" s="20">
        <f t="shared" si="1047"/>
        <v>0</v>
      </c>
      <c r="BK1045" s="20" t="s">
        <v>2978</v>
      </c>
      <c r="BL1045" s="36">
        <v>8</v>
      </c>
    </row>
    <row r="1046" spans="1:64" x14ac:dyDescent="0.2">
      <c r="A1046" s="4" t="s">
        <v>902</v>
      </c>
      <c r="B1046" s="13" t="s">
        <v>1797</v>
      </c>
      <c r="C1046" s="174" t="s">
        <v>2808</v>
      </c>
      <c r="D1046" s="175"/>
      <c r="E1046" s="175"/>
      <c r="F1046" s="175"/>
      <c r="G1046" s="13" t="s">
        <v>2855</v>
      </c>
      <c r="H1046" s="82">
        <v>80</v>
      </c>
      <c r="I1046" s="109">
        <v>0</v>
      </c>
      <c r="J1046" s="20">
        <f t="shared" si="1026"/>
        <v>0</v>
      </c>
      <c r="K1046" s="20">
        <f t="shared" si="1027"/>
        <v>0</v>
      </c>
      <c r="L1046" s="20">
        <f t="shared" si="1028"/>
        <v>0</v>
      </c>
      <c r="M1046" s="31" t="s">
        <v>2884</v>
      </c>
      <c r="N1046" s="5"/>
      <c r="Z1046" s="36">
        <f t="shared" si="1029"/>
        <v>0</v>
      </c>
      <c r="AB1046" s="36">
        <f t="shared" si="1030"/>
        <v>0</v>
      </c>
      <c r="AC1046" s="36">
        <f t="shared" si="1031"/>
        <v>0</v>
      </c>
      <c r="AD1046" s="36">
        <f t="shared" si="1032"/>
        <v>0</v>
      </c>
      <c r="AE1046" s="36">
        <f t="shared" si="1033"/>
        <v>0</v>
      </c>
      <c r="AF1046" s="36">
        <f t="shared" si="1034"/>
        <v>0</v>
      </c>
      <c r="AG1046" s="36">
        <f t="shared" si="1035"/>
        <v>0</v>
      </c>
      <c r="AH1046" s="36">
        <f t="shared" si="1036"/>
        <v>0</v>
      </c>
      <c r="AI1046" s="35" t="s">
        <v>2898</v>
      </c>
      <c r="AJ1046" s="20">
        <f t="shared" si="1037"/>
        <v>0</v>
      </c>
      <c r="AK1046" s="20">
        <f t="shared" si="1038"/>
        <v>0</v>
      </c>
      <c r="AL1046" s="20">
        <f t="shared" si="1039"/>
        <v>0</v>
      </c>
      <c r="AN1046" s="36">
        <v>21</v>
      </c>
      <c r="AO1046" s="36">
        <f t="shared" si="1048"/>
        <v>0</v>
      </c>
      <c r="AP1046" s="36">
        <f t="shared" si="1049"/>
        <v>0</v>
      </c>
      <c r="AQ1046" s="37" t="s">
        <v>7</v>
      </c>
      <c r="AV1046" s="36">
        <f t="shared" si="1040"/>
        <v>0</v>
      </c>
      <c r="AW1046" s="36">
        <f t="shared" si="1041"/>
        <v>0</v>
      </c>
      <c r="AX1046" s="36">
        <f t="shared" si="1042"/>
        <v>0</v>
      </c>
      <c r="AY1046" s="39" t="s">
        <v>2944</v>
      </c>
      <c r="AZ1046" s="39" t="s">
        <v>2964</v>
      </c>
      <c r="BA1046" s="35" t="s">
        <v>2971</v>
      </c>
      <c r="BC1046" s="36">
        <f t="shared" si="1043"/>
        <v>0</v>
      </c>
      <c r="BD1046" s="36">
        <f t="shared" si="1044"/>
        <v>0</v>
      </c>
      <c r="BE1046" s="36">
        <v>0</v>
      </c>
      <c r="BF1046" s="36">
        <f>1046</f>
        <v>1046</v>
      </c>
      <c r="BH1046" s="20">
        <f t="shared" si="1045"/>
        <v>0</v>
      </c>
      <c r="BI1046" s="20">
        <f t="shared" si="1046"/>
        <v>0</v>
      </c>
      <c r="BJ1046" s="20">
        <f t="shared" si="1047"/>
        <v>0</v>
      </c>
      <c r="BK1046" s="20" t="s">
        <v>2978</v>
      </c>
      <c r="BL1046" s="36">
        <v>8</v>
      </c>
    </row>
    <row r="1047" spans="1:64" x14ac:dyDescent="0.2">
      <c r="A1047" s="4" t="s">
        <v>903</v>
      </c>
      <c r="B1047" s="13" t="s">
        <v>1798</v>
      </c>
      <c r="C1047" s="174" t="s">
        <v>2809</v>
      </c>
      <c r="D1047" s="175"/>
      <c r="E1047" s="175"/>
      <c r="F1047" s="175"/>
      <c r="G1047" s="13" t="s">
        <v>2855</v>
      </c>
      <c r="H1047" s="82">
        <v>16</v>
      </c>
      <c r="I1047" s="109">
        <v>0</v>
      </c>
      <c r="J1047" s="20">
        <f t="shared" si="1026"/>
        <v>0</v>
      </c>
      <c r="K1047" s="20">
        <f t="shared" si="1027"/>
        <v>0</v>
      </c>
      <c r="L1047" s="20">
        <f t="shared" si="1028"/>
        <v>0</v>
      </c>
      <c r="M1047" s="31" t="s">
        <v>2884</v>
      </c>
      <c r="N1047" s="5"/>
      <c r="Z1047" s="36">
        <f t="shared" si="1029"/>
        <v>0</v>
      </c>
      <c r="AB1047" s="36">
        <f t="shared" si="1030"/>
        <v>0</v>
      </c>
      <c r="AC1047" s="36">
        <f t="shared" si="1031"/>
        <v>0</v>
      </c>
      <c r="AD1047" s="36">
        <f t="shared" si="1032"/>
        <v>0</v>
      </c>
      <c r="AE1047" s="36">
        <f t="shared" si="1033"/>
        <v>0</v>
      </c>
      <c r="AF1047" s="36">
        <f t="shared" si="1034"/>
        <v>0</v>
      </c>
      <c r="AG1047" s="36">
        <f t="shared" si="1035"/>
        <v>0</v>
      </c>
      <c r="AH1047" s="36">
        <f t="shared" si="1036"/>
        <v>0</v>
      </c>
      <c r="AI1047" s="35" t="s">
        <v>2898</v>
      </c>
      <c r="AJ1047" s="20">
        <f t="shared" si="1037"/>
        <v>0</v>
      </c>
      <c r="AK1047" s="20">
        <f t="shared" si="1038"/>
        <v>0</v>
      </c>
      <c r="AL1047" s="20">
        <f t="shared" si="1039"/>
        <v>0</v>
      </c>
      <c r="AN1047" s="36">
        <v>21</v>
      </c>
      <c r="AO1047" s="36">
        <f t="shared" si="1048"/>
        <v>0</v>
      </c>
      <c r="AP1047" s="36">
        <f t="shared" si="1049"/>
        <v>0</v>
      </c>
      <c r="AQ1047" s="37" t="s">
        <v>7</v>
      </c>
      <c r="AV1047" s="36">
        <f t="shared" si="1040"/>
        <v>0</v>
      </c>
      <c r="AW1047" s="36">
        <f t="shared" si="1041"/>
        <v>0</v>
      </c>
      <c r="AX1047" s="36">
        <f t="shared" si="1042"/>
        <v>0</v>
      </c>
      <c r="AY1047" s="39" t="s">
        <v>2944</v>
      </c>
      <c r="AZ1047" s="39" t="s">
        <v>2964</v>
      </c>
      <c r="BA1047" s="35" t="s">
        <v>2971</v>
      </c>
      <c r="BC1047" s="36">
        <f t="shared" si="1043"/>
        <v>0</v>
      </c>
      <c r="BD1047" s="36">
        <f t="shared" si="1044"/>
        <v>0</v>
      </c>
      <c r="BE1047" s="36">
        <v>0</v>
      </c>
      <c r="BF1047" s="36">
        <f>1047</f>
        <v>1047</v>
      </c>
      <c r="BH1047" s="20">
        <f t="shared" si="1045"/>
        <v>0</v>
      </c>
      <c r="BI1047" s="20">
        <f t="shared" si="1046"/>
        <v>0</v>
      </c>
      <c r="BJ1047" s="20">
        <f t="shared" si="1047"/>
        <v>0</v>
      </c>
      <c r="BK1047" s="20" t="s">
        <v>2978</v>
      </c>
      <c r="BL1047" s="36">
        <v>8</v>
      </c>
    </row>
    <row r="1048" spans="1:64" x14ac:dyDescent="0.2">
      <c r="A1048" s="4" t="s">
        <v>904</v>
      </c>
      <c r="B1048" s="13" t="s">
        <v>1799</v>
      </c>
      <c r="C1048" s="174" t="s">
        <v>2227</v>
      </c>
      <c r="D1048" s="175"/>
      <c r="E1048" s="175"/>
      <c r="F1048" s="175"/>
      <c r="G1048" s="13" t="s">
        <v>2855</v>
      </c>
      <c r="H1048" s="82">
        <v>16</v>
      </c>
      <c r="I1048" s="109">
        <v>0</v>
      </c>
      <c r="J1048" s="20">
        <f t="shared" si="1026"/>
        <v>0</v>
      </c>
      <c r="K1048" s="20">
        <f t="shared" si="1027"/>
        <v>0</v>
      </c>
      <c r="L1048" s="20">
        <f t="shared" si="1028"/>
        <v>0</v>
      </c>
      <c r="M1048" s="31" t="s">
        <v>2884</v>
      </c>
      <c r="N1048" s="5"/>
      <c r="Z1048" s="36">
        <f t="shared" si="1029"/>
        <v>0</v>
      </c>
      <c r="AB1048" s="36">
        <f t="shared" si="1030"/>
        <v>0</v>
      </c>
      <c r="AC1048" s="36">
        <f t="shared" si="1031"/>
        <v>0</v>
      </c>
      <c r="AD1048" s="36">
        <f t="shared" si="1032"/>
        <v>0</v>
      </c>
      <c r="AE1048" s="36">
        <f t="shared" si="1033"/>
        <v>0</v>
      </c>
      <c r="AF1048" s="36">
        <f t="shared" si="1034"/>
        <v>0</v>
      </c>
      <c r="AG1048" s="36">
        <f t="shared" si="1035"/>
        <v>0</v>
      </c>
      <c r="AH1048" s="36">
        <f t="shared" si="1036"/>
        <v>0</v>
      </c>
      <c r="AI1048" s="35" t="s">
        <v>2898</v>
      </c>
      <c r="AJ1048" s="20">
        <f t="shared" si="1037"/>
        <v>0</v>
      </c>
      <c r="AK1048" s="20">
        <f t="shared" si="1038"/>
        <v>0</v>
      </c>
      <c r="AL1048" s="20">
        <f t="shared" si="1039"/>
        <v>0</v>
      </c>
      <c r="AN1048" s="36">
        <v>21</v>
      </c>
      <c r="AO1048" s="36">
        <f t="shared" si="1048"/>
        <v>0</v>
      </c>
      <c r="AP1048" s="36">
        <f t="shared" si="1049"/>
        <v>0</v>
      </c>
      <c r="AQ1048" s="37" t="s">
        <v>7</v>
      </c>
      <c r="AV1048" s="36">
        <f t="shared" si="1040"/>
        <v>0</v>
      </c>
      <c r="AW1048" s="36">
        <f t="shared" si="1041"/>
        <v>0</v>
      </c>
      <c r="AX1048" s="36">
        <f t="shared" si="1042"/>
        <v>0</v>
      </c>
      <c r="AY1048" s="39" t="s">
        <v>2944</v>
      </c>
      <c r="AZ1048" s="39" t="s">
        <v>2964</v>
      </c>
      <c r="BA1048" s="35" t="s">
        <v>2971</v>
      </c>
      <c r="BC1048" s="36">
        <f t="shared" si="1043"/>
        <v>0</v>
      </c>
      <c r="BD1048" s="36">
        <f t="shared" si="1044"/>
        <v>0</v>
      </c>
      <c r="BE1048" s="36">
        <v>0</v>
      </c>
      <c r="BF1048" s="36">
        <f>1048</f>
        <v>1048</v>
      </c>
      <c r="BH1048" s="20">
        <f t="shared" si="1045"/>
        <v>0</v>
      </c>
      <c r="BI1048" s="20">
        <f t="shared" si="1046"/>
        <v>0</v>
      </c>
      <c r="BJ1048" s="20">
        <f t="shared" si="1047"/>
        <v>0</v>
      </c>
      <c r="BK1048" s="20" t="s">
        <v>2978</v>
      </c>
      <c r="BL1048" s="36">
        <v>8</v>
      </c>
    </row>
    <row r="1049" spans="1:64" x14ac:dyDescent="0.2">
      <c r="A1049" s="4" t="s">
        <v>905</v>
      </c>
      <c r="B1049" s="13" t="s">
        <v>1800</v>
      </c>
      <c r="C1049" s="174" t="s">
        <v>2810</v>
      </c>
      <c r="D1049" s="175"/>
      <c r="E1049" s="175"/>
      <c r="F1049" s="175"/>
      <c r="G1049" s="13" t="s">
        <v>2855</v>
      </c>
      <c r="H1049" s="82">
        <v>16</v>
      </c>
      <c r="I1049" s="109">
        <v>0</v>
      </c>
      <c r="J1049" s="20">
        <f t="shared" si="1026"/>
        <v>0</v>
      </c>
      <c r="K1049" s="20">
        <f t="shared" si="1027"/>
        <v>0</v>
      </c>
      <c r="L1049" s="20">
        <f t="shared" si="1028"/>
        <v>0</v>
      </c>
      <c r="M1049" s="31" t="s">
        <v>2884</v>
      </c>
      <c r="N1049" s="5"/>
      <c r="Z1049" s="36">
        <f t="shared" si="1029"/>
        <v>0</v>
      </c>
      <c r="AB1049" s="36">
        <f t="shared" si="1030"/>
        <v>0</v>
      </c>
      <c r="AC1049" s="36">
        <f t="shared" si="1031"/>
        <v>0</v>
      </c>
      <c r="AD1049" s="36">
        <f t="shared" si="1032"/>
        <v>0</v>
      </c>
      <c r="AE1049" s="36">
        <f t="shared" si="1033"/>
        <v>0</v>
      </c>
      <c r="AF1049" s="36">
        <f t="shared" si="1034"/>
        <v>0</v>
      </c>
      <c r="AG1049" s="36">
        <f t="shared" si="1035"/>
        <v>0</v>
      </c>
      <c r="AH1049" s="36">
        <f t="shared" si="1036"/>
        <v>0</v>
      </c>
      <c r="AI1049" s="35" t="s">
        <v>2898</v>
      </c>
      <c r="AJ1049" s="20">
        <f t="shared" si="1037"/>
        <v>0</v>
      </c>
      <c r="AK1049" s="20">
        <f t="shared" si="1038"/>
        <v>0</v>
      </c>
      <c r="AL1049" s="20">
        <f t="shared" si="1039"/>
        <v>0</v>
      </c>
      <c r="AN1049" s="36">
        <v>21</v>
      </c>
      <c r="AO1049" s="36">
        <f t="shared" si="1048"/>
        <v>0</v>
      </c>
      <c r="AP1049" s="36">
        <f t="shared" si="1049"/>
        <v>0</v>
      </c>
      <c r="AQ1049" s="37" t="s">
        <v>7</v>
      </c>
      <c r="AV1049" s="36">
        <f t="shared" si="1040"/>
        <v>0</v>
      </c>
      <c r="AW1049" s="36">
        <f t="shared" si="1041"/>
        <v>0</v>
      </c>
      <c r="AX1049" s="36">
        <f t="shared" si="1042"/>
        <v>0</v>
      </c>
      <c r="AY1049" s="39" t="s">
        <v>2944</v>
      </c>
      <c r="AZ1049" s="39" t="s">
        <v>2964</v>
      </c>
      <c r="BA1049" s="35" t="s">
        <v>2971</v>
      </c>
      <c r="BC1049" s="36">
        <f t="shared" si="1043"/>
        <v>0</v>
      </c>
      <c r="BD1049" s="36">
        <f t="shared" si="1044"/>
        <v>0</v>
      </c>
      <c r="BE1049" s="36">
        <v>0</v>
      </c>
      <c r="BF1049" s="36">
        <f>1049</f>
        <v>1049</v>
      </c>
      <c r="BH1049" s="20">
        <f t="shared" si="1045"/>
        <v>0</v>
      </c>
      <c r="BI1049" s="20">
        <f t="shared" si="1046"/>
        <v>0</v>
      </c>
      <c r="BJ1049" s="20">
        <f t="shared" si="1047"/>
        <v>0</v>
      </c>
      <c r="BK1049" s="20" t="s">
        <v>2978</v>
      </c>
      <c r="BL1049" s="36">
        <v>8</v>
      </c>
    </row>
    <row r="1050" spans="1:64" x14ac:dyDescent="0.2">
      <c r="A1050" s="4" t="s">
        <v>906</v>
      </c>
      <c r="B1050" s="13" t="s">
        <v>1801</v>
      </c>
      <c r="C1050" s="174" t="s">
        <v>2760</v>
      </c>
      <c r="D1050" s="175"/>
      <c r="E1050" s="175"/>
      <c r="F1050" s="175"/>
      <c r="G1050" s="13" t="s">
        <v>2860</v>
      </c>
      <c r="H1050" s="82">
        <v>4</v>
      </c>
      <c r="I1050" s="109">
        <v>0</v>
      </c>
      <c r="J1050" s="20">
        <f t="shared" si="1026"/>
        <v>0</v>
      </c>
      <c r="K1050" s="20">
        <f t="shared" si="1027"/>
        <v>0</v>
      </c>
      <c r="L1050" s="20">
        <f t="shared" si="1028"/>
        <v>0</v>
      </c>
      <c r="M1050" s="31" t="s">
        <v>2884</v>
      </c>
      <c r="N1050" s="5"/>
      <c r="Z1050" s="36">
        <f t="shared" si="1029"/>
        <v>0</v>
      </c>
      <c r="AB1050" s="36">
        <f t="shared" si="1030"/>
        <v>0</v>
      </c>
      <c r="AC1050" s="36">
        <f t="shared" si="1031"/>
        <v>0</v>
      </c>
      <c r="AD1050" s="36">
        <f t="shared" si="1032"/>
        <v>0</v>
      </c>
      <c r="AE1050" s="36">
        <f t="shared" si="1033"/>
        <v>0</v>
      </c>
      <c r="AF1050" s="36">
        <f t="shared" si="1034"/>
        <v>0</v>
      </c>
      <c r="AG1050" s="36">
        <f t="shared" si="1035"/>
        <v>0</v>
      </c>
      <c r="AH1050" s="36">
        <f t="shared" si="1036"/>
        <v>0</v>
      </c>
      <c r="AI1050" s="35" t="s">
        <v>2898</v>
      </c>
      <c r="AJ1050" s="20">
        <f t="shared" si="1037"/>
        <v>0</v>
      </c>
      <c r="AK1050" s="20">
        <f t="shared" si="1038"/>
        <v>0</v>
      </c>
      <c r="AL1050" s="20">
        <f t="shared" si="1039"/>
        <v>0</v>
      </c>
      <c r="AN1050" s="36">
        <v>21</v>
      </c>
      <c r="AO1050" s="36">
        <f t="shared" si="1048"/>
        <v>0</v>
      </c>
      <c r="AP1050" s="36">
        <f t="shared" si="1049"/>
        <v>0</v>
      </c>
      <c r="AQ1050" s="37" t="s">
        <v>7</v>
      </c>
      <c r="AV1050" s="36">
        <f t="shared" si="1040"/>
        <v>0</v>
      </c>
      <c r="AW1050" s="36">
        <f t="shared" si="1041"/>
        <v>0</v>
      </c>
      <c r="AX1050" s="36">
        <f t="shared" si="1042"/>
        <v>0</v>
      </c>
      <c r="AY1050" s="39" t="s">
        <v>2944</v>
      </c>
      <c r="AZ1050" s="39" t="s">
        <v>2964</v>
      </c>
      <c r="BA1050" s="35" t="s">
        <v>2971</v>
      </c>
      <c r="BC1050" s="36">
        <f t="shared" si="1043"/>
        <v>0</v>
      </c>
      <c r="BD1050" s="36">
        <f t="shared" si="1044"/>
        <v>0</v>
      </c>
      <c r="BE1050" s="36">
        <v>0</v>
      </c>
      <c r="BF1050" s="36">
        <f>1050</f>
        <v>1050</v>
      </c>
      <c r="BH1050" s="20">
        <f t="shared" si="1045"/>
        <v>0</v>
      </c>
      <c r="BI1050" s="20">
        <f t="shared" si="1046"/>
        <v>0</v>
      </c>
      <c r="BJ1050" s="20">
        <f t="shared" si="1047"/>
        <v>0</v>
      </c>
      <c r="BK1050" s="20" t="s">
        <v>2978</v>
      </c>
      <c r="BL1050" s="36">
        <v>8</v>
      </c>
    </row>
    <row r="1051" spans="1:64" x14ac:dyDescent="0.2">
      <c r="A1051" s="4" t="s">
        <v>907</v>
      </c>
      <c r="B1051" s="13" t="s">
        <v>1802</v>
      </c>
      <c r="C1051" s="174" t="s">
        <v>2811</v>
      </c>
      <c r="D1051" s="175"/>
      <c r="E1051" s="175"/>
      <c r="F1051" s="175"/>
      <c r="G1051" s="13" t="s">
        <v>2861</v>
      </c>
      <c r="H1051" s="82">
        <v>1</v>
      </c>
      <c r="I1051" s="109">
        <v>0</v>
      </c>
      <c r="J1051" s="20">
        <f t="shared" si="1026"/>
        <v>0</v>
      </c>
      <c r="K1051" s="20">
        <f t="shared" si="1027"/>
        <v>0</v>
      </c>
      <c r="L1051" s="20">
        <f t="shared" si="1028"/>
        <v>0</v>
      </c>
      <c r="M1051" s="31" t="s">
        <v>2884</v>
      </c>
      <c r="N1051" s="5"/>
      <c r="Z1051" s="36">
        <f t="shared" si="1029"/>
        <v>0</v>
      </c>
      <c r="AB1051" s="36">
        <f t="shared" si="1030"/>
        <v>0</v>
      </c>
      <c r="AC1051" s="36">
        <f t="shared" si="1031"/>
        <v>0</v>
      </c>
      <c r="AD1051" s="36">
        <f t="shared" si="1032"/>
        <v>0</v>
      </c>
      <c r="AE1051" s="36">
        <f t="shared" si="1033"/>
        <v>0</v>
      </c>
      <c r="AF1051" s="36">
        <f t="shared" si="1034"/>
        <v>0</v>
      </c>
      <c r="AG1051" s="36">
        <f t="shared" si="1035"/>
        <v>0</v>
      </c>
      <c r="AH1051" s="36">
        <f t="shared" si="1036"/>
        <v>0</v>
      </c>
      <c r="AI1051" s="35" t="s">
        <v>2898</v>
      </c>
      <c r="AJ1051" s="20">
        <f t="shared" si="1037"/>
        <v>0</v>
      </c>
      <c r="AK1051" s="20">
        <f t="shared" si="1038"/>
        <v>0</v>
      </c>
      <c r="AL1051" s="20">
        <f t="shared" si="1039"/>
        <v>0</v>
      </c>
      <c r="AN1051" s="36">
        <v>21</v>
      </c>
      <c r="AO1051" s="36">
        <f t="shared" si="1048"/>
        <v>0</v>
      </c>
      <c r="AP1051" s="36">
        <f t="shared" si="1049"/>
        <v>0</v>
      </c>
      <c r="AQ1051" s="37" t="s">
        <v>7</v>
      </c>
      <c r="AV1051" s="36">
        <f t="shared" si="1040"/>
        <v>0</v>
      </c>
      <c r="AW1051" s="36">
        <f t="shared" si="1041"/>
        <v>0</v>
      </c>
      <c r="AX1051" s="36">
        <f t="shared" si="1042"/>
        <v>0</v>
      </c>
      <c r="AY1051" s="39" t="s">
        <v>2944</v>
      </c>
      <c r="AZ1051" s="39" t="s">
        <v>2964</v>
      </c>
      <c r="BA1051" s="35" t="s">
        <v>2971</v>
      </c>
      <c r="BC1051" s="36">
        <f t="shared" si="1043"/>
        <v>0</v>
      </c>
      <c r="BD1051" s="36">
        <f t="shared" si="1044"/>
        <v>0</v>
      </c>
      <c r="BE1051" s="36">
        <v>0</v>
      </c>
      <c r="BF1051" s="36">
        <f>1051</f>
        <v>1051</v>
      </c>
      <c r="BH1051" s="20">
        <f t="shared" si="1045"/>
        <v>0</v>
      </c>
      <c r="BI1051" s="20">
        <f t="shared" si="1046"/>
        <v>0</v>
      </c>
      <c r="BJ1051" s="20">
        <f t="shared" si="1047"/>
        <v>0</v>
      </c>
      <c r="BK1051" s="20" t="s">
        <v>2978</v>
      </c>
      <c r="BL1051" s="36">
        <v>8</v>
      </c>
    </row>
    <row r="1052" spans="1:64" x14ac:dyDescent="0.2">
      <c r="A1052" s="4" t="s">
        <v>908</v>
      </c>
      <c r="B1052" s="13" t="s">
        <v>1803</v>
      </c>
      <c r="C1052" s="174" t="s">
        <v>2812</v>
      </c>
      <c r="D1052" s="175"/>
      <c r="E1052" s="175"/>
      <c r="F1052" s="175"/>
      <c r="G1052" s="13" t="s">
        <v>2861</v>
      </c>
      <c r="H1052" s="82">
        <v>1</v>
      </c>
      <c r="I1052" s="109">
        <v>0</v>
      </c>
      <c r="J1052" s="20">
        <f t="shared" si="1026"/>
        <v>0</v>
      </c>
      <c r="K1052" s="20">
        <f t="shared" si="1027"/>
        <v>0</v>
      </c>
      <c r="L1052" s="20">
        <f t="shared" si="1028"/>
        <v>0</v>
      </c>
      <c r="M1052" s="31" t="s">
        <v>2884</v>
      </c>
      <c r="N1052" s="5"/>
      <c r="Z1052" s="36">
        <f t="shared" si="1029"/>
        <v>0</v>
      </c>
      <c r="AB1052" s="36">
        <f t="shared" si="1030"/>
        <v>0</v>
      </c>
      <c r="AC1052" s="36">
        <f t="shared" si="1031"/>
        <v>0</v>
      </c>
      <c r="AD1052" s="36">
        <f t="shared" si="1032"/>
        <v>0</v>
      </c>
      <c r="AE1052" s="36">
        <f t="shared" si="1033"/>
        <v>0</v>
      </c>
      <c r="AF1052" s="36">
        <f t="shared" si="1034"/>
        <v>0</v>
      </c>
      <c r="AG1052" s="36">
        <f t="shared" si="1035"/>
        <v>0</v>
      </c>
      <c r="AH1052" s="36">
        <f t="shared" si="1036"/>
        <v>0</v>
      </c>
      <c r="AI1052" s="35" t="s">
        <v>2898</v>
      </c>
      <c r="AJ1052" s="20">
        <f t="shared" si="1037"/>
        <v>0</v>
      </c>
      <c r="AK1052" s="20">
        <f t="shared" si="1038"/>
        <v>0</v>
      </c>
      <c r="AL1052" s="20">
        <f t="shared" si="1039"/>
        <v>0</v>
      </c>
      <c r="AN1052" s="36">
        <v>21</v>
      </c>
      <c r="AO1052" s="36">
        <f t="shared" si="1048"/>
        <v>0</v>
      </c>
      <c r="AP1052" s="36">
        <f t="shared" si="1049"/>
        <v>0</v>
      </c>
      <c r="AQ1052" s="37" t="s">
        <v>7</v>
      </c>
      <c r="AV1052" s="36">
        <f t="shared" si="1040"/>
        <v>0</v>
      </c>
      <c r="AW1052" s="36">
        <f t="shared" si="1041"/>
        <v>0</v>
      </c>
      <c r="AX1052" s="36">
        <f t="shared" si="1042"/>
        <v>0</v>
      </c>
      <c r="AY1052" s="39" t="s">
        <v>2944</v>
      </c>
      <c r="AZ1052" s="39" t="s">
        <v>2964</v>
      </c>
      <c r="BA1052" s="35" t="s">
        <v>2971</v>
      </c>
      <c r="BC1052" s="36">
        <f t="shared" si="1043"/>
        <v>0</v>
      </c>
      <c r="BD1052" s="36">
        <f t="shared" si="1044"/>
        <v>0</v>
      </c>
      <c r="BE1052" s="36">
        <v>0</v>
      </c>
      <c r="BF1052" s="36">
        <f>1052</f>
        <v>1052</v>
      </c>
      <c r="BH1052" s="20">
        <f t="shared" si="1045"/>
        <v>0</v>
      </c>
      <c r="BI1052" s="20">
        <f t="shared" si="1046"/>
        <v>0</v>
      </c>
      <c r="BJ1052" s="20">
        <f t="shared" si="1047"/>
        <v>0</v>
      </c>
      <c r="BK1052" s="20" t="s">
        <v>2978</v>
      </c>
      <c r="BL1052" s="36">
        <v>8</v>
      </c>
    </row>
    <row r="1053" spans="1:64" x14ac:dyDescent="0.2">
      <c r="A1053" s="4" t="s">
        <v>909</v>
      </c>
      <c r="B1053" s="13" t="s">
        <v>1804</v>
      </c>
      <c r="C1053" s="174" t="s">
        <v>2761</v>
      </c>
      <c r="D1053" s="175"/>
      <c r="E1053" s="175"/>
      <c r="F1053" s="175"/>
      <c r="G1053" s="13" t="s">
        <v>2860</v>
      </c>
      <c r="H1053" s="82">
        <v>1</v>
      </c>
      <c r="I1053" s="109">
        <v>0</v>
      </c>
      <c r="J1053" s="20">
        <f t="shared" si="1026"/>
        <v>0</v>
      </c>
      <c r="K1053" s="20">
        <f t="shared" si="1027"/>
        <v>0</v>
      </c>
      <c r="L1053" s="20">
        <f t="shared" si="1028"/>
        <v>0</v>
      </c>
      <c r="M1053" s="31" t="s">
        <v>2884</v>
      </c>
      <c r="N1053" s="5"/>
      <c r="Z1053" s="36">
        <f t="shared" si="1029"/>
        <v>0</v>
      </c>
      <c r="AB1053" s="36">
        <f t="shared" si="1030"/>
        <v>0</v>
      </c>
      <c r="AC1053" s="36">
        <f t="shared" si="1031"/>
        <v>0</v>
      </c>
      <c r="AD1053" s="36">
        <f t="shared" si="1032"/>
        <v>0</v>
      </c>
      <c r="AE1053" s="36">
        <f t="shared" si="1033"/>
        <v>0</v>
      </c>
      <c r="AF1053" s="36">
        <f t="shared" si="1034"/>
        <v>0</v>
      </c>
      <c r="AG1053" s="36">
        <f t="shared" si="1035"/>
        <v>0</v>
      </c>
      <c r="AH1053" s="36">
        <f t="shared" si="1036"/>
        <v>0</v>
      </c>
      <c r="AI1053" s="35" t="s">
        <v>2898</v>
      </c>
      <c r="AJ1053" s="20">
        <f t="shared" si="1037"/>
        <v>0</v>
      </c>
      <c r="AK1053" s="20">
        <f t="shared" si="1038"/>
        <v>0</v>
      </c>
      <c r="AL1053" s="20">
        <f t="shared" si="1039"/>
        <v>0</v>
      </c>
      <c r="AN1053" s="36">
        <v>21</v>
      </c>
      <c r="AO1053" s="36">
        <f t="shared" si="1048"/>
        <v>0</v>
      </c>
      <c r="AP1053" s="36">
        <f t="shared" si="1049"/>
        <v>0</v>
      </c>
      <c r="AQ1053" s="37" t="s">
        <v>7</v>
      </c>
      <c r="AV1053" s="36">
        <f t="shared" si="1040"/>
        <v>0</v>
      </c>
      <c r="AW1053" s="36">
        <f t="shared" si="1041"/>
        <v>0</v>
      </c>
      <c r="AX1053" s="36">
        <f t="shared" si="1042"/>
        <v>0</v>
      </c>
      <c r="AY1053" s="39" t="s">
        <v>2944</v>
      </c>
      <c r="AZ1053" s="39" t="s">
        <v>2964</v>
      </c>
      <c r="BA1053" s="35" t="s">
        <v>2971</v>
      </c>
      <c r="BC1053" s="36">
        <f t="shared" si="1043"/>
        <v>0</v>
      </c>
      <c r="BD1053" s="36">
        <f t="shared" si="1044"/>
        <v>0</v>
      </c>
      <c r="BE1053" s="36">
        <v>0</v>
      </c>
      <c r="BF1053" s="36">
        <f>1053</f>
        <v>1053</v>
      </c>
      <c r="BH1053" s="20">
        <f t="shared" si="1045"/>
        <v>0</v>
      </c>
      <c r="BI1053" s="20">
        <f t="shared" si="1046"/>
        <v>0</v>
      </c>
      <c r="BJ1053" s="20">
        <f t="shared" si="1047"/>
        <v>0</v>
      </c>
      <c r="BK1053" s="20" t="s">
        <v>2978</v>
      </c>
      <c r="BL1053" s="36">
        <v>8</v>
      </c>
    </row>
    <row r="1054" spans="1:64" x14ac:dyDescent="0.2">
      <c r="A1054" s="4" t="s">
        <v>910</v>
      </c>
      <c r="B1054" s="13" t="s">
        <v>1805</v>
      </c>
      <c r="C1054" s="174" t="s">
        <v>2121</v>
      </c>
      <c r="D1054" s="175"/>
      <c r="E1054" s="175"/>
      <c r="F1054" s="175"/>
      <c r="G1054" s="13" t="s">
        <v>2860</v>
      </c>
      <c r="H1054" s="82">
        <v>1</v>
      </c>
      <c r="I1054" s="109">
        <v>0</v>
      </c>
      <c r="J1054" s="20">
        <f t="shared" si="1026"/>
        <v>0</v>
      </c>
      <c r="K1054" s="20">
        <f t="shared" si="1027"/>
        <v>0</v>
      </c>
      <c r="L1054" s="20">
        <f t="shared" si="1028"/>
        <v>0</v>
      </c>
      <c r="M1054" s="31" t="s">
        <v>2884</v>
      </c>
      <c r="N1054" s="5"/>
      <c r="Z1054" s="36">
        <f t="shared" si="1029"/>
        <v>0</v>
      </c>
      <c r="AB1054" s="36">
        <f t="shared" si="1030"/>
        <v>0</v>
      </c>
      <c r="AC1054" s="36">
        <f t="shared" si="1031"/>
        <v>0</v>
      </c>
      <c r="AD1054" s="36">
        <f t="shared" si="1032"/>
        <v>0</v>
      </c>
      <c r="AE1054" s="36">
        <f t="shared" si="1033"/>
        <v>0</v>
      </c>
      <c r="AF1054" s="36">
        <f t="shared" si="1034"/>
        <v>0</v>
      </c>
      <c r="AG1054" s="36">
        <f t="shared" si="1035"/>
        <v>0</v>
      </c>
      <c r="AH1054" s="36">
        <f t="shared" si="1036"/>
        <v>0</v>
      </c>
      <c r="AI1054" s="35" t="s">
        <v>2898</v>
      </c>
      <c r="AJ1054" s="20">
        <f t="shared" si="1037"/>
        <v>0</v>
      </c>
      <c r="AK1054" s="20">
        <f t="shared" si="1038"/>
        <v>0</v>
      </c>
      <c r="AL1054" s="20">
        <f t="shared" si="1039"/>
        <v>0</v>
      </c>
      <c r="AN1054" s="36">
        <v>21</v>
      </c>
      <c r="AO1054" s="36">
        <f t="shared" si="1048"/>
        <v>0</v>
      </c>
      <c r="AP1054" s="36">
        <f t="shared" si="1049"/>
        <v>0</v>
      </c>
      <c r="AQ1054" s="37" t="s">
        <v>7</v>
      </c>
      <c r="AV1054" s="36">
        <f t="shared" si="1040"/>
        <v>0</v>
      </c>
      <c r="AW1054" s="36">
        <f t="shared" si="1041"/>
        <v>0</v>
      </c>
      <c r="AX1054" s="36">
        <f t="shared" si="1042"/>
        <v>0</v>
      </c>
      <c r="AY1054" s="39" t="s">
        <v>2944</v>
      </c>
      <c r="AZ1054" s="39" t="s">
        <v>2964</v>
      </c>
      <c r="BA1054" s="35" t="s">
        <v>2971</v>
      </c>
      <c r="BC1054" s="36">
        <f t="shared" si="1043"/>
        <v>0</v>
      </c>
      <c r="BD1054" s="36">
        <f t="shared" si="1044"/>
        <v>0</v>
      </c>
      <c r="BE1054" s="36">
        <v>0</v>
      </c>
      <c r="BF1054" s="36">
        <f>1054</f>
        <v>1054</v>
      </c>
      <c r="BH1054" s="20">
        <f t="shared" si="1045"/>
        <v>0</v>
      </c>
      <c r="BI1054" s="20">
        <f t="shared" si="1046"/>
        <v>0</v>
      </c>
      <c r="BJ1054" s="20">
        <f t="shared" si="1047"/>
        <v>0</v>
      </c>
      <c r="BK1054" s="20" t="s">
        <v>2978</v>
      </c>
      <c r="BL1054" s="36">
        <v>8</v>
      </c>
    </row>
    <row r="1055" spans="1:64" x14ac:dyDescent="0.2">
      <c r="A1055" s="4" t="s">
        <v>911</v>
      </c>
      <c r="B1055" s="13" t="s">
        <v>1806</v>
      </c>
      <c r="C1055" s="174" t="s">
        <v>2122</v>
      </c>
      <c r="D1055" s="175"/>
      <c r="E1055" s="175"/>
      <c r="F1055" s="175"/>
      <c r="G1055" s="13" t="s">
        <v>2860</v>
      </c>
      <c r="H1055" s="82">
        <v>1</v>
      </c>
      <c r="I1055" s="109">
        <v>0</v>
      </c>
      <c r="J1055" s="20">
        <f t="shared" si="1026"/>
        <v>0</v>
      </c>
      <c r="K1055" s="20">
        <f t="shared" si="1027"/>
        <v>0</v>
      </c>
      <c r="L1055" s="20">
        <f t="shared" si="1028"/>
        <v>0</v>
      </c>
      <c r="M1055" s="31" t="s">
        <v>2884</v>
      </c>
      <c r="N1055" s="5"/>
      <c r="Z1055" s="36">
        <f t="shared" si="1029"/>
        <v>0</v>
      </c>
      <c r="AB1055" s="36">
        <f t="shared" si="1030"/>
        <v>0</v>
      </c>
      <c r="AC1055" s="36">
        <f t="shared" si="1031"/>
        <v>0</v>
      </c>
      <c r="AD1055" s="36">
        <f t="shared" si="1032"/>
        <v>0</v>
      </c>
      <c r="AE1055" s="36">
        <f t="shared" si="1033"/>
        <v>0</v>
      </c>
      <c r="AF1055" s="36">
        <f t="shared" si="1034"/>
        <v>0</v>
      </c>
      <c r="AG1055" s="36">
        <f t="shared" si="1035"/>
        <v>0</v>
      </c>
      <c r="AH1055" s="36">
        <f t="shared" si="1036"/>
        <v>0</v>
      </c>
      <c r="AI1055" s="35" t="s">
        <v>2898</v>
      </c>
      <c r="AJ1055" s="20">
        <f t="shared" si="1037"/>
        <v>0</v>
      </c>
      <c r="AK1055" s="20">
        <f t="shared" si="1038"/>
        <v>0</v>
      </c>
      <c r="AL1055" s="20">
        <f t="shared" si="1039"/>
        <v>0</v>
      </c>
      <c r="AN1055" s="36">
        <v>21</v>
      </c>
      <c r="AO1055" s="36">
        <f t="shared" si="1048"/>
        <v>0</v>
      </c>
      <c r="AP1055" s="36">
        <f t="shared" si="1049"/>
        <v>0</v>
      </c>
      <c r="AQ1055" s="37" t="s">
        <v>7</v>
      </c>
      <c r="AV1055" s="36">
        <f t="shared" si="1040"/>
        <v>0</v>
      </c>
      <c r="AW1055" s="36">
        <f t="shared" si="1041"/>
        <v>0</v>
      </c>
      <c r="AX1055" s="36">
        <f t="shared" si="1042"/>
        <v>0</v>
      </c>
      <c r="AY1055" s="39" t="s">
        <v>2944</v>
      </c>
      <c r="AZ1055" s="39" t="s">
        <v>2964</v>
      </c>
      <c r="BA1055" s="35" t="s">
        <v>2971</v>
      </c>
      <c r="BC1055" s="36">
        <f t="shared" si="1043"/>
        <v>0</v>
      </c>
      <c r="BD1055" s="36">
        <f t="shared" si="1044"/>
        <v>0</v>
      </c>
      <c r="BE1055" s="36">
        <v>0</v>
      </c>
      <c r="BF1055" s="36">
        <f>1055</f>
        <v>1055</v>
      </c>
      <c r="BH1055" s="20">
        <f t="shared" si="1045"/>
        <v>0</v>
      </c>
      <c r="BI1055" s="20">
        <f t="shared" si="1046"/>
        <v>0</v>
      </c>
      <c r="BJ1055" s="20">
        <f t="shared" si="1047"/>
        <v>0</v>
      </c>
      <c r="BK1055" s="20" t="s">
        <v>2978</v>
      </c>
      <c r="BL1055" s="36">
        <v>8</v>
      </c>
    </row>
    <row r="1056" spans="1:64" x14ac:dyDescent="0.2">
      <c r="A1056" s="4" t="s">
        <v>912</v>
      </c>
      <c r="B1056" s="13" t="s">
        <v>1807</v>
      </c>
      <c r="C1056" s="174" t="s">
        <v>2123</v>
      </c>
      <c r="D1056" s="175"/>
      <c r="E1056" s="175"/>
      <c r="F1056" s="175"/>
      <c r="G1056" s="13" t="s">
        <v>2860</v>
      </c>
      <c r="H1056" s="82">
        <v>1</v>
      </c>
      <c r="I1056" s="109">
        <v>0</v>
      </c>
      <c r="J1056" s="20">
        <f t="shared" si="1026"/>
        <v>0</v>
      </c>
      <c r="K1056" s="20">
        <f t="shared" si="1027"/>
        <v>0</v>
      </c>
      <c r="L1056" s="20">
        <f t="shared" si="1028"/>
        <v>0</v>
      </c>
      <c r="M1056" s="31" t="s">
        <v>2884</v>
      </c>
      <c r="N1056" s="5"/>
      <c r="Z1056" s="36">
        <f t="shared" si="1029"/>
        <v>0</v>
      </c>
      <c r="AB1056" s="36">
        <f t="shared" si="1030"/>
        <v>0</v>
      </c>
      <c r="AC1056" s="36">
        <f t="shared" si="1031"/>
        <v>0</v>
      </c>
      <c r="AD1056" s="36">
        <f t="shared" si="1032"/>
        <v>0</v>
      </c>
      <c r="AE1056" s="36">
        <f t="shared" si="1033"/>
        <v>0</v>
      </c>
      <c r="AF1056" s="36">
        <f t="shared" si="1034"/>
        <v>0</v>
      </c>
      <c r="AG1056" s="36">
        <f t="shared" si="1035"/>
        <v>0</v>
      </c>
      <c r="AH1056" s="36">
        <f t="shared" si="1036"/>
        <v>0</v>
      </c>
      <c r="AI1056" s="35" t="s">
        <v>2898</v>
      </c>
      <c r="AJ1056" s="20">
        <f t="shared" si="1037"/>
        <v>0</v>
      </c>
      <c r="AK1056" s="20">
        <f t="shared" si="1038"/>
        <v>0</v>
      </c>
      <c r="AL1056" s="20">
        <f t="shared" si="1039"/>
        <v>0</v>
      </c>
      <c r="AN1056" s="36">
        <v>21</v>
      </c>
      <c r="AO1056" s="36">
        <f t="shared" si="1048"/>
        <v>0</v>
      </c>
      <c r="AP1056" s="36">
        <f t="shared" si="1049"/>
        <v>0</v>
      </c>
      <c r="AQ1056" s="37" t="s">
        <v>7</v>
      </c>
      <c r="AV1056" s="36">
        <f t="shared" si="1040"/>
        <v>0</v>
      </c>
      <c r="AW1056" s="36">
        <f t="shared" si="1041"/>
        <v>0</v>
      </c>
      <c r="AX1056" s="36">
        <f t="shared" si="1042"/>
        <v>0</v>
      </c>
      <c r="AY1056" s="39" t="s">
        <v>2944</v>
      </c>
      <c r="AZ1056" s="39" t="s">
        <v>2964</v>
      </c>
      <c r="BA1056" s="35" t="s">
        <v>2971</v>
      </c>
      <c r="BC1056" s="36">
        <f t="shared" si="1043"/>
        <v>0</v>
      </c>
      <c r="BD1056" s="36">
        <f t="shared" si="1044"/>
        <v>0</v>
      </c>
      <c r="BE1056" s="36">
        <v>0</v>
      </c>
      <c r="BF1056" s="36">
        <f>1056</f>
        <v>1056</v>
      </c>
      <c r="BH1056" s="20">
        <f t="shared" si="1045"/>
        <v>0</v>
      </c>
      <c r="BI1056" s="20">
        <f t="shared" si="1046"/>
        <v>0</v>
      </c>
      <c r="BJ1056" s="20">
        <f t="shared" si="1047"/>
        <v>0</v>
      </c>
      <c r="BK1056" s="20" t="s">
        <v>2978</v>
      </c>
      <c r="BL1056" s="36">
        <v>8</v>
      </c>
    </row>
    <row r="1057" spans="1:64" x14ac:dyDescent="0.2">
      <c r="A1057" s="98"/>
      <c r="B1057" s="99"/>
      <c r="C1057" s="185" t="s">
        <v>2813</v>
      </c>
      <c r="D1057" s="186"/>
      <c r="E1057" s="186"/>
      <c r="F1057" s="186"/>
      <c r="G1057" s="100" t="s">
        <v>6</v>
      </c>
      <c r="H1057" s="100" t="s">
        <v>6</v>
      </c>
      <c r="I1057" s="100" t="s">
        <v>6</v>
      </c>
      <c r="J1057" s="101">
        <f>J1058</f>
        <v>0</v>
      </c>
      <c r="K1057" s="101">
        <f>K1058</f>
        <v>0</v>
      </c>
      <c r="L1057" s="101">
        <f>L1058</f>
        <v>0</v>
      </c>
      <c r="M1057" s="102"/>
      <c r="N1057" s="5"/>
    </row>
    <row r="1058" spans="1:64" x14ac:dyDescent="0.2">
      <c r="A1058" s="3"/>
      <c r="B1058" s="12" t="s">
        <v>14</v>
      </c>
      <c r="C1058" s="172" t="s">
        <v>2718</v>
      </c>
      <c r="D1058" s="173"/>
      <c r="E1058" s="173"/>
      <c r="F1058" s="173"/>
      <c r="G1058" s="18" t="s">
        <v>6</v>
      </c>
      <c r="H1058" s="18" t="s">
        <v>6</v>
      </c>
      <c r="I1058" s="18" t="s">
        <v>6</v>
      </c>
      <c r="J1058" s="41">
        <f>SUM(J1059:J1094)</f>
        <v>0</v>
      </c>
      <c r="K1058" s="41">
        <f>SUM(K1059:K1094)</f>
        <v>0</v>
      </c>
      <c r="L1058" s="41">
        <f>SUM(L1059:L1094)</f>
        <v>0</v>
      </c>
      <c r="M1058" s="30"/>
      <c r="N1058" s="5"/>
      <c r="AI1058" s="35" t="s">
        <v>2899</v>
      </c>
      <c r="AS1058" s="41">
        <f>SUM(AJ1059:AJ1094)</f>
        <v>0</v>
      </c>
      <c r="AT1058" s="41">
        <f>SUM(AK1059:AK1094)</f>
        <v>0</v>
      </c>
      <c r="AU1058" s="41">
        <f>SUM(AL1059:AL1094)</f>
        <v>0</v>
      </c>
    </row>
    <row r="1059" spans="1:64" x14ac:dyDescent="0.2">
      <c r="A1059" s="4" t="s">
        <v>913</v>
      </c>
      <c r="B1059" s="13" t="s">
        <v>1808</v>
      </c>
      <c r="C1059" s="174" t="s">
        <v>2814</v>
      </c>
      <c r="D1059" s="175"/>
      <c r="E1059" s="175"/>
      <c r="F1059" s="175"/>
      <c r="G1059" s="13" t="s">
        <v>2855</v>
      </c>
      <c r="H1059" s="82">
        <v>21.5</v>
      </c>
      <c r="I1059" s="109">
        <v>0</v>
      </c>
      <c r="J1059" s="20">
        <f>H1059*AO1059</f>
        <v>0</v>
      </c>
      <c r="K1059" s="20">
        <f>H1059*AP1059</f>
        <v>0</v>
      </c>
      <c r="L1059" s="20">
        <f>H1059*I1059</f>
        <v>0</v>
      </c>
      <c r="M1059" s="31" t="s">
        <v>2884</v>
      </c>
      <c r="N1059" s="5"/>
      <c r="Z1059" s="36">
        <f>IF(AQ1059="5",BJ1059,0)</f>
        <v>0</v>
      </c>
      <c r="AB1059" s="36">
        <f>IF(AQ1059="1",BH1059,0)</f>
        <v>0</v>
      </c>
      <c r="AC1059" s="36">
        <f>IF(AQ1059="1",BI1059,0)</f>
        <v>0</v>
      </c>
      <c r="AD1059" s="36">
        <f>IF(AQ1059="7",BH1059,0)</f>
        <v>0</v>
      </c>
      <c r="AE1059" s="36">
        <f>IF(AQ1059="7",BI1059,0)</f>
        <v>0</v>
      </c>
      <c r="AF1059" s="36">
        <f>IF(AQ1059="2",BH1059,0)</f>
        <v>0</v>
      </c>
      <c r="AG1059" s="36">
        <f>IF(AQ1059="2",BI1059,0)</f>
        <v>0</v>
      </c>
      <c r="AH1059" s="36">
        <f>IF(AQ1059="0",BJ1059,0)</f>
        <v>0</v>
      </c>
      <c r="AI1059" s="35" t="s">
        <v>2899</v>
      </c>
      <c r="AJ1059" s="20">
        <f>IF(AN1059=0,L1059,0)</f>
        <v>0</v>
      </c>
      <c r="AK1059" s="20">
        <f>IF(AN1059=15,L1059,0)</f>
        <v>0</v>
      </c>
      <c r="AL1059" s="20">
        <f>IF(AN1059=21,L1059,0)</f>
        <v>0</v>
      </c>
      <c r="AN1059" s="36">
        <v>21</v>
      </c>
      <c r="AO1059" s="36">
        <f>I1059*0</f>
        <v>0</v>
      </c>
      <c r="AP1059" s="36">
        <f>I1059*(1-0)</f>
        <v>0</v>
      </c>
      <c r="AQ1059" s="37" t="s">
        <v>7</v>
      </c>
      <c r="AV1059" s="36">
        <f>AW1059+AX1059</f>
        <v>0</v>
      </c>
      <c r="AW1059" s="36">
        <f>H1059*AO1059</f>
        <v>0</v>
      </c>
      <c r="AX1059" s="36">
        <f>H1059*AP1059</f>
        <v>0</v>
      </c>
      <c r="AY1059" s="39" t="s">
        <v>2944</v>
      </c>
      <c r="AZ1059" s="39" t="s">
        <v>2965</v>
      </c>
      <c r="BA1059" s="35" t="s">
        <v>2972</v>
      </c>
      <c r="BC1059" s="36">
        <f>AW1059+AX1059</f>
        <v>0</v>
      </c>
      <c r="BD1059" s="36">
        <f>I1059/(100-BE1059)*100</f>
        <v>0</v>
      </c>
      <c r="BE1059" s="36">
        <v>0</v>
      </c>
      <c r="BF1059" s="36">
        <f>1059</f>
        <v>1059</v>
      </c>
      <c r="BH1059" s="20">
        <f>H1059*AO1059</f>
        <v>0</v>
      </c>
      <c r="BI1059" s="20">
        <f>H1059*AP1059</f>
        <v>0</v>
      </c>
      <c r="BJ1059" s="20">
        <f>H1059*I1059</f>
        <v>0</v>
      </c>
      <c r="BK1059" s="20" t="s">
        <v>2978</v>
      </c>
      <c r="BL1059" s="36">
        <v>8</v>
      </c>
    </row>
    <row r="1060" spans="1:64" x14ac:dyDescent="0.2">
      <c r="A1060" s="5"/>
      <c r="B1060" s="14"/>
      <c r="C1060" s="179" t="s">
        <v>2764</v>
      </c>
      <c r="D1060" s="180"/>
      <c r="E1060" s="180"/>
      <c r="F1060" s="180"/>
      <c r="G1060" s="180"/>
      <c r="H1060" s="180"/>
      <c r="I1060" s="180"/>
      <c r="J1060" s="180"/>
      <c r="K1060" s="180"/>
      <c r="L1060" s="180"/>
      <c r="M1060" s="181"/>
      <c r="N1060" s="5"/>
    </row>
    <row r="1061" spans="1:64" x14ac:dyDescent="0.2">
      <c r="A1061" s="4" t="s">
        <v>914</v>
      </c>
      <c r="B1061" s="13" t="s">
        <v>1809</v>
      </c>
      <c r="C1061" s="174" t="s">
        <v>2815</v>
      </c>
      <c r="D1061" s="175"/>
      <c r="E1061" s="175"/>
      <c r="F1061" s="175"/>
      <c r="G1061" s="13" t="s">
        <v>2861</v>
      </c>
      <c r="H1061" s="82">
        <v>1</v>
      </c>
      <c r="I1061" s="109">
        <v>0</v>
      </c>
      <c r="J1061" s="20">
        <f>H1061*AO1061</f>
        <v>0</v>
      </c>
      <c r="K1061" s="20">
        <f>H1061*AP1061</f>
        <v>0</v>
      </c>
      <c r="L1061" s="20">
        <f>H1061*I1061</f>
        <v>0</v>
      </c>
      <c r="M1061" s="31" t="s">
        <v>2884</v>
      </c>
      <c r="N1061" s="5"/>
      <c r="Z1061" s="36">
        <f>IF(AQ1061="5",BJ1061,0)</f>
        <v>0</v>
      </c>
      <c r="AB1061" s="36">
        <f>IF(AQ1061="1",BH1061,0)</f>
        <v>0</v>
      </c>
      <c r="AC1061" s="36">
        <f>IF(AQ1061="1",BI1061,0)</f>
        <v>0</v>
      </c>
      <c r="AD1061" s="36">
        <f>IF(AQ1061="7",BH1061,0)</f>
        <v>0</v>
      </c>
      <c r="AE1061" s="36">
        <f>IF(AQ1061="7",BI1061,0)</f>
        <v>0</v>
      </c>
      <c r="AF1061" s="36">
        <f>IF(AQ1061="2",BH1061,0)</f>
        <v>0</v>
      </c>
      <c r="AG1061" s="36">
        <f>IF(AQ1061="2",BI1061,0)</f>
        <v>0</v>
      </c>
      <c r="AH1061" s="36">
        <f>IF(AQ1061="0",BJ1061,0)</f>
        <v>0</v>
      </c>
      <c r="AI1061" s="35" t="s">
        <v>2899</v>
      </c>
      <c r="AJ1061" s="20">
        <f>IF(AN1061=0,L1061,0)</f>
        <v>0</v>
      </c>
      <c r="AK1061" s="20">
        <f>IF(AN1061=15,L1061,0)</f>
        <v>0</v>
      </c>
      <c r="AL1061" s="20">
        <f>IF(AN1061=21,L1061,0)</f>
        <v>0</v>
      </c>
      <c r="AN1061" s="36">
        <v>21</v>
      </c>
      <c r="AO1061" s="36">
        <f>I1061*0</f>
        <v>0</v>
      </c>
      <c r="AP1061" s="36">
        <f>I1061*(1-0)</f>
        <v>0</v>
      </c>
      <c r="AQ1061" s="37" t="s">
        <v>7</v>
      </c>
      <c r="AV1061" s="36">
        <f>AW1061+AX1061</f>
        <v>0</v>
      </c>
      <c r="AW1061" s="36">
        <f>H1061*AO1061</f>
        <v>0</v>
      </c>
      <c r="AX1061" s="36">
        <f>H1061*AP1061</f>
        <v>0</v>
      </c>
      <c r="AY1061" s="39" t="s">
        <v>2944</v>
      </c>
      <c r="AZ1061" s="39" t="s">
        <v>2965</v>
      </c>
      <c r="BA1061" s="35" t="s">
        <v>2972</v>
      </c>
      <c r="BC1061" s="36">
        <f>AW1061+AX1061</f>
        <v>0</v>
      </c>
      <c r="BD1061" s="36">
        <f>I1061/(100-BE1061)*100</f>
        <v>0</v>
      </c>
      <c r="BE1061" s="36">
        <v>0</v>
      </c>
      <c r="BF1061" s="36">
        <f>1061</f>
        <v>1061</v>
      </c>
      <c r="BH1061" s="20">
        <f>H1061*AO1061</f>
        <v>0</v>
      </c>
      <c r="BI1061" s="20">
        <f>H1061*AP1061</f>
        <v>0</v>
      </c>
      <c r="BJ1061" s="20">
        <f>H1061*I1061</f>
        <v>0</v>
      </c>
      <c r="BK1061" s="20" t="s">
        <v>2978</v>
      </c>
      <c r="BL1061" s="36">
        <v>8</v>
      </c>
    </row>
    <row r="1062" spans="1:64" x14ac:dyDescent="0.2">
      <c r="A1062" s="4" t="s">
        <v>915</v>
      </c>
      <c r="B1062" s="13" t="s">
        <v>1810</v>
      </c>
      <c r="C1062" s="174" t="s">
        <v>2816</v>
      </c>
      <c r="D1062" s="175"/>
      <c r="E1062" s="175"/>
      <c r="F1062" s="175"/>
      <c r="G1062" s="13" t="s">
        <v>2855</v>
      </c>
      <c r="H1062" s="82">
        <v>19.5</v>
      </c>
      <c r="I1062" s="109">
        <v>0</v>
      </c>
      <c r="J1062" s="20">
        <f>H1062*AO1062</f>
        <v>0</v>
      </c>
      <c r="K1062" s="20">
        <f>H1062*AP1062</f>
        <v>0</v>
      </c>
      <c r="L1062" s="20">
        <f>H1062*I1062</f>
        <v>0</v>
      </c>
      <c r="M1062" s="31" t="s">
        <v>2884</v>
      </c>
      <c r="N1062" s="5"/>
      <c r="Z1062" s="36">
        <f>IF(AQ1062="5",BJ1062,0)</f>
        <v>0</v>
      </c>
      <c r="AB1062" s="36">
        <f>IF(AQ1062="1",BH1062,0)</f>
        <v>0</v>
      </c>
      <c r="AC1062" s="36">
        <f>IF(AQ1062="1",BI1062,0)</f>
        <v>0</v>
      </c>
      <c r="AD1062" s="36">
        <f>IF(AQ1062="7",BH1062,0)</f>
        <v>0</v>
      </c>
      <c r="AE1062" s="36">
        <f>IF(AQ1062="7",BI1062,0)</f>
        <v>0</v>
      </c>
      <c r="AF1062" s="36">
        <f>IF(AQ1062="2",BH1062,0)</f>
        <v>0</v>
      </c>
      <c r="AG1062" s="36">
        <f>IF(AQ1062="2",BI1062,0)</f>
        <v>0</v>
      </c>
      <c r="AH1062" s="36">
        <f>IF(AQ1062="0",BJ1062,0)</f>
        <v>0</v>
      </c>
      <c r="AI1062" s="35" t="s">
        <v>2899</v>
      </c>
      <c r="AJ1062" s="20">
        <f>IF(AN1062=0,L1062,0)</f>
        <v>0</v>
      </c>
      <c r="AK1062" s="20">
        <f>IF(AN1062=15,L1062,0)</f>
        <v>0</v>
      </c>
      <c r="AL1062" s="20">
        <f>IF(AN1062=21,L1062,0)</f>
        <v>0</v>
      </c>
      <c r="AN1062" s="36">
        <v>21</v>
      </c>
      <c r="AO1062" s="36">
        <f>I1062*0</f>
        <v>0</v>
      </c>
      <c r="AP1062" s="36">
        <f>I1062*(1-0)</f>
        <v>0</v>
      </c>
      <c r="AQ1062" s="37" t="s">
        <v>7</v>
      </c>
      <c r="AV1062" s="36">
        <f>AW1062+AX1062</f>
        <v>0</v>
      </c>
      <c r="AW1062" s="36">
        <f>H1062*AO1062</f>
        <v>0</v>
      </c>
      <c r="AX1062" s="36">
        <f>H1062*AP1062</f>
        <v>0</v>
      </c>
      <c r="AY1062" s="39" t="s">
        <v>2944</v>
      </c>
      <c r="AZ1062" s="39" t="s">
        <v>2965</v>
      </c>
      <c r="BA1062" s="35" t="s">
        <v>2972</v>
      </c>
      <c r="BC1062" s="36">
        <f>AW1062+AX1062</f>
        <v>0</v>
      </c>
      <c r="BD1062" s="36">
        <f>I1062/(100-BE1062)*100</f>
        <v>0</v>
      </c>
      <c r="BE1062" s="36">
        <v>0</v>
      </c>
      <c r="BF1062" s="36">
        <f>1062</f>
        <v>1062</v>
      </c>
      <c r="BH1062" s="20">
        <f>H1062*AO1062</f>
        <v>0</v>
      </c>
      <c r="BI1062" s="20">
        <f>H1062*AP1062</f>
        <v>0</v>
      </c>
      <c r="BJ1062" s="20">
        <f>H1062*I1062</f>
        <v>0</v>
      </c>
      <c r="BK1062" s="20" t="s">
        <v>2978</v>
      </c>
      <c r="BL1062" s="36">
        <v>8</v>
      </c>
    </row>
    <row r="1063" spans="1:64" ht="25.7" customHeight="1" x14ac:dyDescent="0.2">
      <c r="A1063" s="5"/>
      <c r="B1063" s="14"/>
      <c r="C1063" s="179" t="s">
        <v>2723</v>
      </c>
      <c r="D1063" s="180"/>
      <c r="E1063" s="180"/>
      <c r="F1063" s="180"/>
      <c r="G1063" s="180"/>
      <c r="H1063" s="180"/>
      <c r="I1063" s="180"/>
      <c r="J1063" s="180"/>
      <c r="K1063" s="180"/>
      <c r="L1063" s="180"/>
      <c r="M1063" s="181"/>
      <c r="N1063" s="5"/>
    </row>
    <row r="1064" spans="1:64" x14ac:dyDescent="0.2">
      <c r="A1064" s="4" t="s">
        <v>916</v>
      </c>
      <c r="B1064" s="13" t="s">
        <v>1811</v>
      </c>
      <c r="C1064" s="174" t="s">
        <v>2817</v>
      </c>
      <c r="D1064" s="175"/>
      <c r="E1064" s="175"/>
      <c r="F1064" s="175"/>
      <c r="G1064" s="13" t="s">
        <v>2855</v>
      </c>
      <c r="H1064" s="82">
        <v>35.9</v>
      </c>
      <c r="I1064" s="109">
        <v>0</v>
      </c>
      <c r="J1064" s="20">
        <f t="shared" ref="J1064:J1072" si="1050">H1064*AO1064</f>
        <v>0</v>
      </c>
      <c r="K1064" s="20">
        <f t="shared" ref="K1064:K1072" si="1051">H1064*AP1064</f>
        <v>0</v>
      </c>
      <c r="L1064" s="20">
        <f t="shared" ref="L1064:L1072" si="1052">H1064*I1064</f>
        <v>0</v>
      </c>
      <c r="M1064" s="31" t="s">
        <v>2884</v>
      </c>
      <c r="N1064" s="5"/>
      <c r="Z1064" s="36">
        <f t="shared" ref="Z1064:Z1072" si="1053">IF(AQ1064="5",BJ1064,0)</f>
        <v>0</v>
      </c>
      <c r="AB1064" s="36">
        <f t="shared" ref="AB1064:AB1072" si="1054">IF(AQ1064="1",BH1064,0)</f>
        <v>0</v>
      </c>
      <c r="AC1064" s="36">
        <f t="shared" ref="AC1064:AC1072" si="1055">IF(AQ1064="1",BI1064,0)</f>
        <v>0</v>
      </c>
      <c r="AD1064" s="36">
        <f t="shared" ref="AD1064:AD1072" si="1056">IF(AQ1064="7",BH1064,0)</f>
        <v>0</v>
      </c>
      <c r="AE1064" s="36">
        <f t="shared" ref="AE1064:AE1072" si="1057">IF(AQ1064="7",BI1064,0)</f>
        <v>0</v>
      </c>
      <c r="AF1064" s="36">
        <f t="shared" ref="AF1064:AF1072" si="1058">IF(AQ1064="2",BH1064,0)</f>
        <v>0</v>
      </c>
      <c r="AG1064" s="36">
        <f t="shared" ref="AG1064:AG1072" si="1059">IF(AQ1064="2",BI1064,0)</f>
        <v>0</v>
      </c>
      <c r="AH1064" s="36">
        <f t="shared" ref="AH1064:AH1072" si="1060">IF(AQ1064="0",BJ1064,0)</f>
        <v>0</v>
      </c>
      <c r="AI1064" s="35" t="s">
        <v>2899</v>
      </c>
      <c r="AJ1064" s="20">
        <f t="shared" ref="AJ1064:AJ1072" si="1061">IF(AN1064=0,L1064,0)</f>
        <v>0</v>
      </c>
      <c r="AK1064" s="20">
        <f t="shared" ref="AK1064:AK1072" si="1062">IF(AN1064=15,L1064,0)</f>
        <v>0</v>
      </c>
      <c r="AL1064" s="20">
        <f t="shared" ref="AL1064:AL1072" si="1063">IF(AN1064=21,L1064,0)</f>
        <v>0</v>
      </c>
      <c r="AN1064" s="36">
        <v>21</v>
      </c>
      <c r="AO1064" s="36">
        <f>I1064*0</f>
        <v>0</v>
      </c>
      <c r="AP1064" s="36">
        <f>I1064*(1-0)</f>
        <v>0</v>
      </c>
      <c r="AQ1064" s="37" t="s">
        <v>7</v>
      </c>
      <c r="AV1064" s="36">
        <f t="shared" ref="AV1064:AV1072" si="1064">AW1064+AX1064</f>
        <v>0</v>
      </c>
      <c r="AW1064" s="36">
        <f t="shared" ref="AW1064:AW1072" si="1065">H1064*AO1064</f>
        <v>0</v>
      </c>
      <c r="AX1064" s="36">
        <f t="shared" ref="AX1064:AX1072" si="1066">H1064*AP1064</f>
        <v>0</v>
      </c>
      <c r="AY1064" s="39" t="s">
        <v>2944</v>
      </c>
      <c r="AZ1064" s="39" t="s">
        <v>2965</v>
      </c>
      <c r="BA1064" s="35" t="s">
        <v>2972</v>
      </c>
      <c r="BC1064" s="36">
        <f t="shared" ref="BC1064:BC1072" si="1067">AW1064+AX1064</f>
        <v>0</v>
      </c>
      <c r="BD1064" s="36">
        <f t="shared" ref="BD1064:BD1072" si="1068">I1064/(100-BE1064)*100</f>
        <v>0</v>
      </c>
      <c r="BE1064" s="36">
        <v>0</v>
      </c>
      <c r="BF1064" s="36">
        <f>1064</f>
        <v>1064</v>
      </c>
      <c r="BH1064" s="20">
        <f t="shared" ref="BH1064:BH1072" si="1069">H1064*AO1064</f>
        <v>0</v>
      </c>
      <c r="BI1064" s="20">
        <f t="shared" ref="BI1064:BI1072" si="1070">H1064*AP1064</f>
        <v>0</v>
      </c>
      <c r="BJ1064" s="20">
        <f t="shared" ref="BJ1064:BJ1072" si="1071">H1064*I1064</f>
        <v>0</v>
      </c>
      <c r="BK1064" s="20" t="s">
        <v>2978</v>
      </c>
      <c r="BL1064" s="36">
        <v>8</v>
      </c>
    </row>
    <row r="1065" spans="1:64" x14ac:dyDescent="0.2">
      <c r="A1065" s="4" t="s">
        <v>917</v>
      </c>
      <c r="B1065" s="13" t="s">
        <v>1812</v>
      </c>
      <c r="C1065" s="174" t="s">
        <v>2818</v>
      </c>
      <c r="D1065" s="175"/>
      <c r="E1065" s="175"/>
      <c r="F1065" s="175"/>
      <c r="G1065" s="13" t="s">
        <v>2860</v>
      </c>
      <c r="H1065" s="82">
        <v>1</v>
      </c>
      <c r="I1065" s="109">
        <v>0</v>
      </c>
      <c r="J1065" s="20">
        <f t="shared" si="1050"/>
        <v>0</v>
      </c>
      <c r="K1065" s="20">
        <f t="shared" si="1051"/>
        <v>0</v>
      </c>
      <c r="L1065" s="20">
        <f t="shared" si="1052"/>
        <v>0</v>
      </c>
      <c r="M1065" s="31" t="s">
        <v>2884</v>
      </c>
      <c r="N1065" s="5"/>
      <c r="Z1065" s="36">
        <f t="shared" si="1053"/>
        <v>0</v>
      </c>
      <c r="AB1065" s="36">
        <f t="shared" si="1054"/>
        <v>0</v>
      </c>
      <c r="AC1065" s="36">
        <f t="shared" si="1055"/>
        <v>0</v>
      </c>
      <c r="AD1065" s="36">
        <f t="shared" si="1056"/>
        <v>0</v>
      </c>
      <c r="AE1065" s="36">
        <f t="shared" si="1057"/>
        <v>0</v>
      </c>
      <c r="AF1065" s="36">
        <f t="shared" si="1058"/>
        <v>0</v>
      </c>
      <c r="AG1065" s="36">
        <f t="shared" si="1059"/>
        <v>0</v>
      </c>
      <c r="AH1065" s="36">
        <f t="shared" si="1060"/>
        <v>0</v>
      </c>
      <c r="AI1065" s="35" t="s">
        <v>2899</v>
      </c>
      <c r="AJ1065" s="20">
        <f t="shared" si="1061"/>
        <v>0</v>
      </c>
      <c r="AK1065" s="20">
        <f t="shared" si="1062"/>
        <v>0</v>
      </c>
      <c r="AL1065" s="20">
        <f t="shared" si="1063"/>
        <v>0</v>
      </c>
      <c r="AN1065" s="36">
        <v>21</v>
      </c>
      <c r="AO1065" s="36">
        <f>I1065*0</f>
        <v>0</v>
      </c>
      <c r="AP1065" s="36">
        <f>I1065*(1-0)</f>
        <v>0</v>
      </c>
      <c r="AQ1065" s="37" t="s">
        <v>7</v>
      </c>
      <c r="AV1065" s="36">
        <f t="shared" si="1064"/>
        <v>0</v>
      </c>
      <c r="AW1065" s="36">
        <f t="shared" si="1065"/>
        <v>0</v>
      </c>
      <c r="AX1065" s="36">
        <f t="shared" si="1066"/>
        <v>0</v>
      </c>
      <c r="AY1065" s="39" t="s">
        <v>2944</v>
      </c>
      <c r="AZ1065" s="39" t="s">
        <v>2965</v>
      </c>
      <c r="BA1065" s="35" t="s">
        <v>2972</v>
      </c>
      <c r="BC1065" s="36">
        <f t="shared" si="1067"/>
        <v>0</v>
      </c>
      <c r="BD1065" s="36">
        <f t="shared" si="1068"/>
        <v>0</v>
      </c>
      <c r="BE1065" s="36">
        <v>0</v>
      </c>
      <c r="BF1065" s="36">
        <f>1065</f>
        <v>1065</v>
      </c>
      <c r="BH1065" s="20">
        <f t="shared" si="1069"/>
        <v>0</v>
      </c>
      <c r="BI1065" s="20">
        <f t="shared" si="1070"/>
        <v>0</v>
      </c>
      <c r="BJ1065" s="20">
        <f t="shared" si="1071"/>
        <v>0</v>
      </c>
      <c r="BK1065" s="20" t="s">
        <v>2978</v>
      </c>
      <c r="BL1065" s="36">
        <v>8</v>
      </c>
    </row>
    <row r="1066" spans="1:64" x14ac:dyDescent="0.2">
      <c r="A1066" s="4" t="s">
        <v>918</v>
      </c>
      <c r="B1066" s="13" t="s">
        <v>1813</v>
      </c>
      <c r="C1066" s="174" t="s">
        <v>2727</v>
      </c>
      <c r="D1066" s="175"/>
      <c r="E1066" s="175"/>
      <c r="F1066" s="175"/>
      <c r="G1066" s="13" t="s">
        <v>2855</v>
      </c>
      <c r="H1066" s="82">
        <v>35.9</v>
      </c>
      <c r="I1066" s="109">
        <v>0</v>
      </c>
      <c r="J1066" s="20">
        <f t="shared" si="1050"/>
        <v>0</v>
      </c>
      <c r="K1066" s="20">
        <f t="shared" si="1051"/>
        <v>0</v>
      </c>
      <c r="L1066" s="20">
        <f t="shared" si="1052"/>
        <v>0</v>
      </c>
      <c r="M1066" s="31" t="s">
        <v>2884</v>
      </c>
      <c r="N1066" s="5"/>
      <c r="Z1066" s="36">
        <f t="shared" si="1053"/>
        <v>0</v>
      </c>
      <c r="AB1066" s="36">
        <f t="shared" si="1054"/>
        <v>0</v>
      </c>
      <c r="AC1066" s="36">
        <f t="shared" si="1055"/>
        <v>0</v>
      </c>
      <c r="AD1066" s="36">
        <f t="shared" si="1056"/>
        <v>0</v>
      </c>
      <c r="AE1066" s="36">
        <f t="shared" si="1057"/>
        <v>0</v>
      </c>
      <c r="AF1066" s="36">
        <f t="shared" si="1058"/>
        <v>0</v>
      </c>
      <c r="AG1066" s="36">
        <f t="shared" si="1059"/>
        <v>0</v>
      </c>
      <c r="AH1066" s="36">
        <f t="shared" si="1060"/>
        <v>0</v>
      </c>
      <c r="AI1066" s="35" t="s">
        <v>2899</v>
      </c>
      <c r="AJ1066" s="20">
        <f t="shared" si="1061"/>
        <v>0</v>
      </c>
      <c r="AK1066" s="20">
        <f t="shared" si="1062"/>
        <v>0</v>
      </c>
      <c r="AL1066" s="20">
        <f t="shared" si="1063"/>
        <v>0</v>
      </c>
      <c r="AN1066" s="36">
        <v>21</v>
      </c>
      <c r="AO1066" s="36">
        <f>I1066*0.529998768707515</f>
        <v>0</v>
      </c>
      <c r="AP1066" s="36">
        <f>I1066*(1-0.529998768707515)</f>
        <v>0</v>
      </c>
      <c r="AQ1066" s="37" t="s">
        <v>7</v>
      </c>
      <c r="AV1066" s="36">
        <f t="shared" si="1064"/>
        <v>0</v>
      </c>
      <c r="AW1066" s="36">
        <f t="shared" si="1065"/>
        <v>0</v>
      </c>
      <c r="AX1066" s="36">
        <f t="shared" si="1066"/>
        <v>0</v>
      </c>
      <c r="AY1066" s="39" t="s">
        <v>2944</v>
      </c>
      <c r="AZ1066" s="39" t="s">
        <v>2965</v>
      </c>
      <c r="BA1066" s="35" t="s">
        <v>2972</v>
      </c>
      <c r="BC1066" s="36">
        <f t="shared" si="1067"/>
        <v>0</v>
      </c>
      <c r="BD1066" s="36">
        <f t="shared" si="1068"/>
        <v>0</v>
      </c>
      <c r="BE1066" s="36">
        <v>0</v>
      </c>
      <c r="BF1066" s="36">
        <f>1066</f>
        <v>1066</v>
      </c>
      <c r="BH1066" s="20">
        <f t="shared" si="1069"/>
        <v>0</v>
      </c>
      <c r="BI1066" s="20">
        <f t="shared" si="1070"/>
        <v>0</v>
      </c>
      <c r="BJ1066" s="20">
        <f t="shared" si="1071"/>
        <v>0</v>
      </c>
      <c r="BK1066" s="20" t="s">
        <v>2978</v>
      </c>
      <c r="BL1066" s="36">
        <v>8</v>
      </c>
    </row>
    <row r="1067" spans="1:64" x14ac:dyDescent="0.2">
      <c r="A1067" s="4" t="s">
        <v>919</v>
      </c>
      <c r="B1067" s="13" t="s">
        <v>1814</v>
      </c>
      <c r="C1067" s="174" t="s">
        <v>2819</v>
      </c>
      <c r="D1067" s="175"/>
      <c r="E1067" s="175"/>
      <c r="F1067" s="175"/>
      <c r="G1067" s="13" t="s">
        <v>2855</v>
      </c>
      <c r="H1067" s="82">
        <v>35.9</v>
      </c>
      <c r="I1067" s="109">
        <v>0</v>
      </c>
      <c r="J1067" s="20">
        <f t="shared" si="1050"/>
        <v>0</v>
      </c>
      <c r="K1067" s="20">
        <f t="shared" si="1051"/>
        <v>0</v>
      </c>
      <c r="L1067" s="20">
        <f t="shared" si="1052"/>
        <v>0</v>
      </c>
      <c r="M1067" s="31" t="s">
        <v>2884</v>
      </c>
      <c r="N1067" s="5"/>
      <c r="Z1067" s="36">
        <f t="shared" si="1053"/>
        <v>0</v>
      </c>
      <c r="AB1067" s="36">
        <f t="shared" si="1054"/>
        <v>0</v>
      </c>
      <c r="AC1067" s="36">
        <f t="shared" si="1055"/>
        <v>0</v>
      </c>
      <c r="AD1067" s="36">
        <f t="shared" si="1056"/>
        <v>0</v>
      </c>
      <c r="AE1067" s="36">
        <f t="shared" si="1057"/>
        <v>0</v>
      </c>
      <c r="AF1067" s="36">
        <f t="shared" si="1058"/>
        <v>0</v>
      </c>
      <c r="AG1067" s="36">
        <f t="shared" si="1059"/>
        <v>0</v>
      </c>
      <c r="AH1067" s="36">
        <f t="shared" si="1060"/>
        <v>0</v>
      </c>
      <c r="AI1067" s="35" t="s">
        <v>2899</v>
      </c>
      <c r="AJ1067" s="20">
        <f t="shared" si="1061"/>
        <v>0</v>
      </c>
      <c r="AK1067" s="20">
        <f t="shared" si="1062"/>
        <v>0</v>
      </c>
      <c r="AL1067" s="20">
        <f t="shared" si="1063"/>
        <v>0</v>
      </c>
      <c r="AN1067" s="36">
        <v>21</v>
      </c>
      <c r="AO1067" s="36">
        <f t="shared" ref="AO1067:AO1072" si="1072">I1067*0.53</f>
        <v>0</v>
      </c>
      <c r="AP1067" s="36">
        <f t="shared" ref="AP1067:AP1072" si="1073">I1067*(1-0.53)</f>
        <v>0</v>
      </c>
      <c r="AQ1067" s="37" t="s">
        <v>7</v>
      </c>
      <c r="AV1067" s="36">
        <f t="shared" si="1064"/>
        <v>0</v>
      </c>
      <c r="AW1067" s="36">
        <f t="shared" si="1065"/>
        <v>0</v>
      </c>
      <c r="AX1067" s="36">
        <f t="shared" si="1066"/>
        <v>0</v>
      </c>
      <c r="AY1067" s="39" t="s">
        <v>2944</v>
      </c>
      <c r="AZ1067" s="39" t="s">
        <v>2965</v>
      </c>
      <c r="BA1067" s="35" t="s">
        <v>2972</v>
      </c>
      <c r="BC1067" s="36">
        <f t="shared" si="1067"/>
        <v>0</v>
      </c>
      <c r="BD1067" s="36">
        <f t="shared" si="1068"/>
        <v>0</v>
      </c>
      <c r="BE1067" s="36">
        <v>0</v>
      </c>
      <c r="BF1067" s="36">
        <f>1067</f>
        <v>1067</v>
      </c>
      <c r="BH1067" s="20">
        <f t="shared" si="1069"/>
        <v>0</v>
      </c>
      <c r="BI1067" s="20">
        <f t="shared" si="1070"/>
        <v>0</v>
      </c>
      <c r="BJ1067" s="20">
        <f t="shared" si="1071"/>
        <v>0</v>
      </c>
      <c r="BK1067" s="20" t="s">
        <v>2978</v>
      </c>
      <c r="BL1067" s="36">
        <v>8</v>
      </c>
    </row>
    <row r="1068" spans="1:64" x14ac:dyDescent="0.2">
      <c r="A1068" s="4" t="s">
        <v>920</v>
      </c>
      <c r="B1068" s="13" t="s">
        <v>1815</v>
      </c>
      <c r="C1068" s="174" t="s">
        <v>2728</v>
      </c>
      <c r="D1068" s="175"/>
      <c r="E1068" s="175"/>
      <c r="F1068" s="175"/>
      <c r="G1068" s="13" t="s">
        <v>2855</v>
      </c>
      <c r="H1068" s="82">
        <v>35.9</v>
      </c>
      <c r="I1068" s="109">
        <v>0</v>
      </c>
      <c r="J1068" s="20">
        <f t="shared" si="1050"/>
        <v>0</v>
      </c>
      <c r="K1068" s="20">
        <f t="shared" si="1051"/>
        <v>0</v>
      </c>
      <c r="L1068" s="20">
        <f t="shared" si="1052"/>
        <v>0</v>
      </c>
      <c r="M1068" s="31" t="s">
        <v>2884</v>
      </c>
      <c r="N1068" s="5"/>
      <c r="Z1068" s="36">
        <f t="shared" si="1053"/>
        <v>0</v>
      </c>
      <c r="AB1068" s="36">
        <f t="shared" si="1054"/>
        <v>0</v>
      </c>
      <c r="AC1068" s="36">
        <f t="shared" si="1055"/>
        <v>0</v>
      </c>
      <c r="AD1068" s="36">
        <f t="shared" si="1056"/>
        <v>0</v>
      </c>
      <c r="AE1068" s="36">
        <f t="shared" si="1057"/>
        <v>0</v>
      </c>
      <c r="AF1068" s="36">
        <f t="shared" si="1058"/>
        <v>0</v>
      </c>
      <c r="AG1068" s="36">
        <f t="shared" si="1059"/>
        <v>0</v>
      </c>
      <c r="AH1068" s="36">
        <f t="shared" si="1060"/>
        <v>0</v>
      </c>
      <c r="AI1068" s="35" t="s">
        <v>2899</v>
      </c>
      <c r="AJ1068" s="20">
        <f t="shared" si="1061"/>
        <v>0</v>
      </c>
      <c r="AK1068" s="20">
        <f t="shared" si="1062"/>
        <v>0</v>
      </c>
      <c r="AL1068" s="20">
        <f t="shared" si="1063"/>
        <v>0</v>
      </c>
      <c r="AN1068" s="36">
        <v>21</v>
      </c>
      <c r="AO1068" s="36">
        <f t="shared" si="1072"/>
        <v>0</v>
      </c>
      <c r="AP1068" s="36">
        <f t="shared" si="1073"/>
        <v>0</v>
      </c>
      <c r="AQ1068" s="37" t="s">
        <v>7</v>
      </c>
      <c r="AV1068" s="36">
        <f t="shared" si="1064"/>
        <v>0</v>
      </c>
      <c r="AW1068" s="36">
        <f t="shared" si="1065"/>
        <v>0</v>
      </c>
      <c r="AX1068" s="36">
        <f t="shared" si="1066"/>
        <v>0</v>
      </c>
      <c r="AY1068" s="39" t="s">
        <v>2944</v>
      </c>
      <c r="AZ1068" s="39" t="s">
        <v>2965</v>
      </c>
      <c r="BA1068" s="35" t="s">
        <v>2972</v>
      </c>
      <c r="BC1068" s="36">
        <f t="shared" si="1067"/>
        <v>0</v>
      </c>
      <c r="BD1068" s="36">
        <f t="shared" si="1068"/>
        <v>0</v>
      </c>
      <c r="BE1068" s="36">
        <v>0</v>
      </c>
      <c r="BF1068" s="36">
        <f>1068</f>
        <v>1068</v>
      </c>
      <c r="BH1068" s="20">
        <f t="shared" si="1069"/>
        <v>0</v>
      </c>
      <c r="BI1068" s="20">
        <f t="shared" si="1070"/>
        <v>0</v>
      </c>
      <c r="BJ1068" s="20">
        <f t="shared" si="1071"/>
        <v>0</v>
      </c>
      <c r="BK1068" s="20" t="s">
        <v>2978</v>
      </c>
      <c r="BL1068" s="36">
        <v>8</v>
      </c>
    </row>
    <row r="1069" spans="1:64" x14ac:dyDescent="0.2">
      <c r="A1069" s="4" t="s">
        <v>921</v>
      </c>
      <c r="B1069" s="13" t="s">
        <v>1816</v>
      </c>
      <c r="C1069" s="174" t="s">
        <v>2776</v>
      </c>
      <c r="D1069" s="175"/>
      <c r="E1069" s="175"/>
      <c r="F1069" s="175"/>
      <c r="G1069" s="13" t="s">
        <v>2853</v>
      </c>
      <c r="H1069" s="82">
        <v>1.2</v>
      </c>
      <c r="I1069" s="109">
        <v>0</v>
      </c>
      <c r="J1069" s="20">
        <f t="shared" si="1050"/>
        <v>0</v>
      </c>
      <c r="K1069" s="20">
        <f t="shared" si="1051"/>
        <v>0</v>
      </c>
      <c r="L1069" s="20">
        <f t="shared" si="1052"/>
        <v>0</v>
      </c>
      <c r="M1069" s="31" t="s">
        <v>2884</v>
      </c>
      <c r="N1069" s="5"/>
      <c r="Z1069" s="36">
        <f t="shared" si="1053"/>
        <v>0</v>
      </c>
      <c r="AB1069" s="36">
        <f t="shared" si="1054"/>
        <v>0</v>
      </c>
      <c r="AC1069" s="36">
        <f t="shared" si="1055"/>
        <v>0</v>
      </c>
      <c r="AD1069" s="36">
        <f t="shared" si="1056"/>
        <v>0</v>
      </c>
      <c r="AE1069" s="36">
        <f t="shared" si="1057"/>
        <v>0</v>
      </c>
      <c r="AF1069" s="36">
        <f t="shared" si="1058"/>
        <v>0</v>
      </c>
      <c r="AG1069" s="36">
        <f t="shared" si="1059"/>
        <v>0</v>
      </c>
      <c r="AH1069" s="36">
        <f t="shared" si="1060"/>
        <v>0</v>
      </c>
      <c r="AI1069" s="35" t="s">
        <v>2899</v>
      </c>
      <c r="AJ1069" s="20">
        <f t="shared" si="1061"/>
        <v>0</v>
      </c>
      <c r="AK1069" s="20">
        <f t="shared" si="1062"/>
        <v>0</v>
      </c>
      <c r="AL1069" s="20">
        <f t="shared" si="1063"/>
        <v>0</v>
      </c>
      <c r="AN1069" s="36">
        <v>21</v>
      </c>
      <c r="AO1069" s="36">
        <f t="shared" si="1072"/>
        <v>0</v>
      </c>
      <c r="AP1069" s="36">
        <f t="shared" si="1073"/>
        <v>0</v>
      </c>
      <c r="AQ1069" s="37" t="s">
        <v>7</v>
      </c>
      <c r="AV1069" s="36">
        <f t="shared" si="1064"/>
        <v>0</v>
      </c>
      <c r="AW1069" s="36">
        <f t="shared" si="1065"/>
        <v>0</v>
      </c>
      <c r="AX1069" s="36">
        <f t="shared" si="1066"/>
        <v>0</v>
      </c>
      <c r="AY1069" s="39" t="s">
        <v>2944</v>
      </c>
      <c r="AZ1069" s="39" t="s">
        <v>2965</v>
      </c>
      <c r="BA1069" s="35" t="s">
        <v>2972</v>
      </c>
      <c r="BC1069" s="36">
        <f t="shared" si="1067"/>
        <v>0</v>
      </c>
      <c r="BD1069" s="36">
        <f t="shared" si="1068"/>
        <v>0</v>
      </c>
      <c r="BE1069" s="36">
        <v>0</v>
      </c>
      <c r="BF1069" s="36">
        <f>1069</f>
        <v>1069</v>
      </c>
      <c r="BH1069" s="20">
        <f t="shared" si="1069"/>
        <v>0</v>
      </c>
      <c r="BI1069" s="20">
        <f t="shared" si="1070"/>
        <v>0</v>
      </c>
      <c r="BJ1069" s="20">
        <f t="shared" si="1071"/>
        <v>0</v>
      </c>
      <c r="BK1069" s="20" t="s">
        <v>2978</v>
      </c>
      <c r="BL1069" s="36">
        <v>8</v>
      </c>
    </row>
    <row r="1070" spans="1:64" x14ac:dyDescent="0.2">
      <c r="A1070" s="4" t="s">
        <v>922</v>
      </c>
      <c r="B1070" s="13" t="s">
        <v>1817</v>
      </c>
      <c r="C1070" s="174" t="s">
        <v>2730</v>
      </c>
      <c r="D1070" s="175"/>
      <c r="E1070" s="175"/>
      <c r="F1070" s="175"/>
      <c r="G1070" s="13" t="s">
        <v>2853</v>
      </c>
      <c r="H1070" s="82">
        <v>6.5</v>
      </c>
      <c r="I1070" s="109">
        <v>0</v>
      </c>
      <c r="J1070" s="20">
        <f t="shared" si="1050"/>
        <v>0</v>
      </c>
      <c r="K1070" s="20">
        <f t="shared" si="1051"/>
        <v>0</v>
      </c>
      <c r="L1070" s="20">
        <f t="shared" si="1052"/>
        <v>0</v>
      </c>
      <c r="M1070" s="31" t="s">
        <v>2884</v>
      </c>
      <c r="N1070" s="5"/>
      <c r="Z1070" s="36">
        <f t="shared" si="1053"/>
        <v>0</v>
      </c>
      <c r="AB1070" s="36">
        <f t="shared" si="1054"/>
        <v>0</v>
      </c>
      <c r="AC1070" s="36">
        <f t="shared" si="1055"/>
        <v>0</v>
      </c>
      <c r="AD1070" s="36">
        <f t="shared" si="1056"/>
        <v>0</v>
      </c>
      <c r="AE1070" s="36">
        <f t="shared" si="1057"/>
        <v>0</v>
      </c>
      <c r="AF1070" s="36">
        <f t="shared" si="1058"/>
        <v>0</v>
      </c>
      <c r="AG1070" s="36">
        <f t="shared" si="1059"/>
        <v>0</v>
      </c>
      <c r="AH1070" s="36">
        <f t="shared" si="1060"/>
        <v>0</v>
      </c>
      <c r="AI1070" s="35" t="s">
        <v>2899</v>
      </c>
      <c r="AJ1070" s="20">
        <f t="shared" si="1061"/>
        <v>0</v>
      </c>
      <c r="AK1070" s="20">
        <f t="shared" si="1062"/>
        <v>0</v>
      </c>
      <c r="AL1070" s="20">
        <f t="shared" si="1063"/>
        <v>0</v>
      </c>
      <c r="AN1070" s="36">
        <v>21</v>
      </c>
      <c r="AO1070" s="36">
        <f t="shared" si="1072"/>
        <v>0</v>
      </c>
      <c r="AP1070" s="36">
        <f t="shared" si="1073"/>
        <v>0</v>
      </c>
      <c r="AQ1070" s="37" t="s">
        <v>7</v>
      </c>
      <c r="AV1070" s="36">
        <f t="shared" si="1064"/>
        <v>0</v>
      </c>
      <c r="AW1070" s="36">
        <f t="shared" si="1065"/>
        <v>0</v>
      </c>
      <c r="AX1070" s="36">
        <f t="shared" si="1066"/>
        <v>0</v>
      </c>
      <c r="AY1070" s="39" t="s">
        <v>2944</v>
      </c>
      <c r="AZ1070" s="39" t="s">
        <v>2965</v>
      </c>
      <c r="BA1070" s="35" t="s">
        <v>2972</v>
      </c>
      <c r="BC1070" s="36">
        <f t="shared" si="1067"/>
        <v>0</v>
      </c>
      <c r="BD1070" s="36">
        <f t="shared" si="1068"/>
        <v>0</v>
      </c>
      <c r="BE1070" s="36">
        <v>0</v>
      </c>
      <c r="BF1070" s="36">
        <f>1070</f>
        <v>1070</v>
      </c>
      <c r="BH1070" s="20">
        <f t="shared" si="1069"/>
        <v>0</v>
      </c>
      <c r="BI1070" s="20">
        <f t="shared" si="1070"/>
        <v>0</v>
      </c>
      <c r="BJ1070" s="20">
        <f t="shared" si="1071"/>
        <v>0</v>
      </c>
      <c r="BK1070" s="20" t="s">
        <v>2978</v>
      </c>
      <c r="BL1070" s="36">
        <v>8</v>
      </c>
    </row>
    <row r="1071" spans="1:64" x14ac:dyDescent="0.2">
      <c r="A1071" s="4" t="s">
        <v>923</v>
      </c>
      <c r="B1071" s="13" t="s">
        <v>1818</v>
      </c>
      <c r="C1071" s="174" t="s">
        <v>2731</v>
      </c>
      <c r="D1071" s="175"/>
      <c r="E1071" s="175"/>
      <c r="F1071" s="175"/>
      <c r="G1071" s="13" t="s">
        <v>2853</v>
      </c>
      <c r="H1071" s="82">
        <v>54.4</v>
      </c>
      <c r="I1071" s="109">
        <v>0</v>
      </c>
      <c r="J1071" s="20">
        <f t="shared" si="1050"/>
        <v>0</v>
      </c>
      <c r="K1071" s="20">
        <f t="shared" si="1051"/>
        <v>0</v>
      </c>
      <c r="L1071" s="20">
        <f t="shared" si="1052"/>
        <v>0</v>
      </c>
      <c r="M1071" s="31" t="s">
        <v>2884</v>
      </c>
      <c r="N1071" s="5"/>
      <c r="Z1071" s="36">
        <f t="shared" si="1053"/>
        <v>0</v>
      </c>
      <c r="AB1071" s="36">
        <f t="shared" si="1054"/>
        <v>0</v>
      </c>
      <c r="AC1071" s="36">
        <f t="shared" si="1055"/>
        <v>0</v>
      </c>
      <c r="AD1071" s="36">
        <f t="shared" si="1056"/>
        <v>0</v>
      </c>
      <c r="AE1071" s="36">
        <f t="shared" si="1057"/>
        <v>0</v>
      </c>
      <c r="AF1071" s="36">
        <f t="shared" si="1058"/>
        <v>0</v>
      </c>
      <c r="AG1071" s="36">
        <f t="shared" si="1059"/>
        <v>0</v>
      </c>
      <c r="AH1071" s="36">
        <f t="shared" si="1060"/>
        <v>0</v>
      </c>
      <c r="AI1071" s="35" t="s">
        <v>2899</v>
      </c>
      <c r="AJ1071" s="20">
        <f t="shared" si="1061"/>
        <v>0</v>
      </c>
      <c r="AK1071" s="20">
        <f t="shared" si="1062"/>
        <v>0</v>
      </c>
      <c r="AL1071" s="20">
        <f t="shared" si="1063"/>
        <v>0</v>
      </c>
      <c r="AN1071" s="36">
        <v>21</v>
      </c>
      <c r="AO1071" s="36">
        <f t="shared" si="1072"/>
        <v>0</v>
      </c>
      <c r="AP1071" s="36">
        <f t="shared" si="1073"/>
        <v>0</v>
      </c>
      <c r="AQ1071" s="37" t="s">
        <v>7</v>
      </c>
      <c r="AV1071" s="36">
        <f t="shared" si="1064"/>
        <v>0</v>
      </c>
      <c r="AW1071" s="36">
        <f t="shared" si="1065"/>
        <v>0</v>
      </c>
      <c r="AX1071" s="36">
        <f t="shared" si="1066"/>
        <v>0</v>
      </c>
      <c r="AY1071" s="39" t="s">
        <v>2944</v>
      </c>
      <c r="AZ1071" s="39" t="s">
        <v>2965</v>
      </c>
      <c r="BA1071" s="35" t="s">
        <v>2972</v>
      </c>
      <c r="BC1071" s="36">
        <f t="shared" si="1067"/>
        <v>0</v>
      </c>
      <c r="BD1071" s="36">
        <f t="shared" si="1068"/>
        <v>0</v>
      </c>
      <c r="BE1071" s="36">
        <v>0</v>
      </c>
      <c r="BF1071" s="36">
        <f>1071</f>
        <v>1071</v>
      </c>
      <c r="BH1071" s="20">
        <f t="shared" si="1069"/>
        <v>0</v>
      </c>
      <c r="BI1071" s="20">
        <f t="shared" si="1070"/>
        <v>0</v>
      </c>
      <c r="BJ1071" s="20">
        <f t="shared" si="1071"/>
        <v>0</v>
      </c>
      <c r="BK1071" s="20" t="s">
        <v>2978</v>
      </c>
      <c r="BL1071" s="36">
        <v>8</v>
      </c>
    </row>
    <row r="1072" spans="1:64" x14ac:dyDescent="0.2">
      <c r="A1072" s="4" t="s">
        <v>924</v>
      </c>
      <c r="B1072" s="13" t="s">
        <v>1819</v>
      </c>
      <c r="C1072" s="174" t="s">
        <v>2820</v>
      </c>
      <c r="D1072" s="175"/>
      <c r="E1072" s="175"/>
      <c r="F1072" s="175"/>
      <c r="G1072" s="13" t="s">
        <v>2855</v>
      </c>
      <c r="H1072" s="82">
        <v>37.299999999999997</v>
      </c>
      <c r="I1072" s="109">
        <v>0</v>
      </c>
      <c r="J1072" s="20">
        <f t="shared" si="1050"/>
        <v>0</v>
      </c>
      <c r="K1072" s="20">
        <f t="shared" si="1051"/>
        <v>0</v>
      </c>
      <c r="L1072" s="20">
        <f t="shared" si="1052"/>
        <v>0</v>
      </c>
      <c r="M1072" s="31" t="s">
        <v>2884</v>
      </c>
      <c r="N1072" s="5"/>
      <c r="Z1072" s="36">
        <f t="shared" si="1053"/>
        <v>0</v>
      </c>
      <c r="AB1072" s="36">
        <f t="shared" si="1054"/>
        <v>0</v>
      </c>
      <c r="AC1072" s="36">
        <f t="shared" si="1055"/>
        <v>0</v>
      </c>
      <c r="AD1072" s="36">
        <f t="shared" si="1056"/>
        <v>0</v>
      </c>
      <c r="AE1072" s="36">
        <f t="shared" si="1057"/>
        <v>0</v>
      </c>
      <c r="AF1072" s="36">
        <f t="shared" si="1058"/>
        <v>0</v>
      </c>
      <c r="AG1072" s="36">
        <f t="shared" si="1059"/>
        <v>0</v>
      </c>
      <c r="AH1072" s="36">
        <f t="shared" si="1060"/>
        <v>0</v>
      </c>
      <c r="AI1072" s="35" t="s">
        <v>2899</v>
      </c>
      <c r="AJ1072" s="20">
        <f t="shared" si="1061"/>
        <v>0</v>
      </c>
      <c r="AK1072" s="20">
        <f t="shared" si="1062"/>
        <v>0</v>
      </c>
      <c r="AL1072" s="20">
        <f t="shared" si="1063"/>
        <v>0</v>
      </c>
      <c r="AN1072" s="36">
        <v>21</v>
      </c>
      <c r="AO1072" s="36">
        <f t="shared" si="1072"/>
        <v>0</v>
      </c>
      <c r="AP1072" s="36">
        <f t="shared" si="1073"/>
        <v>0</v>
      </c>
      <c r="AQ1072" s="37" t="s">
        <v>7</v>
      </c>
      <c r="AV1072" s="36">
        <f t="shared" si="1064"/>
        <v>0</v>
      </c>
      <c r="AW1072" s="36">
        <f t="shared" si="1065"/>
        <v>0</v>
      </c>
      <c r="AX1072" s="36">
        <f t="shared" si="1066"/>
        <v>0</v>
      </c>
      <c r="AY1072" s="39" t="s">
        <v>2944</v>
      </c>
      <c r="AZ1072" s="39" t="s">
        <v>2965</v>
      </c>
      <c r="BA1072" s="35" t="s">
        <v>2972</v>
      </c>
      <c r="BC1072" s="36">
        <f t="shared" si="1067"/>
        <v>0</v>
      </c>
      <c r="BD1072" s="36">
        <f t="shared" si="1068"/>
        <v>0</v>
      </c>
      <c r="BE1072" s="36">
        <v>0</v>
      </c>
      <c r="BF1072" s="36">
        <f>1072</f>
        <v>1072</v>
      </c>
      <c r="BH1072" s="20">
        <f t="shared" si="1069"/>
        <v>0</v>
      </c>
      <c r="BI1072" s="20">
        <f t="shared" si="1070"/>
        <v>0</v>
      </c>
      <c r="BJ1072" s="20">
        <f t="shared" si="1071"/>
        <v>0</v>
      </c>
      <c r="BK1072" s="20" t="s">
        <v>2978</v>
      </c>
      <c r="BL1072" s="36">
        <v>8</v>
      </c>
    </row>
    <row r="1073" spans="1:64" ht="25.7" customHeight="1" x14ac:dyDescent="0.2">
      <c r="A1073" s="5"/>
      <c r="B1073" s="14"/>
      <c r="C1073" s="179" t="s">
        <v>2782</v>
      </c>
      <c r="D1073" s="180"/>
      <c r="E1073" s="180"/>
      <c r="F1073" s="180"/>
      <c r="G1073" s="180"/>
      <c r="H1073" s="180"/>
      <c r="I1073" s="180"/>
      <c r="J1073" s="180"/>
      <c r="K1073" s="180"/>
      <c r="L1073" s="180"/>
      <c r="M1073" s="181"/>
      <c r="N1073" s="5"/>
    </row>
    <row r="1074" spans="1:64" x14ac:dyDescent="0.2">
      <c r="A1074" s="4" t="s">
        <v>925</v>
      </c>
      <c r="B1074" s="13" t="s">
        <v>1820</v>
      </c>
      <c r="C1074" s="174" t="s">
        <v>2821</v>
      </c>
      <c r="D1074" s="175"/>
      <c r="E1074" s="175"/>
      <c r="F1074" s="175"/>
      <c r="G1074" s="13" t="s">
        <v>2855</v>
      </c>
      <c r="H1074" s="82">
        <v>1</v>
      </c>
      <c r="I1074" s="109">
        <v>0</v>
      </c>
      <c r="J1074" s="20">
        <f>H1074*AO1074</f>
        <v>0</v>
      </c>
      <c r="K1074" s="20">
        <f>H1074*AP1074</f>
        <v>0</v>
      </c>
      <c r="L1074" s="20">
        <f>H1074*I1074</f>
        <v>0</v>
      </c>
      <c r="M1074" s="31" t="s">
        <v>2884</v>
      </c>
      <c r="N1074" s="5"/>
      <c r="Z1074" s="36">
        <f>IF(AQ1074="5",BJ1074,0)</f>
        <v>0</v>
      </c>
      <c r="AB1074" s="36">
        <f>IF(AQ1074="1",BH1074,0)</f>
        <v>0</v>
      </c>
      <c r="AC1074" s="36">
        <f>IF(AQ1074="1",BI1074,0)</f>
        <v>0</v>
      </c>
      <c r="AD1074" s="36">
        <f>IF(AQ1074="7",BH1074,0)</f>
        <v>0</v>
      </c>
      <c r="AE1074" s="36">
        <f>IF(AQ1074="7",BI1074,0)</f>
        <v>0</v>
      </c>
      <c r="AF1074" s="36">
        <f>IF(AQ1074="2",BH1074,0)</f>
        <v>0</v>
      </c>
      <c r="AG1074" s="36">
        <f>IF(AQ1074="2",BI1074,0)</f>
        <v>0</v>
      </c>
      <c r="AH1074" s="36">
        <f>IF(AQ1074="0",BJ1074,0)</f>
        <v>0</v>
      </c>
      <c r="AI1074" s="35" t="s">
        <v>2899</v>
      </c>
      <c r="AJ1074" s="20">
        <f>IF(AN1074=0,L1074,0)</f>
        <v>0</v>
      </c>
      <c r="AK1074" s="20">
        <f>IF(AN1074=15,L1074,0)</f>
        <v>0</v>
      </c>
      <c r="AL1074" s="20">
        <f>IF(AN1074=21,L1074,0)</f>
        <v>0</v>
      </c>
      <c r="AN1074" s="36">
        <v>21</v>
      </c>
      <c r="AO1074" s="36">
        <f>I1074*0.53</f>
        <v>0</v>
      </c>
      <c r="AP1074" s="36">
        <f>I1074*(1-0.53)</f>
        <v>0</v>
      </c>
      <c r="AQ1074" s="37" t="s">
        <v>7</v>
      </c>
      <c r="AV1074" s="36">
        <f>AW1074+AX1074</f>
        <v>0</v>
      </c>
      <c r="AW1074" s="36">
        <f>H1074*AO1074</f>
        <v>0</v>
      </c>
      <c r="AX1074" s="36">
        <f>H1074*AP1074</f>
        <v>0</v>
      </c>
      <c r="AY1074" s="39" t="s">
        <v>2944</v>
      </c>
      <c r="AZ1074" s="39" t="s">
        <v>2965</v>
      </c>
      <c r="BA1074" s="35" t="s">
        <v>2972</v>
      </c>
      <c r="BC1074" s="36">
        <f>AW1074+AX1074</f>
        <v>0</v>
      </c>
      <c r="BD1074" s="36">
        <f>I1074/(100-BE1074)*100</f>
        <v>0</v>
      </c>
      <c r="BE1074" s="36">
        <v>0</v>
      </c>
      <c r="BF1074" s="36">
        <f>1074</f>
        <v>1074</v>
      </c>
      <c r="BH1074" s="20">
        <f>H1074*AO1074</f>
        <v>0</v>
      </c>
      <c r="BI1074" s="20">
        <f>H1074*AP1074</f>
        <v>0</v>
      </c>
      <c r="BJ1074" s="20">
        <f>H1074*I1074</f>
        <v>0</v>
      </c>
      <c r="BK1074" s="20" t="s">
        <v>2978</v>
      </c>
      <c r="BL1074" s="36">
        <v>8</v>
      </c>
    </row>
    <row r="1075" spans="1:64" x14ac:dyDescent="0.2">
      <c r="A1075" s="5"/>
      <c r="B1075" s="14"/>
      <c r="C1075" s="179" t="s">
        <v>2822</v>
      </c>
      <c r="D1075" s="180"/>
      <c r="E1075" s="180"/>
      <c r="F1075" s="180"/>
      <c r="G1075" s="180"/>
      <c r="H1075" s="180"/>
      <c r="I1075" s="180"/>
      <c r="J1075" s="180"/>
      <c r="K1075" s="180"/>
      <c r="L1075" s="180"/>
      <c r="M1075" s="181"/>
      <c r="N1075" s="5"/>
    </row>
    <row r="1076" spans="1:64" x14ac:dyDescent="0.2">
      <c r="A1076" s="4" t="s">
        <v>926</v>
      </c>
      <c r="B1076" s="13" t="s">
        <v>1821</v>
      </c>
      <c r="C1076" s="174" t="s">
        <v>2823</v>
      </c>
      <c r="D1076" s="175"/>
      <c r="E1076" s="175"/>
      <c r="F1076" s="175"/>
      <c r="G1076" s="13" t="s">
        <v>2860</v>
      </c>
      <c r="H1076" s="82">
        <v>1</v>
      </c>
      <c r="I1076" s="109">
        <v>0</v>
      </c>
      <c r="J1076" s="20">
        <f>H1076*AO1076</f>
        <v>0</v>
      </c>
      <c r="K1076" s="20">
        <f>H1076*AP1076</f>
        <v>0</v>
      </c>
      <c r="L1076" s="20">
        <f>H1076*I1076</f>
        <v>0</v>
      </c>
      <c r="M1076" s="31" t="s">
        <v>2884</v>
      </c>
      <c r="N1076" s="5"/>
      <c r="Z1076" s="36">
        <f>IF(AQ1076="5",BJ1076,0)</f>
        <v>0</v>
      </c>
      <c r="AB1076" s="36">
        <f>IF(AQ1076="1",BH1076,0)</f>
        <v>0</v>
      </c>
      <c r="AC1076" s="36">
        <f>IF(AQ1076="1",BI1076,0)</f>
        <v>0</v>
      </c>
      <c r="AD1076" s="36">
        <f>IF(AQ1076="7",BH1076,0)</f>
        <v>0</v>
      </c>
      <c r="AE1076" s="36">
        <f>IF(AQ1076="7",BI1076,0)</f>
        <v>0</v>
      </c>
      <c r="AF1076" s="36">
        <f>IF(AQ1076="2",BH1076,0)</f>
        <v>0</v>
      </c>
      <c r="AG1076" s="36">
        <f>IF(AQ1076="2",BI1076,0)</f>
        <v>0</v>
      </c>
      <c r="AH1076" s="36">
        <f>IF(AQ1076="0",BJ1076,0)</f>
        <v>0</v>
      </c>
      <c r="AI1076" s="35" t="s">
        <v>2899</v>
      </c>
      <c r="AJ1076" s="20">
        <f>IF(AN1076=0,L1076,0)</f>
        <v>0</v>
      </c>
      <c r="AK1076" s="20">
        <f>IF(AN1076=15,L1076,0)</f>
        <v>0</v>
      </c>
      <c r="AL1076" s="20">
        <f>IF(AN1076=21,L1076,0)</f>
        <v>0</v>
      </c>
      <c r="AN1076" s="36">
        <v>21</v>
      </c>
      <c r="AO1076" s="36">
        <f>I1076*0.53</f>
        <v>0</v>
      </c>
      <c r="AP1076" s="36">
        <f>I1076*(1-0.53)</f>
        <v>0</v>
      </c>
      <c r="AQ1076" s="37" t="s">
        <v>7</v>
      </c>
      <c r="AV1076" s="36">
        <f>AW1076+AX1076</f>
        <v>0</v>
      </c>
      <c r="AW1076" s="36">
        <f>H1076*AO1076</f>
        <v>0</v>
      </c>
      <c r="AX1076" s="36">
        <f>H1076*AP1076</f>
        <v>0</v>
      </c>
      <c r="AY1076" s="39" t="s">
        <v>2944</v>
      </c>
      <c r="AZ1076" s="39" t="s">
        <v>2965</v>
      </c>
      <c r="BA1076" s="35" t="s">
        <v>2972</v>
      </c>
      <c r="BC1076" s="36">
        <f>AW1076+AX1076</f>
        <v>0</v>
      </c>
      <c r="BD1076" s="36">
        <f>I1076/(100-BE1076)*100</f>
        <v>0</v>
      </c>
      <c r="BE1076" s="36">
        <v>0</v>
      </c>
      <c r="BF1076" s="36">
        <f>1076</f>
        <v>1076</v>
      </c>
      <c r="BH1076" s="20">
        <f>H1076*AO1076</f>
        <v>0</v>
      </c>
      <c r="BI1076" s="20">
        <f>H1076*AP1076</f>
        <v>0</v>
      </c>
      <c r="BJ1076" s="20">
        <f>H1076*I1076</f>
        <v>0</v>
      </c>
      <c r="BK1076" s="20" t="s">
        <v>2978</v>
      </c>
      <c r="BL1076" s="36">
        <v>8</v>
      </c>
    </row>
    <row r="1077" spans="1:64" x14ac:dyDescent="0.2">
      <c r="A1077" s="5"/>
      <c r="B1077" s="14"/>
      <c r="C1077" s="179" t="s">
        <v>2737</v>
      </c>
      <c r="D1077" s="180"/>
      <c r="E1077" s="180"/>
      <c r="F1077" s="180"/>
      <c r="G1077" s="180"/>
      <c r="H1077" s="180"/>
      <c r="I1077" s="180"/>
      <c r="J1077" s="180"/>
      <c r="K1077" s="180"/>
      <c r="L1077" s="180"/>
      <c r="M1077" s="181"/>
      <c r="N1077" s="5"/>
    </row>
    <row r="1078" spans="1:64" x14ac:dyDescent="0.2">
      <c r="A1078" s="4" t="s">
        <v>927</v>
      </c>
      <c r="B1078" s="13" t="s">
        <v>1822</v>
      </c>
      <c r="C1078" s="174" t="s">
        <v>2824</v>
      </c>
      <c r="D1078" s="175"/>
      <c r="E1078" s="175"/>
      <c r="F1078" s="175"/>
      <c r="G1078" s="13" t="s">
        <v>2860</v>
      </c>
      <c r="H1078" s="82">
        <v>1</v>
      </c>
      <c r="I1078" s="109">
        <v>0</v>
      </c>
      <c r="J1078" s="20">
        <f t="shared" ref="J1078:J1094" si="1074">H1078*AO1078</f>
        <v>0</v>
      </c>
      <c r="K1078" s="20">
        <f t="shared" ref="K1078:K1094" si="1075">H1078*AP1078</f>
        <v>0</v>
      </c>
      <c r="L1078" s="20">
        <f t="shared" ref="L1078:L1094" si="1076">H1078*I1078</f>
        <v>0</v>
      </c>
      <c r="M1078" s="31" t="s">
        <v>2884</v>
      </c>
      <c r="N1078" s="5"/>
      <c r="Z1078" s="36">
        <f t="shared" ref="Z1078:Z1094" si="1077">IF(AQ1078="5",BJ1078,0)</f>
        <v>0</v>
      </c>
      <c r="AB1078" s="36">
        <f t="shared" ref="AB1078:AB1094" si="1078">IF(AQ1078="1",BH1078,0)</f>
        <v>0</v>
      </c>
      <c r="AC1078" s="36">
        <f t="shared" ref="AC1078:AC1094" si="1079">IF(AQ1078="1",BI1078,0)</f>
        <v>0</v>
      </c>
      <c r="AD1078" s="36">
        <f t="shared" ref="AD1078:AD1094" si="1080">IF(AQ1078="7",BH1078,0)</f>
        <v>0</v>
      </c>
      <c r="AE1078" s="36">
        <f t="shared" ref="AE1078:AE1094" si="1081">IF(AQ1078="7",BI1078,0)</f>
        <v>0</v>
      </c>
      <c r="AF1078" s="36">
        <f t="shared" ref="AF1078:AF1094" si="1082">IF(AQ1078="2",BH1078,0)</f>
        <v>0</v>
      </c>
      <c r="AG1078" s="36">
        <f t="shared" ref="AG1078:AG1094" si="1083">IF(AQ1078="2",BI1078,0)</f>
        <v>0</v>
      </c>
      <c r="AH1078" s="36">
        <f t="shared" ref="AH1078:AH1094" si="1084">IF(AQ1078="0",BJ1078,0)</f>
        <v>0</v>
      </c>
      <c r="AI1078" s="35" t="s">
        <v>2899</v>
      </c>
      <c r="AJ1078" s="20">
        <f t="shared" ref="AJ1078:AJ1094" si="1085">IF(AN1078=0,L1078,0)</f>
        <v>0</v>
      </c>
      <c r="AK1078" s="20">
        <f t="shared" ref="AK1078:AK1094" si="1086">IF(AN1078=15,L1078,0)</f>
        <v>0</v>
      </c>
      <c r="AL1078" s="20">
        <f t="shared" ref="AL1078:AL1094" si="1087">IF(AN1078=21,L1078,0)</f>
        <v>0</v>
      </c>
      <c r="AN1078" s="36">
        <v>21</v>
      </c>
      <c r="AO1078" s="36">
        <f t="shared" ref="AO1078:AO1084" si="1088">I1078*0.53</f>
        <v>0</v>
      </c>
      <c r="AP1078" s="36">
        <f t="shared" ref="AP1078:AP1084" si="1089">I1078*(1-0.53)</f>
        <v>0</v>
      </c>
      <c r="AQ1078" s="37" t="s">
        <v>7</v>
      </c>
      <c r="AV1078" s="36">
        <f t="shared" ref="AV1078:AV1094" si="1090">AW1078+AX1078</f>
        <v>0</v>
      </c>
      <c r="AW1078" s="36">
        <f t="shared" ref="AW1078:AW1094" si="1091">H1078*AO1078</f>
        <v>0</v>
      </c>
      <c r="AX1078" s="36">
        <f t="shared" ref="AX1078:AX1094" si="1092">H1078*AP1078</f>
        <v>0</v>
      </c>
      <c r="AY1078" s="39" t="s">
        <v>2944</v>
      </c>
      <c r="AZ1078" s="39" t="s">
        <v>2965</v>
      </c>
      <c r="BA1078" s="35" t="s">
        <v>2972</v>
      </c>
      <c r="BC1078" s="36">
        <f t="shared" ref="BC1078:BC1094" si="1093">AW1078+AX1078</f>
        <v>0</v>
      </c>
      <c r="BD1078" s="36">
        <f t="shared" ref="BD1078:BD1094" si="1094">I1078/(100-BE1078)*100</f>
        <v>0</v>
      </c>
      <c r="BE1078" s="36">
        <v>0</v>
      </c>
      <c r="BF1078" s="36">
        <f>1078</f>
        <v>1078</v>
      </c>
      <c r="BH1078" s="20">
        <f t="shared" ref="BH1078:BH1094" si="1095">H1078*AO1078</f>
        <v>0</v>
      </c>
      <c r="BI1078" s="20">
        <f t="shared" ref="BI1078:BI1094" si="1096">H1078*AP1078</f>
        <v>0</v>
      </c>
      <c r="BJ1078" s="20">
        <f t="shared" ref="BJ1078:BJ1094" si="1097">H1078*I1078</f>
        <v>0</v>
      </c>
      <c r="BK1078" s="20" t="s">
        <v>2978</v>
      </c>
      <c r="BL1078" s="36">
        <v>8</v>
      </c>
    </row>
    <row r="1079" spans="1:64" x14ac:dyDescent="0.2">
      <c r="A1079" s="4" t="s">
        <v>928</v>
      </c>
      <c r="B1079" s="13" t="s">
        <v>1823</v>
      </c>
      <c r="C1079" s="174" t="s">
        <v>2825</v>
      </c>
      <c r="D1079" s="175"/>
      <c r="E1079" s="175"/>
      <c r="F1079" s="175"/>
      <c r="G1079" s="13" t="s">
        <v>2860</v>
      </c>
      <c r="H1079" s="82">
        <v>1</v>
      </c>
      <c r="I1079" s="109">
        <v>0</v>
      </c>
      <c r="J1079" s="20">
        <f t="shared" si="1074"/>
        <v>0</v>
      </c>
      <c r="K1079" s="20">
        <f t="shared" si="1075"/>
        <v>0</v>
      </c>
      <c r="L1079" s="20">
        <f t="shared" si="1076"/>
        <v>0</v>
      </c>
      <c r="M1079" s="31" t="s">
        <v>2884</v>
      </c>
      <c r="N1079" s="5"/>
      <c r="Z1079" s="36">
        <f t="shared" si="1077"/>
        <v>0</v>
      </c>
      <c r="AB1079" s="36">
        <f t="shared" si="1078"/>
        <v>0</v>
      </c>
      <c r="AC1079" s="36">
        <f t="shared" si="1079"/>
        <v>0</v>
      </c>
      <c r="AD1079" s="36">
        <f t="shared" si="1080"/>
        <v>0</v>
      </c>
      <c r="AE1079" s="36">
        <f t="shared" si="1081"/>
        <v>0</v>
      </c>
      <c r="AF1079" s="36">
        <f t="shared" si="1082"/>
        <v>0</v>
      </c>
      <c r="AG1079" s="36">
        <f t="shared" si="1083"/>
        <v>0</v>
      </c>
      <c r="AH1079" s="36">
        <f t="shared" si="1084"/>
        <v>0</v>
      </c>
      <c r="AI1079" s="35" t="s">
        <v>2899</v>
      </c>
      <c r="AJ1079" s="20">
        <f t="shared" si="1085"/>
        <v>0</v>
      </c>
      <c r="AK1079" s="20">
        <f t="shared" si="1086"/>
        <v>0</v>
      </c>
      <c r="AL1079" s="20">
        <f t="shared" si="1087"/>
        <v>0</v>
      </c>
      <c r="AN1079" s="36">
        <v>21</v>
      </c>
      <c r="AO1079" s="36">
        <f t="shared" si="1088"/>
        <v>0</v>
      </c>
      <c r="AP1079" s="36">
        <f t="shared" si="1089"/>
        <v>0</v>
      </c>
      <c r="AQ1079" s="37" t="s">
        <v>7</v>
      </c>
      <c r="AV1079" s="36">
        <f t="shared" si="1090"/>
        <v>0</v>
      </c>
      <c r="AW1079" s="36">
        <f t="shared" si="1091"/>
        <v>0</v>
      </c>
      <c r="AX1079" s="36">
        <f t="shared" si="1092"/>
        <v>0</v>
      </c>
      <c r="AY1079" s="39" t="s">
        <v>2944</v>
      </c>
      <c r="AZ1079" s="39" t="s">
        <v>2965</v>
      </c>
      <c r="BA1079" s="35" t="s">
        <v>2972</v>
      </c>
      <c r="BC1079" s="36">
        <f t="shared" si="1093"/>
        <v>0</v>
      </c>
      <c r="BD1079" s="36">
        <f t="shared" si="1094"/>
        <v>0</v>
      </c>
      <c r="BE1079" s="36">
        <v>0</v>
      </c>
      <c r="BF1079" s="36">
        <f>1079</f>
        <v>1079</v>
      </c>
      <c r="BH1079" s="20">
        <f t="shared" si="1095"/>
        <v>0</v>
      </c>
      <c r="BI1079" s="20">
        <f t="shared" si="1096"/>
        <v>0</v>
      </c>
      <c r="BJ1079" s="20">
        <f t="shared" si="1097"/>
        <v>0</v>
      </c>
      <c r="BK1079" s="20" t="s">
        <v>2978</v>
      </c>
      <c r="BL1079" s="36">
        <v>8</v>
      </c>
    </row>
    <row r="1080" spans="1:64" x14ac:dyDescent="0.2">
      <c r="A1080" s="4" t="s">
        <v>929</v>
      </c>
      <c r="B1080" s="13" t="s">
        <v>1824</v>
      </c>
      <c r="C1080" s="174" t="s">
        <v>2826</v>
      </c>
      <c r="D1080" s="175"/>
      <c r="E1080" s="175"/>
      <c r="F1080" s="175"/>
      <c r="G1080" s="13" t="s">
        <v>2860</v>
      </c>
      <c r="H1080" s="82">
        <v>1</v>
      </c>
      <c r="I1080" s="109">
        <v>0</v>
      </c>
      <c r="J1080" s="20">
        <f t="shared" si="1074"/>
        <v>0</v>
      </c>
      <c r="K1080" s="20">
        <f t="shared" si="1075"/>
        <v>0</v>
      </c>
      <c r="L1080" s="20">
        <f t="shared" si="1076"/>
        <v>0</v>
      </c>
      <c r="M1080" s="31" t="s">
        <v>2884</v>
      </c>
      <c r="N1080" s="5"/>
      <c r="Z1080" s="36">
        <f t="shared" si="1077"/>
        <v>0</v>
      </c>
      <c r="AB1080" s="36">
        <f t="shared" si="1078"/>
        <v>0</v>
      </c>
      <c r="AC1080" s="36">
        <f t="shared" si="1079"/>
        <v>0</v>
      </c>
      <c r="AD1080" s="36">
        <f t="shared" si="1080"/>
        <v>0</v>
      </c>
      <c r="AE1080" s="36">
        <f t="shared" si="1081"/>
        <v>0</v>
      </c>
      <c r="AF1080" s="36">
        <f t="shared" si="1082"/>
        <v>0</v>
      </c>
      <c r="AG1080" s="36">
        <f t="shared" si="1083"/>
        <v>0</v>
      </c>
      <c r="AH1080" s="36">
        <f t="shared" si="1084"/>
        <v>0</v>
      </c>
      <c r="AI1080" s="35" t="s">
        <v>2899</v>
      </c>
      <c r="AJ1080" s="20">
        <f t="shared" si="1085"/>
        <v>0</v>
      </c>
      <c r="AK1080" s="20">
        <f t="shared" si="1086"/>
        <v>0</v>
      </c>
      <c r="AL1080" s="20">
        <f t="shared" si="1087"/>
        <v>0</v>
      </c>
      <c r="AN1080" s="36">
        <v>21</v>
      </c>
      <c r="AO1080" s="36">
        <f t="shared" si="1088"/>
        <v>0</v>
      </c>
      <c r="AP1080" s="36">
        <f t="shared" si="1089"/>
        <v>0</v>
      </c>
      <c r="AQ1080" s="37" t="s">
        <v>7</v>
      </c>
      <c r="AV1080" s="36">
        <f t="shared" si="1090"/>
        <v>0</v>
      </c>
      <c r="AW1080" s="36">
        <f t="shared" si="1091"/>
        <v>0</v>
      </c>
      <c r="AX1080" s="36">
        <f t="shared" si="1092"/>
        <v>0</v>
      </c>
      <c r="AY1080" s="39" t="s">
        <v>2944</v>
      </c>
      <c r="AZ1080" s="39" t="s">
        <v>2965</v>
      </c>
      <c r="BA1080" s="35" t="s">
        <v>2972</v>
      </c>
      <c r="BC1080" s="36">
        <f t="shared" si="1093"/>
        <v>0</v>
      </c>
      <c r="BD1080" s="36">
        <f t="shared" si="1094"/>
        <v>0</v>
      </c>
      <c r="BE1080" s="36">
        <v>0</v>
      </c>
      <c r="BF1080" s="36">
        <f>1080</f>
        <v>1080</v>
      </c>
      <c r="BH1080" s="20">
        <f t="shared" si="1095"/>
        <v>0</v>
      </c>
      <c r="BI1080" s="20">
        <f t="shared" si="1096"/>
        <v>0</v>
      </c>
      <c r="BJ1080" s="20">
        <f t="shared" si="1097"/>
        <v>0</v>
      </c>
      <c r="BK1080" s="20" t="s">
        <v>2978</v>
      </c>
      <c r="BL1080" s="36">
        <v>8</v>
      </c>
    </row>
    <row r="1081" spans="1:64" x14ac:dyDescent="0.2">
      <c r="A1081" s="4" t="s">
        <v>930</v>
      </c>
      <c r="B1081" s="13" t="s">
        <v>1825</v>
      </c>
      <c r="C1081" s="174" t="s">
        <v>2827</v>
      </c>
      <c r="D1081" s="175"/>
      <c r="E1081" s="175"/>
      <c r="F1081" s="175"/>
      <c r="G1081" s="13" t="s">
        <v>2860</v>
      </c>
      <c r="H1081" s="82">
        <v>1</v>
      </c>
      <c r="I1081" s="109">
        <v>0</v>
      </c>
      <c r="J1081" s="20">
        <f t="shared" si="1074"/>
        <v>0</v>
      </c>
      <c r="K1081" s="20">
        <f t="shared" si="1075"/>
        <v>0</v>
      </c>
      <c r="L1081" s="20">
        <f t="shared" si="1076"/>
        <v>0</v>
      </c>
      <c r="M1081" s="31" t="s">
        <v>2884</v>
      </c>
      <c r="N1081" s="5"/>
      <c r="Z1081" s="36">
        <f t="shared" si="1077"/>
        <v>0</v>
      </c>
      <c r="AB1081" s="36">
        <f t="shared" si="1078"/>
        <v>0</v>
      </c>
      <c r="AC1081" s="36">
        <f t="shared" si="1079"/>
        <v>0</v>
      </c>
      <c r="AD1081" s="36">
        <f t="shared" si="1080"/>
        <v>0</v>
      </c>
      <c r="AE1081" s="36">
        <f t="shared" si="1081"/>
        <v>0</v>
      </c>
      <c r="AF1081" s="36">
        <f t="shared" si="1082"/>
        <v>0</v>
      </c>
      <c r="AG1081" s="36">
        <f t="shared" si="1083"/>
        <v>0</v>
      </c>
      <c r="AH1081" s="36">
        <f t="shared" si="1084"/>
        <v>0</v>
      </c>
      <c r="AI1081" s="35" t="s">
        <v>2899</v>
      </c>
      <c r="AJ1081" s="20">
        <f t="shared" si="1085"/>
        <v>0</v>
      </c>
      <c r="AK1081" s="20">
        <f t="shared" si="1086"/>
        <v>0</v>
      </c>
      <c r="AL1081" s="20">
        <f t="shared" si="1087"/>
        <v>0</v>
      </c>
      <c r="AN1081" s="36">
        <v>21</v>
      </c>
      <c r="AO1081" s="36">
        <f t="shared" si="1088"/>
        <v>0</v>
      </c>
      <c r="AP1081" s="36">
        <f t="shared" si="1089"/>
        <v>0</v>
      </c>
      <c r="AQ1081" s="37" t="s">
        <v>7</v>
      </c>
      <c r="AV1081" s="36">
        <f t="shared" si="1090"/>
        <v>0</v>
      </c>
      <c r="AW1081" s="36">
        <f t="shared" si="1091"/>
        <v>0</v>
      </c>
      <c r="AX1081" s="36">
        <f t="shared" si="1092"/>
        <v>0</v>
      </c>
      <c r="AY1081" s="39" t="s">
        <v>2944</v>
      </c>
      <c r="AZ1081" s="39" t="s">
        <v>2965</v>
      </c>
      <c r="BA1081" s="35" t="s">
        <v>2972</v>
      </c>
      <c r="BC1081" s="36">
        <f t="shared" si="1093"/>
        <v>0</v>
      </c>
      <c r="BD1081" s="36">
        <f t="shared" si="1094"/>
        <v>0</v>
      </c>
      <c r="BE1081" s="36">
        <v>0</v>
      </c>
      <c r="BF1081" s="36">
        <f>1081</f>
        <v>1081</v>
      </c>
      <c r="BH1081" s="20">
        <f t="shared" si="1095"/>
        <v>0</v>
      </c>
      <c r="BI1081" s="20">
        <f t="shared" si="1096"/>
        <v>0</v>
      </c>
      <c r="BJ1081" s="20">
        <f t="shared" si="1097"/>
        <v>0</v>
      </c>
      <c r="BK1081" s="20" t="s">
        <v>2978</v>
      </c>
      <c r="BL1081" s="36">
        <v>8</v>
      </c>
    </row>
    <row r="1082" spans="1:64" x14ac:dyDescent="0.2">
      <c r="A1082" s="4" t="s">
        <v>931</v>
      </c>
      <c r="B1082" s="13" t="s">
        <v>1826</v>
      </c>
      <c r="C1082" s="174" t="s">
        <v>2828</v>
      </c>
      <c r="D1082" s="175"/>
      <c r="E1082" s="175"/>
      <c r="F1082" s="175"/>
      <c r="G1082" s="13" t="s">
        <v>2860</v>
      </c>
      <c r="H1082" s="82">
        <v>1</v>
      </c>
      <c r="I1082" s="109">
        <v>0</v>
      </c>
      <c r="J1082" s="20">
        <f t="shared" si="1074"/>
        <v>0</v>
      </c>
      <c r="K1082" s="20">
        <f t="shared" si="1075"/>
        <v>0</v>
      </c>
      <c r="L1082" s="20">
        <f t="shared" si="1076"/>
        <v>0</v>
      </c>
      <c r="M1082" s="31" t="s">
        <v>2884</v>
      </c>
      <c r="N1082" s="5"/>
      <c r="Z1082" s="36">
        <f t="shared" si="1077"/>
        <v>0</v>
      </c>
      <c r="AB1082" s="36">
        <f t="shared" si="1078"/>
        <v>0</v>
      </c>
      <c r="AC1082" s="36">
        <f t="shared" si="1079"/>
        <v>0</v>
      </c>
      <c r="AD1082" s="36">
        <f t="shared" si="1080"/>
        <v>0</v>
      </c>
      <c r="AE1082" s="36">
        <f t="shared" si="1081"/>
        <v>0</v>
      </c>
      <c r="AF1082" s="36">
        <f t="shared" si="1082"/>
        <v>0</v>
      </c>
      <c r="AG1082" s="36">
        <f t="shared" si="1083"/>
        <v>0</v>
      </c>
      <c r="AH1082" s="36">
        <f t="shared" si="1084"/>
        <v>0</v>
      </c>
      <c r="AI1082" s="35" t="s">
        <v>2899</v>
      </c>
      <c r="AJ1082" s="20">
        <f t="shared" si="1085"/>
        <v>0</v>
      </c>
      <c r="AK1082" s="20">
        <f t="shared" si="1086"/>
        <v>0</v>
      </c>
      <c r="AL1082" s="20">
        <f t="shared" si="1087"/>
        <v>0</v>
      </c>
      <c r="AN1082" s="36">
        <v>21</v>
      </c>
      <c r="AO1082" s="36">
        <f t="shared" si="1088"/>
        <v>0</v>
      </c>
      <c r="AP1082" s="36">
        <f t="shared" si="1089"/>
        <v>0</v>
      </c>
      <c r="AQ1082" s="37" t="s">
        <v>7</v>
      </c>
      <c r="AV1082" s="36">
        <f t="shared" si="1090"/>
        <v>0</v>
      </c>
      <c r="AW1082" s="36">
        <f t="shared" si="1091"/>
        <v>0</v>
      </c>
      <c r="AX1082" s="36">
        <f t="shared" si="1092"/>
        <v>0</v>
      </c>
      <c r="AY1082" s="39" t="s">
        <v>2944</v>
      </c>
      <c r="AZ1082" s="39" t="s">
        <v>2965</v>
      </c>
      <c r="BA1082" s="35" t="s">
        <v>2972</v>
      </c>
      <c r="BC1082" s="36">
        <f t="shared" si="1093"/>
        <v>0</v>
      </c>
      <c r="BD1082" s="36">
        <f t="shared" si="1094"/>
        <v>0</v>
      </c>
      <c r="BE1082" s="36">
        <v>0</v>
      </c>
      <c r="BF1082" s="36">
        <f>1082</f>
        <v>1082</v>
      </c>
      <c r="BH1082" s="20">
        <f t="shared" si="1095"/>
        <v>0</v>
      </c>
      <c r="BI1082" s="20">
        <f t="shared" si="1096"/>
        <v>0</v>
      </c>
      <c r="BJ1082" s="20">
        <f t="shared" si="1097"/>
        <v>0</v>
      </c>
      <c r="BK1082" s="20" t="s">
        <v>2978</v>
      </c>
      <c r="BL1082" s="36">
        <v>8</v>
      </c>
    </row>
    <row r="1083" spans="1:64" x14ac:dyDescent="0.2">
      <c r="A1083" s="4" t="s">
        <v>932</v>
      </c>
      <c r="B1083" s="13" t="s">
        <v>1827</v>
      </c>
      <c r="C1083" s="174" t="s">
        <v>2829</v>
      </c>
      <c r="D1083" s="175"/>
      <c r="E1083" s="175"/>
      <c r="F1083" s="175"/>
      <c r="G1083" s="13" t="s">
        <v>2860</v>
      </c>
      <c r="H1083" s="82">
        <v>1</v>
      </c>
      <c r="I1083" s="109">
        <v>0</v>
      </c>
      <c r="J1083" s="20">
        <f t="shared" si="1074"/>
        <v>0</v>
      </c>
      <c r="K1083" s="20">
        <f t="shared" si="1075"/>
        <v>0</v>
      </c>
      <c r="L1083" s="20">
        <f t="shared" si="1076"/>
        <v>0</v>
      </c>
      <c r="M1083" s="31" t="s">
        <v>2884</v>
      </c>
      <c r="N1083" s="5"/>
      <c r="Z1083" s="36">
        <f t="shared" si="1077"/>
        <v>0</v>
      </c>
      <c r="AB1083" s="36">
        <f t="shared" si="1078"/>
        <v>0</v>
      </c>
      <c r="AC1083" s="36">
        <f t="shared" si="1079"/>
        <v>0</v>
      </c>
      <c r="AD1083" s="36">
        <f t="shared" si="1080"/>
        <v>0</v>
      </c>
      <c r="AE1083" s="36">
        <f t="shared" si="1081"/>
        <v>0</v>
      </c>
      <c r="AF1083" s="36">
        <f t="shared" si="1082"/>
        <v>0</v>
      </c>
      <c r="AG1083" s="36">
        <f t="shared" si="1083"/>
        <v>0</v>
      </c>
      <c r="AH1083" s="36">
        <f t="shared" si="1084"/>
        <v>0</v>
      </c>
      <c r="AI1083" s="35" t="s">
        <v>2899</v>
      </c>
      <c r="AJ1083" s="20">
        <f t="shared" si="1085"/>
        <v>0</v>
      </c>
      <c r="AK1083" s="20">
        <f t="shared" si="1086"/>
        <v>0</v>
      </c>
      <c r="AL1083" s="20">
        <f t="shared" si="1087"/>
        <v>0</v>
      </c>
      <c r="AN1083" s="36">
        <v>21</v>
      </c>
      <c r="AO1083" s="36">
        <f t="shared" si="1088"/>
        <v>0</v>
      </c>
      <c r="AP1083" s="36">
        <f t="shared" si="1089"/>
        <v>0</v>
      </c>
      <c r="AQ1083" s="37" t="s">
        <v>7</v>
      </c>
      <c r="AV1083" s="36">
        <f t="shared" si="1090"/>
        <v>0</v>
      </c>
      <c r="AW1083" s="36">
        <f t="shared" si="1091"/>
        <v>0</v>
      </c>
      <c r="AX1083" s="36">
        <f t="shared" si="1092"/>
        <v>0</v>
      </c>
      <c r="AY1083" s="39" t="s">
        <v>2944</v>
      </c>
      <c r="AZ1083" s="39" t="s">
        <v>2965</v>
      </c>
      <c r="BA1083" s="35" t="s">
        <v>2972</v>
      </c>
      <c r="BC1083" s="36">
        <f t="shared" si="1093"/>
        <v>0</v>
      </c>
      <c r="BD1083" s="36">
        <f t="shared" si="1094"/>
        <v>0</v>
      </c>
      <c r="BE1083" s="36">
        <v>0</v>
      </c>
      <c r="BF1083" s="36">
        <f>1083</f>
        <v>1083</v>
      </c>
      <c r="BH1083" s="20">
        <f t="shared" si="1095"/>
        <v>0</v>
      </c>
      <c r="BI1083" s="20">
        <f t="shared" si="1096"/>
        <v>0</v>
      </c>
      <c r="BJ1083" s="20">
        <f t="shared" si="1097"/>
        <v>0</v>
      </c>
      <c r="BK1083" s="20" t="s">
        <v>2978</v>
      </c>
      <c r="BL1083" s="36">
        <v>8</v>
      </c>
    </row>
    <row r="1084" spans="1:64" x14ac:dyDescent="0.2">
      <c r="A1084" s="4" t="s">
        <v>933</v>
      </c>
      <c r="B1084" s="13" t="s">
        <v>1828</v>
      </c>
      <c r="C1084" s="174" t="s">
        <v>2830</v>
      </c>
      <c r="D1084" s="175"/>
      <c r="E1084" s="175"/>
      <c r="F1084" s="175"/>
      <c r="G1084" s="13" t="s">
        <v>2860</v>
      </c>
      <c r="H1084" s="82">
        <v>1</v>
      </c>
      <c r="I1084" s="109">
        <v>0</v>
      </c>
      <c r="J1084" s="20">
        <f t="shared" si="1074"/>
        <v>0</v>
      </c>
      <c r="K1084" s="20">
        <f t="shared" si="1075"/>
        <v>0</v>
      </c>
      <c r="L1084" s="20">
        <f t="shared" si="1076"/>
        <v>0</v>
      </c>
      <c r="M1084" s="31" t="s">
        <v>2884</v>
      </c>
      <c r="N1084" s="5"/>
      <c r="Z1084" s="36">
        <f t="shared" si="1077"/>
        <v>0</v>
      </c>
      <c r="AB1084" s="36">
        <f t="shared" si="1078"/>
        <v>0</v>
      </c>
      <c r="AC1084" s="36">
        <f t="shared" si="1079"/>
        <v>0</v>
      </c>
      <c r="AD1084" s="36">
        <f t="shared" si="1080"/>
        <v>0</v>
      </c>
      <c r="AE1084" s="36">
        <f t="shared" si="1081"/>
        <v>0</v>
      </c>
      <c r="AF1084" s="36">
        <f t="shared" si="1082"/>
        <v>0</v>
      </c>
      <c r="AG1084" s="36">
        <f t="shared" si="1083"/>
        <v>0</v>
      </c>
      <c r="AH1084" s="36">
        <f t="shared" si="1084"/>
        <v>0</v>
      </c>
      <c r="AI1084" s="35" t="s">
        <v>2899</v>
      </c>
      <c r="AJ1084" s="20">
        <f t="shared" si="1085"/>
        <v>0</v>
      </c>
      <c r="AK1084" s="20">
        <f t="shared" si="1086"/>
        <v>0</v>
      </c>
      <c r="AL1084" s="20">
        <f t="shared" si="1087"/>
        <v>0</v>
      </c>
      <c r="AN1084" s="36">
        <v>21</v>
      </c>
      <c r="AO1084" s="36">
        <f t="shared" si="1088"/>
        <v>0</v>
      </c>
      <c r="AP1084" s="36">
        <f t="shared" si="1089"/>
        <v>0</v>
      </c>
      <c r="AQ1084" s="37" t="s">
        <v>7</v>
      </c>
      <c r="AV1084" s="36">
        <f t="shared" si="1090"/>
        <v>0</v>
      </c>
      <c r="AW1084" s="36">
        <f t="shared" si="1091"/>
        <v>0</v>
      </c>
      <c r="AX1084" s="36">
        <f t="shared" si="1092"/>
        <v>0</v>
      </c>
      <c r="AY1084" s="39" t="s">
        <v>2944</v>
      </c>
      <c r="AZ1084" s="39" t="s">
        <v>2965</v>
      </c>
      <c r="BA1084" s="35" t="s">
        <v>2972</v>
      </c>
      <c r="BC1084" s="36">
        <f t="shared" si="1093"/>
        <v>0</v>
      </c>
      <c r="BD1084" s="36">
        <f t="shared" si="1094"/>
        <v>0</v>
      </c>
      <c r="BE1084" s="36">
        <v>0</v>
      </c>
      <c r="BF1084" s="36">
        <f>1084</f>
        <v>1084</v>
      </c>
      <c r="BH1084" s="20">
        <f t="shared" si="1095"/>
        <v>0</v>
      </c>
      <c r="BI1084" s="20">
        <f t="shared" si="1096"/>
        <v>0</v>
      </c>
      <c r="BJ1084" s="20">
        <f t="shared" si="1097"/>
        <v>0</v>
      </c>
      <c r="BK1084" s="20" t="s">
        <v>2978</v>
      </c>
      <c r="BL1084" s="36">
        <v>8</v>
      </c>
    </row>
    <row r="1085" spans="1:64" x14ac:dyDescent="0.2">
      <c r="A1085" s="4" t="s">
        <v>934</v>
      </c>
      <c r="B1085" s="13" t="s">
        <v>1829</v>
      </c>
      <c r="C1085" s="174" t="s">
        <v>2752</v>
      </c>
      <c r="D1085" s="175"/>
      <c r="E1085" s="175"/>
      <c r="F1085" s="175"/>
      <c r="G1085" s="13" t="s">
        <v>2860</v>
      </c>
      <c r="H1085" s="82">
        <v>1</v>
      </c>
      <c r="I1085" s="109">
        <v>0</v>
      </c>
      <c r="J1085" s="20">
        <f t="shared" si="1074"/>
        <v>0</v>
      </c>
      <c r="K1085" s="20">
        <f t="shared" si="1075"/>
        <v>0</v>
      </c>
      <c r="L1085" s="20">
        <f t="shared" si="1076"/>
        <v>0</v>
      </c>
      <c r="M1085" s="31" t="s">
        <v>2884</v>
      </c>
      <c r="N1085" s="5"/>
      <c r="Z1085" s="36">
        <f t="shared" si="1077"/>
        <v>0</v>
      </c>
      <c r="AB1085" s="36">
        <f t="shared" si="1078"/>
        <v>0</v>
      </c>
      <c r="AC1085" s="36">
        <f t="shared" si="1079"/>
        <v>0</v>
      </c>
      <c r="AD1085" s="36">
        <f t="shared" si="1080"/>
        <v>0</v>
      </c>
      <c r="AE1085" s="36">
        <f t="shared" si="1081"/>
        <v>0</v>
      </c>
      <c r="AF1085" s="36">
        <f t="shared" si="1082"/>
        <v>0</v>
      </c>
      <c r="AG1085" s="36">
        <f t="shared" si="1083"/>
        <v>0</v>
      </c>
      <c r="AH1085" s="36">
        <f t="shared" si="1084"/>
        <v>0</v>
      </c>
      <c r="AI1085" s="35" t="s">
        <v>2899</v>
      </c>
      <c r="AJ1085" s="20">
        <f t="shared" si="1085"/>
        <v>0</v>
      </c>
      <c r="AK1085" s="20">
        <f t="shared" si="1086"/>
        <v>0</v>
      </c>
      <c r="AL1085" s="20">
        <f t="shared" si="1087"/>
        <v>0</v>
      </c>
      <c r="AN1085" s="36">
        <v>21</v>
      </c>
      <c r="AO1085" s="36">
        <f t="shared" ref="AO1085:AO1094" si="1098">I1085*0</f>
        <v>0</v>
      </c>
      <c r="AP1085" s="36">
        <f t="shared" ref="AP1085:AP1094" si="1099">I1085*(1-0)</f>
        <v>0</v>
      </c>
      <c r="AQ1085" s="37" t="s">
        <v>7</v>
      </c>
      <c r="AV1085" s="36">
        <f t="shared" si="1090"/>
        <v>0</v>
      </c>
      <c r="AW1085" s="36">
        <f t="shared" si="1091"/>
        <v>0</v>
      </c>
      <c r="AX1085" s="36">
        <f t="shared" si="1092"/>
        <v>0</v>
      </c>
      <c r="AY1085" s="39" t="s">
        <v>2944</v>
      </c>
      <c r="AZ1085" s="39" t="s">
        <v>2965</v>
      </c>
      <c r="BA1085" s="35" t="s">
        <v>2972</v>
      </c>
      <c r="BC1085" s="36">
        <f t="shared" si="1093"/>
        <v>0</v>
      </c>
      <c r="BD1085" s="36">
        <f t="shared" si="1094"/>
        <v>0</v>
      </c>
      <c r="BE1085" s="36">
        <v>0</v>
      </c>
      <c r="BF1085" s="36">
        <f>1085</f>
        <v>1085</v>
      </c>
      <c r="BH1085" s="20">
        <f t="shared" si="1095"/>
        <v>0</v>
      </c>
      <c r="BI1085" s="20">
        <f t="shared" si="1096"/>
        <v>0</v>
      </c>
      <c r="BJ1085" s="20">
        <f t="shared" si="1097"/>
        <v>0</v>
      </c>
      <c r="BK1085" s="20" t="s">
        <v>2978</v>
      </c>
      <c r="BL1085" s="36">
        <v>8</v>
      </c>
    </row>
    <row r="1086" spans="1:64" x14ac:dyDescent="0.2">
      <c r="A1086" s="4" t="s">
        <v>935</v>
      </c>
      <c r="B1086" s="13" t="s">
        <v>1830</v>
      </c>
      <c r="C1086" s="174" t="s">
        <v>2114</v>
      </c>
      <c r="D1086" s="175"/>
      <c r="E1086" s="175"/>
      <c r="F1086" s="175"/>
      <c r="G1086" s="13" t="s">
        <v>2862</v>
      </c>
      <c r="H1086" s="82">
        <v>20</v>
      </c>
      <c r="I1086" s="109">
        <v>0</v>
      </c>
      <c r="J1086" s="20">
        <f t="shared" si="1074"/>
        <v>0</v>
      </c>
      <c r="K1086" s="20">
        <f t="shared" si="1075"/>
        <v>0</v>
      </c>
      <c r="L1086" s="20">
        <f t="shared" si="1076"/>
        <v>0</v>
      </c>
      <c r="M1086" s="31" t="s">
        <v>2884</v>
      </c>
      <c r="N1086" s="5"/>
      <c r="Z1086" s="36">
        <f t="shared" si="1077"/>
        <v>0</v>
      </c>
      <c r="AB1086" s="36">
        <f t="shared" si="1078"/>
        <v>0</v>
      </c>
      <c r="AC1086" s="36">
        <f t="shared" si="1079"/>
        <v>0</v>
      </c>
      <c r="AD1086" s="36">
        <f t="shared" si="1080"/>
        <v>0</v>
      </c>
      <c r="AE1086" s="36">
        <f t="shared" si="1081"/>
        <v>0</v>
      </c>
      <c r="AF1086" s="36">
        <f t="shared" si="1082"/>
        <v>0</v>
      </c>
      <c r="AG1086" s="36">
        <f t="shared" si="1083"/>
        <v>0</v>
      </c>
      <c r="AH1086" s="36">
        <f t="shared" si="1084"/>
        <v>0</v>
      </c>
      <c r="AI1086" s="35" t="s">
        <v>2899</v>
      </c>
      <c r="AJ1086" s="20">
        <f t="shared" si="1085"/>
        <v>0</v>
      </c>
      <c r="AK1086" s="20">
        <f t="shared" si="1086"/>
        <v>0</v>
      </c>
      <c r="AL1086" s="20">
        <f t="shared" si="1087"/>
        <v>0</v>
      </c>
      <c r="AN1086" s="36">
        <v>21</v>
      </c>
      <c r="AO1086" s="36">
        <f t="shared" si="1098"/>
        <v>0</v>
      </c>
      <c r="AP1086" s="36">
        <f t="shared" si="1099"/>
        <v>0</v>
      </c>
      <c r="AQ1086" s="37" t="s">
        <v>7</v>
      </c>
      <c r="AV1086" s="36">
        <f t="shared" si="1090"/>
        <v>0</v>
      </c>
      <c r="AW1086" s="36">
        <f t="shared" si="1091"/>
        <v>0</v>
      </c>
      <c r="AX1086" s="36">
        <f t="shared" si="1092"/>
        <v>0</v>
      </c>
      <c r="AY1086" s="39" t="s">
        <v>2944</v>
      </c>
      <c r="AZ1086" s="39" t="s">
        <v>2965</v>
      </c>
      <c r="BA1086" s="35" t="s">
        <v>2972</v>
      </c>
      <c r="BC1086" s="36">
        <f t="shared" si="1093"/>
        <v>0</v>
      </c>
      <c r="BD1086" s="36">
        <f t="shared" si="1094"/>
        <v>0</v>
      </c>
      <c r="BE1086" s="36">
        <v>0</v>
      </c>
      <c r="BF1086" s="36">
        <f>1086</f>
        <v>1086</v>
      </c>
      <c r="BH1086" s="20">
        <f t="shared" si="1095"/>
        <v>0</v>
      </c>
      <c r="BI1086" s="20">
        <f t="shared" si="1096"/>
        <v>0</v>
      </c>
      <c r="BJ1086" s="20">
        <f t="shared" si="1097"/>
        <v>0</v>
      </c>
      <c r="BK1086" s="20" t="s">
        <v>2978</v>
      </c>
      <c r="BL1086" s="36">
        <v>8</v>
      </c>
    </row>
    <row r="1087" spans="1:64" x14ac:dyDescent="0.2">
      <c r="A1087" s="4" t="s">
        <v>936</v>
      </c>
      <c r="B1087" s="13" t="s">
        <v>1831</v>
      </c>
      <c r="C1087" s="174" t="s">
        <v>2809</v>
      </c>
      <c r="D1087" s="175"/>
      <c r="E1087" s="175"/>
      <c r="F1087" s="175"/>
      <c r="G1087" s="13" t="s">
        <v>2855</v>
      </c>
      <c r="H1087" s="82">
        <v>37.299999999999997</v>
      </c>
      <c r="I1087" s="109">
        <v>0</v>
      </c>
      <c r="J1087" s="20">
        <f t="shared" si="1074"/>
        <v>0</v>
      </c>
      <c r="K1087" s="20">
        <f t="shared" si="1075"/>
        <v>0</v>
      </c>
      <c r="L1087" s="20">
        <f t="shared" si="1076"/>
        <v>0</v>
      </c>
      <c r="M1087" s="31" t="s">
        <v>2884</v>
      </c>
      <c r="N1087" s="5"/>
      <c r="Z1087" s="36">
        <f t="shared" si="1077"/>
        <v>0</v>
      </c>
      <c r="AB1087" s="36">
        <f t="shared" si="1078"/>
        <v>0</v>
      </c>
      <c r="AC1087" s="36">
        <f t="shared" si="1079"/>
        <v>0</v>
      </c>
      <c r="AD1087" s="36">
        <f t="shared" si="1080"/>
        <v>0</v>
      </c>
      <c r="AE1087" s="36">
        <f t="shared" si="1081"/>
        <v>0</v>
      </c>
      <c r="AF1087" s="36">
        <f t="shared" si="1082"/>
        <v>0</v>
      </c>
      <c r="AG1087" s="36">
        <f t="shared" si="1083"/>
        <v>0</v>
      </c>
      <c r="AH1087" s="36">
        <f t="shared" si="1084"/>
        <v>0</v>
      </c>
      <c r="AI1087" s="35" t="s">
        <v>2899</v>
      </c>
      <c r="AJ1087" s="20">
        <f t="shared" si="1085"/>
        <v>0</v>
      </c>
      <c r="AK1087" s="20">
        <f t="shared" si="1086"/>
        <v>0</v>
      </c>
      <c r="AL1087" s="20">
        <f t="shared" si="1087"/>
        <v>0</v>
      </c>
      <c r="AN1087" s="36">
        <v>21</v>
      </c>
      <c r="AO1087" s="36">
        <f t="shared" si="1098"/>
        <v>0</v>
      </c>
      <c r="AP1087" s="36">
        <f t="shared" si="1099"/>
        <v>0</v>
      </c>
      <c r="AQ1087" s="37" t="s">
        <v>7</v>
      </c>
      <c r="AV1087" s="36">
        <f t="shared" si="1090"/>
        <v>0</v>
      </c>
      <c r="AW1087" s="36">
        <f t="shared" si="1091"/>
        <v>0</v>
      </c>
      <c r="AX1087" s="36">
        <f t="shared" si="1092"/>
        <v>0</v>
      </c>
      <c r="AY1087" s="39" t="s">
        <v>2944</v>
      </c>
      <c r="AZ1087" s="39" t="s">
        <v>2965</v>
      </c>
      <c r="BA1087" s="35" t="s">
        <v>2972</v>
      </c>
      <c r="BC1087" s="36">
        <f t="shared" si="1093"/>
        <v>0</v>
      </c>
      <c r="BD1087" s="36">
        <f t="shared" si="1094"/>
        <v>0</v>
      </c>
      <c r="BE1087" s="36">
        <v>0</v>
      </c>
      <c r="BF1087" s="36">
        <f>1087</f>
        <v>1087</v>
      </c>
      <c r="BH1087" s="20">
        <f t="shared" si="1095"/>
        <v>0</v>
      </c>
      <c r="BI1087" s="20">
        <f t="shared" si="1096"/>
        <v>0</v>
      </c>
      <c r="BJ1087" s="20">
        <f t="shared" si="1097"/>
        <v>0</v>
      </c>
      <c r="BK1087" s="20" t="s">
        <v>2978</v>
      </c>
      <c r="BL1087" s="36">
        <v>8</v>
      </c>
    </row>
    <row r="1088" spans="1:64" x14ac:dyDescent="0.2">
      <c r="A1088" s="4" t="s">
        <v>937</v>
      </c>
      <c r="B1088" s="13" t="s">
        <v>1832</v>
      </c>
      <c r="C1088" s="174" t="s">
        <v>2227</v>
      </c>
      <c r="D1088" s="175"/>
      <c r="E1088" s="175"/>
      <c r="F1088" s="175"/>
      <c r="G1088" s="13" t="s">
        <v>2855</v>
      </c>
      <c r="H1088" s="82">
        <v>37.299999999999997</v>
      </c>
      <c r="I1088" s="109">
        <v>0</v>
      </c>
      <c r="J1088" s="20">
        <f t="shared" si="1074"/>
        <v>0</v>
      </c>
      <c r="K1088" s="20">
        <f t="shared" si="1075"/>
        <v>0</v>
      </c>
      <c r="L1088" s="20">
        <f t="shared" si="1076"/>
        <v>0</v>
      </c>
      <c r="M1088" s="31" t="s">
        <v>2884</v>
      </c>
      <c r="N1088" s="5"/>
      <c r="Z1088" s="36">
        <f t="shared" si="1077"/>
        <v>0</v>
      </c>
      <c r="AB1088" s="36">
        <f t="shared" si="1078"/>
        <v>0</v>
      </c>
      <c r="AC1088" s="36">
        <f t="shared" si="1079"/>
        <v>0</v>
      </c>
      <c r="AD1088" s="36">
        <f t="shared" si="1080"/>
        <v>0</v>
      </c>
      <c r="AE1088" s="36">
        <f t="shared" si="1081"/>
        <v>0</v>
      </c>
      <c r="AF1088" s="36">
        <f t="shared" si="1082"/>
        <v>0</v>
      </c>
      <c r="AG1088" s="36">
        <f t="shared" si="1083"/>
        <v>0</v>
      </c>
      <c r="AH1088" s="36">
        <f t="shared" si="1084"/>
        <v>0</v>
      </c>
      <c r="AI1088" s="35" t="s">
        <v>2899</v>
      </c>
      <c r="AJ1088" s="20">
        <f t="shared" si="1085"/>
        <v>0</v>
      </c>
      <c r="AK1088" s="20">
        <f t="shared" si="1086"/>
        <v>0</v>
      </c>
      <c r="AL1088" s="20">
        <f t="shared" si="1087"/>
        <v>0</v>
      </c>
      <c r="AN1088" s="36">
        <v>21</v>
      </c>
      <c r="AO1088" s="36">
        <f t="shared" si="1098"/>
        <v>0</v>
      </c>
      <c r="AP1088" s="36">
        <f t="shared" si="1099"/>
        <v>0</v>
      </c>
      <c r="AQ1088" s="37" t="s">
        <v>7</v>
      </c>
      <c r="AV1088" s="36">
        <f t="shared" si="1090"/>
        <v>0</v>
      </c>
      <c r="AW1088" s="36">
        <f t="shared" si="1091"/>
        <v>0</v>
      </c>
      <c r="AX1088" s="36">
        <f t="shared" si="1092"/>
        <v>0</v>
      </c>
      <c r="AY1088" s="39" t="s">
        <v>2944</v>
      </c>
      <c r="AZ1088" s="39" t="s">
        <v>2965</v>
      </c>
      <c r="BA1088" s="35" t="s">
        <v>2972</v>
      </c>
      <c r="BC1088" s="36">
        <f t="shared" si="1093"/>
        <v>0</v>
      </c>
      <c r="BD1088" s="36">
        <f t="shared" si="1094"/>
        <v>0</v>
      </c>
      <c r="BE1088" s="36">
        <v>0</v>
      </c>
      <c r="BF1088" s="36">
        <f>1088</f>
        <v>1088</v>
      </c>
      <c r="BH1088" s="20">
        <f t="shared" si="1095"/>
        <v>0</v>
      </c>
      <c r="BI1088" s="20">
        <f t="shared" si="1096"/>
        <v>0</v>
      </c>
      <c r="BJ1088" s="20">
        <f t="shared" si="1097"/>
        <v>0</v>
      </c>
      <c r="BK1088" s="20" t="s">
        <v>2978</v>
      </c>
      <c r="BL1088" s="36">
        <v>8</v>
      </c>
    </row>
    <row r="1089" spans="1:64" x14ac:dyDescent="0.2">
      <c r="A1089" s="4" t="s">
        <v>938</v>
      </c>
      <c r="B1089" s="13" t="s">
        <v>1833</v>
      </c>
      <c r="C1089" s="174" t="s">
        <v>2810</v>
      </c>
      <c r="D1089" s="175"/>
      <c r="E1089" s="175"/>
      <c r="F1089" s="175"/>
      <c r="G1089" s="13" t="s">
        <v>2855</v>
      </c>
      <c r="H1089" s="82">
        <v>37.299999999999997</v>
      </c>
      <c r="I1089" s="109">
        <v>0</v>
      </c>
      <c r="J1089" s="20">
        <f t="shared" si="1074"/>
        <v>0</v>
      </c>
      <c r="K1089" s="20">
        <f t="shared" si="1075"/>
        <v>0</v>
      </c>
      <c r="L1089" s="20">
        <f t="shared" si="1076"/>
        <v>0</v>
      </c>
      <c r="M1089" s="31" t="s">
        <v>2884</v>
      </c>
      <c r="N1089" s="5"/>
      <c r="Z1089" s="36">
        <f t="shared" si="1077"/>
        <v>0</v>
      </c>
      <c r="AB1089" s="36">
        <f t="shared" si="1078"/>
        <v>0</v>
      </c>
      <c r="AC1089" s="36">
        <f t="shared" si="1079"/>
        <v>0</v>
      </c>
      <c r="AD1089" s="36">
        <f t="shared" si="1080"/>
        <v>0</v>
      </c>
      <c r="AE1089" s="36">
        <f t="shared" si="1081"/>
        <v>0</v>
      </c>
      <c r="AF1089" s="36">
        <f t="shared" si="1082"/>
        <v>0</v>
      </c>
      <c r="AG1089" s="36">
        <f t="shared" si="1083"/>
        <v>0</v>
      </c>
      <c r="AH1089" s="36">
        <f t="shared" si="1084"/>
        <v>0</v>
      </c>
      <c r="AI1089" s="35" t="s">
        <v>2899</v>
      </c>
      <c r="AJ1089" s="20">
        <f t="shared" si="1085"/>
        <v>0</v>
      </c>
      <c r="AK1089" s="20">
        <f t="shared" si="1086"/>
        <v>0</v>
      </c>
      <c r="AL1089" s="20">
        <f t="shared" si="1087"/>
        <v>0</v>
      </c>
      <c r="AN1089" s="36">
        <v>21</v>
      </c>
      <c r="AO1089" s="36">
        <f t="shared" si="1098"/>
        <v>0</v>
      </c>
      <c r="AP1089" s="36">
        <f t="shared" si="1099"/>
        <v>0</v>
      </c>
      <c r="AQ1089" s="37" t="s">
        <v>7</v>
      </c>
      <c r="AV1089" s="36">
        <f t="shared" si="1090"/>
        <v>0</v>
      </c>
      <c r="AW1089" s="36">
        <f t="shared" si="1091"/>
        <v>0</v>
      </c>
      <c r="AX1089" s="36">
        <f t="shared" si="1092"/>
        <v>0</v>
      </c>
      <c r="AY1089" s="39" t="s">
        <v>2944</v>
      </c>
      <c r="AZ1089" s="39" t="s">
        <v>2965</v>
      </c>
      <c r="BA1089" s="35" t="s">
        <v>2972</v>
      </c>
      <c r="BC1089" s="36">
        <f t="shared" si="1093"/>
        <v>0</v>
      </c>
      <c r="BD1089" s="36">
        <f t="shared" si="1094"/>
        <v>0</v>
      </c>
      <c r="BE1089" s="36">
        <v>0</v>
      </c>
      <c r="BF1089" s="36">
        <f>1089</f>
        <v>1089</v>
      </c>
      <c r="BH1089" s="20">
        <f t="shared" si="1095"/>
        <v>0</v>
      </c>
      <c r="BI1089" s="20">
        <f t="shared" si="1096"/>
        <v>0</v>
      </c>
      <c r="BJ1089" s="20">
        <f t="shared" si="1097"/>
        <v>0</v>
      </c>
      <c r="BK1089" s="20" t="s">
        <v>2978</v>
      </c>
      <c r="BL1089" s="36">
        <v>8</v>
      </c>
    </row>
    <row r="1090" spans="1:64" x14ac:dyDescent="0.2">
      <c r="A1090" s="4" t="s">
        <v>939</v>
      </c>
      <c r="B1090" s="13" t="s">
        <v>1834</v>
      </c>
      <c r="C1090" s="174" t="s">
        <v>2831</v>
      </c>
      <c r="D1090" s="175"/>
      <c r="E1090" s="175"/>
      <c r="F1090" s="175"/>
      <c r="G1090" s="13" t="s">
        <v>2860</v>
      </c>
      <c r="H1090" s="82">
        <v>1</v>
      </c>
      <c r="I1090" s="109">
        <v>0</v>
      </c>
      <c r="J1090" s="20">
        <f t="shared" si="1074"/>
        <v>0</v>
      </c>
      <c r="K1090" s="20">
        <f t="shared" si="1075"/>
        <v>0</v>
      </c>
      <c r="L1090" s="20">
        <f t="shared" si="1076"/>
        <v>0</v>
      </c>
      <c r="M1090" s="31" t="s">
        <v>2884</v>
      </c>
      <c r="N1090" s="5"/>
      <c r="Z1090" s="36">
        <f t="shared" si="1077"/>
        <v>0</v>
      </c>
      <c r="AB1090" s="36">
        <f t="shared" si="1078"/>
        <v>0</v>
      </c>
      <c r="AC1090" s="36">
        <f t="shared" si="1079"/>
        <v>0</v>
      </c>
      <c r="AD1090" s="36">
        <f t="shared" si="1080"/>
        <v>0</v>
      </c>
      <c r="AE1090" s="36">
        <f t="shared" si="1081"/>
        <v>0</v>
      </c>
      <c r="AF1090" s="36">
        <f t="shared" si="1082"/>
        <v>0</v>
      </c>
      <c r="AG1090" s="36">
        <f t="shared" si="1083"/>
        <v>0</v>
      </c>
      <c r="AH1090" s="36">
        <f t="shared" si="1084"/>
        <v>0</v>
      </c>
      <c r="AI1090" s="35" t="s">
        <v>2899</v>
      </c>
      <c r="AJ1090" s="20">
        <f t="shared" si="1085"/>
        <v>0</v>
      </c>
      <c r="AK1090" s="20">
        <f t="shared" si="1086"/>
        <v>0</v>
      </c>
      <c r="AL1090" s="20">
        <f t="shared" si="1087"/>
        <v>0</v>
      </c>
      <c r="AN1090" s="36">
        <v>21</v>
      </c>
      <c r="AO1090" s="36">
        <f t="shared" si="1098"/>
        <v>0</v>
      </c>
      <c r="AP1090" s="36">
        <f t="shared" si="1099"/>
        <v>0</v>
      </c>
      <c r="AQ1090" s="37" t="s">
        <v>7</v>
      </c>
      <c r="AV1090" s="36">
        <f t="shared" si="1090"/>
        <v>0</v>
      </c>
      <c r="AW1090" s="36">
        <f t="shared" si="1091"/>
        <v>0</v>
      </c>
      <c r="AX1090" s="36">
        <f t="shared" si="1092"/>
        <v>0</v>
      </c>
      <c r="AY1090" s="39" t="s">
        <v>2944</v>
      </c>
      <c r="AZ1090" s="39" t="s">
        <v>2965</v>
      </c>
      <c r="BA1090" s="35" t="s">
        <v>2972</v>
      </c>
      <c r="BC1090" s="36">
        <f t="shared" si="1093"/>
        <v>0</v>
      </c>
      <c r="BD1090" s="36">
        <f t="shared" si="1094"/>
        <v>0</v>
      </c>
      <c r="BE1090" s="36">
        <v>0</v>
      </c>
      <c r="BF1090" s="36">
        <f>1090</f>
        <v>1090</v>
      </c>
      <c r="BH1090" s="20">
        <f t="shared" si="1095"/>
        <v>0</v>
      </c>
      <c r="BI1090" s="20">
        <f t="shared" si="1096"/>
        <v>0</v>
      </c>
      <c r="BJ1090" s="20">
        <f t="shared" si="1097"/>
        <v>0</v>
      </c>
      <c r="BK1090" s="20" t="s">
        <v>2978</v>
      </c>
      <c r="BL1090" s="36">
        <v>8</v>
      </c>
    </row>
    <row r="1091" spans="1:64" x14ac:dyDescent="0.2">
      <c r="A1091" s="4" t="s">
        <v>940</v>
      </c>
      <c r="B1091" s="13" t="s">
        <v>1835</v>
      </c>
      <c r="C1091" s="174" t="s">
        <v>2761</v>
      </c>
      <c r="D1091" s="175"/>
      <c r="E1091" s="175"/>
      <c r="F1091" s="175"/>
      <c r="G1091" s="13" t="s">
        <v>2860</v>
      </c>
      <c r="H1091" s="82">
        <v>1</v>
      </c>
      <c r="I1091" s="109">
        <v>0</v>
      </c>
      <c r="J1091" s="20">
        <f t="shared" si="1074"/>
        <v>0</v>
      </c>
      <c r="K1091" s="20">
        <f t="shared" si="1075"/>
        <v>0</v>
      </c>
      <c r="L1091" s="20">
        <f t="shared" si="1076"/>
        <v>0</v>
      </c>
      <c r="M1091" s="31" t="s">
        <v>2884</v>
      </c>
      <c r="N1091" s="5"/>
      <c r="Z1091" s="36">
        <f t="shared" si="1077"/>
        <v>0</v>
      </c>
      <c r="AB1091" s="36">
        <f t="shared" si="1078"/>
        <v>0</v>
      </c>
      <c r="AC1091" s="36">
        <f t="shared" si="1079"/>
        <v>0</v>
      </c>
      <c r="AD1091" s="36">
        <f t="shared" si="1080"/>
        <v>0</v>
      </c>
      <c r="AE1091" s="36">
        <f t="shared" si="1081"/>
        <v>0</v>
      </c>
      <c r="AF1091" s="36">
        <f t="shared" si="1082"/>
        <v>0</v>
      </c>
      <c r="AG1091" s="36">
        <f t="shared" si="1083"/>
        <v>0</v>
      </c>
      <c r="AH1091" s="36">
        <f t="shared" si="1084"/>
        <v>0</v>
      </c>
      <c r="AI1091" s="35" t="s">
        <v>2899</v>
      </c>
      <c r="AJ1091" s="20">
        <f t="shared" si="1085"/>
        <v>0</v>
      </c>
      <c r="AK1091" s="20">
        <f t="shared" si="1086"/>
        <v>0</v>
      </c>
      <c r="AL1091" s="20">
        <f t="shared" si="1087"/>
        <v>0</v>
      </c>
      <c r="AN1091" s="36">
        <v>21</v>
      </c>
      <c r="AO1091" s="36">
        <f t="shared" si="1098"/>
        <v>0</v>
      </c>
      <c r="AP1091" s="36">
        <f t="shared" si="1099"/>
        <v>0</v>
      </c>
      <c r="AQ1091" s="37" t="s">
        <v>7</v>
      </c>
      <c r="AV1091" s="36">
        <f t="shared" si="1090"/>
        <v>0</v>
      </c>
      <c r="AW1091" s="36">
        <f t="shared" si="1091"/>
        <v>0</v>
      </c>
      <c r="AX1091" s="36">
        <f t="shared" si="1092"/>
        <v>0</v>
      </c>
      <c r="AY1091" s="39" t="s">
        <v>2944</v>
      </c>
      <c r="AZ1091" s="39" t="s">
        <v>2965</v>
      </c>
      <c r="BA1091" s="35" t="s">
        <v>2972</v>
      </c>
      <c r="BC1091" s="36">
        <f t="shared" si="1093"/>
        <v>0</v>
      </c>
      <c r="BD1091" s="36">
        <f t="shared" si="1094"/>
        <v>0</v>
      </c>
      <c r="BE1091" s="36">
        <v>0</v>
      </c>
      <c r="BF1091" s="36">
        <f>1091</f>
        <v>1091</v>
      </c>
      <c r="BH1091" s="20">
        <f t="shared" si="1095"/>
        <v>0</v>
      </c>
      <c r="BI1091" s="20">
        <f t="shared" si="1096"/>
        <v>0</v>
      </c>
      <c r="BJ1091" s="20">
        <f t="shared" si="1097"/>
        <v>0</v>
      </c>
      <c r="BK1091" s="20" t="s">
        <v>2978</v>
      </c>
      <c r="BL1091" s="36">
        <v>8</v>
      </c>
    </row>
    <row r="1092" spans="1:64" x14ac:dyDescent="0.2">
      <c r="A1092" s="4" t="s">
        <v>941</v>
      </c>
      <c r="B1092" s="13" t="s">
        <v>1836</v>
      </c>
      <c r="C1092" s="174" t="s">
        <v>2121</v>
      </c>
      <c r="D1092" s="175"/>
      <c r="E1092" s="175"/>
      <c r="F1092" s="175"/>
      <c r="G1092" s="13" t="s">
        <v>2860</v>
      </c>
      <c r="H1092" s="82">
        <v>1</v>
      </c>
      <c r="I1092" s="109">
        <v>0</v>
      </c>
      <c r="J1092" s="20">
        <f t="shared" si="1074"/>
        <v>0</v>
      </c>
      <c r="K1092" s="20">
        <f t="shared" si="1075"/>
        <v>0</v>
      </c>
      <c r="L1092" s="20">
        <f t="shared" si="1076"/>
        <v>0</v>
      </c>
      <c r="M1092" s="31" t="s">
        <v>2884</v>
      </c>
      <c r="N1092" s="5"/>
      <c r="Z1092" s="36">
        <f t="shared" si="1077"/>
        <v>0</v>
      </c>
      <c r="AB1092" s="36">
        <f t="shared" si="1078"/>
        <v>0</v>
      </c>
      <c r="AC1092" s="36">
        <f t="shared" si="1079"/>
        <v>0</v>
      </c>
      <c r="AD1092" s="36">
        <f t="shared" si="1080"/>
        <v>0</v>
      </c>
      <c r="AE1092" s="36">
        <f t="shared" si="1081"/>
        <v>0</v>
      </c>
      <c r="AF1092" s="36">
        <f t="shared" si="1082"/>
        <v>0</v>
      </c>
      <c r="AG1092" s="36">
        <f t="shared" si="1083"/>
        <v>0</v>
      </c>
      <c r="AH1092" s="36">
        <f t="shared" si="1084"/>
        <v>0</v>
      </c>
      <c r="AI1092" s="35" t="s">
        <v>2899</v>
      </c>
      <c r="AJ1092" s="20">
        <f t="shared" si="1085"/>
        <v>0</v>
      </c>
      <c r="AK1092" s="20">
        <f t="shared" si="1086"/>
        <v>0</v>
      </c>
      <c r="AL1092" s="20">
        <f t="shared" si="1087"/>
        <v>0</v>
      </c>
      <c r="AN1092" s="36">
        <v>21</v>
      </c>
      <c r="AO1092" s="36">
        <f t="shared" si="1098"/>
        <v>0</v>
      </c>
      <c r="AP1092" s="36">
        <f t="shared" si="1099"/>
        <v>0</v>
      </c>
      <c r="AQ1092" s="37" t="s">
        <v>7</v>
      </c>
      <c r="AV1092" s="36">
        <f t="shared" si="1090"/>
        <v>0</v>
      </c>
      <c r="AW1092" s="36">
        <f t="shared" si="1091"/>
        <v>0</v>
      </c>
      <c r="AX1092" s="36">
        <f t="shared" si="1092"/>
        <v>0</v>
      </c>
      <c r="AY1092" s="39" t="s">
        <v>2944</v>
      </c>
      <c r="AZ1092" s="39" t="s">
        <v>2965</v>
      </c>
      <c r="BA1092" s="35" t="s">
        <v>2972</v>
      </c>
      <c r="BC1092" s="36">
        <f t="shared" si="1093"/>
        <v>0</v>
      </c>
      <c r="BD1092" s="36">
        <f t="shared" si="1094"/>
        <v>0</v>
      </c>
      <c r="BE1092" s="36">
        <v>0</v>
      </c>
      <c r="BF1092" s="36">
        <f>1092</f>
        <v>1092</v>
      </c>
      <c r="BH1092" s="20">
        <f t="shared" si="1095"/>
        <v>0</v>
      </c>
      <c r="BI1092" s="20">
        <f t="shared" si="1096"/>
        <v>0</v>
      </c>
      <c r="BJ1092" s="20">
        <f t="shared" si="1097"/>
        <v>0</v>
      </c>
      <c r="BK1092" s="20" t="s">
        <v>2978</v>
      </c>
      <c r="BL1092" s="36">
        <v>8</v>
      </c>
    </row>
    <row r="1093" spans="1:64" x14ac:dyDescent="0.2">
      <c r="A1093" s="4" t="s">
        <v>942</v>
      </c>
      <c r="B1093" s="13" t="s">
        <v>1837</v>
      </c>
      <c r="C1093" s="174" t="s">
        <v>2122</v>
      </c>
      <c r="D1093" s="175"/>
      <c r="E1093" s="175"/>
      <c r="F1093" s="175"/>
      <c r="G1093" s="13" t="s">
        <v>2860</v>
      </c>
      <c r="H1093" s="82">
        <v>1</v>
      </c>
      <c r="I1093" s="109">
        <v>0</v>
      </c>
      <c r="J1093" s="20">
        <f t="shared" si="1074"/>
        <v>0</v>
      </c>
      <c r="K1093" s="20">
        <f t="shared" si="1075"/>
        <v>0</v>
      </c>
      <c r="L1093" s="20">
        <f t="shared" si="1076"/>
        <v>0</v>
      </c>
      <c r="M1093" s="31" t="s">
        <v>2884</v>
      </c>
      <c r="N1093" s="5"/>
      <c r="Z1093" s="36">
        <f t="shared" si="1077"/>
        <v>0</v>
      </c>
      <c r="AB1093" s="36">
        <f t="shared" si="1078"/>
        <v>0</v>
      </c>
      <c r="AC1093" s="36">
        <f t="shared" si="1079"/>
        <v>0</v>
      </c>
      <c r="AD1093" s="36">
        <f t="shared" si="1080"/>
        <v>0</v>
      </c>
      <c r="AE1093" s="36">
        <f t="shared" si="1081"/>
        <v>0</v>
      </c>
      <c r="AF1093" s="36">
        <f t="shared" si="1082"/>
        <v>0</v>
      </c>
      <c r="AG1093" s="36">
        <f t="shared" si="1083"/>
        <v>0</v>
      </c>
      <c r="AH1093" s="36">
        <f t="shared" si="1084"/>
        <v>0</v>
      </c>
      <c r="AI1093" s="35" t="s">
        <v>2899</v>
      </c>
      <c r="AJ1093" s="20">
        <f t="shared" si="1085"/>
        <v>0</v>
      </c>
      <c r="AK1093" s="20">
        <f t="shared" si="1086"/>
        <v>0</v>
      </c>
      <c r="AL1093" s="20">
        <f t="shared" si="1087"/>
        <v>0</v>
      </c>
      <c r="AN1093" s="36">
        <v>21</v>
      </c>
      <c r="AO1093" s="36">
        <f t="shared" si="1098"/>
        <v>0</v>
      </c>
      <c r="AP1093" s="36">
        <f t="shared" si="1099"/>
        <v>0</v>
      </c>
      <c r="AQ1093" s="37" t="s">
        <v>7</v>
      </c>
      <c r="AV1093" s="36">
        <f t="shared" si="1090"/>
        <v>0</v>
      </c>
      <c r="AW1093" s="36">
        <f t="shared" si="1091"/>
        <v>0</v>
      </c>
      <c r="AX1093" s="36">
        <f t="shared" si="1092"/>
        <v>0</v>
      </c>
      <c r="AY1093" s="39" t="s">
        <v>2944</v>
      </c>
      <c r="AZ1093" s="39" t="s">
        <v>2965</v>
      </c>
      <c r="BA1093" s="35" t="s">
        <v>2972</v>
      </c>
      <c r="BC1093" s="36">
        <f t="shared" si="1093"/>
        <v>0</v>
      </c>
      <c r="BD1093" s="36">
        <f t="shared" si="1094"/>
        <v>0</v>
      </c>
      <c r="BE1093" s="36">
        <v>0</v>
      </c>
      <c r="BF1093" s="36">
        <f>1093</f>
        <v>1093</v>
      </c>
      <c r="BH1093" s="20">
        <f t="shared" si="1095"/>
        <v>0</v>
      </c>
      <c r="BI1093" s="20">
        <f t="shared" si="1096"/>
        <v>0</v>
      </c>
      <c r="BJ1093" s="20">
        <f t="shared" si="1097"/>
        <v>0</v>
      </c>
      <c r="BK1093" s="20" t="s">
        <v>2978</v>
      </c>
      <c r="BL1093" s="36">
        <v>8</v>
      </c>
    </row>
    <row r="1094" spans="1:64" x14ac:dyDescent="0.2">
      <c r="A1094" s="4" t="s">
        <v>943</v>
      </c>
      <c r="B1094" s="13" t="s">
        <v>1838</v>
      </c>
      <c r="C1094" s="174" t="s">
        <v>2123</v>
      </c>
      <c r="D1094" s="175"/>
      <c r="E1094" s="175"/>
      <c r="F1094" s="175"/>
      <c r="G1094" s="13" t="s">
        <v>2860</v>
      </c>
      <c r="H1094" s="82">
        <v>1</v>
      </c>
      <c r="I1094" s="109">
        <v>0</v>
      </c>
      <c r="J1094" s="20">
        <f t="shared" si="1074"/>
        <v>0</v>
      </c>
      <c r="K1094" s="20">
        <f t="shared" si="1075"/>
        <v>0</v>
      </c>
      <c r="L1094" s="20">
        <f t="shared" si="1076"/>
        <v>0</v>
      </c>
      <c r="M1094" s="31" t="s">
        <v>2884</v>
      </c>
      <c r="N1094" s="5"/>
      <c r="Z1094" s="36">
        <f t="shared" si="1077"/>
        <v>0</v>
      </c>
      <c r="AB1094" s="36">
        <f t="shared" si="1078"/>
        <v>0</v>
      </c>
      <c r="AC1094" s="36">
        <f t="shared" si="1079"/>
        <v>0</v>
      </c>
      <c r="AD1094" s="36">
        <f t="shared" si="1080"/>
        <v>0</v>
      </c>
      <c r="AE1094" s="36">
        <f t="shared" si="1081"/>
        <v>0</v>
      </c>
      <c r="AF1094" s="36">
        <f t="shared" si="1082"/>
        <v>0</v>
      </c>
      <c r="AG1094" s="36">
        <f t="shared" si="1083"/>
        <v>0</v>
      </c>
      <c r="AH1094" s="36">
        <f t="shared" si="1084"/>
        <v>0</v>
      </c>
      <c r="AI1094" s="35" t="s">
        <v>2899</v>
      </c>
      <c r="AJ1094" s="20">
        <f t="shared" si="1085"/>
        <v>0</v>
      </c>
      <c r="AK1094" s="20">
        <f t="shared" si="1086"/>
        <v>0</v>
      </c>
      <c r="AL1094" s="20">
        <f t="shared" si="1087"/>
        <v>0</v>
      </c>
      <c r="AN1094" s="36">
        <v>21</v>
      </c>
      <c r="AO1094" s="36">
        <f t="shared" si="1098"/>
        <v>0</v>
      </c>
      <c r="AP1094" s="36">
        <f t="shared" si="1099"/>
        <v>0</v>
      </c>
      <c r="AQ1094" s="37" t="s">
        <v>7</v>
      </c>
      <c r="AV1094" s="36">
        <f t="shared" si="1090"/>
        <v>0</v>
      </c>
      <c r="AW1094" s="36">
        <f t="shared" si="1091"/>
        <v>0</v>
      </c>
      <c r="AX1094" s="36">
        <f t="shared" si="1092"/>
        <v>0</v>
      </c>
      <c r="AY1094" s="39" t="s">
        <v>2944</v>
      </c>
      <c r="AZ1094" s="39" t="s">
        <v>2965</v>
      </c>
      <c r="BA1094" s="35" t="s">
        <v>2972</v>
      </c>
      <c r="BC1094" s="36">
        <f t="shared" si="1093"/>
        <v>0</v>
      </c>
      <c r="BD1094" s="36">
        <f t="shared" si="1094"/>
        <v>0</v>
      </c>
      <c r="BE1094" s="36">
        <v>0</v>
      </c>
      <c r="BF1094" s="36">
        <f>1094</f>
        <v>1094</v>
      </c>
      <c r="BH1094" s="20">
        <f t="shared" si="1095"/>
        <v>0</v>
      </c>
      <c r="BI1094" s="20">
        <f t="shared" si="1096"/>
        <v>0</v>
      </c>
      <c r="BJ1094" s="20">
        <f t="shared" si="1097"/>
        <v>0</v>
      </c>
      <c r="BK1094" s="20" t="s">
        <v>2978</v>
      </c>
      <c r="BL1094" s="36">
        <v>8</v>
      </c>
    </row>
    <row r="1095" spans="1:64" x14ac:dyDescent="0.2">
      <c r="A1095" s="98"/>
      <c r="B1095" s="99"/>
      <c r="C1095" s="185" t="s">
        <v>2832</v>
      </c>
      <c r="D1095" s="186"/>
      <c r="E1095" s="186"/>
      <c r="F1095" s="186"/>
      <c r="G1095" s="100" t="s">
        <v>6</v>
      </c>
      <c r="H1095" s="100" t="s">
        <v>6</v>
      </c>
      <c r="I1095" s="100" t="s">
        <v>6</v>
      </c>
      <c r="J1095" s="101">
        <f>J1096</f>
        <v>0</v>
      </c>
      <c r="K1095" s="101">
        <f>K1096</f>
        <v>0</v>
      </c>
      <c r="L1095" s="101">
        <f>L1096</f>
        <v>0</v>
      </c>
      <c r="M1095" s="102"/>
      <c r="N1095" s="5"/>
    </row>
    <row r="1096" spans="1:64" x14ac:dyDescent="0.2">
      <c r="A1096" s="3"/>
      <c r="B1096" s="12" t="s">
        <v>1839</v>
      </c>
      <c r="C1096" s="172" t="s">
        <v>2833</v>
      </c>
      <c r="D1096" s="173"/>
      <c r="E1096" s="173"/>
      <c r="F1096" s="173"/>
      <c r="G1096" s="18" t="s">
        <v>6</v>
      </c>
      <c r="H1096" s="18" t="s">
        <v>6</v>
      </c>
      <c r="I1096" s="18" t="s">
        <v>6</v>
      </c>
      <c r="J1096" s="41">
        <f>SUM(J1097:J1109)</f>
        <v>0</v>
      </c>
      <c r="K1096" s="41">
        <f>SUM(K1097:K1109)</f>
        <v>0</v>
      </c>
      <c r="L1096" s="41">
        <f>SUM(L1097:L1109)</f>
        <v>0</v>
      </c>
      <c r="M1096" s="30"/>
      <c r="N1096" s="5"/>
      <c r="AI1096" s="35" t="s">
        <v>2900</v>
      </c>
      <c r="AS1096" s="41">
        <f>SUM(AJ1097:AJ1109)</f>
        <v>0</v>
      </c>
      <c r="AT1096" s="41">
        <f>SUM(AK1097:AK1109)</f>
        <v>0</v>
      </c>
      <c r="AU1096" s="41">
        <f>SUM(AL1097:AL1109)</f>
        <v>0</v>
      </c>
    </row>
    <row r="1097" spans="1:64" x14ac:dyDescent="0.2">
      <c r="A1097" s="4" t="s">
        <v>944</v>
      </c>
      <c r="B1097" s="13" t="s">
        <v>1840</v>
      </c>
      <c r="C1097" s="174" t="s">
        <v>2834</v>
      </c>
      <c r="D1097" s="175"/>
      <c r="E1097" s="175"/>
      <c r="F1097" s="175"/>
      <c r="G1097" s="13" t="s">
        <v>2852</v>
      </c>
      <c r="H1097" s="82">
        <v>1</v>
      </c>
      <c r="I1097" s="109"/>
      <c r="J1097" s="20">
        <f t="shared" ref="J1097:J1109" si="1100">H1097*AO1097</f>
        <v>0</v>
      </c>
      <c r="K1097" s="20">
        <f t="shared" ref="K1097:K1109" si="1101">H1097*AP1097</f>
        <v>0</v>
      </c>
      <c r="L1097" s="20">
        <f t="shared" ref="L1097:L1109" si="1102">H1097*I1097</f>
        <v>0</v>
      </c>
      <c r="M1097" s="31" t="s">
        <v>2884</v>
      </c>
      <c r="N1097" s="5"/>
      <c r="Z1097" s="36">
        <f t="shared" ref="Z1097:Z1109" si="1103">IF(AQ1097="5",BJ1097,0)</f>
        <v>0</v>
      </c>
      <c r="AB1097" s="36">
        <f t="shared" ref="AB1097:AB1109" si="1104">IF(AQ1097="1",BH1097,0)</f>
        <v>0</v>
      </c>
      <c r="AC1097" s="36">
        <f t="shared" ref="AC1097:AC1109" si="1105">IF(AQ1097="1",BI1097,0)</f>
        <v>0</v>
      </c>
      <c r="AD1097" s="36">
        <f t="shared" ref="AD1097:AD1109" si="1106">IF(AQ1097="7",BH1097,0)</f>
        <v>0</v>
      </c>
      <c r="AE1097" s="36">
        <f t="shared" ref="AE1097:AE1109" si="1107">IF(AQ1097="7",BI1097,0)</f>
        <v>0</v>
      </c>
      <c r="AF1097" s="36">
        <f t="shared" ref="AF1097:AF1109" si="1108">IF(AQ1097="2",BH1097,0)</f>
        <v>0</v>
      </c>
      <c r="AG1097" s="36">
        <f t="shared" ref="AG1097:AG1109" si="1109">IF(AQ1097="2",BI1097,0)</f>
        <v>0</v>
      </c>
      <c r="AH1097" s="36">
        <f t="shared" ref="AH1097:AH1109" si="1110">IF(AQ1097="0",BJ1097,0)</f>
        <v>0</v>
      </c>
      <c r="AI1097" s="35" t="s">
        <v>2900</v>
      </c>
      <c r="AJ1097" s="20">
        <f t="shared" ref="AJ1097:AJ1109" si="1111">IF(AN1097=0,L1097,0)</f>
        <v>0</v>
      </c>
      <c r="AK1097" s="20">
        <f t="shared" ref="AK1097:AK1109" si="1112">IF(AN1097=15,L1097,0)</f>
        <v>0</v>
      </c>
      <c r="AL1097" s="20">
        <f t="shared" ref="AL1097:AL1109" si="1113">IF(AN1097=21,L1097,0)</f>
        <v>0</v>
      </c>
      <c r="AN1097" s="36">
        <v>21</v>
      </c>
      <c r="AO1097" s="36">
        <f t="shared" ref="AO1097:AO1109" si="1114">I1097*0</f>
        <v>0</v>
      </c>
      <c r="AP1097" s="36">
        <f t="shared" ref="AP1097:AP1109" si="1115">I1097*(1-0)</f>
        <v>0</v>
      </c>
      <c r="AQ1097" s="37" t="s">
        <v>7</v>
      </c>
      <c r="AV1097" s="36">
        <f t="shared" ref="AV1097:AV1109" si="1116">AW1097+AX1097</f>
        <v>0</v>
      </c>
      <c r="AW1097" s="36">
        <f t="shared" ref="AW1097:AW1109" si="1117">H1097*AO1097</f>
        <v>0</v>
      </c>
      <c r="AX1097" s="36">
        <f t="shared" ref="AX1097:AX1109" si="1118">H1097*AP1097</f>
        <v>0</v>
      </c>
      <c r="AY1097" s="39" t="s">
        <v>2945</v>
      </c>
      <c r="AZ1097" s="39" t="s">
        <v>2966</v>
      </c>
      <c r="BA1097" s="35" t="s">
        <v>2973</v>
      </c>
      <c r="BC1097" s="36">
        <f t="shared" ref="BC1097:BC1109" si="1119">AW1097+AX1097</f>
        <v>0</v>
      </c>
      <c r="BD1097" s="36">
        <f t="shared" ref="BD1097:BD1109" si="1120">I1097/(100-BE1097)*100</f>
        <v>0</v>
      </c>
      <c r="BE1097" s="36">
        <v>0</v>
      </c>
      <c r="BF1097" s="36">
        <f>1097</f>
        <v>1097</v>
      </c>
      <c r="BH1097" s="20">
        <f t="shared" ref="BH1097:BH1109" si="1121">H1097*AO1097</f>
        <v>0</v>
      </c>
      <c r="BI1097" s="20">
        <f t="shared" ref="BI1097:BI1109" si="1122">H1097*AP1097</f>
        <v>0</v>
      </c>
      <c r="BJ1097" s="20">
        <f t="shared" ref="BJ1097:BJ1109" si="1123">H1097*I1097</f>
        <v>0</v>
      </c>
      <c r="BK1097" s="20" t="s">
        <v>2978</v>
      </c>
      <c r="BL1097" s="36">
        <v>0</v>
      </c>
    </row>
    <row r="1098" spans="1:64" x14ac:dyDescent="0.2">
      <c r="A1098" s="4" t="s">
        <v>945</v>
      </c>
      <c r="B1098" s="13" t="s">
        <v>1841</v>
      </c>
      <c r="C1098" s="174" t="s">
        <v>2835</v>
      </c>
      <c r="D1098" s="175"/>
      <c r="E1098" s="175"/>
      <c r="F1098" s="175"/>
      <c r="G1098" s="13" t="s">
        <v>2852</v>
      </c>
      <c r="H1098" s="82">
        <v>1</v>
      </c>
      <c r="I1098" s="109"/>
      <c r="J1098" s="20">
        <f t="shared" si="1100"/>
        <v>0</v>
      </c>
      <c r="K1098" s="20">
        <f t="shared" si="1101"/>
        <v>0</v>
      </c>
      <c r="L1098" s="20">
        <f t="shared" si="1102"/>
        <v>0</v>
      </c>
      <c r="M1098" s="31" t="s">
        <v>2884</v>
      </c>
      <c r="N1098" s="5"/>
      <c r="Z1098" s="36">
        <f t="shared" si="1103"/>
        <v>0</v>
      </c>
      <c r="AB1098" s="36">
        <f t="shared" si="1104"/>
        <v>0</v>
      </c>
      <c r="AC1098" s="36">
        <f t="shared" si="1105"/>
        <v>0</v>
      </c>
      <c r="AD1098" s="36">
        <f t="shared" si="1106"/>
        <v>0</v>
      </c>
      <c r="AE1098" s="36">
        <f t="shared" si="1107"/>
        <v>0</v>
      </c>
      <c r="AF1098" s="36">
        <f t="shared" si="1108"/>
        <v>0</v>
      </c>
      <c r="AG1098" s="36">
        <f t="shared" si="1109"/>
        <v>0</v>
      </c>
      <c r="AH1098" s="36">
        <f t="shared" si="1110"/>
        <v>0</v>
      </c>
      <c r="AI1098" s="35" t="s">
        <v>2900</v>
      </c>
      <c r="AJ1098" s="20">
        <f t="shared" si="1111"/>
        <v>0</v>
      </c>
      <c r="AK1098" s="20">
        <f t="shared" si="1112"/>
        <v>0</v>
      </c>
      <c r="AL1098" s="20">
        <f t="shared" si="1113"/>
        <v>0</v>
      </c>
      <c r="AN1098" s="36">
        <v>21</v>
      </c>
      <c r="AO1098" s="36">
        <f t="shared" si="1114"/>
        <v>0</v>
      </c>
      <c r="AP1098" s="36">
        <f t="shared" si="1115"/>
        <v>0</v>
      </c>
      <c r="AQ1098" s="37" t="s">
        <v>7</v>
      </c>
      <c r="AV1098" s="36">
        <f t="shared" si="1116"/>
        <v>0</v>
      </c>
      <c r="AW1098" s="36">
        <f t="shared" si="1117"/>
        <v>0</v>
      </c>
      <c r="AX1098" s="36">
        <f t="shared" si="1118"/>
        <v>0</v>
      </c>
      <c r="AY1098" s="39" t="s">
        <v>2945</v>
      </c>
      <c r="AZ1098" s="39" t="s">
        <v>2966</v>
      </c>
      <c r="BA1098" s="35" t="s">
        <v>2973</v>
      </c>
      <c r="BC1098" s="36">
        <f t="shared" si="1119"/>
        <v>0</v>
      </c>
      <c r="BD1098" s="36">
        <f t="shared" si="1120"/>
        <v>0</v>
      </c>
      <c r="BE1098" s="36">
        <v>0</v>
      </c>
      <c r="BF1098" s="36">
        <f>1098</f>
        <v>1098</v>
      </c>
      <c r="BH1098" s="20">
        <f t="shared" si="1121"/>
        <v>0</v>
      </c>
      <c r="BI1098" s="20">
        <f t="shared" si="1122"/>
        <v>0</v>
      </c>
      <c r="BJ1098" s="20">
        <f t="shared" si="1123"/>
        <v>0</v>
      </c>
      <c r="BK1098" s="20" t="s">
        <v>2978</v>
      </c>
      <c r="BL1098" s="36">
        <v>0</v>
      </c>
    </row>
    <row r="1099" spans="1:64" x14ac:dyDescent="0.2">
      <c r="A1099" s="4" t="s">
        <v>946</v>
      </c>
      <c r="B1099" s="13" t="s">
        <v>1842</v>
      </c>
      <c r="C1099" s="174" t="s">
        <v>2836</v>
      </c>
      <c r="D1099" s="175"/>
      <c r="E1099" s="175"/>
      <c r="F1099" s="175"/>
      <c r="G1099" s="13" t="s">
        <v>2852</v>
      </c>
      <c r="H1099" s="82">
        <v>1</v>
      </c>
      <c r="I1099" s="109"/>
      <c r="J1099" s="20">
        <f t="shared" si="1100"/>
        <v>0</v>
      </c>
      <c r="K1099" s="20">
        <f t="shared" si="1101"/>
        <v>0</v>
      </c>
      <c r="L1099" s="20">
        <f t="shared" si="1102"/>
        <v>0</v>
      </c>
      <c r="M1099" s="31" t="s">
        <v>2884</v>
      </c>
      <c r="N1099" s="5"/>
      <c r="Z1099" s="36">
        <f t="shared" si="1103"/>
        <v>0</v>
      </c>
      <c r="AB1099" s="36">
        <f t="shared" si="1104"/>
        <v>0</v>
      </c>
      <c r="AC1099" s="36">
        <f t="shared" si="1105"/>
        <v>0</v>
      </c>
      <c r="AD1099" s="36">
        <f t="shared" si="1106"/>
        <v>0</v>
      </c>
      <c r="AE1099" s="36">
        <f t="shared" si="1107"/>
        <v>0</v>
      </c>
      <c r="AF1099" s="36">
        <f t="shared" si="1108"/>
        <v>0</v>
      </c>
      <c r="AG1099" s="36">
        <f t="shared" si="1109"/>
        <v>0</v>
      </c>
      <c r="AH1099" s="36">
        <f t="shared" si="1110"/>
        <v>0</v>
      </c>
      <c r="AI1099" s="35" t="s">
        <v>2900</v>
      </c>
      <c r="AJ1099" s="20">
        <f t="shared" si="1111"/>
        <v>0</v>
      </c>
      <c r="AK1099" s="20">
        <f t="shared" si="1112"/>
        <v>0</v>
      </c>
      <c r="AL1099" s="20">
        <f t="shared" si="1113"/>
        <v>0</v>
      </c>
      <c r="AN1099" s="36">
        <v>21</v>
      </c>
      <c r="AO1099" s="36">
        <f t="shared" si="1114"/>
        <v>0</v>
      </c>
      <c r="AP1099" s="36">
        <f t="shared" si="1115"/>
        <v>0</v>
      </c>
      <c r="AQ1099" s="37" t="s">
        <v>7</v>
      </c>
      <c r="AV1099" s="36">
        <f t="shared" si="1116"/>
        <v>0</v>
      </c>
      <c r="AW1099" s="36">
        <f t="shared" si="1117"/>
        <v>0</v>
      </c>
      <c r="AX1099" s="36">
        <f t="shared" si="1118"/>
        <v>0</v>
      </c>
      <c r="AY1099" s="39" t="s">
        <v>2945</v>
      </c>
      <c r="AZ1099" s="39" t="s">
        <v>2966</v>
      </c>
      <c r="BA1099" s="35" t="s">
        <v>2973</v>
      </c>
      <c r="BC1099" s="36">
        <f t="shared" si="1119"/>
        <v>0</v>
      </c>
      <c r="BD1099" s="36">
        <f t="shared" si="1120"/>
        <v>0</v>
      </c>
      <c r="BE1099" s="36">
        <v>0</v>
      </c>
      <c r="BF1099" s="36">
        <f>1099</f>
        <v>1099</v>
      </c>
      <c r="BH1099" s="20">
        <f t="shared" si="1121"/>
        <v>0</v>
      </c>
      <c r="BI1099" s="20">
        <f t="shared" si="1122"/>
        <v>0</v>
      </c>
      <c r="BJ1099" s="20">
        <f t="shared" si="1123"/>
        <v>0</v>
      </c>
      <c r="BK1099" s="20" t="s">
        <v>2978</v>
      </c>
      <c r="BL1099" s="36">
        <v>0</v>
      </c>
    </row>
    <row r="1100" spans="1:64" x14ac:dyDescent="0.2">
      <c r="A1100" s="4" t="s">
        <v>947</v>
      </c>
      <c r="B1100" s="13" t="s">
        <v>1843</v>
      </c>
      <c r="C1100" s="174" t="s">
        <v>2837</v>
      </c>
      <c r="D1100" s="175"/>
      <c r="E1100" s="175"/>
      <c r="F1100" s="175"/>
      <c r="G1100" s="13" t="s">
        <v>2852</v>
      </c>
      <c r="H1100" s="82">
        <v>1</v>
      </c>
      <c r="I1100" s="109"/>
      <c r="J1100" s="20">
        <f t="shared" si="1100"/>
        <v>0</v>
      </c>
      <c r="K1100" s="20">
        <f t="shared" si="1101"/>
        <v>0</v>
      </c>
      <c r="L1100" s="20">
        <f t="shared" si="1102"/>
        <v>0</v>
      </c>
      <c r="M1100" s="31" t="s">
        <v>2884</v>
      </c>
      <c r="N1100" s="5"/>
      <c r="Z1100" s="36">
        <f t="shared" si="1103"/>
        <v>0</v>
      </c>
      <c r="AB1100" s="36">
        <f t="shared" si="1104"/>
        <v>0</v>
      </c>
      <c r="AC1100" s="36">
        <f t="shared" si="1105"/>
        <v>0</v>
      </c>
      <c r="AD1100" s="36">
        <f t="shared" si="1106"/>
        <v>0</v>
      </c>
      <c r="AE1100" s="36">
        <f t="shared" si="1107"/>
        <v>0</v>
      </c>
      <c r="AF1100" s="36">
        <f t="shared" si="1108"/>
        <v>0</v>
      </c>
      <c r="AG1100" s="36">
        <f t="shared" si="1109"/>
        <v>0</v>
      </c>
      <c r="AH1100" s="36">
        <f t="shared" si="1110"/>
        <v>0</v>
      </c>
      <c r="AI1100" s="35" t="s">
        <v>2900</v>
      </c>
      <c r="AJ1100" s="20">
        <f t="shared" si="1111"/>
        <v>0</v>
      </c>
      <c r="AK1100" s="20">
        <f t="shared" si="1112"/>
        <v>0</v>
      </c>
      <c r="AL1100" s="20">
        <f t="shared" si="1113"/>
        <v>0</v>
      </c>
      <c r="AN1100" s="36">
        <v>21</v>
      </c>
      <c r="AO1100" s="36">
        <f t="shared" si="1114"/>
        <v>0</v>
      </c>
      <c r="AP1100" s="36">
        <f t="shared" si="1115"/>
        <v>0</v>
      </c>
      <c r="AQ1100" s="37" t="s">
        <v>7</v>
      </c>
      <c r="AV1100" s="36">
        <f t="shared" si="1116"/>
        <v>0</v>
      </c>
      <c r="AW1100" s="36">
        <f t="shared" si="1117"/>
        <v>0</v>
      </c>
      <c r="AX1100" s="36">
        <f t="shared" si="1118"/>
        <v>0</v>
      </c>
      <c r="AY1100" s="39" t="s">
        <v>2945</v>
      </c>
      <c r="AZ1100" s="39" t="s">
        <v>2966</v>
      </c>
      <c r="BA1100" s="35" t="s">
        <v>2973</v>
      </c>
      <c r="BC1100" s="36">
        <f t="shared" si="1119"/>
        <v>0</v>
      </c>
      <c r="BD1100" s="36">
        <f t="shared" si="1120"/>
        <v>0</v>
      </c>
      <c r="BE1100" s="36">
        <v>0</v>
      </c>
      <c r="BF1100" s="36">
        <f>1100</f>
        <v>1100</v>
      </c>
      <c r="BH1100" s="20">
        <f t="shared" si="1121"/>
        <v>0</v>
      </c>
      <c r="BI1100" s="20">
        <f t="shared" si="1122"/>
        <v>0</v>
      </c>
      <c r="BJ1100" s="20">
        <f t="shared" si="1123"/>
        <v>0</v>
      </c>
      <c r="BK1100" s="20" t="s">
        <v>2978</v>
      </c>
      <c r="BL1100" s="36">
        <v>0</v>
      </c>
    </row>
    <row r="1101" spans="1:64" x14ac:dyDescent="0.2">
      <c r="A1101" s="4" t="s">
        <v>948</v>
      </c>
      <c r="B1101" s="13" t="s">
        <v>1844</v>
      </c>
      <c r="C1101" s="174" t="s">
        <v>2838</v>
      </c>
      <c r="D1101" s="175"/>
      <c r="E1101" s="175"/>
      <c r="F1101" s="175"/>
      <c r="G1101" s="13" t="s">
        <v>2852</v>
      </c>
      <c r="H1101" s="82">
        <v>1</v>
      </c>
      <c r="I1101" s="109"/>
      <c r="J1101" s="20">
        <f t="shared" si="1100"/>
        <v>0</v>
      </c>
      <c r="K1101" s="20">
        <f t="shared" si="1101"/>
        <v>0</v>
      </c>
      <c r="L1101" s="20">
        <f t="shared" si="1102"/>
        <v>0</v>
      </c>
      <c r="M1101" s="31" t="s">
        <v>2884</v>
      </c>
      <c r="N1101" s="5"/>
      <c r="Z1101" s="36">
        <f t="shared" si="1103"/>
        <v>0</v>
      </c>
      <c r="AB1101" s="36">
        <f t="shared" si="1104"/>
        <v>0</v>
      </c>
      <c r="AC1101" s="36">
        <f t="shared" si="1105"/>
        <v>0</v>
      </c>
      <c r="AD1101" s="36">
        <f t="shared" si="1106"/>
        <v>0</v>
      </c>
      <c r="AE1101" s="36">
        <f t="shared" si="1107"/>
        <v>0</v>
      </c>
      <c r="AF1101" s="36">
        <f t="shared" si="1108"/>
        <v>0</v>
      </c>
      <c r="AG1101" s="36">
        <f t="shared" si="1109"/>
        <v>0</v>
      </c>
      <c r="AH1101" s="36">
        <f t="shared" si="1110"/>
        <v>0</v>
      </c>
      <c r="AI1101" s="35" t="s">
        <v>2900</v>
      </c>
      <c r="AJ1101" s="20">
        <f t="shared" si="1111"/>
        <v>0</v>
      </c>
      <c r="AK1101" s="20">
        <f t="shared" si="1112"/>
        <v>0</v>
      </c>
      <c r="AL1101" s="20">
        <f t="shared" si="1113"/>
        <v>0</v>
      </c>
      <c r="AN1101" s="36">
        <v>21</v>
      </c>
      <c r="AO1101" s="36">
        <f t="shared" si="1114"/>
        <v>0</v>
      </c>
      <c r="AP1101" s="36">
        <f t="shared" si="1115"/>
        <v>0</v>
      </c>
      <c r="AQ1101" s="37" t="s">
        <v>7</v>
      </c>
      <c r="AV1101" s="36">
        <f t="shared" si="1116"/>
        <v>0</v>
      </c>
      <c r="AW1101" s="36">
        <f t="shared" si="1117"/>
        <v>0</v>
      </c>
      <c r="AX1101" s="36">
        <f t="shared" si="1118"/>
        <v>0</v>
      </c>
      <c r="AY1101" s="39" t="s">
        <v>2945</v>
      </c>
      <c r="AZ1101" s="39" t="s">
        <v>2966</v>
      </c>
      <c r="BA1101" s="35" t="s">
        <v>2973</v>
      </c>
      <c r="BC1101" s="36">
        <f t="shared" si="1119"/>
        <v>0</v>
      </c>
      <c r="BD1101" s="36">
        <f t="shared" si="1120"/>
        <v>0</v>
      </c>
      <c r="BE1101" s="36">
        <v>0</v>
      </c>
      <c r="BF1101" s="36">
        <f>1101</f>
        <v>1101</v>
      </c>
      <c r="BH1101" s="20">
        <f t="shared" si="1121"/>
        <v>0</v>
      </c>
      <c r="BI1101" s="20">
        <f t="shared" si="1122"/>
        <v>0</v>
      </c>
      <c r="BJ1101" s="20">
        <f t="shared" si="1123"/>
        <v>0</v>
      </c>
      <c r="BK1101" s="20" t="s">
        <v>2978</v>
      </c>
      <c r="BL1101" s="36">
        <v>0</v>
      </c>
    </row>
    <row r="1102" spans="1:64" x14ac:dyDescent="0.2">
      <c r="A1102" s="4" t="s">
        <v>949</v>
      </c>
      <c r="B1102" s="13" t="s">
        <v>1845</v>
      </c>
      <c r="C1102" s="174" t="s">
        <v>2839</v>
      </c>
      <c r="D1102" s="175"/>
      <c r="E1102" s="175"/>
      <c r="F1102" s="175"/>
      <c r="G1102" s="13" t="s">
        <v>2852</v>
      </c>
      <c r="H1102" s="82">
        <v>1</v>
      </c>
      <c r="I1102" s="109"/>
      <c r="J1102" s="20">
        <f t="shared" si="1100"/>
        <v>0</v>
      </c>
      <c r="K1102" s="20">
        <f t="shared" si="1101"/>
        <v>0</v>
      </c>
      <c r="L1102" s="20">
        <f t="shared" si="1102"/>
        <v>0</v>
      </c>
      <c r="M1102" s="31" t="s">
        <v>2884</v>
      </c>
      <c r="N1102" s="5"/>
      <c r="Z1102" s="36">
        <f t="shared" si="1103"/>
        <v>0</v>
      </c>
      <c r="AB1102" s="36">
        <f t="shared" si="1104"/>
        <v>0</v>
      </c>
      <c r="AC1102" s="36">
        <f t="shared" si="1105"/>
        <v>0</v>
      </c>
      <c r="AD1102" s="36">
        <f t="shared" si="1106"/>
        <v>0</v>
      </c>
      <c r="AE1102" s="36">
        <f t="shared" si="1107"/>
        <v>0</v>
      </c>
      <c r="AF1102" s="36">
        <f t="shared" si="1108"/>
        <v>0</v>
      </c>
      <c r="AG1102" s="36">
        <f t="shared" si="1109"/>
        <v>0</v>
      </c>
      <c r="AH1102" s="36">
        <f t="shared" si="1110"/>
        <v>0</v>
      </c>
      <c r="AI1102" s="35" t="s">
        <v>2900</v>
      </c>
      <c r="AJ1102" s="20">
        <f t="shared" si="1111"/>
        <v>0</v>
      </c>
      <c r="AK1102" s="20">
        <f t="shared" si="1112"/>
        <v>0</v>
      </c>
      <c r="AL1102" s="20">
        <f t="shared" si="1113"/>
        <v>0</v>
      </c>
      <c r="AN1102" s="36">
        <v>21</v>
      </c>
      <c r="AO1102" s="36">
        <f t="shared" si="1114"/>
        <v>0</v>
      </c>
      <c r="AP1102" s="36">
        <f t="shared" si="1115"/>
        <v>0</v>
      </c>
      <c r="AQ1102" s="37" t="s">
        <v>7</v>
      </c>
      <c r="AV1102" s="36">
        <f t="shared" si="1116"/>
        <v>0</v>
      </c>
      <c r="AW1102" s="36">
        <f t="shared" si="1117"/>
        <v>0</v>
      </c>
      <c r="AX1102" s="36">
        <f t="shared" si="1118"/>
        <v>0</v>
      </c>
      <c r="AY1102" s="39" t="s">
        <v>2945</v>
      </c>
      <c r="AZ1102" s="39" t="s">
        <v>2966</v>
      </c>
      <c r="BA1102" s="35" t="s">
        <v>2973</v>
      </c>
      <c r="BC1102" s="36">
        <f t="shared" si="1119"/>
        <v>0</v>
      </c>
      <c r="BD1102" s="36">
        <f t="shared" si="1120"/>
        <v>0</v>
      </c>
      <c r="BE1102" s="36">
        <v>0</v>
      </c>
      <c r="BF1102" s="36">
        <f>1102</f>
        <v>1102</v>
      </c>
      <c r="BH1102" s="20">
        <f t="shared" si="1121"/>
        <v>0</v>
      </c>
      <c r="BI1102" s="20">
        <f t="shared" si="1122"/>
        <v>0</v>
      </c>
      <c r="BJ1102" s="20">
        <f t="shared" si="1123"/>
        <v>0</v>
      </c>
      <c r="BK1102" s="20" t="s">
        <v>2978</v>
      </c>
      <c r="BL1102" s="36">
        <v>0</v>
      </c>
    </row>
    <row r="1103" spans="1:64" x14ac:dyDescent="0.2">
      <c r="A1103" s="4" t="s">
        <v>950</v>
      </c>
      <c r="B1103" s="13" t="s">
        <v>1846</v>
      </c>
      <c r="C1103" s="174" t="s">
        <v>2840</v>
      </c>
      <c r="D1103" s="175"/>
      <c r="E1103" s="175"/>
      <c r="F1103" s="175"/>
      <c r="G1103" s="13" t="s">
        <v>2852</v>
      </c>
      <c r="H1103" s="82">
        <v>1</v>
      </c>
      <c r="I1103" s="109"/>
      <c r="J1103" s="20">
        <f t="shared" si="1100"/>
        <v>0</v>
      </c>
      <c r="K1103" s="20">
        <f t="shared" si="1101"/>
        <v>0</v>
      </c>
      <c r="L1103" s="20">
        <f t="shared" si="1102"/>
        <v>0</v>
      </c>
      <c r="M1103" s="31" t="s">
        <v>2884</v>
      </c>
      <c r="N1103" s="5"/>
      <c r="Z1103" s="36">
        <f t="shared" si="1103"/>
        <v>0</v>
      </c>
      <c r="AB1103" s="36">
        <f t="shared" si="1104"/>
        <v>0</v>
      </c>
      <c r="AC1103" s="36">
        <f t="shared" si="1105"/>
        <v>0</v>
      </c>
      <c r="AD1103" s="36">
        <f t="shared" si="1106"/>
        <v>0</v>
      </c>
      <c r="AE1103" s="36">
        <f t="shared" si="1107"/>
        <v>0</v>
      </c>
      <c r="AF1103" s="36">
        <f t="shared" si="1108"/>
        <v>0</v>
      </c>
      <c r="AG1103" s="36">
        <f t="shared" si="1109"/>
        <v>0</v>
      </c>
      <c r="AH1103" s="36">
        <f t="shared" si="1110"/>
        <v>0</v>
      </c>
      <c r="AI1103" s="35" t="s">
        <v>2900</v>
      </c>
      <c r="AJ1103" s="20">
        <f t="shared" si="1111"/>
        <v>0</v>
      </c>
      <c r="AK1103" s="20">
        <f t="shared" si="1112"/>
        <v>0</v>
      </c>
      <c r="AL1103" s="20">
        <f t="shared" si="1113"/>
        <v>0</v>
      </c>
      <c r="AN1103" s="36">
        <v>21</v>
      </c>
      <c r="AO1103" s="36">
        <f t="shared" si="1114"/>
        <v>0</v>
      </c>
      <c r="AP1103" s="36">
        <f t="shared" si="1115"/>
        <v>0</v>
      </c>
      <c r="AQ1103" s="37" t="s">
        <v>7</v>
      </c>
      <c r="AV1103" s="36">
        <f t="shared" si="1116"/>
        <v>0</v>
      </c>
      <c r="AW1103" s="36">
        <f t="shared" si="1117"/>
        <v>0</v>
      </c>
      <c r="AX1103" s="36">
        <f t="shared" si="1118"/>
        <v>0</v>
      </c>
      <c r="AY1103" s="39" t="s">
        <v>2945</v>
      </c>
      <c r="AZ1103" s="39" t="s">
        <v>2966</v>
      </c>
      <c r="BA1103" s="35" t="s">
        <v>2973</v>
      </c>
      <c r="BC1103" s="36">
        <f t="shared" si="1119"/>
        <v>0</v>
      </c>
      <c r="BD1103" s="36">
        <f t="shared" si="1120"/>
        <v>0</v>
      </c>
      <c r="BE1103" s="36">
        <v>0</v>
      </c>
      <c r="BF1103" s="36">
        <f>1103</f>
        <v>1103</v>
      </c>
      <c r="BH1103" s="20">
        <f t="shared" si="1121"/>
        <v>0</v>
      </c>
      <c r="BI1103" s="20">
        <f t="shared" si="1122"/>
        <v>0</v>
      </c>
      <c r="BJ1103" s="20">
        <f t="shared" si="1123"/>
        <v>0</v>
      </c>
      <c r="BK1103" s="20" t="s">
        <v>2978</v>
      </c>
      <c r="BL1103" s="36">
        <v>0</v>
      </c>
    </row>
    <row r="1104" spans="1:64" x14ac:dyDescent="0.2">
      <c r="A1104" s="4" t="s">
        <v>951</v>
      </c>
      <c r="B1104" s="13" t="s">
        <v>1847</v>
      </c>
      <c r="C1104" s="174" t="s">
        <v>2841</v>
      </c>
      <c r="D1104" s="175"/>
      <c r="E1104" s="175"/>
      <c r="F1104" s="175"/>
      <c r="G1104" s="13" t="s">
        <v>2852</v>
      </c>
      <c r="H1104" s="82">
        <v>1</v>
      </c>
      <c r="I1104" s="109"/>
      <c r="J1104" s="20">
        <f t="shared" si="1100"/>
        <v>0</v>
      </c>
      <c r="K1104" s="20">
        <f t="shared" si="1101"/>
        <v>0</v>
      </c>
      <c r="L1104" s="20">
        <f t="shared" si="1102"/>
        <v>0</v>
      </c>
      <c r="M1104" s="31" t="s">
        <v>2884</v>
      </c>
      <c r="N1104" s="5"/>
      <c r="Z1104" s="36">
        <f t="shared" si="1103"/>
        <v>0</v>
      </c>
      <c r="AB1104" s="36">
        <f t="shared" si="1104"/>
        <v>0</v>
      </c>
      <c r="AC1104" s="36">
        <f t="shared" si="1105"/>
        <v>0</v>
      </c>
      <c r="AD1104" s="36">
        <f t="shared" si="1106"/>
        <v>0</v>
      </c>
      <c r="AE1104" s="36">
        <f t="shared" si="1107"/>
        <v>0</v>
      </c>
      <c r="AF1104" s="36">
        <f t="shared" si="1108"/>
        <v>0</v>
      </c>
      <c r="AG1104" s="36">
        <f t="shared" si="1109"/>
        <v>0</v>
      </c>
      <c r="AH1104" s="36">
        <f t="shared" si="1110"/>
        <v>0</v>
      </c>
      <c r="AI1104" s="35" t="s">
        <v>2900</v>
      </c>
      <c r="AJ1104" s="20">
        <f t="shared" si="1111"/>
        <v>0</v>
      </c>
      <c r="AK1104" s="20">
        <f t="shared" si="1112"/>
        <v>0</v>
      </c>
      <c r="AL1104" s="20">
        <f t="shared" si="1113"/>
        <v>0</v>
      </c>
      <c r="AN1104" s="36">
        <v>21</v>
      </c>
      <c r="AO1104" s="36">
        <f t="shared" si="1114"/>
        <v>0</v>
      </c>
      <c r="AP1104" s="36">
        <f t="shared" si="1115"/>
        <v>0</v>
      </c>
      <c r="AQ1104" s="37" t="s">
        <v>7</v>
      </c>
      <c r="AV1104" s="36">
        <f t="shared" si="1116"/>
        <v>0</v>
      </c>
      <c r="AW1104" s="36">
        <f t="shared" si="1117"/>
        <v>0</v>
      </c>
      <c r="AX1104" s="36">
        <f t="shared" si="1118"/>
        <v>0</v>
      </c>
      <c r="AY1104" s="39" t="s">
        <v>2945</v>
      </c>
      <c r="AZ1104" s="39" t="s">
        <v>2966</v>
      </c>
      <c r="BA1104" s="35" t="s">
        <v>2973</v>
      </c>
      <c r="BC1104" s="36">
        <f t="shared" si="1119"/>
        <v>0</v>
      </c>
      <c r="BD1104" s="36">
        <f t="shared" si="1120"/>
        <v>0</v>
      </c>
      <c r="BE1104" s="36">
        <v>0</v>
      </c>
      <c r="BF1104" s="36">
        <f>1104</f>
        <v>1104</v>
      </c>
      <c r="BH1104" s="20">
        <f t="shared" si="1121"/>
        <v>0</v>
      </c>
      <c r="BI1104" s="20">
        <f t="shared" si="1122"/>
        <v>0</v>
      </c>
      <c r="BJ1104" s="20">
        <f t="shared" si="1123"/>
        <v>0</v>
      </c>
      <c r="BK1104" s="20" t="s">
        <v>2978</v>
      </c>
      <c r="BL1104" s="36">
        <v>0</v>
      </c>
    </row>
    <row r="1105" spans="1:64" x14ac:dyDescent="0.2">
      <c r="A1105" s="4" t="s">
        <v>952</v>
      </c>
      <c r="B1105" s="13" t="s">
        <v>1848</v>
      </c>
      <c r="C1105" s="174" t="s">
        <v>2842</v>
      </c>
      <c r="D1105" s="175"/>
      <c r="E1105" s="175"/>
      <c r="F1105" s="175"/>
      <c r="G1105" s="13" t="s">
        <v>2852</v>
      </c>
      <c r="H1105" s="82">
        <v>1</v>
      </c>
      <c r="I1105" s="109"/>
      <c r="J1105" s="20">
        <f t="shared" si="1100"/>
        <v>0</v>
      </c>
      <c r="K1105" s="20">
        <f t="shared" si="1101"/>
        <v>0</v>
      </c>
      <c r="L1105" s="20">
        <f t="shared" si="1102"/>
        <v>0</v>
      </c>
      <c r="M1105" s="31" t="s">
        <v>2884</v>
      </c>
      <c r="N1105" s="5"/>
      <c r="Z1105" s="36">
        <f t="shared" si="1103"/>
        <v>0</v>
      </c>
      <c r="AB1105" s="36">
        <f t="shared" si="1104"/>
        <v>0</v>
      </c>
      <c r="AC1105" s="36">
        <f t="shared" si="1105"/>
        <v>0</v>
      </c>
      <c r="AD1105" s="36">
        <f t="shared" si="1106"/>
        <v>0</v>
      </c>
      <c r="AE1105" s="36">
        <f t="shared" si="1107"/>
        <v>0</v>
      </c>
      <c r="AF1105" s="36">
        <f t="shared" si="1108"/>
        <v>0</v>
      </c>
      <c r="AG1105" s="36">
        <f t="shared" si="1109"/>
        <v>0</v>
      </c>
      <c r="AH1105" s="36">
        <f t="shared" si="1110"/>
        <v>0</v>
      </c>
      <c r="AI1105" s="35" t="s">
        <v>2900</v>
      </c>
      <c r="AJ1105" s="20">
        <f t="shared" si="1111"/>
        <v>0</v>
      </c>
      <c r="AK1105" s="20">
        <f t="shared" si="1112"/>
        <v>0</v>
      </c>
      <c r="AL1105" s="20">
        <f t="shared" si="1113"/>
        <v>0</v>
      </c>
      <c r="AN1105" s="36">
        <v>21</v>
      </c>
      <c r="AO1105" s="36">
        <f t="shared" si="1114"/>
        <v>0</v>
      </c>
      <c r="AP1105" s="36">
        <f t="shared" si="1115"/>
        <v>0</v>
      </c>
      <c r="AQ1105" s="37" t="s">
        <v>7</v>
      </c>
      <c r="AV1105" s="36">
        <f t="shared" si="1116"/>
        <v>0</v>
      </c>
      <c r="AW1105" s="36">
        <f t="shared" si="1117"/>
        <v>0</v>
      </c>
      <c r="AX1105" s="36">
        <f t="shared" si="1118"/>
        <v>0</v>
      </c>
      <c r="AY1105" s="39" t="s">
        <v>2945</v>
      </c>
      <c r="AZ1105" s="39" t="s">
        <v>2966</v>
      </c>
      <c r="BA1105" s="35" t="s">
        <v>2973</v>
      </c>
      <c r="BC1105" s="36">
        <f t="shared" si="1119"/>
        <v>0</v>
      </c>
      <c r="BD1105" s="36">
        <f t="shared" si="1120"/>
        <v>0</v>
      </c>
      <c r="BE1105" s="36">
        <v>0</v>
      </c>
      <c r="BF1105" s="36">
        <f>1105</f>
        <v>1105</v>
      </c>
      <c r="BH1105" s="20">
        <f t="shared" si="1121"/>
        <v>0</v>
      </c>
      <c r="BI1105" s="20">
        <f t="shared" si="1122"/>
        <v>0</v>
      </c>
      <c r="BJ1105" s="20">
        <f t="shared" si="1123"/>
        <v>0</v>
      </c>
      <c r="BK1105" s="20" t="s">
        <v>2978</v>
      </c>
      <c r="BL1105" s="36">
        <v>0</v>
      </c>
    </row>
    <row r="1106" spans="1:64" x14ac:dyDescent="0.2">
      <c r="A1106" s="4" t="s">
        <v>953</v>
      </c>
      <c r="B1106" s="13" t="s">
        <v>1849</v>
      </c>
      <c r="C1106" s="174" t="s">
        <v>2843</v>
      </c>
      <c r="D1106" s="175"/>
      <c r="E1106" s="175"/>
      <c r="F1106" s="175"/>
      <c r="G1106" s="13" t="s">
        <v>2852</v>
      </c>
      <c r="H1106" s="82">
        <v>1</v>
      </c>
      <c r="I1106" s="109"/>
      <c r="J1106" s="20">
        <f t="shared" si="1100"/>
        <v>0</v>
      </c>
      <c r="K1106" s="20">
        <f t="shared" si="1101"/>
        <v>0</v>
      </c>
      <c r="L1106" s="20">
        <f t="shared" si="1102"/>
        <v>0</v>
      </c>
      <c r="M1106" s="31" t="s">
        <v>2884</v>
      </c>
      <c r="N1106" s="5"/>
      <c r="Z1106" s="36">
        <f t="shared" si="1103"/>
        <v>0</v>
      </c>
      <c r="AB1106" s="36">
        <f t="shared" si="1104"/>
        <v>0</v>
      </c>
      <c r="AC1106" s="36">
        <f t="shared" si="1105"/>
        <v>0</v>
      </c>
      <c r="AD1106" s="36">
        <f t="shared" si="1106"/>
        <v>0</v>
      </c>
      <c r="AE1106" s="36">
        <f t="shared" si="1107"/>
        <v>0</v>
      </c>
      <c r="AF1106" s="36">
        <f t="shared" si="1108"/>
        <v>0</v>
      </c>
      <c r="AG1106" s="36">
        <f t="shared" si="1109"/>
        <v>0</v>
      </c>
      <c r="AH1106" s="36">
        <f t="shared" si="1110"/>
        <v>0</v>
      </c>
      <c r="AI1106" s="35" t="s">
        <v>2900</v>
      </c>
      <c r="AJ1106" s="20">
        <f t="shared" si="1111"/>
        <v>0</v>
      </c>
      <c r="AK1106" s="20">
        <f t="shared" si="1112"/>
        <v>0</v>
      </c>
      <c r="AL1106" s="20">
        <f t="shared" si="1113"/>
        <v>0</v>
      </c>
      <c r="AN1106" s="36">
        <v>21</v>
      </c>
      <c r="AO1106" s="36">
        <f t="shared" si="1114"/>
        <v>0</v>
      </c>
      <c r="AP1106" s="36">
        <f t="shared" si="1115"/>
        <v>0</v>
      </c>
      <c r="AQ1106" s="37" t="s">
        <v>7</v>
      </c>
      <c r="AV1106" s="36">
        <f t="shared" si="1116"/>
        <v>0</v>
      </c>
      <c r="AW1106" s="36">
        <f t="shared" si="1117"/>
        <v>0</v>
      </c>
      <c r="AX1106" s="36">
        <f t="shared" si="1118"/>
        <v>0</v>
      </c>
      <c r="AY1106" s="39" t="s">
        <v>2945</v>
      </c>
      <c r="AZ1106" s="39" t="s">
        <v>2966</v>
      </c>
      <c r="BA1106" s="35" t="s">
        <v>2973</v>
      </c>
      <c r="BC1106" s="36">
        <f t="shared" si="1119"/>
        <v>0</v>
      </c>
      <c r="BD1106" s="36">
        <f t="shared" si="1120"/>
        <v>0</v>
      </c>
      <c r="BE1106" s="36">
        <v>0</v>
      </c>
      <c r="BF1106" s="36">
        <f>1106</f>
        <v>1106</v>
      </c>
      <c r="BH1106" s="20">
        <f t="shared" si="1121"/>
        <v>0</v>
      </c>
      <c r="BI1106" s="20">
        <f t="shared" si="1122"/>
        <v>0</v>
      </c>
      <c r="BJ1106" s="20">
        <f t="shared" si="1123"/>
        <v>0</v>
      </c>
      <c r="BK1106" s="20" t="s">
        <v>2978</v>
      </c>
      <c r="BL1106" s="36">
        <v>0</v>
      </c>
    </row>
    <row r="1107" spans="1:64" x14ac:dyDescent="0.2">
      <c r="A1107" s="4" t="s">
        <v>954</v>
      </c>
      <c r="B1107" s="13" t="s">
        <v>1850</v>
      </c>
      <c r="C1107" s="174" t="s">
        <v>2844</v>
      </c>
      <c r="D1107" s="175"/>
      <c r="E1107" s="175"/>
      <c r="F1107" s="175"/>
      <c r="G1107" s="13" t="s">
        <v>2852</v>
      </c>
      <c r="H1107" s="82">
        <v>1</v>
      </c>
      <c r="I1107" s="109"/>
      <c r="J1107" s="20">
        <f t="shared" si="1100"/>
        <v>0</v>
      </c>
      <c r="K1107" s="20">
        <f t="shared" si="1101"/>
        <v>0</v>
      </c>
      <c r="L1107" s="20">
        <f t="shared" si="1102"/>
        <v>0</v>
      </c>
      <c r="M1107" s="31" t="s">
        <v>2884</v>
      </c>
      <c r="N1107" s="5"/>
      <c r="Z1107" s="36">
        <f t="shared" si="1103"/>
        <v>0</v>
      </c>
      <c r="AB1107" s="36">
        <f t="shared" si="1104"/>
        <v>0</v>
      </c>
      <c r="AC1107" s="36">
        <f t="shared" si="1105"/>
        <v>0</v>
      </c>
      <c r="AD1107" s="36">
        <f t="shared" si="1106"/>
        <v>0</v>
      </c>
      <c r="AE1107" s="36">
        <f t="shared" si="1107"/>
        <v>0</v>
      </c>
      <c r="AF1107" s="36">
        <f t="shared" si="1108"/>
        <v>0</v>
      </c>
      <c r="AG1107" s="36">
        <f t="shared" si="1109"/>
        <v>0</v>
      </c>
      <c r="AH1107" s="36">
        <f t="shared" si="1110"/>
        <v>0</v>
      </c>
      <c r="AI1107" s="35" t="s">
        <v>2900</v>
      </c>
      <c r="AJ1107" s="20">
        <f t="shared" si="1111"/>
        <v>0</v>
      </c>
      <c r="AK1107" s="20">
        <f t="shared" si="1112"/>
        <v>0</v>
      </c>
      <c r="AL1107" s="20">
        <f t="shared" si="1113"/>
        <v>0</v>
      </c>
      <c r="AN1107" s="36">
        <v>21</v>
      </c>
      <c r="AO1107" s="36">
        <f t="shared" si="1114"/>
        <v>0</v>
      </c>
      <c r="AP1107" s="36">
        <f t="shared" si="1115"/>
        <v>0</v>
      </c>
      <c r="AQ1107" s="37" t="s">
        <v>7</v>
      </c>
      <c r="AV1107" s="36">
        <f t="shared" si="1116"/>
        <v>0</v>
      </c>
      <c r="AW1107" s="36">
        <f t="shared" si="1117"/>
        <v>0</v>
      </c>
      <c r="AX1107" s="36">
        <f t="shared" si="1118"/>
        <v>0</v>
      </c>
      <c r="AY1107" s="39" t="s">
        <v>2945</v>
      </c>
      <c r="AZ1107" s="39" t="s">
        <v>2966</v>
      </c>
      <c r="BA1107" s="35" t="s">
        <v>2973</v>
      </c>
      <c r="BC1107" s="36">
        <f t="shared" si="1119"/>
        <v>0</v>
      </c>
      <c r="BD1107" s="36">
        <f t="shared" si="1120"/>
        <v>0</v>
      </c>
      <c r="BE1107" s="36">
        <v>0</v>
      </c>
      <c r="BF1107" s="36">
        <f>1107</f>
        <v>1107</v>
      </c>
      <c r="BH1107" s="20">
        <f t="shared" si="1121"/>
        <v>0</v>
      </c>
      <c r="BI1107" s="20">
        <f t="shared" si="1122"/>
        <v>0</v>
      </c>
      <c r="BJ1107" s="20">
        <f t="shared" si="1123"/>
        <v>0</v>
      </c>
      <c r="BK1107" s="20" t="s">
        <v>2978</v>
      </c>
      <c r="BL1107" s="36">
        <v>0</v>
      </c>
    </row>
    <row r="1108" spans="1:64" x14ac:dyDescent="0.2">
      <c r="A1108" s="4" t="s">
        <v>955</v>
      </c>
      <c r="B1108" s="13" t="s">
        <v>1851</v>
      </c>
      <c r="C1108" s="174" t="s">
        <v>2845</v>
      </c>
      <c r="D1108" s="175"/>
      <c r="E1108" s="175"/>
      <c r="F1108" s="175"/>
      <c r="G1108" s="13" t="s">
        <v>2852</v>
      </c>
      <c r="H1108" s="82">
        <v>1</v>
      </c>
      <c r="I1108" s="109"/>
      <c r="J1108" s="20">
        <f t="shared" si="1100"/>
        <v>0</v>
      </c>
      <c r="K1108" s="20">
        <f t="shared" si="1101"/>
        <v>0</v>
      </c>
      <c r="L1108" s="20">
        <f t="shared" si="1102"/>
        <v>0</v>
      </c>
      <c r="M1108" s="31" t="s">
        <v>2884</v>
      </c>
      <c r="N1108" s="5"/>
      <c r="Z1108" s="36">
        <f t="shared" si="1103"/>
        <v>0</v>
      </c>
      <c r="AB1108" s="36">
        <f t="shared" si="1104"/>
        <v>0</v>
      </c>
      <c r="AC1108" s="36">
        <f t="shared" si="1105"/>
        <v>0</v>
      </c>
      <c r="AD1108" s="36">
        <f t="shared" si="1106"/>
        <v>0</v>
      </c>
      <c r="AE1108" s="36">
        <f t="shared" si="1107"/>
        <v>0</v>
      </c>
      <c r="AF1108" s="36">
        <f t="shared" si="1108"/>
        <v>0</v>
      </c>
      <c r="AG1108" s="36">
        <f t="shared" si="1109"/>
        <v>0</v>
      </c>
      <c r="AH1108" s="36">
        <f t="shared" si="1110"/>
        <v>0</v>
      </c>
      <c r="AI1108" s="35" t="s">
        <v>2900</v>
      </c>
      <c r="AJ1108" s="20">
        <f t="shared" si="1111"/>
        <v>0</v>
      </c>
      <c r="AK1108" s="20">
        <f t="shared" si="1112"/>
        <v>0</v>
      </c>
      <c r="AL1108" s="20">
        <f t="shared" si="1113"/>
        <v>0</v>
      </c>
      <c r="AN1108" s="36">
        <v>21</v>
      </c>
      <c r="AO1108" s="36">
        <f t="shared" si="1114"/>
        <v>0</v>
      </c>
      <c r="AP1108" s="36">
        <f t="shared" si="1115"/>
        <v>0</v>
      </c>
      <c r="AQ1108" s="37" t="s">
        <v>7</v>
      </c>
      <c r="AV1108" s="36">
        <f t="shared" si="1116"/>
        <v>0</v>
      </c>
      <c r="AW1108" s="36">
        <f t="shared" si="1117"/>
        <v>0</v>
      </c>
      <c r="AX1108" s="36">
        <f t="shared" si="1118"/>
        <v>0</v>
      </c>
      <c r="AY1108" s="39" t="s">
        <v>2945</v>
      </c>
      <c r="AZ1108" s="39" t="s">
        <v>2966</v>
      </c>
      <c r="BA1108" s="35" t="s">
        <v>2973</v>
      </c>
      <c r="BC1108" s="36">
        <f t="shared" si="1119"/>
        <v>0</v>
      </c>
      <c r="BD1108" s="36">
        <f t="shared" si="1120"/>
        <v>0</v>
      </c>
      <c r="BE1108" s="36">
        <v>0</v>
      </c>
      <c r="BF1108" s="36">
        <f>1108</f>
        <v>1108</v>
      </c>
      <c r="BH1108" s="20">
        <f t="shared" si="1121"/>
        <v>0</v>
      </c>
      <c r="BI1108" s="20">
        <f t="shared" si="1122"/>
        <v>0</v>
      </c>
      <c r="BJ1108" s="20">
        <f t="shared" si="1123"/>
        <v>0</v>
      </c>
      <c r="BK1108" s="20" t="s">
        <v>2978</v>
      </c>
      <c r="BL1108" s="36">
        <v>0</v>
      </c>
    </row>
    <row r="1109" spans="1:64" x14ac:dyDescent="0.2">
      <c r="A1109" s="7" t="s">
        <v>956</v>
      </c>
      <c r="B1109" s="16" t="s">
        <v>1852</v>
      </c>
      <c r="C1109" s="189" t="s">
        <v>2846</v>
      </c>
      <c r="D1109" s="190"/>
      <c r="E1109" s="190"/>
      <c r="F1109" s="190"/>
      <c r="G1109" s="16" t="s">
        <v>2852</v>
      </c>
      <c r="H1109" s="90">
        <v>1</v>
      </c>
      <c r="I1109" s="112"/>
      <c r="J1109" s="22">
        <f t="shared" si="1100"/>
        <v>0</v>
      </c>
      <c r="K1109" s="22">
        <f t="shared" si="1101"/>
        <v>0</v>
      </c>
      <c r="L1109" s="22">
        <f t="shared" si="1102"/>
        <v>0</v>
      </c>
      <c r="M1109" s="33" t="s">
        <v>2884</v>
      </c>
      <c r="N1109" s="5"/>
      <c r="Z1109" s="36">
        <f t="shared" si="1103"/>
        <v>0</v>
      </c>
      <c r="AB1109" s="36">
        <f t="shared" si="1104"/>
        <v>0</v>
      </c>
      <c r="AC1109" s="36">
        <f t="shared" si="1105"/>
        <v>0</v>
      </c>
      <c r="AD1109" s="36">
        <f t="shared" si="1106"/>
        <v>0</v>
      </c>
      <c r="AE1109" s="36">
        <f t="shared" si="1107"/>
        <v>0</v>
      </c>
      <c r="AF1109" s="36">
        <f t="shared" si="1108"/>
        <v>0</v>
      </c>
      <c r="AG1109" s="36">
        <f t="shared" si="1109"/>
        <v>0</v>
      </c>
      <c r="AH1109" s="36">
        <f t="shared" si="1110"/>
        <v>0</v>
      </c>
      <c r="AI1109" s="35" t="s">
        <v>2900</v>
      </c>
      <c r="AJ1109" s="20">
        <f t="shared" si="1111"/>
        <v>0</v>
      </c>
      <c r="AK1109" s="20">
        <f t="shared" si="1112"/>
        <v>0</v>
      </c>
      <c r="AL1109" s="20">
        <f t="shared" si="1113"/>
        <v>0</v>
      </c>
      <c r="AN1109" s="36">
        <v>21</v>
      </c>
      <c r="AO1109" s="36">
        <f t="shared" si="1114"/>
        <v>0</v>
      </c>
      <c r="AP1109" s="36">
        <f t="shared" si="1115"/>
        <v>0</v>
      </c>
      <c r="AQ1109" s="37" t="s">
        <v>7</v>
      </c>
      <c r="AV1109" s="36">
        <f t="shared" si="1116"/>
        <v>0</v>
      </c>
      <c r="AW1109" s="36">
        <f t="shared" si="1117"/>
        <v>0</v>
      </c>
      <c r="AX1109" s="36">
        <f t="shared" si="1118"/>
        <v>0</v>
      </c>
      <c r="AY1109" s="39" t="s">
        <v>2945</v>
      </c>
      <c r="AZ1109" s="39" t="s">
        <v>2966</v>
      </c>
      <c r="BA1109" s="35" t="s">
        <v>2973</v>
      </c>
      <c r="BC1109" s="36">
        <f t="shared" si="1119"/>
        <v>0</v>
      </c>
      <c r="BD1109" s="36">
        <f t="shared" si="1120"/>
        <v>0</v>
      </c>
      <c r="BE1109" s="36">
        <v>0</v>
      </c>
      <c r="BF1109" s="36">
        <f>1109</f>
        <v>1109</v>
      </c>
      <c r="BH1109" s="20">
        <f t="shared" si="1121"/>
        <v>0</v>
      </c>
      <c r="BI1109" s="20">
        <f t="shared" si="1122"/>
        <v>0</v>
      </c>
      <c r="BJ1109" s="20">
        <f t="shared" si="1123"/>
        <v>0</v>
      </c>
      <c r="BK1109" s="20" t="s">
        <v>2978</v>
      </c>
      <c r="BL1109" s="36">
        <v>0</v>
      </c>
    </row>
    <row r="1110" spans="1:64" x14ac:dyDescent="0.2">
      <c r="A1110" s="8"/>
      <c r="B1110" s="8"/>
      <c r="C1110" s="8"/>
      <c r="D1110" s="8"/>
      <c r="E1110" s="8"/>
      <c r="F1110" s="8"/>
      <c r="G1110" s="8"/>
      <c r="H1110" s="8"/>
      <c r="I1110" s="8"/>
      <c r="J1110" s="191" t="s">
        <v>2879</v>
      </c>
      <c r="K1110" s="123"/>
      <c r="L1110" s="42">
        <f>L13+L15+L17+L25+L31+L37+L41+L43+L62+L77+L79+L85+L104+L106+L108+L110+L124+L140+L146+L148+L154+L163+L166+L168+L180+L188+L214+L289+L400+L460+L525+L529+L558+L577+L590+L598+L621+L627+L630+L642+L816+L829+L832+L837+L840+L844+L846+L918+L937+L945+L995+L1058+L1096</f>
        <v>0</v>
      </c>
      <c r="M1110" s="8"/>
    </row>
    <row r="1111" spans="1:64" ht="11.25" customHeight="1" x14ac:dyDescent="0.2">
      <c r="A1111" s="9" t="s">
        <v>957</v>
      </c>
    </row>
    <row r="1112" spans="1:64" x14ac:dyDescent="0.2">
      <c r="A1112" s="130"/>
      <c r="B1112" s="121"/>
      <c r="C1112" s="121"/>
      <c r="D1112" s="121"/>
      <c r="E1112" s="121"/>
      <c r="F1112" s="121"/>
      <c r="G1112" s="121"/>
      <c r="H1112" s="121"/>
      <c r="I1112" s="121"/>
      <c r="J1112" s="121"/>
      <c r="K1112" s="121"/>
      <c r="L1112" s="121"/>
      <c r="M1112" s="121"/>
    </row>
  </sheetData>
  <sheetProtection algorithmName="SHA-512" hashValue="iKyTLCua2qsM46D1ervWon7ZBapODgMR3NUTo2HkB6yxYjzov0UKIt35s7uTOetiYD53t5+r9iSV9ja9YDhMgw==" saltValue="oCEj/QdwARQxokjz0AhyEg==" spinCount="100000" sheet="1" objects="1" scenarios="1"/>
  <mergeCells count="1128">
    <mergeCell ref="C1107:F1107"/>
    <mergeCell ref="C1108:F1108"/>
    <mergeCell ref="C1109:F1109"/>
    <mergeCell ref="J1110:K1110"/>
    <mergeCell ref="A1112:M1112"/>
    <mergeCell ref="C1101:F1101"/>
    <mergeCell ref="C1102:F1102"/>
    <mergeCell ref="C1103:F1103"/>
    <mergeCell ref="C1104:F1104"/>
    <mergeCell ref="C1105:F1105"/>
    <mergeCell ref="C1106:F1106"/>
    <mergeCell ref="C1095:F1095"/>
    <mergeCell ref="C1096:F1096"/>
    <mergeCell ref="C1097:F1097"/>
    <mergeCell ref="C1098:F1098"/>
    <mergeCell ref="C1099:F1099"/>
    <mergeCell ref="C1100:F1100"/>
    <mergeCell ref="C1089:F1089"/>
    <mergeCell ref="C1090:F1090"/>
    <mergeCell ref="C1091:F1091"/>
    <mergeCell ref="C1092:F1092"/>
    <mergeCell ref="C1093:F1093"/>
    <mergeCell ref="C1094:F1094"/>
    <mergeCell ref="C1083:F1083"/>
    <mergeCell ref="C1084:F1084"/>
    <mergeCell ref="C1085:F1085"/>
    <mergeCell ref="C1086:F1086"/>
    <mergeCell ref="C1087:F1087"/>
    <mergeCell ref="C1088:F1088"/>
    <mergeCell ref="C1077:M1077"/>
    <mergeCell ref="C1078:F1078"/>
    <mergeCell ref="C1079:F1079"/>
    <mergeCell ref="C1080:F1080"/>
    <mergeCell ref="C1081:F1081"/>
    <mergeCell ref="C1082:F1082"/>
    <mergeCell ref="C1071:F1071"/>
    <mergeCell ref="C1072:F1072"/>
    <mergeCell ref="C1073:M1073"/>
    <mergeCell ref="C1074:F1074"/>
    <mergeCell ref="C1075:M1075"/>
    <mergeCell ref="C1076:F1076"/>
    <mergeCell ref="C1065:F1065"/>
    <mergeCell ref="C1066:F1066"/>
    <mergeCell ref="C1067:F1067"/>
    <mergeCell ref="C1068:F1068"/>
    <mergeCell ref="C1069:F1069"/>
    <mergeCell ref="C1070:F1070"/>
    <mergeCell ref="C1059:F1059"/>
    <mergeCell ref="C1060:M1060"/>
    <mergeCell ref="C1061:F1061"/>
    <mergeCell ref="C1062:F1062"/>
    <mergeCell ref="C1063:M1063"/>
    <mergeCell ref="C1064:F1064"/>
    <mergeCell ref="C1053:F1053"/>
    <mergeCell ref="C1054:F1054"/>
    <mergeCell ref="C1055:F1055"/>
    <mergeCell ref="C1056:F1056"/>
    <mergeCell ref="C1057:F1057"/>
    <mergeCell ref="C1058:F1058"/>
    <mergeCell ref="C1047:F1047"/>
    <mergeCell ref="C1048:F1048"/>
    <mergeCell ref="C1049:F1049"/>
    <mergeCell ref="C1050:F1050"/>
    <mergeCell ref="C1051:F1051"/>
    <mergeCell ref="C1052:F1052"/>
    <mergeCell ref="C1041:F1041"/>
    <mergeCell ref="C1042:F1042"/>
    <mergeCell ref="C1043:F1043"/>
    <mergeCell ref="C1044:F1044"/>
    <mergeCell ref="C1045:F1045"/>
    <mergeCell ref="C1046:F1046"/>
    <mergeCell ref="C1035:F1035"/>
    <mergeCell ref="C1036:F1036"/>
    <mergeCell ref="C1037:F1037"/>
    <mergeCell ref="C1038:M1038"/>
    <mergeCell ref="C1039:F1039"/>
    <mergeCell ref="C1040:F1040"/>
    <mergeCell ref="C1029:F1029"/>
    <mergeCell ref="C1030:F1030"/>
    <mergeCell ref="C1031:F1031"/>
    <mergeCell ref="C1032:F1032"/>
    <mergeCell ref="C1033:F1033"/>
    <mergeCell ref="C1034:F1034"/>
    <mergeCell ref="C1023:F1023"/>
    <mergeCell ref="C1024:F1024"/>
    <mergeCell ref="C1025:F1025"/>
    <mergeCell ref="C1026:M1026"/>
    <mergeCell ref="C1027:F1027"/>
    <mergeCell ref="C1028:M1028"/>
    <mergeCell ref="C1017:F1017"/>
    <mergeCell ref="C1018:F1018"/>
    <mergeCell ref="C1019:M1019"/>
    <mergeCell ref="C1020:F1020"/>
    <mergeCell ref="C1021:M1021"/>
    <mergeCell ref="C1022:F1022"/>
    <mergeCell ref="C1011:F1011"/>
    <mergeCell ref="C1012:F1012"/>
    <mergeCell ref="C1013:F1013"/>
    <mergeCell ref="C1014:F1014"/>
    <mergeCell ref="C1015:M1015"/>
    <mergeCell ref="C1016:F1016"/>
    <mergeCell ref="C1005:F1005"/>
    <mergeCell ref="C1006:F1006"/>
    <mergeCell ref="C1007:F1007"/>
    <mergeCell ref="C1008:F1008"/>
    <mergeCell ref="C1009:F1009"/>
    <mergeCell ref="C1010:F1010"/>
    <mergeCell ref="C999:F999"/>
    <mergeCell ref="C1000:F1000"/>
    <mergeCell ref="C1001:F1001"/>
    <mergeCell ref="C1002:M1002"/>
    <mergeCell ref="C1003:F1003"/>
    <mergeCell ref="C1004:F1004"/>
    <mergeCell ref="C993:F993"/>
    <mergeCell ref="C994:F994"/>
    <mergeCell ref="C995:F995"/>
    <mergeCell ref="C996:F996"/>
    <mergeCell ref="C997:M997"/>
    <mergeCell ref="C998:F998"/>
    <mergeCell ref="C987:F987"/>
    <mergeCell ref="C988:F988"/>
    <mergeCell ref="C989:F989"/>
    <mergeCell ref="C990:F990"/>
    <mergeCell ref="C991:F991"/>
    <mergeCell ref="C992:F992"/>
    <mergeCell ref="C981:F981"/>
    <mergeCell ref="C982:F982"/>
    <mergeCell ref="C983:F983"/>
    <mergeCell ref="C984:F984"/>
    <mergeCell ref="C985:F985"/>
    <mergeCell ref="C986:F986"/>
    <mergeCell ref="C975:F975"/>
    <mergeCell ref="C976:F976"/>
    <mergeCell ref="C977:F977"/>
    <mergeCell ref="C978:F978"/>
    <mergeCell ref="C979:F979"/>
    <mergeCell ref="C980:F980"/>
    <mergeCell ref="C969:F969"/>
    <mergeCell ref="C970:F970"/>
    <mergeCell ref="C971:F971"/>
    <mergeCell ref="C972:F972"/>
    <mergeCell ref="C973:F973"/>
    <mergeCell ref="C974:F974"/>
    <mergeCell ref="C963:M963"/>
    <mergeCell ref="C964:F964"/>
    <mergeCell ref="C965:M965"/>
    <mergeCell ref="C966:F966"/>
    <mergeCell ref="C967:F967"/>
    <mergeCell ref="C968:F968"/>
    <mergeCell ref="C957:F957"/>
    <mergeCell ref="C958:F958"/>
    <mergeCell ref="C959:F959"/>
    <mergeCell ref="C960:F960"/>
    <mergeCell ref="C961:M961"/>
    <mergeCell ref="C962:F962"/>
    <mergeCell ref="C951:M951"/>
    <mergeCell ref="C952:F952"/>
    <mergeCell ref="C953:F953"/>
    <mergeCell ref="C954:F954"/>
    <mergeCell ref="C955:F955"/>
    <mergeCell ref="C956:F956"/>
    <mergeCell ref="C945:F945"/>
    <mergeCell ref="C946:F946"/>
    <mergeCell ref="C947:M947"/>
    <mergeCell ref="C948:F948"/>
    <mergeCell ref="C949:F949"/>
    <mergeCell ref="C950:F950"/>
    <mergeCell ref="C939:F939"/>
    <mergeCell ref="C940:F940"/>
    <mergeCell ref="C941:F941"/>
    <mergeCell ref="C942:F942"/>
    <mergeCell ref="C943:F943"/>
    <mergeCell ref="C944:F944"/>
    <mergeCell ref="C933:F933"/>
    <mergeCell ref="C934:F934"/>
    <mergeCell ref="C935:F935"/>
    <mergeCell ref="C936:F936"/>
    <mergeCell ref="C937:F937"/>
    <mergeCell ref="C938:F938"/>
    <mergeCell ref="C927:F927"/>
    <mergeCell ref="C928:F928"/>
    <mergeCell ref="C929:F929"/>
    <mergeCell ref="C930:F930"/>
    <mergeCell ref="C931:F931"/>
    <mergeCell ref="C932:F932"/>
    <mergeCell ref="C921:F921"/>
    <mergeCell ref="C922:F922"/>
    <mergeCell ref="C923:F923"/>
    <mergeCell ref="C924:F924"/>
    <mergeCell ref="C925:F925"/>
    <mergeCell ref="C926:F926"/>
    <mergeCell ref="C915:F915"/>
    <mergeCell ref="C916:F916"/>
    <mergeCell ref="C917:F917"/>
    <mergeCell ref="C918:F918"/>
    <mergeCell ref="C919:F919"/>
    <mergeCell ref="C920:F920"/>
    <mergeCell ref="C909:F909"/>
    <mergeCell ref="C910:F910"/>
    <mergeCell ref="C911:F911"/>
    <mergeCell ref="C912:F912"/>
    <mergeCell ref="C913:F913"/>
    <mergeCell ref="C914:F914"/>
    <mergeCell ref="C903:F903"/>
    <mergeCell ref="C904:F904"/>
    <mergeCell ref="C905:F905"/>
    <mergeCell ref="C906:F906"/>
    <mergeCell ref="C907:F907"/>
    <mergeCell ref="C908:F908"/>
    <mergeCell ref="C897:F897"/>
    <mergeCell ref="C898:F898"/>
    <mergeCell ref="C899:F899"/>
    <mergeCell ref="C900:F900"/>
    <mergeCell ref="C901:F901"/>
    <mergeCell ref="C902:F902"/>
    <mergeCell ref="C891:F891"/>
    <mergeCell ref="C892:F892"/>
    <mergeCell ref="C893:F893"/>
    <mergeCell ref="C894:F894"/>
    <mergeCell ref="C895:F895"/>
    <mergeCell ref="C896:F896"/>
    <mergeCell ref="C885:F885"/>
    <mergeCell ref="C886:F886"/>
    <mergeCell ref="C887:F887"/>
    <mergeCell ref="C888:F888"/>
    <mergeCell ref="C889:F889"/>
    <mergeCell ref="C890:F890"/>
    <mergeCell ref="C879:F879"/>
    <mergeCell ref="C880:F880"/>
    <mergeCell ref="C881:F881"/>
    <mergeCell ref="C882:F882"/>
    <mergeCell ref="C883:F883"/>
    <mergeCell ref="C884:F884"/>
    <mergeCell ref="C873:F873"/>
    <mergeCell ref="C874:F874"/>
    <mergeCell ref="C875:F875"/>
    <mergeCell ref="C876:F876"/>
    <mergeCell ref="C877:F877"/>
    <mergeCell ref="C878:F878"/>
    <mergeCell ref="C867:F867"/>
    <mergeCell ref="C868:F868"/>
    <mergeCell ref="C869:F869"/>
    <mergeCell ref="C870:F870"/>
    <mergeCell ref="C871:F871"/>
    <mergeCell ref="C872:F872"/>
    <mergeCell ref="C861:F861"/>
    <mergeCell ref="C862:F862"/>
    <mergeCell ref="C863:F863"/>
    <mergeCell ref="C864:F864"/>
    <mergeCell ref="C865:F865"/>
    <mergeCell ref="C866:F866"/>
    <mergeCell ref="C855:F855"/>
    <mergeCell ref="C856:F856"/>
    <mergeCell ref="C857:F857"/>
    <mergeCell ref="C858:F858"/>
    <mergeCell ref="C859:F859"/>
    <mergeCell ref="C860:F860"/>
    <mergeCell ref="C849:F849"/>
    <mergeCell ref="C850:F850"/>
    <mergeCell ref="C851:F851"/>
    <mergeCell ref="C852:F852"/>
    <mergeCell ref="C853:F853"/>
    <mergeCell ref="C854:F854"/>
    <mergeCell ref="C843:F843"/>
    <mergeCell ref="C844:F844"/>
    <mergeCell ref="C845:F845"/>
    <mergeCell ref="C846:F846"/>
    <mergeCell ref="C847:F847"/>
    <mergeCell ref="C848:F848"/>
    <mergeCell ref="C837:F837"/>
    <mergeCell ref="C838:F838"/>
    <mergeCell ref="C839:F839"/>
    <mergeCell ref="C840:F840"/>
    <mergeCell ref="C841:F841"/>
    <mergeCell ref="C842:F842"/>
    <mergeCell ref="C831:F831"/>
    <mergeCell ref="C832:F832"/>
    <mergeCell ref="C833:F833"/>
    <mergeCell ref="C834:F834"/>
    <mergeCell ref="C835:F835"/>
    <mergeCell ref="C836:F836"/>
    <mergeCell ref="C825:F825"/>
    <mergeCell ref="C826:F826"/>
    <mergeCell ref="C827:F827"/>
    <mergeCell ref="C828:F828"/>
    <mergeCell ref="C829:F829"/>
    <mergeCell ref="C830:F830"/>
    <mergeCell ref="C819:F819"/>
    <mergeCell ref="C820:F820"/>
    <mergeCell ref="C821:F821"/>
    <mergeCell ref="C822:F822"/>
    <mergeCell ref="C823:F823"/>
    <mergeCell ref="C824:F824"/>
    <mergeCell ref="C813:F813"/>
    <mergeCell ref="C814:F814"/>
    <mergeCell ref="C815:F815"/>
    <mergeCell ref="C816:F816"/>
    <mergeCell ref="C817:F817"/>
    <mergeCell ref="C818:F818"/>
    <mergeCell ref="C807:F807"/>
    <mergeCell ref="C808:F808"/>
    <mergeCell ref="C809:F809"/>
    <mergeCell ref="C810:F810"/>
    <mergeCell ref="C811:F811"/>
    <mergeCell ref="C812:F812"/>
    <mergeCell ref="C801:F801"/>
    <mergeCell ref="C802:F802"/>
    <mergeCell ref="C803:F803"/>
    <mergeCell ref="C804:F804"/>
    <mergeCell ref="C805:F805"/>
    <mergeCell ref="C806:F806"/>
    <mergeCell ref="C795:F795"/>
    <mergeCell ref="C796:F796"/>
    <mergeCell ref="C797:F797"/>
    <mergeCell ref="C798:F798"/>
    <mergeCell ref="C799:F799"/>
    <mergeCell ref="C800:F800"/>
    <mergeCell ref="C789:F789"/>
    <mergeCell ref="C790:F790"/>
    <mergeCell ref="C791:F791"/>
    <mergeCell ref="C792:F792"/>
    <mergeCell ref="C793:F793"/>
    <mergeCell ref="C794:F794"/>
    <mergeCell ref="C783:F783"/>
    <mergeCell ref="C784:F784"/>
    <mergeCell ref="C785:F785"/>
    <mergeCell ref="C786:F786"/>
    <mergeCell ref="C787:F787"/>
    <mergeCell ref="C788:F788"/>
    <mergeCell ref="C777:F777"/>
    <mergeCell ref="C778:F778"/>
    <mergeCell ref="C779:F779"/>
    <mergeCell ref="C780:F780"/>
    <mergeCell ref="C781:F781"/>
    <mergeCell ref="C782:F782"/>
    <mergeCell ref="C771:F771"/>
    <mergeCell ref="C772:F772"/>
    <mergeCell ref="C773:F773"/>
    <mergeCell ref="C774:F774"/>
    <mergeCell ref="C775:F775"/>
    <mergeCell ref="C776:F776"/>
    <mergeCell ref="C765:F765"/>
    <mergeCell ref="C766:F766"/>
    <mergeCell ref="C767:F767"/>
    <mergeCell ref="C768:F768"/>
    <mergeCell ref="C769:F769"/>
    <mergeCell ref="C770:F770"/>
    <mergeCell ref="C759:F759"/>
    <mergeCell ref="C760:F760"/>
    <mergeCell ref="C761:F761"/>
    <mergeCell ref="C762:F762"/>
    <mergeCell ref="C763:F763"/>
    <mergeCell ref="C764:F764"/>
    <mergeCell ref="C753:F753"/>
    <mergeCell ref="C754:F754"/>
    <mergeCell ref="C755:F755"/>
    <mergeCell ref="C756:F756"/>
    <mergeCell ref="C757:F757"/>
    <mergeCell ref="C758:F758"/>
    <mergeCell ref="C747:F747"/>
    <mergeCell ref="C748:F748"/>
    <mergeCell ref="C749:F749"/>
    <mergeCell ref="C750:F750"/>
    <mergeCell ref="C751:F751"/>
    <mergeCell ref="C752:F752"/>
    <mergeCell ref="C741:F741"/>
    <mergeCell ref="C742:F742"/>
    <mergeCell ref="C743:F743"/>
    <mergeCell ref="C744:F744"/>
    <mergeCell ref="C745:F745"/>
    <mergeCell ref="C746:F746"/>
    <mergeCell ref="C735:F735"/>
    <mergeCell ref="C736:F736"/>
    <mergeCell ref="C737:F737"/>
    <mergeCell ref="C738:F738"/>
    <mergeCell ref="C739:F739"/>
    <mergeCell ref="C740:F740"/>
    <mergeCell ref="C729:F729"/>
    <mergeCell ref="C730:F730"/>
    <mergeCell ref="C731:F731"/>
    <mergeCell ref="C732:F732"/>
    <mergeCell ref="C733:F733"/>
    <mergeCell ref="C734:F734"/>
    <mergeCell ref="C723:F723"/>
    <mergeCell ref="C724:F724"/>
    <mergeCell ref="C725:F725"/>
    <mergeCell ref="C726:F726"/>
    <mergeCell ref="C727:F727"/>
    <mergeCell ref="C728:F728"/>
    <mergeCell ref="C717:F717"/>
    <mergeCell ref="C718:F718"/>
    <mergeCell ref="C719:F719"/>
    <mergeCell ref="C720:F720"/>
    <mergeCell ref="C721:F721"/>
    <mergeCell ref="C722:F722"/>
    <mergeCell ref="C711:F711"/>
    <mergeCell ref="C712:F712"/>
    <mergeCell ref="C713:F713"/>
    <mergeCell ref="C714:F714"/>
    <mergeCell ref="C715:F715"/>
    <mergeCell ref="C716:F716"/>
    <mergeCell ref="C705:F705"/>
    <mergeCell ref="C706:F706"/>
    <mergeCell ref="C707:F707"/>
    <mergeCell ref="C708:F708"/>
    <mergeCell ref="C709:F709"/>
    <mergeCell ref="C710:F710"/>
    <mergeCell ref="C699:F699"/>
    <mergeCell ref="C700:F700"/>
    <mergeCell ref="C701:F701"/>
    <mergeCell ref="C702:F702"/>
    <mergeCell ref="C703:F703"/>
    <mergeCell ref="C704:F704"/>
    <mergeCell ref="C693:F693"/>
    <mergeCell ref="C694:F694"/>
    <mergeCell ref="C695:F695"/>
    <mergeCell ref="C696:F696"/>
    <mergeCell ref="C697:F697"/>
    <mergeCell ref="C698:F698"/>
    <mergeCell ref="C687:F687"/>
    <mergeCell ref="C688:F688"/>
    <mergeCell ref="C689:F689"/>
    <mergeCell ref="C690:F690"/>
    <mergeCell ref="C691:F691"/>
    <mergeCell ref="C692:F692"/>
    <mergeCell ref="C681:F681"/>
    <mergeCell ref="C682:F682"/>
    <mergeCell ref="C683:F683"/>
    <mergeCell ref="C684:F684"/>
    <mergeCell ref="C685:F685"/>
    <mergeCell ref="C686:F686"/>
    <mergeCell ref="C675:F675"/>
    <mergeCell ref="C676:F676"/>
    <mergeCell ref="C677:F677"/>
    <mergeCell ref="C678:F678"/>
    <mergeCell ref="C679:F679"/>
    <mergeCell ref="C680:F680"/>
    <mergeCell ref="C669:F669"/>
    <mergeCell ref="C670:F670"/>
    <mergeCell ref="C671:F671"/>
    <mergeCell ref="C672:F672"/>
    <mergeCell ref="C673:F673"/>
    <mergeCell ref="C674:F674"/>
    <mergeCell ref="C663:F663"/>
    <mergeCell ref="C664:F664"/>
    <mergeCell ref="C665:F665"/>
    <mergeCell ref="C666:F666"/>
    <mergeCell ref="C667:F667"/>
    <mergeCell ref="C668:F668"/>
    <mergeCell ref="C657:F657"/>
    <mergeCell ref="C658:F658"/>
    <mergeCell ref="C659:F659"/>
    <mergeCell ref="C660:F660"/>
    <mergeCell ref="C661:F661"/>
    <mergeCell ref="C662:F662"/>
    <mergeCell ref="C651:F651"/>
    <mergeCell ref="C652:F652"/>
    <mergeCell ref="C653:F653"/>
    <mergeCell ref="C654:F654"/>
    <mergeCell ref="C655:F655"/>
    <mergeCell ref="C656:F656"/>
    <mergeCell ref="C645:F645"/>
    <mergeCell ref="C646:F646"/>
    <mergeCell ref="C647:F647"/>
    <mergeCell ref="C648:F648"/>
    <mergeCell ref="C649:F649"/>
    <mergeCell ref="C650:F650"/>
    <mergeCell ref="C639:F639"/>
    <mergeCell ref="C640:F640"/>
    <mergeCell ref="C641:F641"/>
    <mergeCell ref="C642:F642"/>
    <mergeCell ref="C643:F643"/>
    <mergeCell ref="C644:F644"/>
    <mergeCell ref="C633:F633"/>
    <mergeCell ref="C634:F634"/>
    <mergeCell ref="C635:F635"/>
    <mergeCell ref="C636:F636"/>
    <mergeCell ref="C637:M637"/>
    <mergeCell ref="C638:F638"/>
    <mergeCell ref="C627:F627"/>
    <mergeCell ref="C628:F628"/>
    <mergeCell ref="C629:F629"/>
    <mergeCell ref="C630:F630"/>
    <mergeCell ref="C631:F631"/>
    <mergeCell ref="C632:F632"/>
    <mergeCell ref="C621:F621"/>
    <mergeCell ref="C622:F622"/>
    <mergeCell ref="C623:F623"/>
    <mergeCell ref="C624:F624"/>
    <mergeCell ref="C625:F625"/>
    <mergeCell ref="C626:F626"/>
    <mergeCell ref="C615:F615"/>
    <mergeCell ref="C616:F616"/>
    <mergeCell ref="C617:F617"/>
    <mergeCell ref="C618:F618"/>
    <mergeCell ref="C619:F619"/>
    <mergeCell ref="C620:F620"/>
    <mergeCell ref="C609:F609"/>
    <mergeCell ref="C610:F610"/>
    <mergeCell ref="C611:F611"/>
    <mergeCell ref="C612:F612"/>
    <mergeCell ref="C613:F613"/>
    <mergeCell ref="C614:F614"/>
    <mergeCell ref="C603:F603"/>
    <mergeCell ref="C604:F604"/>
    <mergeCell ref="C605:F605"/>
    <mergeCell ref="C606:F606"/>
    <mergeCell ref="C607:F607"/>
    <mergeCell ref="C608:F608"/>
    <mergeCell ref="C597:F597"/>
    <mergeCell ref="C598:F598"/>
    <mergeCell ref="C599:F599"/>
    <mergeCell ref="C600:F600"/>
    <mergeCell ref="C601:F601"/>
    <mergeCell ref="C602:F602"/>
    <mergeCell ref="C591:F591"/>
    <mergeCell ref="C592:F592"/>
    <mergeCell ref="C593:F593"/>
    <mergeCell ref="C594:F594"/>
    <mergeCell ref="C595:F595"/>
    <mergeCell ref="C596:F596"/>
    <mergeCell ref="C585:F585"/>
    <mergeCell ref="C586:F586"/>
    <mergeCell ref="C587:F587"/>
    <mergeCell ref="C588:F588"/>
    <mergeCell ref="C589:F589"/>
    <mergeCell ref="C590:F590"/>
    <mergeCell ref="C579:F579"/>
    <mergeCell ref="C580:F580"/>
    <mergeCell ref="C581:F581"/>
    <mergeCell ref="C582:F582"/>
    <mergeCell ref="C583:F583"/>
    <mergeCell ref="C584:F584"/>
    <mergeCell ref="C573:F573"/>
    <mergeCell ref="C574:F574"/>
    <mergeCell ref="C575:F575"/>
    <mergeCell ref="C576:F576"/>
    <mergeCell ref="C577:F577"/>
    <mergeCell ref="C578:F578"/>
    <mergeCell ref="C567:F567"/>
    <mergeCell ref="C568:F568"/>
    <mergeCell ref="C569:F569"/>
    <mergeCell ref="C570:F570"/>
    <mergeCell ref="C571:F571"/>
    <mergeCell ref="C572:F572"/>
    <mergeCell ref="C561:F561"/>
    <mergeCell ref="C562:F562"/>
    <mergeCell ref="C563:F563"/>
    <mergeCell ref="C564:F564"/>
    <mergeCell ref="C565:F565"/>
    <mergeCell ref="C566:F566"/>
    <mergeCell ref="C555:F555"/>
    <mergeCell ref="C556:F556"/>
    <mergeCell ref="C557:F557"/>
    <mergeCell ref="C558:F558"/>
    <mergeCell ref="C559:F559"/>
    <mergeCell ref="C560:F560"/>
    <mergeCell ref="C549:F549"/>
    <mergeCell ref="C550:F550"/>
    <mergeCell ref="C551:F551"/>
    <mergeCell ref="C552:F552"/>
    <mergeCell ref="C553:F553"/>
    <mergeCell ref="C554:F554"/>
    <mergeCell ref="C543:F543"/>
    <mergeCell ref="C544:F544"/>
    <mergeCell ref="C545:F545"/>
    <mergeCell ref="C546:F546"/>
    <mergeCell ref="C547:F547"/>
    <mergeCell ref="C548:F548"/>
    <mergeCell ref="C537:F537"/>
    <mergeCell ref="C538:F538"/>
    <mergeCell ref="C539:F539"/>
    <mergeCell ref="C540:F540"/>
    <mergeCell ref="C541:F541"/>
    <mergeCell ref="C542:F542"/>
    <mergeCell ref="C531:F531"/>
    <mergeCell ref="C532:M532"/>
    <mergeCell ref="C533:F533"/>
    <mergeCell ref="C534:F534"/>
    <mergeCell ref="C535:F535"/>
    <mergeCell ref="C536:F536"/>
    <mergeCell ref="C525:F525"/>
    <mergeCell ref="C526:F526"/>
    <mergeCell ref="C527:F527"/>
    <mergeCell ref="C528:F528"/>
    <mergeCell ref="C529:F529"/>
    <mergeCell ref="C530:F530"/>
    <mergeCell ref="C519:F519"/>
    <mergeCell ref="C520:F520"/>
    <mergeCell ref="C521:F521"/>
    <mergeCell ref="C522:F522"/>
    <mergeCell ref="C523:F523"/>
    <mergeCell ref="C524:F524"/>
    <mergeCell ref="C513:F513"/>
    <mergeCell ref="C514:F514"/>
    <mergeCell ref="C515:F515"/>
    <mergeCell ref="C516:F516"/>
    <mergeCell ref="C517:F517"/>
    <mergeCell ref="C518:F518"/>
    <mergeCell ref="C507:F507"/>
    <mergeCell ref="C508:M508"/>
    <mergeCell ref="C509:F509"/>
    <mergeCell ref="C510:F510"/>
    <mergeCell ref="C511:F511"/>
    <mergeCell ref="C512:F512"/>
    <mergeCell ref="C501:F501"/>
    <mergeCell ref="C502:F502"/>
    <mergeCell ref="C503:F503"/>
    <mergeCell ref="C504:F504"/>
    <mergeCell ref="C505:F505"/>
    <mergeCell ref="C506:F506"/>
    <mergeCell ref="C495:F495"/>
    <mergeCell ref="C496:F496"/>
    <mergeCell ref="C497:F497"/>
    <mergeCell ref="C498:F498"/>
    <mergeCell ref="C499:F499"/>
    <mergeCell ref="C500:F500"/>
    <mergeCell ref="C489:F489"/>
    <mergeCell ref="C490:M490"/>
    <mergeCell ref="C491:F491"/>
    <mergeCell ref="C492:F492"/>
    <mergeCell ref="C493:F493"/>
    <mergeCell ref="C494:M494"/>
    <mergeCell ref="C483:F483"/>
    <mergeCell ref="C484:F484"/>
    <mergeCell ref="C485:F485"/>
    <mergeCell ref="C486:F486"/>
    <mergeCell ref="C487:F487"/>
    <mergeCell ref="C488:F488"/>
    <mergeCell ref="C477:F477"/>
    <mergeCell ref="C478:F478"/>
    <mergeCell ref="C479:F479"/>
    <mergeCell ref="C480:F480"/>
    <mergeCell ref="C481:F481"/>
    <mergeCell ref="C482:F482"/>
    <mergeCell ref="C471:M471"/>
    <mergeCell ref="C472:F472"/>
    <mergeCell ref="C473:M473"/>
    <mergeCell ref="C474:F474"/>
    <mergeCell ref="C475:F475"/>
    <mergeCell ref="C476:F476"/>
    <mergeCell ref="C465:F465"/>
    <mergeCell ref="C466:M466"/>
    <mergeCell ref="C467:F467"/>
    <mergeCell ref="C468:M468"/>
    <mergeCell ref="C469:F469"/>
    <mergeCell ref="C470:F470"/>
    <mergeCell ref="C459:F459"/>
    <mergeCell ref="C460:F460"/>
    <mergeCell ref="C461:F461"/>
    <mergeCell ref="C462:M462"/>
    <mergeCell ref="C463:F463"/>
    <mergeCell ref="C464:F464"/>
    <mergeCell ref="C453:F453"/>
    <mergeCell ref="C454:F454"/>
    <mergeCell ref="C455:F455"/>
    <mergeCell ref="C456:F456"/>
    <mergeCell ref="C457:F457"/>
    <mergeCell ref="C458:F458"/>
    <mergeCell ref="C447:F447"/>
    <mergeCell ref="C448:F448"/>
    <mergeCell ref="C449:F449"/>
    <mergeCell ref="C450:F450"/>
    <mergeCell ref="C451:F451"/>
    <mergeCell ref="C452:M452"/>
    <mergeCell ref="C441:F441"/>
    <mergeCell ref="C442:F442"/>
    <mergeCell ref="C443:F443"/>
    <mergeCell ref="C444:F444"/>
    <mergeCell ref="C445:F445"/>
    <mergeCell ref="C446:F446"/>
    <mergeCell ref="C435:F435"/>
    <mergeCell ref="C436:F436"/>
    <mergeCell ref="C437:M437"/>
    <mergeCell ref="C438:F438"/>
    <mergeCell ref="C439:M439"/>
    <mergeCell ref="C440:F440"/>
    <mergeCell ref="C429:M429"/>
    <mergeCell ref="C430:F430"/>
    <mergeCell ref="C431:F431"/>
    <mergeCell ref="C432:F432"/>
    <mergeCell ref="C433:F433"/>
    <mergeCell ref="C434:F434"/>
    <mergeCell ref="C423:F423"/>
    <mergeCell ref="C424:F424"/>
    <mergeCell ref="C425:F425"/>
    <mergeCell ref="C426:F426"/>
    <mergeCell ref="C427:F427"/>
    <mergeCell ref="C428:F428"/>
    <mergeCell ref="C417:F417"/>
    <mergeCell ref="C418:F418"/>
    <mergeCell ref="C419:F419"/>
    <mergeCell ref="C420:F420"/>
    <mergeCell ref="C421:F421"/>
    <mergeCell ref="C422:F422"/>
    <mergeCell ref="C411:F411"/>
    <mergeCell ref="C412:M412"/>
    <mergeCell ref="C413:F413"/>
    <mergeCell ref="C414:F414"/>
    <mergeCell ref="C415:F415"/>
    <mergeCell ref="C416:M416"/>
    <mergeCell ref="C405:F405"/>
    <mergeCell ref="C406:F406"/>
    <mergeCell ref="C407:M407"/>
    <mergeCell ref="C408:F408"/>
    <mergeCell ref="C409:F409"/>
    <mergeCell ref="C410:F410"/>
    <mergeCell ref="C399:F399"/>
    <mergeCell ref="C400:F400"/>
    <mergeCell ref="C401:F401"/>
    <mergeCell ref="C402:M402"/>
    <mergeCell ref="C403:F403"/>
    <mergeCell ref="C404:F404"/>
    <mergeCell ref="C393:F393"/>
    <mergeCell ref="C394:F394"/>
    <mergeCell ref="C395:F395"/>
    <mergeCell ref="C396:F396"/>
    <mergeCell ref="C397:F397"/>
    <mergeCell ref="C398:F398"/>
    <mergeCell ref="C387:F387"/>
    <mergeCell ref="C388:F388"/>
    <mergeCell ref="C389:F389"/>
    <mergeCell ref="C390:F390"/>
    <mergeCell ref="C391:F391"/>
    <mergeCell ref="C392:F392"/>
    <mergeCell ref="C381:F381"/>
    <mergeCell ref="C382:M382"/>
    <mergeCell ref="C383:F383"/>
    <mergeCell ref="C384:M384"/>
    <mergeCell ref="C385:F385"/>
    <mergeCell ref="C386:M386"/>
    <mergeCell ref="C375:M375"/>
    <mergeCell ref="C376:F376"/>
    <mergeCell ref="C377:F377"/>
    <mergeCell ref="C378:F378"/>
    <mergeCell ref="C379:F379"/>
    <mergeCell ref="C380:F380"/>
    <mergeCell ref="C369:M369"/>
    <mergeCell ref="C370:F370"/>
    <mergeCell ref="C371:M371"/>
    <mergeCell ref="C372:F372"/>
    <mergeCell ref="C373:F373"/>
    <mergeCell ref="C374:F374"/>
    <mergeCell ref="C363:F363"/>
    <mergeCell ref="C364:F364"/>
    <mergeCell ref="C365:F365"/>
    <mergeCell ref="C366:F366"/>
    <mergeCell ref="C367:F367"/>
    <mergeCell ref="C368:F368"/>
    <mergeCell ref="C357:F357"/>
    <mergeCell ref="C358:F358"/>
    <mergeCell ref="C359:F359"/>
    <mergeCell ref="C360:F360"/>
    <mergeCell ref="C361:F361"/>
    <mergeCell ref="C362:F362"/>
    <mergeCell ref="C351:F351"/>
    <mergeCell ref="C352:F352"/>
    <mergeCell ref="C353:F353"/>
    <mergeCell ref="C354:M354"/>
    <mergeCell ref="C355:F355"/>
    <mergeCell ref="C356:M356"/>
    <mergeCell ref="C345:F345"/>
    <mergeCell ref="C346:F346"/>
    <mergeCell ref="C347:F347"/>
    <mergeCell ref="C348:F348"/>
    <mergeCell ref="C349:F349"/>
    <mergeCell ref="C350:F350"/>
    <mergeCell ref="C339:F339"/>
    <mergeCell ref="C340:F340"/>
    <mergeCell ref="C341:F341"/>
    <mergeCell ref="C342:F342"/>
    <mergeCell ref="C343:F343"/>
    <mergeCell ref="C344:F344"/>
    <mergeCell ref="C333:M333"/>
    <mergeCell ref="C334:F334"/>
    <mergeCell ref="C335:M335"/>
    <mergeCell ref="C336:F336"/>
    <mergeCell ref="C337:F337"/>
    <mergeCell ref="C338:F338"/>
    <mergeCell ref="C327:F327"/>
    <mergeCell ref="C328:F328"/>
    <mergeCell ref="C329:M329"/>
    <mergeCell ref="C330:F330"/>
    <mergeCell ref="C331:M331"/>
    <mergeCell ref="C332:F332"/>
    <mergeCell ref="C321:F321"/>
    <mergeCell ref="C322:M322"/>
    <mergeCell ref="C323:F323"/>
    <mergeCell ref="C324:M324"/>
    <mergeCell ref="C325:F325"/>
    <mergeCell ref="C326:F326"/>
    <mergeCell ref="C315:F315"/>
    <mergeCell ref="C316:M316"/>
    <mergeCell ref="C317:F317"/>
    <mergeCell ref="C318:M318"/>
    <mergeCell ref="C319:F319"/>
    <mergeCell ref="C320:M320"/>
    <mergeCell ref="C309:F309"/>
    <mergeCell ref="C310:M310"/>
    <mergeCell ref="C311:F311"/>
    <mergeCell ref="C312:M312"/>
    <mergeCell ref="C313:F313"/>
    <mergeCell ref="C314:M314"/>
    <mergeCell ref="C303:F303"/>
    <mergeCell ref="C304:F304"/>
    <mergeCell ref="C305:F305"/>
    <mergeCell ref="C306:M306"/>
    <mergeCell ref="C307:F307"/>
    <mergeCell ref="C308:F308"/>
    <mergeCell ref="C297:M297"/>
    <mergeCell ref="C298:F298"/>
    <mergeCell ref="C299:F299"/>
    <mergeCell ref="C300:M300"/>
    <mergeCell ref="C301:F301"/>
    <mergeCell ref="C302:F302"/>
    <mergeCell ref="C291:M291"/>
    <mergeCell ref="C292:F292"/>
    <mergeCell ref="C293:F293"/>
    <mergeCell ref="C294:F294"/>
    <mergeCell ref="C295:F295"/>
    <mergeCell ref="C296:F296"/>
    <mergeCell ref="C285:F285"/>
    <mergeCell ref="C286:F286"/>
    <mergeCell ref="C287:F287"/>
    <mergeCell ref="C288:F288"/>
    <mergeCell ref="C289:F289"/>
    <mergeCell ref="C290:F290"/>
    <mergeCell ref="C279:F279"/>
    <mergeCell ref="C280:F280"/>
    <mergeCell ref="C281:M281"/>
    <mergeCell ref="C282:F282"/>
    <mergeCell ref="C283:F283"/>
    <mergeCell ref="C284:F284"/>
    <mergeCell ref="C273:F273"/>
    <mergeCell ref="C274:F274"/>
    <mergeCell ref="C275:F275"/>
    <mergeCell ref="C276:F276"/>
    <mergeCell ref="C277:F277"/>
    <mergeCell ref="C278:F278"/>
    <mergeCell ref="C267:M267"/>
    <mergeCell ref="C268:F268"/>
    <mergeCell ref="C269:F269"/>
    <mergeCell ref="C270:F270"/>
    <mergeCell ref="C271:F271"/>
    <mergeCell ref="C272:M272"/>
    <mergeCell ref="C261:M261"/>
    <mergeCell ref="C262:F262"/>
    <mergeCell ref="C263:M263"/>
    <mergeCell ref="C264:F264"/>
    <mergeCell ref="C265:M265"/>
    <mergeCell ref="C266:F266"/>
    <mergeCell ref="C255:M255"/>
    <mergeCell ref="C256:F256"/>
    <mergeCell ref="C257:M257"/>
    <mergeCell ref="C258:F258"/>
    <mergeCell ref="C259:M259"/>
    <mergeCell ref="C260:F260"/>
    <mergeCell ref="C249:M249"/>
    <mergeCell ref="C250:F250"/>
    <mergeCell ref="C251:M251"/>
    <mergeCell ref="C252:F252"/>
    <mergeCell ref="C253:M253"/>
    <mergeCell ref="C254:F254"/>
    <mergeCell ref="C243:M243"/>
    <mergeCell ref="C244:F244"/>
    <mergeCell ref="C245:M245"/>
    <mergeCell ref="C246:F246"/>
    <mergeCell ref="C247:M247"/>
    <mergeCell ref="C248:F248"/>
    <mergeCell ref="C237:M237"/>
    <mergeCell ref="C238:F238"/>
    <mergeCell ref="C239:M239"/>
    <mergeCell ref="C240:F240"/>
    <mergeCell ref="C241:M241"/>
    <mergeCell ref="C242:F242"/>
    <mergeCell ref="C231:M231"/>
    <mergeCell ref="C232:F232"/>
    <mergeCell ref="C233:M233"/>
    <mergeCell ref="C234:F234"/>
    <mergeCell ref="C235:M235"/>
    <mergeCell ref="C236:F236"/>
    <mergeCell ref="C225:M225"/>
    <mergeCell ref="C226:F226"/>
    <mergeCell ref="C227:F227"/>
    <mergeCell ref="C228:F228"/>
    <mergeCell ref="C229:F229"/>
    <mergeCell ref="C230:F230"/>
    <mergeCell ref="C219:F219"/>
    <mergeCell ref="C220:M220"/>
    <mergeCell ref="C221:F221"/>
    <mergeCell ref="C222:F222"/>
    <mergeCell ref="C223:F223"/>
    <mergeCell ref="C224:F224"/>
    <mergeCell ref="C213:F213"/>
    <mergeCell ref="C214:F214"/>
    <mergeCell ref="C215:F215"/>
    <mergeCell ref="C216:M216"/>
    <mergeCell ref="C217:F217"/>
    <mergeCell ref="C218:F218"/>
    <mergeCell ref="C207:F207"/>
    <mergeCell ref="C208:F208"/>
    <mergeCell ref="C209:F209"/>
    <mergeCell ref="C210:F210"/>
    <mergeCell ref="C211:F211"/>
    <mergeCell ref="C212:F212"/>
    <mergeCell ref="C201:F201"/>
    <mergeCell ref="C202:F202"/>
    <mergeCell ref="C203:F203"/>
    <mergeCell ref="C204:F204"/>
    <mergeCell ref="C205:F205"/>
    <mergeCell ref="C206:F206"/>
    <mergeCell ref="C195:F195"/>
    <mergeCell ref="C196:F196"/>
    <mergeCell ref="C197:F197"/>
    <mergeCell ref="C198:F198"/>
    <mergeCell ref="C199:F199"/>
    <mergeCell ref="C200:F200"/>
    <mergeCell ref="C189:F189"/>
    <mergeCell ref="C190:F190"/>
    <mergeCell ref="C191:F191"/>
    <mergeCell ref="C192:F192"/>
    <mergeCell ref="C193:F193"/>
    <mergeCell ref="C194:F194"/>
    <mergeCell ref="C183:F183"/>
    <mergeCell ref="C184:F184"/>
    <mergeCell ref="C185:F185"/>
    <mergeCell ref="C186:F186"/>
    <mergeCell ref="C187:F187"/>
    <mergeCell ref="C188:F188"/>
    <mergeCell ref="C177:F177"/>
    <mergeCell ref="C178:F178"/>
    <mergeCell ref="C179:F179"/>
    <mergeCell ref="C180:F180"/>
    <mergeCell ref="C181:F181"/>
    <mergeCell ref="C182:F182"/>
    <mergeCell ref="C171:F171"/>
    <mergeCell ref="C172:F172"/>
    <mergeCell ref="C173:F173"/>
    <mergeCell ref="C174:F174"/>
    <mergeCell ref="C175:F175"/>
    <mergeCell ref="C176:F176"/>
    <mergeCell ref="C165:F165"/>
    <mergeCell ref="C166:F166"/>
    <mergeCell ref="C167:F167"/>
    <mergeCell ref="C168:F168"/>
    <mergeCell ref="C169:F169"/>
    <mergeCell ref="C170:F170"/>
    <mergeCell ref="C159:F159"/>
    <mergeCell ref="C160:F160"/>
    <mergeCell ref="C161:F161"/>
    <mergeCell ref="C162:F162"/>
    <mergeCell ref="C163:F163"/>
    <mergeCell ref="C164:F164"/>
    <mergeCell ref="C153:M153"/>
    <mergeCell ref="C154:F154"/>
    <mergeCell ref="C155:F155"/>
    <mergeCell ref="C156:F156"/>
    <mergeCell ref="C157:F157"/>
    <mergeCell ref="C158:F158"/>
    <mergeCell ref="C147:F147"/>
    <mergeCell ref="C148:F148"/>
    <mergeCell ref="C149:F149"/>
    <mergeCell ref="C150:F150"/>
    <mergeCell ref="C151:F151"/>
    <mergeCell ref="C152:F152"/>
    <mergeCell ref="C141:F141"/>
    <mergeCell ref="C142:F142"/>
    <mergeCell ref="C143:F143"/>
    <mergeCell ref="C144:F144"/>
    <mergeCell ref="C145:F145"/>
    <mergeCell ref="C146:F146"/>
    <mergeCell ref="C135:F135"/>
    <mergeCell ref="C136:F136"/>
    <mergeCell ref="C137:F137"/>
    <mergeCell ref="C138:F138"/>
    <mergeCell ref="C139:F139"/>
    <mergeCell ref="C140:F140"/>
    <mergeCell ref="C129:F129"/>
    <mergeCell ref="C130:M130"/>
    <mergeCell ref="C131:F131"/>
    <mergeCell ref="C132:F132"/>
    <mergeCell ref="C133:F133"/>
    <mergeCell ref="C134:M134"/>
    <mergeCell ref="C123:F123"/>
    <mergeCell ref="C124:F124"/>
    <mergeCell ref="C125:F125"/>
    <mergeCell ref="C126:F126"/>
    <mergeCell ref="C127:F127"/>
    <mergeCell ref="C128:M128"/>
    <mergeCell ref="C117:F117"/>
    <mergeCell ref="C118:F118"/>
    <mergeCell ref="C119:F119"/>
    <mergeCell ref="C120:F120"/>
    <mergeCell ref="C121:F121"/>
    <mergeCell ref="C122:F122"/>
    <mergeCell ref="C111:F111"/>
    <mergeCell ref="C112:F112"/>
    <mergeCell ref="C113:F113"/>
    <mergeCell ref="C114:F114"/>
    <mergeCell ref="C115:F115"/>
    <mergeCell ref="C116:F116"/>
    <mergeCell ref="C105:F105"/>
    <mergeCell ref="C106:F106"/>
    <mergeCell ref="C107:F107"/>
    <mergeCell ref="C108:F108"/>
    <mergeCell ref="C109:F109"/>
    <mergeCell ref="C110:F110"/>
    <mergeCell ref="C99:F99"/>
    <mergeCell ref="C100:F100"/>
    <mergeCell ref="C101:F101"/>
    <mergeCell ref="C102:F102"/>
    <mergeCell ref="C103:F103"/>
    <mergeCell ref="C104:F104"/>
    <mergeCell ref="C93:F93"/>
    <mergeCell ref="C94:F94"/>
    <mergeCell ref="C95:F95"/>
    <mergeCell ref="C96:F96"/>
    <mergeCell ref="C97:F97"/>
    <mergeCell ref="C98:F98"/>
    <mergeCell ref="C87:F87"/>
    <mergeCell ref="C88:F88"/>
    <mergeCell ref="C89:F89"/>
    <mergeCell ref="C90:F90"/>
    <mergeCell ref="C91:F91"/>
    <mergeCell ref="C92:F92"/>
    <mergeCell ref="C81:F81"/>
    <mergeCell ref="C82:F82"/>
    <mergeCell ref="C83:F83"/>
    <mergeCell ref="C84:F84"/>
    <mergeCell ref="C85:F85"/>
    <mergeCell ref="C86:F86"/>
    <mergeCell ref="C75:F75"/>
    <mergeCell ref="C76:F76"/>
    <mergeCell ref="C77:F77"/>
    <mergeCell ref="C78:F78"/>
    <mergeCell ref="C79:F79"/>
    <mergeCell ref="C80:F80"/>
    <mergeCell ref="C69:F69"/>
    <mergeCell ref="C70:F70"/>
    <mergeCell ref="C71:F71"/>
    <mergeCell ref="C72:F72"/>
    <mergeCell ref="C73:F73"/>
    <mergeCell ref="C74:F74"/>
    <mergeCell ref="C64:F64"/>
    <mergeCell ref="C65:F65"/>
    <mergeCell ref="C66:F66"/>
    <mergeCell ref="C67:F67"/>
    <mergeCell ref="C68:F68"/>
    <mergeCell ref="C57:F57"/>
    <mergeCell ref="C58:F58"/>
    <mergeCell ref="C59:F59"/>
    <mergeCell ref="C60:F60"/>
    <mergeCell ref="C61:F61"/>
    <mergeCell ref="C62:F62"/>
    <mergeCell ref="C51:F51"/>
    <mergeCell ref="C52:F52"/>
    <mergeCell ref="C53:F53"/>
    <mergeCell ref="C54:F54"/>
    <mergeCell ref="C55:F55"/>
    <mergeCell ref="C56:F56"/>
    <mergeCell ref="C47:F47"/>
    <mergeCell ref="C48:F48"/>
    <mergeCell ref="C49:F49"/>
    <mergeCell ref="C50:F50"/>
    <mergeCell ref="C39:F39"/>
    <mergeCell ref="C40:F40"/>
    <mergeCell ref="C41:F41"/>
    <mergeCell ref="C42:F42"/>
    <mergeCell ref="C43:F43"/>
    <mergeCell ref="C44:F44"/>
    <mergeCell ref="C33:F33"/>
    <mergeCell ref="C34:F34"/>
    <mergeCell ref="C35:F35"/>
    <mergeCell ref="C36:F36"/>
    <mergeCell ref="C37:F37"/>
    <mergeCell ref="C38:F38"/>
    <mergeCell ref="C63:F63"/>
    <mergeCell ref="C30:F30"/>
    <mergeCell ref="C31:F31"/>
    <mergeCell ref="C32:F32"/>
    <mergeCell ref="C21:F21"/>
    <mergeCell ref="C22:F22"/>
    <mergeCell ref="C23:F23"/>
    <mergeCell ref="C24:F24"/>
    <mergeCell ref="C25:F25"/>
    <mergeCell ref="C26:F26"/>
    <mergeCell ref="C15:F15"/>
    <mergeCell ref="C16:F16"/>
    <mergeCell ref="C17:F17"/>
    <mergeCell ref="C18:F18"/>
    <mergeCell ref="C19:F19"/>
    <mergeCell ref="C20:F20"/>
    <mergeCell ref="C45:F45"/>
    <mergeCell ref="C46:F46"/>
    <mergeCell ref="C13:F13"/>
    <mergeCell ref="C14:F14"/>
    <mergeCell ref="A8:B9"/>
    <mergeCell ref="C8:D9"/>
    <mergeCell ref="E8:F9"/>
    <mergeCell ref="G8:H9"/>
    <mergeCell ref="I8:I9"/>
    <mergeCell ref="J8:M9"/>
    <mergeCell ref="A6:B7"/>
    <mergeCell ref="C6:D7"/>
    <mergeCell ref="E6:F7"/>
    <mergeCell ref="G6:H7"/>
    <mergeCell ref="I6:I7"/>
    <mergeCell ref="J6:M7"/>
    <mergeCell ref="C27:F27"/>
    <mergeCell ref="C28:F28"/>
    <mergeCell ref="C29:F29"/>
    <mergeCell ref="A4:B5"/>
    <mergeCell ref="C4:D5"/>
    <mergeCell ref="E4:F5"/>
    <mergeCell ref="G4:H5"/>
    <mergeCell ref="I4:I5"/>
    <mergeCell ref="J4:M5"/>
    <mergeCell ref="A1:M1"/>
    <mergeCell ref="A2:B3"/>
    <mergeCell ref="C2:D3"/>
    <mergeCell ref="E2:F3"/>
    <mergeCell ref="G2:H3"/>
    <mergeCell ref="I2:I3"/>
    <mergeCell ref="J2:M3"/>
    <mergeCell ref="C10:F10"/>
    <mergeCell ref="J10:L10"/>
    <mergeCell ref="C11:F11"/>
    <mergeCell ref="C12:F12"/>
  </mergeCells>
  <pageMargins left="0.39400000000000002" right="0.39400000000000002" top="0.59099999999999997" bottom="0.59099999999999997" header="0.5" footer="0.5"/>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402"/>
  <sheetViews>
    <sheetView workbookViewId="0">
      <pane ySplit="10" topLeftCell="A11" activePane="bottomLeft" state="frozenSplit"/>
      <selection pane="bottomLeft" activeCell="A2" sqref="A2:B3"/>
    </sheetView>
  </sheetViews>
  <sheetFormatPr defaultColWidth="11.5703125" defaultRowHeight="12.75" x14ac:dyDescent="0.2"/>
  <cols>
    <col min="1" max="2" width="9.140625" customWidth="1"/>
    <col min="3" max="3" width="13.28515625" customWidth="1"/>
    <col min="4" max="4" width="97.140625" customWidth="1"/>
    <col min="5" max="5" width="33.5703125" customWidth="1"/>
    <col min="6" max="6" width="6.42578125" customWidth="1"/>
    <col min="7" max="7" width="12" customWidth="1"/>
    <col min="8" max="8" width="18.140625" hidden="1" customWidth="1"/>
  </cols>
  <sheetData>
    <row r="1" spans="1:9" ht="72.95" customHeight="1" x14ac:dyDescent="0.35">
      <c r="A1" s="155" t="s">
        <v>2989</v>
      </c>
      <c r="B1" s="117"/>
      <c r="C1" s="117"/>
      <c r="D1" s="117"/>
      <c r="E1" s="117"/>
      <c r="F1" s="117"/>
      <c r="G1" s="117"/>
      <c r="H1" s="117"/>
    </row>
    <row r="2" spans="1:9" x14ac:dyDescent="0.2">
      <c r="A2" s="118" t="s">
        <v>1</v>
      </c>
      <c r="B2" s="119"/>
      <c r="C2" s="122" t="str">
        <f>'Stavební rozpočet'!C2</f>
        <v>Dostavba pavilonu ZŠ speciální Jižní, Česká Lípa</v>
      </c>
      <c r="D2" s="123"/>
      <c r="E2" s="125" t="s">
        <v>2870</v>
      </c>
      <c r="F2" s="125" t="str">
        <f>'Stavební rozpočet'!J2</f>
        <v> </v>
      </c>
      <c r="G2" s="119"/>
      <c r="H2" s="160"/>
      <c r="I2" s="5"/>
    </row>
    <row r="3" spans="1:9" x14ac:dyDescent="0.2">
      <c r="A3" s="120"/>
      <c r="B3" s="121"/>
      <c r="C3" s="124"/>
      <c r="D3" s="124"/>
      <c r="E3" s="121"/>
      <c r="F3" s="121"/>
      <c r="G3" s="121"/>
      <c r="H3" s="127"/>
      <c r="I3" s="5"/>
    </row>
    <row r="4" spans="1:9" x14ac:dyDescent="0.2">
      <c r="A4" s="129" t="s">
        <v>2</v>
      </c>
      <c r="B4" s="121"/>
      <c r="C4" s="130" t="str">
        <f>'Stavební rozpočet'!C4</f>
        <v>- demolice a novostavba pavilonu E</v>
      </c>
      <c r="D4" s="121"/>
      <c r="E4" s="130" t="s">
        <v>2871</v>
      </c>
      <c r="F4" s="130" t="str">
        <f>'Stavební rozpočet'!J4</f>
        <v> </v>
      </c>
      <c r="G4" s="121"/>
      <c r="H4" s="127"/>
      <c r="I4" s="5"/>
    </row>
    <row r="5" spans="1:9" x14ac:dyDescent="0.2">
      <c r="A5" s="120"/>
      <c r="B5" s="121"/>
      <c r="C5" s="121"/>
      <c r="D5" s="121"/>
      <c r="E5" s="121"/>
      <c r="F5" s="121"/>
      <c r="G5" s="121"/>
      <c r="H5" s="127"/>
      <c r="I5" s="5"/>
    </row>
    <row r="6" spans="1:9" x14ac:dyDescent="0.2">
      <c r="A6" s="129" t="s">
        <v>3</v>
      </c>
      <c r="B6" s="121"/>
      <c r="C6" s="130" t="str">
        <f>'Stavební rozpočet'!C6</f>
        <v xml:space="preserve"> </v>
      </c>
      <c r="D6" s="121"/>
      <c r="E6" s="130" t="s">
        <v>2872</v>
      </c>
      <c r="F6" s="130" t="str">
        <f>'Stavební rozpočet'!J6</f>
        <v> </v>
      </c>
      <c r="G6" s="121"/>
      <c r="H6" s="127"/>
      <c r="I6" s="5"/>
    </row>
    <row r="7" spans="1:9" x14ac:dyDescent="0.2">
      <c r="A7" s="120"/>
      <c r="B7" s="121"/>
      <c r="C7" s="121"/>
      <c r="D7" s="121"/>
      <c r="E7" s="121"/>
      <c r="F7" s="121"/>
      <c r="G7" s="121"/>
      <c r="H7" s="127"/>
      <c r="I7" s="5"/>
    </row>
    <row r="8" spans="1:9" x14ac:dyDescent="0.2">
      <c r="A8" s="129" t="s">
        <v>2873</v>
      </c>
      <c r="B8" s="121"/>
      <c r="C8" s="130" t="str">
        <f>'Stavební rozpočet'!J8</f>
        <v> </v>
      </c>
      <c r="D8" s="121"/>
      <c r="E8" s="130" t="s">
        <v>2850</v>
      </c>
      <c r="F8" s="130"/>
      <c r="G8" s="121"/>
      <c r="H8" s="127"/>
      <c r="I8" s="5"/>
    </row>
    <row r="9" spans="1:9" x14ac:dyDescent="0.2">
      <c r="A9" s="176"/>
      <c r="B9" s="177"/>
      <c r="C9" s="177"/>
      <c r="D9" s="177"/>
      <c r="E9" s="177"/>
      <c r="F9" s="177"/>
      <c r="G9" s="177"/>
      <c r="H9" s="178"/>
      <c r="I9" s="5"/>
    </row>
    <row r="10" spans="1:9" x14ac:dyDescent="0.2">
      <c r="A10" s="45" t="s">
        <v>5</v>
      </c>
      <c r="B10" s="46" t="s">
        <v>2982</v>
      </c>
      <c r="C10" s="46" t="s">
        <v>958</v>
      </c>
      <c r="D10" s="192" t="s">
        <v>1855</v>
      </c>
      <c r="E10" s="193"/>
      <c r="F10" s="46" t="s">
        <v>2851</v>
      </c>
      <c r="G10" s="56" t="s">
        <v>2869</v>
      </c>
      <c r="H10" s="60" t="s">
        <v>3309</v>
      </c>
      <c r="I10" s="34"/>
    </row>
    <row r="11" spans="1:9" x14ac:dyDescent="0.2">
      <c r="A11" s="50" t="s">
        <v>7</v>
      </c>
      <c r="B11" s="52" t="s">
        <v>2900</v>
      </c>
      <c r="C11" s="52" t="s">
        <v>1840</v>
      </c>
      <c r="D11" s="194" t="s">
        <v>2834</v>
      </c>
      <c r="E11" s="195"/>
      <c r="F11" s="52" t="s">
        <v>2852</v>
      </c>
      <c r="G11" s="81">
        <v>1</v>
      </c>
      <c r="H11" s="61">
        <v>0</v>
      </c>
      <c r="I11" s="5"/>
    </row>
    <row r="12" spans="1:9" x14ac:dyDescent="0.2">
      <c r="A12" s="4" t="s">
        <v>8</v>
      </c>
      <c r="B12" s="13" t="s">
        <v>2900</v>
      </c>
      <c r="C12" s="13" t="s">
        <v>1841</v>
      </c>
      <c r="D12" s="174" t="s">
        <v>2835</v>
      </c>
      <c r="E12" s="175"/>
      <c r="F12" s="13" t="s">
        <v>2852</v>
      </c>
      <c r="G12" s="82">
        <v>1</v>
      </c>
      <c r="H12" s="62">
        <v>0</v>
      </c>
      <c r="I12" s="5"/>
    </row>
    <row r="13" spans="1:9" x14ac:dyDescent="0.2">
      <c r="A13" s="4" t="s">
        <v>9</v>
      </c>
      <c r="B13" s="13" t="s">
        <v>2900</v>
      </c>
      <c r="C13" s="13" t="s">
        <v>1842</v>
      </c>
      <c r="D13" s="174" t="s">
        <v>2836</v>
      </c>
      <c r="E13" s="175"/>
      <c r="F13" s="13" t="s">
        <v>2852</v>
      </c>
      <c r="G13" s="82">
        <v>1</v>
      </c>
      <c r="H13" s="62">
        <v>0</v>
      </c>
      <c r="I13" s="5"/>
    </row>
    <row r="14" spans="1:9" x14ac:dyDescent="0.2">
      <c r="A14" s="4" t="s">
        <v>10</v>
      </c>
      <c r="B14" s="13" t="s">
        <v>2900</v>
      </c>
      <c r="C14" s="13" t="s">
        <v>1843</v>
      </c>
      <c r="D14" s="174" t="s">
        <v>2837</v>
      </c>
      <c r="E14" s="175"/>
      <c r="F14" s="13" t="s">
        <v>2852</v>
      </c>
      <c r="G14" s="82">
        <v>1</v>
      </c>
      <c r="H14" s="62">
        <v>0</v>
      </c>
      <c r="I14" s="5"/>
    </row>
    <row r="15" spans="1:9" x14ac:dyDescent="0.2">
      <c r="A15" s="4" t="s">
        <v>11</v>
      </c>
      <c r="B15" s="13" t="s">
        <v>2900</v>
      </c>
      <c r="C15" s="13" t="s">
        <v>1844</v>
      </c>
      <c r="D15" s="174" t="s">
        <v>2838</v>
      </c>
      <c r="E15" s="175"/>
      <c r="F15" s="13" t="s">
        <v>2852</v>
      </c>
      <c r="G15" s="82">
        <v>1</v>
      </c>
      <c r="H15" s="62">
        <v>0</v>
      </c>
      <c r="I15" s="5"/>
    </row>
    <row r="16" spans="1:9" x14ac:dyDescent="0.2">
      <c r="A16" s="4" t="s">
        <v>12</v>
      </c>
      <c r="B16" s="13" t="s">
        <v>2900</v>
      </c>
      <c r="C16" s="13" t="s">
        <v>1845</v>
      </c>
      <c r="D16" s="174" t="s">
        <v>2839</v>
      </c>
      <c r="E16" s="175"/>
      <c r="F16" s="13" t="s">
        <v>2852</v>
      </c>
      <c r="G16" s="82">
        <v>1</v>
      </c>
      <c r="H16" s="62">
        <v>0</v>
      </c>
      <c r="I16" s="5"/>
    </row>
    <row r="17" spans="1:9" x14ac:dyDescent="0.2">
      <c r="A17" s="4" t="s">
        <v>13</v>
      </c>
      <c r="B17" s="13" t="s">
        <v>2900</v>
      </c>
      <c r="C17" s="13" t="s">
        <v>1846</v>
      </c>
      <c r="D17" s="174" t="s">
        <v>2840</v>
      </c>
      <c r="E17" s="175"/>
      <c r="F17" s="13" t="s">
        <v>2852</v>
      </c>
      <c r="G17" s="82">
        <v>1</v>
      </c>
      <c r="H17" s="62">
        <v>0</v>
      </c>
      <c r="I17" s="5"/>
    </row>
    <row r="18" spans="1:9" x14ac:dyDescent="0.2">
      <c r="A18" s="4" t="s">
        <v>14</v>
      </c>
      <c r="B18" s="13" t="s">
        <v>2900</v>
      </c>
      <c r="C18" s="13" t="s">
        <v>1847</v>
      </c>
      <c r="D18" s="174" t="s">
        <v>2841</v>
      </c>
      <c r="E18" s="175"/>
      <c r="F18" s="13" t="s">
        <v>2852</v>
      </c>
      <c r="G18" s="82">
        <v>1</v>
      </c>
      <c r="H18" s="62">
        <v>0</v>
      </c>
      <c r="I18" s="5"/>
    </row>
    <row r="19" spans="1:9" x14ac:dyDescent="0.2">
      <c r="A19" s="4" t="s">
        <v>15</v>
      </c>
      <c r="B19" s="13" t="s">
        <v>2900</v>
      </c>
      <c r="C19" s="13" t="s">
        <v>1848</v>
      </c>
      <c r="D19" s="174" t="s">
        <v>2842</v>
      </c>
      <c r="E19" s="175"/>
      <c r="F19" s="13" t="s">
        <v>2852</v>
      </c>
      <c r="G19" s="82">
        <v>1</v>
      </c>
      <c r="H19" s="62">
        <v>0</v>
      </c>
      <c r="I19" s="5"/>
    </row>
    <row r="20" spans="1:9" x14ac:dyDescent="0.2">
      <c r="A20" s="4" t="s">
        <v>16</v>
      </c>
      <c r="B20" s="13" t="s">
        <v>2900</v>
      </c>
      <c r="C20" s="13" t="s">
        <v>1849</v>
      </c>
      <c r="D20" s="174" t="s">
        <v>2843</v>
      </c>
      <c r="E20" s="175"/>
      <c r="F20" s="13" t="s">
        <v>2852</v>
      </c>
      <c r="G20" s="82">
        <v>1</v>
      </c>
      <c r="H20" s="62">
        <v>0</v>
      </c>
      <c r="I20" s="5"/>
    </row>
    <row r="21" spans="1:9" x14ac:dyDescent="0.2">
      <c r="A21" s="4" t="s">
        <v>17</v>
      </c>
      <c r="B21" s="13" t="s">
        <v>2900</v>
      </c>
      <c r="C21" s="13" t="s">
        <v>1850</v>
      </c>
      <c r="D21" s="174" t="s">
        <v>2844</v>
      </c>
      <c r="E21" s="175"/>
      <c r="F21" s="13" t="s">
        <v>2852</v>
      </c>
      <c r="G21" s="82">
        <v>1</v>
      </c>
      <c r="H21" s="62">
        <v>0</v>
      </c>
      <c r="I21" s="5"/>
    </row>
    <row r="22" spans="1:9" x14ac:dyDescent="0.2">
      <c r="A22" s="4" t="s">
        <v>18</v>
      </c>
      <c r="B22" s="13" t="s">
        <v>2900</v>
      </c>
      <c r="C22" s="13" t="s">
        <v>1851</v>
      </c>
      <c r="D22" s="174" t="s">
        <v>2845</v>
      </c>
      <c r="E22" s="175"/>
      <c r="F22" s="13" t="s">
        <v>2852</v>
      </c>
      <c r="G22" s="82">
        <v>1</v>
      </c>
      <c r="H22" s="62">
        <v>0</v>
      </c>
      <c r="I22" s="5"/>
    </row>
    <row r="23" spans="1:9" x14ac:dyDescent="0.2">
      <c r="A23" s="4" t="s">
        <v>19</v>
      </c>
      <c r="B23" s="13" t="s">
        <v>2900</v>
      </c>
      <c r="C23" s="13" t="s">
        <v>1852</v>
      </c>
      <c r="D23" s="174" t="s">
        <v>2846</v>
      </c>
      <c r="E23" s="175"/>
      <c r="F23" s="13" t="s">
        <v>2852</v>
      </c>
      <c r="G23" s="82">
        <v>1</v>
      </c>
      <c r="H23" s="62">
        <v>0</v>
      </c>
      <c r="I23" s="5"/>
    </row>
    <row r="24" spans="1:9" x14ac:dyDescent="0.2">
      <c r="A24" s="4" t="s">
        <v>20</v>
      </c>
      <c r="B24" s="13" t="s">
        <v>2895</v>
      </c>
      <c r="C24" s="13" t="s">
        <v>1603</v>
      </c>
      <c r="D24" s="174" t="s">
        <v>2597</v>
      </c>
      <c r="E24" s="175"/>
      <c r="F24" s="13" t="s">
        <v>2867</v>
      </c>
      <c r="G24" s="82">
        <v>4</v>
      </c>
      <c r="H24" s="62">
        <v>0</v>
      </c>
      <c r="I24" s="5"/>
    </row>
    <row r="25" spans="1:9" x14ac:dyDescent="0.2">
      <c r="A25" s="4" t="s">
        <v>21</v>
      </c>
      <c r="B25" s="13" t="s">
        <v>2895</v>
      </c>
      <c r="C25" s="13" t="s">
        <v>1604</v>
      </c>
      <c r="D25" s="174" t="s">
        <v>2598</v>
      </c>
      <c r="E25" s="175"/>
      <c r="F25" s="13" t="s">
        <v>2867</v>
      </c>
      <c r="G25" s="82">
        <v>4</v>
      </c>
      <c r="H25" s="62">
        <v>0</v>
      </c>
      <c r="I25" s="5"/>
    </row>
    <row r="26" spans="1:9" x14ac:dyDescent="0.2">
      <c r="A26" s="4" t="s">
        <v>22</v>
      </c>
      <c r="B26" s="13" t="s">
        <v>2895</v>
      </c>
      <c r="C26" s="13" t="s">
        <v>1605</v>
      </c>
      <c r="D26" s="174" t="s">
        <v>2599</v>
      </c>
      <c r="E26" s="175"/>
      <c r="F26" s="13" t="s">
        <v>2867</v>
      </c>
      <c r="G26" s="82">
        <v>6</v>
      </c>
      <c r="H26" s="62">
        <v>0</v>
      </c>
      <c r="I26" s="5"/>
    </row>
    <row r="27" spans="1:9" x14ac:dyDescent="0.2">
      <c r="A27" s="4" t="s">
        <v>23</v>
      </c>
      <c r="B27" s="13" t="s">
        <v>2895</v>
      </c>
      <c r="C27" s="13" t="s">
        <v>1606</v>
      </c>
      <c r="D27" s="174" t="s">
        <v>2600</v>
      </c>
      <c r="E27" s="175"/>
      <c r="F27" s="13" t="s">
        <v>2852</v>
      </c>
      <c r="G27" s="82">
        <v>1</v>
      </c>
      <c r="H27" s="62">
        <v>0</v>
      </c>
      <c r="I27" s="5"/>
    </row>
    <row r="28" spans="1:9" x14ac:dyDescent="0.2">
      <c r="A28" s="4" t="s">
        <v>24</v>
      </c>
      <c r="B28" s="13" t="s">
        <v>2895</v>
      </c>
      <c r="C28" s="13" t="s">
        <v>1607</v>
      </c>
      <c r="D28" s="174" t="s">
        <v>2601</v>
      </c>
      <c r="E28" s="175"/>
      <c r="F28" s="13" t="s">
        <v>2855</v>
      </c>
      <c r="G28" s="82">
        <v>4.5999999999999996</v>
      </c>
      <c r="H28" s="62">
        <v>0</v>
      </c>
      <c r="I28" s="5"/>
    </row>
    <row r="29" spans="1:9" ht="12.2" customHeight="1" x14ac:dyDescent="0.2">
      <c r="A29" s="5"/>
      <c r="D29" s="54" t="s">
        <v>2990</v>
      </c>
      <c r="E29" s="196"/>
      <c r="F29" s="197"/>
      <c r="G29" s="57">
        <v>4.5999999999999996</v>
      </c>
      <c r="H29" s="63"/>
      <c r="I29" s="5"/>
    </row>
    <row r="30" spans="1:9" x14ac:dyDescent="0.2">
      <c r="A30" s="4" t="s">
        <v>25</v>
      </c>
      <c r="B30" s="13" t="s">
        <v>2895</v>
      </c>
      <c r="C30" s="13" t="s">
        <v>1608</v>
      </c>
      <c r="D30" s="174" t="s">
        <v>2602</v>
      </c>
      <c r="E30" s="175"/>
      <c r="F30" s="13" t="s">
        <v>2854</v>
      </c>
      <c r="G30" s="82">
        <v>26.4</v>
      </c>
      <c r="H30" s="62">
        <v>0</v>
      </c>
      <c r="I30" s="5"/>
    </row>
    <row r="31" spans="1:9" ht="12.2" customHeight="1" x14ac:dyDescent="0.2">
      <c r="A31" s="5"/>
      <c r="D31" s="54" t="s">
        <v>2991</v>
      </c>
      <c r="E31" s="196"/>
      <c r="F31" s="197"/>
      <c r="G31" s="57">
        <v>26.4</v>
      </c>
      <c r="H31" s="63"/>
      <c r="I31" s="5"/>
    </row>
    <row r="32" spans="1:9" x14ac:dyDescent="0.2">
      <c r="A32" s="4" t="s">
        <v>26</v>
      </c>
      <c r="B32" s="13" t="s">
        <v>2895</v>
      </c>
      <c r="C32" s="13" t="s">
        <v>1609</v>
      </c>
      <c r="D32" s="174" t="s">
        <v>2603</v>
      </c>
      <c r="E32" s="175"/>
      <c r="F32" s="13" t="s">
        <v>2854</v>
      </c>
      <c r="G32" s="82">
        <v>329.5</v>
      </c>
      <c r="H32" s="62">
        <v>0</v>
      </c>
      <c r="I32" s="5"/>
    </row>
    <row r="33" spans="1:9" ht="12.2" customHeight="1" x14ac:dyDescent="0.2">
      <c r="A33" s="5"/>
      <c r="D33" s="54" t="s">
        <v>2992</v>
      </c>
      <c r="E33" s="196"/>
      <c r="F33" s="197"/>
      <c r="G33" s="57">
        <v>329.5</v>
      </c>
      <c r="H33" s="63"/>
      <c r="I33" s="5"/>
    </row>
    <row r="34" spans="1:9" x14ac:dyDescent="0.2">
      <c r="A34" s="4" t="s">
        <v>27</v>
      </c>
      <c r="B34" s="13" t="s">
        <v>2895</v>
      </c>
      <c r="C34" s="13" t="s">
        <v>1610</v>
      </c>
      <c r="D34" s="174" t="s">
        <v>2604</v>
      </c>
      <c r="E34" s="175"/>
      <c r="F34" s="13" t="s">
        <v>2854</v>
      </c>
      <c r="G34" s="82">
        <v>10</v>
      </c>
      <c r="H34" s="62">
        <v>0</v>
      </c>
      <c r="I34" s="5"/>
    </row>
    <row r="35" spans="1:9" ht="12.2" customHeight="1" x14ac:dyDescent="0.2">
      <c r="A35" s="5"/>
      <c r="D35" s="54" t="s">
        <v>16</v>
      </c>
      <c r="E35" s="196"/>
      <c r="F35" s="197"/>
      <c r="G35" s="57">
        <v>10</v>
      </c>
      <c r="H35" s="63"/>
      <c r="I35" s="5"/>
    </row>
    <row r="36" spans="1:9" x14ac:dyDescent="0.2">
      <c r="A36" s="4" t="s">
        <v>28</v>
      </c>
      <c r="B36" s="13" t="s">
        <v>2895</v>
      </c>
      <c r="C36" s="13" t="s">
        <v>1611</v>
      </c>
      <c r="D36" s="174" t="s">
        <v>2605</v>
      </c>
      <c r="E36" s="175"/>
      <c r="F36" s="13" t="s">
        <v>2854</v>
      </c>
      <c r="G36" s="82">
        <v>10</v>
      </c>
      <c r="H36" s="62">
        <v>0</v>
      </c>
      <c r="I36" s="5"/>
    </row>
    <row r="37" spans="1:9" x14ac:dyDescent="0.2">
      <c r="A37" s="4" t="s">
        <v>29</v>
      </c>
      <c r="B37" s="13" t="s">
        <v>2895</v>
      </c>
      <c r="C37" s="13" t="s">
        <v>1612</v>
      </c>
      <c r="D37" s="174" t="s">
        <v>2606</v>
      </c>
      <c r="E37" s="175"/>
      <c r="F37" s="13" t="s">
        <v>2852</v>
      </c>
      <c r="G37" s="82">
        <v>3</v>
      </c>
      <c r="H37" s="62">
        <v>0</v>
      </c>
      <c r="I37" s="5"/>
    </row>
    <row r="38" spans="1:9" ht="12.2" customHeight="1" x14ac:dyDescent="0.2">
      <c r="A38" s="5"/>
      <c r="D38" s="54" t="s">
        <v>9</v>
      </c>
      <c r="E38" s="196"/>
      <c r="F38" s="197"/>
      <c r="G38" s="57">
        <v>3</v>
      </c>
      <c r="H38" s="63"/>
      <c r="I38" s="5"/>
    </row>
    <row r="39" spans="1:9" x14ac:dyDescent="0.2">
      <c r="A39" s="4" t="s">
        <v>30</v>
      </c>
      <c r="B39" s="13" t="s">
        <v>2895</v>
      </c>
      <c r="C39" s="13" t="s">
        <v>1613</v>
      </c>
      <c r="D39" s="174" t="s">
        <v>2607</v>
      </c>
      <c r="E39" s="175"/>
      <c r="F39" s="13" t="s">
        <v>2852</v>
      </c>
      <c r="G39" s="82">
        <v>3</v>
      </c>
      <c r="H39" s="62">
        <v>0</v>
      </c>
      <c r="I39" s="5"/>
    </row>
    <row r="40" spans="1:9" x14ac:dyDescent="0.2">
      <c r="A40" s="4" t="s">
        <v>31</v>
      </c>
      <c r="B40" s="13" t="s">
        <v>2895</v>
      </c>
      <c r="C40" s="13" t="s">
        <v>1614</v>
      </c>
      <c r="D40" s="174" t="s">
        <v>2608</v>
      </c>
      <c r="E40" s="175"/>
      <c r="F40" s="13" t="s">
        <v>2852</v>
      </c>
      <c r="G40" s="82">
        <v>1</v>
      </c>
      <c r="H40" s="62">
        <v>0</v>
      </c>
      <c r="I40" s="5"/>
    </row>
    <row r="41" spans="1:9" x14ac:dyDescent="0.2">
      <c r="A41" s="4" t="s">
        <v>32</v>
      </c>
      <c r="B41" s="13" t="s">
        <v>2894</v>
      </c>
      <c r="C41" s="13" t="s">
        <v>959</v>
      </c>
      <c r="D41" s="174" t="s">
        <v>1859</v>
      </c>
      <c r="E41" s="175"/>
      <c r="F41" s="13" t="s">
        <v>2852</v>
      </c>
      <c r="G41" s="82">
        <v>1</v>
      </c>
      <c r="H41" s="62">
        <v>0</v>
      </c>
      <c r="I41" s="5"/>
    </row>
    <row r="42" spans="1:9" ht="12.2" customHeight="1" x14ac:dyDescent="0.2">
      <c r="A42" s="5"/>
      <c r="D42" s="54" t="s">
        <v>7</v>
      </c>
      <c r="E42" s="196"/>
      <c r="F42" s="197"/>
      <c r="G42" s="57">
        <v>1</v>
      </c>
      <c r="H42" s="63"/>
      <c r="I42" s="5"/>
    </row>
    <row r="43" spans="1:9" x14ac:dyDescent="0.2">
      <c r="A43" s="4" t="s">
        <v>33</v>
      </c>
      <c r="B43" s="13" t="s">
        <v>2894</v>
      </c>
      <c r="C43" s="13" t="s">
        <v>960</v>
      </c>
      <c r="D43" s="174" t="s">
        <v>1861</v>
      </c>
      <c r="E43" s="175"/>
      <c r="F43" s="13" t="s">
        <v>2853</v>
      </c>
      <c r="G43" s="82">
        <v>54.274999999999999</v>
      </c>
      <c r="H43" s="62">
        <v>0</v>
      </c>
      <c r="I43" s="5"/>
    </row>
    <row r="44" spans="1:9" ht="12.2" customHeight="1" x14ac:dyDescent="0.2">
      <c r="A44" s="5"/>
      <c r="D44" s="54" t="s">
        <v>2993</v>
      </c>
      <c r="E44" s="196"/>
      <c r="F44" s="197"/>
      <c r="G44" s="57">
        <v>54.274999999999999</v>
      </c>
      <c r="H44" s="63"/>
      <c r="I44" s="5"/>
    </row>
    <row r="45" spans="1:9" x14ac:dyDescent="0.2">
      <c r="A45" s="4" t="s">
        <v>34</v>
      </c>
      <c r="B45" s="13" t="s">
        <v>2894</v>
      </c>
      <c r="C45" s="13" t="s">
        <v>961</v>
      </c>
      <c r="D45" s="174" t="s">
        <v>1863</v>
      </c>
      <c r="E45" s="175"/>
      <c r="F45" s="13" t="s">
        <v>2853</v>
      </c>
      <c r="G45" s="82">
        <v>309.96899999999999</v>
      </c>
      <c r="H45" s="62">
        <v>0</v>
      </c>
      <c r="I45" s="5"/>
    </row>
    <row r="46" spans="1:9" ht="12.2" customHeight="1" x14ac:dyDescent="0.2">
      <c r="A46" s="5"/>
      <c r="D46" s="54" t="s">
        <v>2994</v>
      </c>
      <c r="E46" s="196"/>
      <c r="F46" s="197"/>
      <c r="G46" s="57">
        <v>253.202</v>
      </c>
      <c r="H46" s="63"/>
      <c r="I46" s="5"/>
    </row>
    <row r="47" spans="1:9" ht="12.2" customHeight="1" x14ac:dyDescent="0.2">
      <c r="A47" s="4"/>
      <c r="B47" s="13"/>
      <c r="C47" s="13"/>
      <c r="D47" s="54" t="s">
        <v>2995</v>
      </c>
      <c r="E47" s="196"/>
      <c r="F47" s="196"/>
      <c r="G47" s="83">
        <v>56.767000000000003</v>
      </c>
      <c r="H47" s="31"/>
      <c r="I47" s="5"/>
    </row>
    <row r="48" spans="1:9" x14ac:dyDescent="0.2">
      <c r="A48" s="4" t="s">
        <v>35</v>
      </c>
      <c r="B48" s="13" t="s">
        <v>2894</v>
      </c>
      <c r="C48" s="13" t="s">
        <v>962</v>
      </c>
      <c r="D48" s="174" t="s">
        <v>1864</v>
      </c>
      <c r="E48" s="175"/>
      <c r="F48" s="13" t="s">
        <v>2853</v>
      </c>
      <c r="G48" s="82">
        <v>120.544</v>
      </c>
      <c r="H48" s="62">
        <v>0</v>
      </c>
      <c r="I48" s="5"/>
    </row>
    <row r="49" spans="1:9" ht="12.2" customHeight="1" x14ac:dyDescent="0.2">
      <c r="A49" s="5"/>
      <c r="D49" s="54" t="s">
        <v>2996</v>
      </c>
      <c r="E49" s="196"/>
      <c r="F49" s="197"/>
      <c r="G49" s="57">
        <v>98.468000000000004</v>
      </c>
      <c r="H49" s="63"/>
      <c r="I49" s="5"/>
    </row>
    <row r="50" spans="1:9" ht="12.2" customHeight="1" x14ac:dyDescent="0.2">
      <c r="A50" s="4"/>
      <c r="B50" s="13"/>
      <c r="C50" s="13"/>
      <c r="D50" s="54" t="s">
        <v>2997</v>
      </c>
      <c r="E50" s="196"/>
      <c r="F50" s="196"/>
      <c r="G50" s="83">
        <v>22.076000000000001</v>
      </c>
      <c r="H50" s="31"/>
      <c r="I50" s="5"/>
    </row>
    <row r="51" spans="1:9" x14ac:dyDescent="0.2">
      <c r="A51" s="4" t="s">
        <v>36</v>
      </c>
      <c r="B51" s="13" t="s">
        <v>2894</v>
      </c>
      <c r="C51" s="13" t="s">
        <v>963</v>
      </c>
      <c r="D51" s="174" t="s">
        <v>1865</v>
      </c>
      <c r="E51" s="175"/>
      <c r="F51" s="13" t="s">
        <v>2853</v>
      </c>
      <c r="G51" s="82">
        <v>120.544</v>
      </c>
      <c r="H51" s="62">
        <v>0</v>
      </c>
      <c r="I51" s="5"/>
    </row>
    <row r="52" spans="1:9" ht="12.2" customHeight="1" x14ac:dyDescent="0.2">
      <c r="A52" s="5"/>
      <c r="D52" s="54" t="s">
        <v>2998</v>
      </c>
      <c r="E52" s="196"/>
      <c r="F52" s="197"/>
      <c r="G52" s="57">
        <v>120.544</v>
      </c>
      <c r="H52" s="63"/>
      <c r="I52" s="5"/>
    </row>
    <row r="53" spans="1:9" x14ac:dyDescent="0.2">
      <c r="A53" s="4" t="s">
        <v>37</v>
      </c>
      <c r="B53" s="13" t="s">
        <v>2894</v>
      </c>
      <c r="C53" s="13" t="s">
        <v>964</v>
      </c>
      <c r="D53" s="174" t="s">
        <v>1866</v>
      </c>
      <c r="E53" s="175"/>
      <c r="F53" s="13" t="s">
        <v>2853</v>
      </c>
      <c r="G53" s="82">
        <v>127.82</v>
      </c>
      <c r="H53" s="62">
        <v>0</v>
      </c>
      <c r="I53" s="5"/>
    </row>
    <row r="54" spans="1:9" ht="12.2" customHeight="1" x14ac:dyDescent="0.2">
      <c r="A54" s="5"/>
      <c r="D54" s="54" t="s">
        <v>2999</v>
      </c>
      <c r="E54" s="196"/>
      <c r="F54" s="197"/>
      <c r="G54" s="57">
        <v>50.456000000000003</v>
      </c>
      <c r="H54" s="63"/>
      <c r="I54" s="5"/>
    </row>
    <row r="55" spans="1:9" ht="12.2" customHeight="1" x14ac:dyDescent="0.2">
      <c r="A55" s="4"/>
      <c r="B55" s="13"/>
      <c r="C55" s="13"/>
      <c r="D55" s="54" t="s">
        <v>3000</v>
      </c>
      <c r="E55" s="196"/>
      <c r="F55" s="196"/>
      <c r="G55" s="83">
        <v>47.359000000000002</v>
      </c>
      <c r="H55" s="31"/>
      <c r="I55" s="5"/>
    </row>
    <row r="56" spans="1:9" ht="12.2" customHeight="1" x14ac:dyDescent="0.2">
      <c r="A56" s="4"/>
      <c r="B56" s="13"/>
      <c r="C56" s="13"/>
      <c r="D56" s="54" t="s">
        <v>3001</v>
      </c>
      <c r="E56" s="196"/>
      <c r="F56" s="196"/>
      <c r="G56" s="83">
        <v>30.004999999999999</v>
      </c>
      <c r="H56" s="31"/>
      <c r="I56" s="5"/>
    </row>
    <row r="57" spans="1:9" x14ac:dyDescent="0.2">
      <c r="A57" s="4" t="s">
        <v>38</v>
      </c>
      <c r="B57" s="13" t="s">
        <v>2894</v>
      </c>
      <c r="C57" s="13" t="s">
        <v>965</v>
      </c>
      <c r="D57" s="174" t="s">
        <v>1867</v>
      </c>
      <c r="E57" s="175"/>
      <c r="F57" s="13" t="s">
        <v>2853</v>
      </c>
      <c r="G57" s="82">
        <v>49.707999999999998</v>
      </c>
      <c r="H57" s="62">
        <v>0</v>
      </c>
      <c r="I57" s="5"/>
    </row>
    <row r="58" spans="1:9" ht="12.2" customHeight="1" x14ac:dyDescent="0.2">
      <c r="A58" s="5"/>
      <c r="D58" s="54" t="s">
        <v>3002</v>
      </c>
      <c r="E58" s="196"/>
      <c r="F58" s="197"/>
      <c r="G58" s="57">
        <v>19.622</v>
      </c>
      <c r="H58" s="63"/>
      <c r="I58" s="5"/>
    </row>
    <row r="59" spans="1:9" ht="12.2" customHeight="1" x14ac:dyDescent="0.2">
      <c r="A59" s="4"/>
      <c r="B59" s="13"/>
      <c r="C59" s="13"/>
      <c r="D59" s="54" t="s">
        <v>3003</v>
      </c>
      <c r="E59" s="196"/>
      <c r="F59" s="196"/>
      <c r="G59" s="83">
        <v>18.417999999999999</v>
      </c>
      <c r="H59" s="31"/>
      <c r="I59" s="5"/>
    </row>
    <row r="60" spans="1:9" ht="12.2" customHeight="1" x14ac:dyDescent="0.2">
      <c r="A60" s="4"/>
      <c r="B60" s="13"/>
      <c r="C60" s="13"/>
      <c r="D60" s="54" t="s">
        <v>3004</v>
      </c>
      <c r="E60" s="196"/>
      <c r="F60" s="196"/>
      <c r="G60" s="83">
        <v>11.667999999999999</v>
      </c>
      <c r="H60" s="31"/>
      <c r="I60" s="5"/>
    </row>
    <row r="61" spans="1:9" x14ac:dyDescent="0.2">
      <c r="A61" s="4" t="s">
        <v>39</v>
      </c>
      <c r="B61" s="13" t="s">
        <v>2894</v>
      </c>
      <c r="C61" s="13" t="s">
        <v>966</v>
      </c>
      <c r="D61" s="174" t="s">
        <v>1868</v>
      </c>
      <c r="E61" s="175"/>
      <c r="F61" s="13" t="s">
        <v>2853</v>
      </c>
      <c r="G61" s="82">
        <v>49.707999999999998</v>
      </c>
      <c r="H61" s="62">
        <v>0</v>
      </c>
      <c r="I61" s="5"/>
    </row>
    <row r="62" spans="1:9" ht="12.2" customHeight="1" x14ac:dyDescent="0.2">
      <c r="A62" s="5"/>
      <c r="D62" s="54" t="s">
        <v>3005</v>
      </c>
      <c r="E62" s="196"/>
      <c r="F62" s="197"/>
      <c r="G62" s="57">
        <v>49.707999999999998</v>
      </c>
      <c r="H62" s="63"/>
      <c r="I62" s="5"/>
    </row>
    <row r="63" spans="1:9" x14ac:dyDescent="0.2">
      <c r="A63" s="4" t="s">
        <v>40</v>
      </c>
      <c r="B63" s="13" t="s">
        <v>2894</v>
      </c>
      <c r="C63" s="13" t="s">
        <v>967</v>
      </c>
      <c r="D63" s="174" t="s">
        <v>1869</v>
      </c>
      <c r="E63" s="175"/>
      <c r="F63" s="13" t="s">
        <v>2853</v>
      </c>
      <c r="G63" s="82">
        <v>1.845</v>
      </c>
      <c r="H63" s="62">
        <v>0</v>
      </c>
      <c r="I63" s="5"/>
    </row>
    <row r="64" spans="1:9" ht="12.2" customHeight="1" x14ac:dyDescent="0.2">
      <c r="A64" s="5"/>
      <c r="D64" s="54" t="s">
        <v>3006</v>
      </c>
      <c r="E64" s="196"/>
      <c r="F64" s="197"/>
      <c r="G64" s="57">
        <v>1.845</v>
      </c>
      <c r="H64" s="63"/>
      <c r="I64" s="5"/>
    </row>
    <row r="65" spans="1:9" x14ac:dyDescent="0.2">
      <c r="A65" s="4" t="s">
        <v>41</v>
      </c>
      <c r="B65" s="13" t="s">
        <v>2895</v>
      </c>
      <c r="C65" s="13" t="s">
        <v>1615</v>
      </c>
      <c r="D65" s="174" t="s">
        <v>2609</v>
      </c>
      <c r="E65" s="175"/>
      <c r="F65" s="13" t="s">
        <v>2853</v>
      </c>
      <c r="G65" s="82">
        <v>87.224999999999994</v>
      </c>
      <c r="H65" s="62">
        <v>0</v>
      </c>
      <c r="I65" s="5"/>
    </row>
    <row r="66" spans="1:9" ht="12.2" customHeight="1" x14ac:dyDescent="0.2">
      <c r="A66" s="5"/>
      <c r="D66" s="54" t="s">
        <v>3007</v>
      </c>
      <c r="E66" s="196"/>
      <c r="F66" s="197"/>
      <c r="G66" s="57">
        <v>28.672999999999998</v>
      </c>
      <c r="H66" s="63"/>
      <c r="I66" s="5"/>
    </row>
    <row r="67" spans="1:9" ht="12.2" customHeight="1" x14ac:dyDescent="0.2">
      <c r="A67" s="4"/>
      <c r="B67" s="13"/>
      <c r="C67" s="13"/>
      <c r="D67" s="54" t="s">
        <v>3008</v>
      </c>
      <c r="E67" s="196"/>
      <c r="F67" s="196"/>
      <c r="G67" s="83">
        <v>58.552999999999997</v>
      </c>
      <c r="H67" s="31"/>
      <c r="I67" s="5"/>
    </row>
    <row r="68" spans="1:9" x14ac:dyDescent="0.2">
      <c r="A68" s="4" t="s">
        <v>42</v>
      </c>
      <c r="B68" s="13" t="s">
        <v>2895</v>
      </c>
      <c r="C68" s="13" t="s">
        <v>1616</v>
      </c>
      <c r="D68" s="174" t="s">
        <v>2610</v>
      </c>
      <c r="E68" s="175"/>
      <c r="F68" s="13" t="s">
        <v>2853</v>
      </c>
      <c r="G68" s="82">
        <v>87.225999999999999</v>
      </c>
      <c r="H68" s="62">
        <v>0</v>
      </c>
      <c r="I68" s="5"/>
    </row>
    <row r="69" spans="1:9" ht="12.2" customHeight="1" x14ac:dyDescent="0.2">
      <c r="A69" s="5"/>
      <c r="D69" s="54" t="s">
        <v>3009</v>
      </c>
      <c r="E69" s="196"/>
      <c r="F69" s="197"/>
      <c r="G69" s="57">
        <v>87.225999999999999</v>
      </c>
      <c r="H69" s="63"/>
      <c r="I69" s="5"/>
    </row>
    <row r="70" spans="1:9" x14ac:dyDescent="0.2">
      <c r="A70" s="4" t="s">
        <v>43</v>
      </c>
      <c r="B70" s="13" t="s">
        <v>2894</v>
      </c>
      <c r="C70" s="13" t="s">
        <v>968</v>
      </c>
      <c r="D70" s="174" t="s">
        <v>1871</v>
      </c>
      <c r="E70" s="175"/>
      <c r="F70" s="13" t="s">
        <v>2853</v>
      </c>
      <c r="G70" s="82">
        <v>465.65499999999997</v>
      </c>
      <c r="H70" s="62">
        <v>0</v>
      </c>
      <c r="I70" s="5"/>
    </row>
    <row r="71" spans="1:9" ht="12.2" customHeight="1" x14ac:dyDescent="0.2">
      <c r="A71" s="5"/>
      <c r="D71" s="54" t="s">
        <v>3010</v>
      </c>
      <c r="E71" s="196"/>
      <c r="F71" s="197"/>
      <c r="G71" s="57">
        <v>465.65499999999997</v>
      </c>
      <c r="H71" s="63"/>
      <c r="I71" s="5"/>
    </row>
    <row r="72" spans="1:9" x14ac:dyDescent="0.2">
      <c r="A72" s="4" t="s">
        <v>44</v>
      </c>
      <c r="B72" s="13" t="s">
        <v>2894</v>
      </c>
      <c r="C72" s="13" t="s">
        <v>968</v>
      </c>
      <c r="D72" s="174" t="s">
        <v>1872</v>
      </c>
      <c r="E72" s="175"/>
      <c r="F72" s="13" t="s">
        <v>2853</v>
      </c>
      <c r="G72" s="82">
        <v>465.65499999999997</v>
      </c>
      <c r="H72" s="62">
        <v>0</v>
      </c>
      <c r="I72" s="5"/>
    </row>
    <row r="73" spans="1:9" ht="12.2" customHeight="1" x14ac:dyDescent="0.2">
      <c r="A73" s="5"/>
      <c r="D73" s="54" t="s">
        <v>3011</v>
      </c>
      <c r="E73" s="196"/>
      <c r="F73" s="197"/>
      <c r="G73" s="57">
        <v>465.65499999999997</v>
      </c>
      <c r="H73" s="63"/>
      <c r="I73" s="5"/>
    </row>
    <row r="74" spans="1:9" x14ac:dyDescent="0.2">
      <c r="A74" s="4" t="s">
        <v>45</v>
      </c>
      <c r="B74" s="13" t="s">
        <v>2894</v>
      </c>
      <c r="C74" s="13" t="s">
        <v>969</v>
      </c>
      <c r="D74" s="174" t="s">
        <v>1873</v>
      </c>
      <c r="E74" s="175"/>
      <c r="F74" s="13" t="s">
        <v>2853</v>
      </c>
      <c r="G74" s="82">
        <v>144.23099999999999</v>
      </c>
      <c r="H74" s="62">
        <v>0</v>
      </c>
      <c r="I74" s="5"/>
    </row>
    <row r="75" spans="1:9" ht="12.2" customHeight="1" x14ac:dyDescent="0.2">
      <c r="A75" s="5"/>
      <c r="D75" s="54" t="s">
        <v>3012</v>
      </c>
      <c r="E75" s="196"/>
      <c r="F75" s="197"/>
      <c r="G75" s="57">
        <v>144.23099999999999</v>
      </c>
      <c r="H75" s="63"/>
      <c r="I75" s="5"/>
    </row>
    <row r="76" spans="1:9" x14ac:dyDescent="0.2">
      <c r="A76" s="4" t="s">
        <v>46</v>
      </c>
      <c r="B76" s="13" t="s">
        <v>2894</v>
      </c>
      <c r="C76" s="13" t="s">
        <v>970</v>
      </c>
      <c r="D76" s="174" t="s">
        <v>1874</v>
      </c>
      <c r="E76" s="175"/>
      <c r="F76" s="13" t="s">
        <v>2853</v>
      </c>
      <c r="G76" s="82">
        <v>931.31</v>
      </c>
      <c r="H76" s="62">
        <v>0</v>
      </c>
      <c r="I76" s="5"/>
    </row>
    <row r="77" spans="1:9" ht="12.2" customHeight="1" x14ac:dyDescent="0.2">
      <c r="A77" s="5"/>
      <c r="D77" s="54" t="s">
        <v>3013</v>
      </c>
      <c r="E77" s="196"/>
      <c r="F77" s="197"/>
      <c r="G77" s="57">
        <v>931.31</v>
      </c>
      <c r="H77" s="63"/>
      <c r="I77" s="5"/>
    </row>
    <row r="78" spans="1:9" x14ac:dyDescent="0.2">
      <c r="A78" s="4" t="s">
        <v>47</v>
      </c>
      <c r="B78" s="13" t="s">
        <v>2894</v>
      </c>
      <c r="C78" s="13" t="s">
        <v>970</v>
      </c>
      <c r="D78" s="174" t="s">
        <v>1875</v>
      </c>
      <c r="E78" s="175"/>
      <c r="F78" s="13" t="s">
        <v>2853</v>
      </c>
      <c r="G78" s="82">
        <v>144.23099999999999</v>
      </c>
      <c r="H78" s="62">
        <v>0</v>
      </c>
      <c r="I78" s="5"/>
    </row>
    <row r="79" spans="1:9" ht="12.2" customHeight="1" x14ac:dyDescent="0.2">
      <c r="A79" s="5"/>
      <c r="D79" s="54" t="s">
        <v>3014</v>
      </c>
      <c r="E79" s="196"/>
      <c r="F79" s="197"/>
      <c r="G79" s="57">
        <v>144.23099999999999</v>
      </c>
      <c r="H79" s="63"/>
      <c r="I79" s="5"/>
    </row>
    <row r="80" spans="1:9" x14ac:dyDescent="0.2">
      <c r="A80" s="4" t="s">
        <v>48</v>
      </c>
      <c r="B80" s="13" t="s">
        <v>2895</v>
      </c>
      <c r="C80" s="13" t="s">
        <v>968</v>
      </c>
      <c r="D80" s="174" t="s">
        <v>2611</v>
      </c>
      <c r="E80" s="175"/>
      <c r="F80" s="13" t="s">
        <v>2853</v>
      </c>
      <c r="G80" s="82">
        <v>87.225999999999999</v>
      </c>
      <c r="H80" s="62">
        <v>0</v>
      </c>
      <c r="I80" s="5"/>
    </row>
    <row r="81" spans="1:9" ht="12.2" customHeight="1" x14ac:dyDescent="0.2">
      <c r="A81" s="5"/>
      <c r="D81" s="54" t="s">
        <v>3009</v>
      </c>
      <c r="E81" s="196"/>
      <c r="F81" s="197"/>
      <c r="G81" s="57">
        <v>87.225999999999999</v>
      </c>
      <c r="H81" s="63"/>
      <c r="I81" s="5"/>
    </row>
    <row r="82" spans="1:9" x14ac:dyDescent="0.2">
      <c r="A82" s="4" t="s">
        <v>49</v>
      </c>
      <c r="B82" s="13" t="s">
        <v>2895</v>
      </c>
      <c r="C82" s="13" t="s">
        <v>968</v>
      </c>
      <c r="D82" s="174" t="s">
        <v>2612</v>
      </c>
      <c r="E82" s="175"/>
      <c r="F82" s="13" t="s">
        <v>2853</v>
      </c>
      <c r="G82" s="82">
        <v>87.225999999999999</v>
      </c>
      <c r="H82" s="62">
        <v>0</v>
      </c>
      <c r="I82" s="5"/>
    </row>
    <row r="83" spans="1:9" ht="12.2" customHeight="1" x14ac:dyDescent="0.2">
      <c r="A83" s="5"/>
      <c r="D83" s="54" t="s">
        <v>3009</v>
      </c>
      <c r="E83" s="196"/>
      <c r="F83" s="197"/>
      <c r="G83" s="57">
        <v>87.225999999999999</v>
      </c>
      <c r="H83" s="63"/>
      <c r="I83" s="5"/>
    </row>
    <row r="84" spans="1:9" x14ac:dyDescent="0.2">
      <c r="A84" s="4" t="s">
        <v>50</v>
      </c>
      <c r="B84" s="13" t="s">
        <v>2895</v>
      </c>
      <c r="C84" s="13" t="s">
        <v>1617</v>
      </c>
      <c r="D84" s="174" t="s">
        <v>2613</v>
      </c>
      <c r="E84" s="175"/>
      <c r="F84" s="13" t="s">
        <v>2853</v>
      </c>
      <c r="G84" s="82">
        <v>87.225999999999999</v>
      </c>
      <c r="H84" s="62">
        <v>0</v>
      </c>
      <c r="I84" s="5"/>
    </row>
    <row r="85" spans="1:9" ht="12.2" customHeight="1" x14ac:dyDescent="0.2">
      <c r="A85" s="5"/>
      <c r="D85" s="54" t="s">
        <v>3009</v>
      </c>
      <c r="E85" s="196"/>
      <c r="F85" s="197"/>
      <c r="G85" s="57">
        <v>87.225999999999999</v>
      </c>
      <c r="H85" s="63"/>
      <c r="I85" s="5"/>
    </row>
    <row r="86" spans="1:9" x14ac:dyDescent="0.2">
      <c r="A86" s="4" t="s">
        <v>51</v>
      </c>
      <c r="B86" s="13" t="s">
        <v>2895</v>
      </c>
      <c r="C86" s="13" t="s">
        <v>1617</v>
      </c>
      <c r="D86" s="174" t="s">
        <v>2614</v>
      </c>
      <c r="E86" s="175"/>
      <c r="F86" s="13" t="s">
        <v>2853</v>
      </c>
      <c r="G86" s="82">
        <v>87.225999999999999</v>
      </c>
      <c r="H86" s="62">
        <v>0</v>
      </c>
      <c r="I86" s="5"/>
    </row>
    <row r="87" spans="1:9" ht="12.2" customHeight="1" x14ac:dyDescent="0.2">
      <c r="A87" s="5"/>
      <c r="D87" s="54" t="s">
        <v>3009</v>
      </c>
      <c r="E87" s="196"/>
      <c r="F87" s="197"/>
      <c r="G87" s="57">
        <v>87.225999999999999</v>
      </c>
      <c r="H87" s="63"/>
      <c r="I87" s="5"/>
    </row>
    <row r="88" spans="1:9" x14ac:dyDescent="0.2">
      <c r="A88" s="4" t="s">
        <v>52</v>
      </c>
      <c r="B88" s="13" t="s">
        <v>2894</v>
      </c>
      <c r="C88" s="13" t="s">
        <v>971</v>
      </c>
      <c r="D88" s="174" t="s">
        <v>1877</v>
      </c>
      <c r="E88" s="175"/>
      <c r="F88" s="13" t="s">
        <v>2853</v>
      </c>
      <c r="G88" s="82">
        <v>250</v>
      </c>
      <c r="H88" s="62">
        <v>0</v>
      </c>
      <c r="I88" s="5"/>
    </row>
    <row r="89" spans="1:9" ht="12.2" customHeight="1" x14ac:dyDescent="0.2">
      <c r="A89" s="5"/>
      <c r="D89" s="54" t="s">
        <v>3015</v>
      </c>
      <c r="E89" s="196"/>
      <c r="F89" s="197"/>
      <c r="G89" s="57">
        <v>250</v>
      </c>
      <c r="H89" s="63"/>
      <c r="I89" s="5"/>
    </row>
    <row r="90" spans="1:9" x14ac:dyDescent="0.2">
      <c r="A90" s="4" t="s">
        <v>53</v>
      </c>
      <c r="B90" s="13" t="s">
        <v>2894</v>
      </c>
      <c r="C90" s="13" t="s">
        <v>972</v>
      </c>
      <c r="D90" s="174" t="s">
        <v>1878</v>
      </c>
      <c r="E90" s="175"/>
      <c r="F90" s="13" t="s">
        <v>2853</v>
      </c>
      <c r="G90" s="82">
        <v>465.65499999999997</v>
      </c>
      <c r="H90" s="62">
        <v>0</v>
      </c>
      <c r="I90" s="5"/>
    </row>
    <row r="91" spans="1:9" ht="12.2" customHeight="1" x14ac:dyDescent="0.2">
      <c r="A91" s="5"/>
      <c r="D91" s="54" t="s">
        <v>3011</v>
      </c>
      <c r="E91" s="196"/>
      <c r="F91" s="197"/>
      <c r="G91" s="57">
        <v>465.65499999999997</v>
      </c>
      <c r="H91" s="63"/>
      <c r="I91" s="5"/>
    </row>
    <row r="92" spans="1:9" x14ac:dyDescent="0.2">
      <c r="A92" s="4" t="s">
        <v>54</v>
      </c>
      <c r="B92" s="13" t="s">
        <v>2894</v>
      </c>
      <c r="C92" s="13" t="s">
        <v>972</v>
      </c>
      <c r="D92" s="174" t="s">
        <v>1879</v>
      </c>
      <c r="E92" s="175"/>
      <c r="F92" s="13" t="s">
        <v>2853</v>
      </c>
      <c r="G92" s="82">
        <v>144.23099999999999</v>
      </c>
      <c r="H92" s="62">
        <v>0</v>
      </c>
      <c r="I92" s="5"/>
    </row>
    <row r="93" spans="1:9" ht="12.2" customHeight="1" x14ac:dyDescent="0.2">
      <c r="A93" s="5"/>
      <c r="D93" s="54" t="s">
        <v>3014</v>
      </c>
      <c r="E93" s="196"/>
      <c r="F93" s="197"/>
      <c r="G93" s="57">
        <v>144.23099999999999</v>
      </c>
      <c r="H93" s="63"/>
      <c r="I93" s="5"/>
    </row>
    <row r="94" spans="1:9" x14ac:dyDescent="0.2">
      <c r="A94" s="4" t="s">
        <v>55</v>
      </c>
      <c r="B94" s="13" t="s">
        <v>2894</v>
      </c>
      <c r="C94" s="13" t="s">
        <v>973</v>
      </c>
      <c r="D94" s="174" t="s">
        <v>1880</v>
      </c>
      <c r="E94" s="175"/>
      <c r="F94" s="13" t="s">
        <v>2853</v>
      </c>
      <c r="G94" s="82">
        <v>215.655</v>
      </c>
      <c r="H94" s="62">
        <v>0</v>
      </c>
      <c r="I94" s="5"/>
    </row>
    <row r="95" spans="1:9" ht="12.2" customHeight="1" x14ac:dyDescent="0.2">
      <c r="A95" s="5"/>
      <c r="D95" s="54" t="s">
        <v>3016</v>
      </c>
      <c r="E95" s="196"/>
      <c r="F95" s="197"/>
      <c r="G95" s="57">
        <v>73.221999999999994</v>
      </c>
      <c r="H95" s="63"/>
      <c r="I95" s="5"/>
    </row>
    <row r="96" spans="1:9" ht="12.2" customHeight="1" x14ac:dyDescent="0.2">
      <c r="A96" s="4"/>
      <c r="B96" s="13"/>
      <c r="C96" s="13"/>
      <c r="D96" s="54" t="s">
        <v>3017</v>
      </c>
      <c r="E96" s="196"/>
      <c r="F96" s="196"/>
      <c r="G96" s="83">
        <v>142.43299999999999</v>
      </c>
      <c r="H96" s="31"/>
      <c r="I96" s="5"/>
    </row>
    <row r="97" spans="1:9" x14ac:dyDescent="0.2">
      <c r="A97" s="4" t="s">
        <v>56</v>
      </c>
      <c r="B97" s="13" t="s">
        <v>2894</v>
      </c>
      <c r="C97" s="13" t="s">
        <v>974</v>
      </c>
      <c r="D97" s="174" t="s">
        <v>1881</v>
      </c>
      <c r="E97" s="175"/>
      <c r="F97" s="13" t="s">
        <v>2853</v>
      </c>
      <c r="G97" s="82">
        <v>144.23099999999999</v>
      </c>
      <c r="H97" s="62">
        <v>0</v>
      </c>
      <c r="I97" s="5"/>
    </row>
    <row r="98" spans="1:9" ht="12.2" customHeight="1" x14ac:dyDescent="0.2">
      <c r="A98" s="5"/>
      <c r="D98" s="54" t="s">
        <v>3014</v>
      </c>
      <c r="E98" s="196"/>
      <c r="F98" s="197"/>
      <c r="G98" s="57">
        <v>144.23099999999999</v>
      </c>
      <c r="H98" s="63"/>
      <c r="I98" s="5"/>
    </row>
    <row r="99" spans="1:9" x14ac:dyDescent="0.2">
      <c r="A99" s="4" t="s">
        <v>57</v>
      </c>
      <c r="B99" s="13" t="s">
        <v>2895</v>
      </c>
      <c r="C99" s="13" t="s">
        <v>972</v>
      </c>
      <c r="D99" s="174" t="s">
        <v>2615</v>
      </c>
      <c r="E99" s="175"/>
      <c r="F99" s="13" t="s">
        <v>2853</v>
      </c>
      <c r="G99" s="82">
        <v>87.225999999999999</v>
      </c>
      <c r="H99" s="62">
        <v>0</v>
      </c>
      <c r="I99" s="5"/>
    </row>
    <row r="100" spans="1:9" ht="12.2" customHeight="1" x14ac:dyDescent="0.2">
      <c r="A100" s="5"/>
      <c r="D100" s="54" t="s">
        <v>3009</v>
      </c>
      <c r="E100" s="196"/>
      <c r="F100" s="197"/>
      <c r="G100" s="57">
        <v>87.225999999999999</v>
      </c>
      <c r="H100" s="63"/>
      <c r="I100" s="5"/>
    </row>
    <row r="101" spans="1:9" x14ac:dyDescent="0.2">
      <c r="A101" s="4" t="s">
        <v>58</v>
      </c>
      <c r="B101" s="13" t="s">
        <v>2895</v>
      </c>
      <c r="C101" s="13" t="s">
        <v>973</v>
      </c>
      <c r="D101" s="174" t="s">
        <v>2616</v>
      </c>
      <c r="E101" s="175"/>
      <c r="F101" s="13" t="s">
        <v>2853</v>
      </c>
      <c r="G101" s="82">
        <v>108.52</v>
      </c>
      <c r="H101" s="62">
        <v>0</v>
      </c>
      <c r="I101" s="5"/>
    </row>
    <row r="102" spans="1:9" ht="12.2" customHeight="1" x14ac:dyDescent="0.2">
      <c r="A102" s="5"/>
      <c r="D102" s="54" t="s">
        <v>3018</v>
      </c>
      <c r="E102" s="196"/>
      <c r="F102" s="197"/>
      <c r="G102" s="57">
        <v>108.52</v>
      </c>
      <c r="H102" s="63"/>
      <c r="I102" s="5"/>
    </row>
    <row r="103" spans="1:9" x14ac:dyDescent="0.2">
      <c r="A103" s="4" t="s">
        <v>59</v>
      </c>
      <c r="B103" s="13" t="s">
        <v>2895</v>
      </c>
      <c r="C103" s="13" t="s">
        <v>1618</v>
      </c>
      <c r="D103" s="174" t="s">
        <v>2617</v>
      </c>
      <c r="E103" s="175"/>
      <c r="F103" s="13" t="s">
        <v>2854</v>
      </c>
      <c r="G103" s="82">
        <v>43.2</v>
      </c>
      <c r="H103" s="62">
        <v>0</v>
      </c>
      <c r="I103" s="5"/>
    </row>
    <row r="104" spans="1:9" ht="12.2" customHeight="1" x14ac:dyDescent="0.2">
      <c r="A104" s="5"/>
      <c r="D104" s="54" t="s">
        <v>3019</v>
      </c>
      <c r="E104" s="196"/>
      <c r="F104" s="197"/>
      <c r="G104" s="57">
        <v>43.2</v>
      </c>
      <c r="H104" s="63"/>
      <c r="I104" s="5"/>
    </row>
    <row r="105" spans="1:9" x14ac:dyDescent="0.2">
      <c r="A105" s="4" t="s">
        <v>60</v>
      </c>
      <c r="B105" s="13" t="s">
        <v>2895</v>
      </c>
      <c r="C105" s="13" t="s">
        <v>1619</v>
      </c>
      <c r="D105" s="174" t="s">
        <v>2618</v>
      </c>
      <c r="E105" s="175"/>
      <c r="F105" s="13" t="s">
        <v>2854</v>
      </c>
      <c r="G105" s="82">
        <v>43.2</v>
      </c>
      <c r="H105" s="62">
        <v>0</v>
      </c>
      <c r="I105" s="5"/>
    </row>
    <row r="106" spans="1:9" ht="12.2" customHeight="1" x14ac:dyDescent="0.2">
      <c r="A106" s="5"/>
      <c r="D106" s="54" t="s">
        <v>3020</v>
      </c>
      <c r="E106" s="196"/>
      <c r="F106" s="197"/>
      <c r="G106" s="57">
        <v>43.2</v>
      </c>
      <c r="H106" s="63"/>
      <c r="I106" s="5"/>
    </row>
    <row r="107" spans="1:9" x14ac:dyDescent="0.2">
      <c r="A107" s="4" t="s">
        <v>61</v>
      </c>
      <c r="B107" s="13" t="s">
        <v>2895</v>
      </c>
      <c r="C107" s="13" t="s">
        <v>1620</v>
      </c>
      <c r="D107" s="174" t="s">
        <v>2619</v>
      </c>
      <c r="E107" s="175"/>
      <c r="F107" s="13" t="s">
        <v>2854</v>
      </c>
      <c r="G107" s="82">
        <v>40</v>
      </c>
      <c r="H107" s="62">
        <v>0</v>
      </c>
      <c r="I107" s="5"/>
    </row>
    <row r="108" spans="1:9" ht="12.2" customHeight="1" x14ac:dyDescent="0.2">
      <c r="A108" s="5"/>
      <c r="D108" s="54" t="s">
        <v>46</v>
      </c>
      <c r="E108" s="196"/>
      <c r="F108" s="197"/>
      <c r="G108" s="57">
        <v>40</v>
      </c>
      <c r="H108" s="63"/>
      <c r="I108" s="5"/>
    </row>
    <row r="109" spans="1:9" x14ac:dyDescent="0.2">
      <c r="A109" s="4" t="s">
        <v>62</v>
      </c>
      <c r="B109" s="13" t="s">
        <v>2894</v>
      </c>
      <c r="C109" s="13" t="s">
        <v>975</v>
      </c>
      <c r="D109" s="174" t="s">
        <v>1883</v>
      </c>
      <c r="E109" s="175"/>
      <c r="F109" s="13" t="s">
        <v>2854</v>
      </c>
      <c r="G109" s="82">
        <v>500</v>
      </c>
      <c r="H109" s="62">
        <v>0</v>
      </c>
      <c r="I109" s="5"/>
    </row>
    <row r="110" spans="1:9" ht="12.2" customHeight="1" x14ac:dyDescent="0.2">
      <c r="A110" s="5"/>
      <c r="D110" s="54" t="s">
        <v>506</v>
      </c>
      <c r="E110" s="196"/>
      <c r="F110" s="197"/>
      <c r="G110" s="57">
        <v>500</v>
      </c>
      <c r="H110" s="63"/>
      <c r="I110" s="5"/>
    </row>
    <row r="111" spans="1:9" x14ac:dyDescent="0.2">
      <c r="A111" s="4" t="s">
        <v>63</v>
      </c>
      <c r="B111" s="13" t="s">
        <v>2894</v>
      </c>
      <c r="C111" s="13" t="s">
        <v>976</v>
      </c>
      <c r="D111" s="174" t="s">
        <v>1884</v>
      </c>
      <c r="E111" s="175"/>
      <c r="F111" s="13" t="s">
        <v>2854</v>
      </c>
      <c r="G111" s="82">
        <v>500</v>
      </c>
      <c r="H111" s="62">
        <v>0</v>
      </c>
      <c r="I111" s="5"/>
    </row>
    <row r="112" spans="1:9" ht="12.2" customHeight="1" x14ac:dyDescent="0.2">
      <c r="A112" s="5"/>
      <c r="D112" s="54" t="s">
        <v>506</v>
      </c>
      <c r="E112" s="196"/>
      <c r="F112" s="197"/>
      <c r="G112" s="57">
        <v>500</v>
      </c>
      <c r="H112" s="63"/>
      <c r="I112" s="5"/>
    </row>
    <row r="113" spans="1:9" x14ac:dyDescent="0.2">
      <c r="A113" s="4" t="s">
        <v>64</v>
      </c>
      <c r="B113" s="13" t="s">
        <v>2894</v>
      </c>
      <c r="C113" s="13" t="s">
        <v>977</v>
      </c>
      <c r="D113" s="174" t="s">
        <v>1885</v>
      </c>
      <c r="E113" s="175"/>
      <c r="F113" s="13" t="s">
        <v>2854</v>
      </c>
      <c r="G113" s="82">
        <v>39.39</v>
      </c>
      <c r="H113" s="62">
        <v>0</v>
      </c>
      <c r="I113" s="5"/>
    </row>
    <row r="114" spans="1:9" ht="12.2" customHeight="1" x14ac:dyDescent="0.2">
      <c r="A114" s="5"/>
      <c r="D114" s="54" t="s">
        <v>3021</v>
      </c>
      <c r="E114" s="196"/>
      <c r="F114" s="197"/>
      <c r="G114" s="57">
        <v>39.39</v>
      </c>
      <c r="H114" s="63"/>
      <c r="I114" s="5"/>
    </row>
    <row r="115" spans="1:9" x14ac:dyDescent="0.2">
      <c r="A115" s="4" t="s">
        <v>65</v>
      </c>
      <c r="B115" s="13" t="s">
        <v>2894</v>
      </c>
      <c r="C115" s="13" t="s">
        <v>978</v>
      </c>
      <c r="D115" s="174" t="s">
        <v>1887</v>
      </c>
      <c r="E115" s="175"/>
      <c r="F115" s="13" t="s">
        <v>2855</v>
      </c>
      <c r="G115" s="82">
        <v>33.25</v>
      </c>
      <c r="H115" s="62">
        <v>0</v>
      </c>
      <c r="I115" s="5"/>
    </row>
    <row r="116" spans="1:9" ht="12.2" customHeight="1" x14ac:dyDescent="0.2">
      <c r="A116" s="5"/>
      <c r="D116" s="54" t="s">
        <v>3022</v>
      </c>
      <c r="E116" s="196"/>
      <c r="F116" s="197"/>
      <c r="G116" s="57">
        <v>33.25</v>
      </c>
      <c r="H116" s="63"/>
      <c r="I116" s="5"/>
    </row>
    <row r="117" spans="1:9" x14ac:dyDescent="0.2">
      <c r="A117" s="4" t="s">
        <v>66</v>
      </c>
      <c r="B117" s="13" t="s">
        <v>2894</v>
      </c>
      <c r="C117" s="13" t="s">
        <v>979</v>
      </c>
      <c r="D117" s="174" t="s">
        <v>1889</v>
      </c>
      <c r="E117" s="175"/>
      <c r="F117" s="13" t="s">
        <v>2853</v>
      </c>
      <c r="G117" s="82">
        <v>72.875</v>
      </c>
      <c r="H117" s="62">
        <v>0</v>
      </c>
      <c r="I117" s="5"/>
    </row>
    <row r="118" spans="1:9" ht="12.2" customHeight="1" x14ac:dyDescent="0.2">
      <c r="A118" s="5"/>
      <c r="D118" s="54" t="s">
        <v>3023</v>
      </c>
      <c r="E118" s="196"/>
      <c r="F118" s="197"/>
      <c r="G118" s="57">
        <v>72.875</v>
      </c>
      <c r="H118" s="63"/>
      <c r="I118" s="5"/>
    </row>
    <row r="119" spans="1:9" x14ac:dyDescent="0.2">
      <c r="A119" s="4" t="s">
        <v>67</v>
      </c>
      <c r="B119" s="13" t="s">
        <v>2894</v>
      </c>
      <c r="C119" s="13" t="s">
        <v>980</v>
      </c>
      <c r="D119" s="174" t="s">
        <v>1890</v>
      </c>
      <c r="E119" s="175"/>
      <c r="F119" s="13" t="s">
        <v>2853</v>
      </c>
      <c r="G119" s="82">
        <v>10</v>
      </c>
      <c r="H119" s="62">
        <v>0</v>
      </c>
      <c r="I119" s="5"/>
    </row>
    <row r="120" spans="1:9" ht="12.2" customHeight="1" x14ac:dyDescent="0.2">
      <c r="A120" s="5"/>
      <c r="D120" s="54" t="s">
        <v>16</v>
      </c>
      <c r="E120" s="196"/>
      <c r="F120" s="197"/>
      <c r="G120" s="57">
        <v>10</v>
      </c>
      <c r="H120" s="63"/>
      <c r="I120" s="5"/>
    </row>
    <row r="121" spans="1:9" x14ac:dyDescent="0.2">
      <c r="A121" s="4" t="s">
        <v>68</v>
      </c>
      <c r="B121" s="13" t="s">
        <v>2894</v>
      </c>
      <c r="C121" s="13" t="s">
        <v>981</v>
      </c>
      <c r="D121" s="174" t="s">
        <v>1891</v>
      </c>
      <c r="E121" s="175"/>
      <c r="F121" s="13" t="s">
        <v>2854</v>
      </c>
      <c r="G121" s="82">
        <v>124.605</v>
      </c>
      <c r="H121" s="62">
        <v>0</v>
      </c>
      <c r="I121" s="5"/>
    </row>
    <row r="122" spans="1:9" ht="12.2" customHeight="1" x14ac:dyDescent="0.2">
      <c r="A122" s="5"/>
      <c r="D122" s="54" t="s">
        <v>3024</v>
      </c>
      <c r="E122" s="196"/>
      <c r="F122" s="197"/>
      <c r="G122" s="57">
        <v>124.605</v>
      </c>
      <c r="H122" s="63"/>
      <c r="I122" s="5"/>
    </row>
    <row r="123" spans="1:9" x14ac:dyDescent="0.2">
      <c r="A123" s="4" t="s">
        <v>69</v>
      </c>
      <c r="B123" s="13" t="s">
        <v>2894</v>
      </c>
      <c r="C123" s="13" t="s">
        <v>982</v>
      </c>
      <c r="D123" s="174" t="s">
        <v>1892</v>
      </c>
      <c r="E123" s="175"/>
      <c r="F123" s="13" t="s">
        <v>2854</v>
      </c>
      <c r="G123" s="82">
        <v>124.605</v>
      </c>
      <c r="H123" s="62">
        <v>0</v>
      </c>
      <c r="I123" s="5"/>
    </row>
    <row r="124" spans="1:9" ht="12.2" customHeight="1" x14ac:dyDescent="0.2">
      <c r="A124" s="5"/>
      <c r="D124" s="54" t="s">
        <v>3024</v>
      </c>
      <c r="E124" s="196"/>
      <c r="F124" s="197"/>
      <c r="G124" s="57">
        <v>124.605</v>
      </c>
      <c r="H124" s="63"/>
      <c r="I124" s="5"/>
    </row>
    <row r="125" spans="1:9" x14ac:dyDescent="0.2">
      <c r="A125" s="4" t="s">
        <v>70</v>
      </c>
      <c r="B125" s="13" t="s">
        <v>2894</v>
      </c>
      <c r="C125" s="13" t="s">
        <v>983</v>
      </c>
      <c r="D125" s="174" t="s">
        <v>1893</v>
      </c>
      <c r="E125" s="175"/>
      <c r="F125" s="13" t="s">
        <v>2856</v>
      </c>
      <c r="G125" s="82">
        <v>6.556</v>
      </c>
      <c r="H125" s="62">
        <v>0</v>
      </c>
      <c r="I125" s="5"/>
    </row>
    <row r="126" spans="1:9" ht="12.2" customHeight="1" x14ac:dyDescent="0.2">
      <c r="A126" s="5"/>
      <c r="D126" s="54" t="s">
        <v>3025</v>
      </c>
      <c r="E126" s="196"/>
      <c r="F126" s="197"/>
      <c r="G126" s="57">
        <v>6.556</v>
      </c>
      <c r="H126" s="63"/>
      <c r="I126" s="5"/>
    </row>
    <row r="127" spans="1:9" x14ac:dyDescent="0.2">
      <c r="A127" s="4" t="s">
        <v>71</v>
      </c>
      <c r="B127" s="13" t="s">
        <v>2894</v>
      </c>
      <c r="C127" s="13" t="s">
        <v>984</v>
      </c>
      <c r="D127" s="174" t="s">
        <v>1894</v>
      </c>
      <c r="E127" s="175"/>
      <c r="F127" s="13" t="s">
        <v>2852</v>
      </c>
      <c r="G127" s="82">
        <v>14</v>
      </c>
      <c r="H127" s="62">
        <v>0</v>
      </c>
      <c r="I127" s="5"/>
    </row>
    <row r="128" spans="1:9" ht="12.2" customHeight="1" x14ac:dyDescent="0.2">
      <c r="A128" s="5"/>
      <c r="D128" s="54" t="s">
        <v>20</v>
      </c>
      <c r="E128" s="196"/>
      <c r="F128" s="197"/>
      <c r="G128" s="57">
        <v>14</v>
      </c>
      <c r="H128" s="63"/>
      <c r="I128" s="5"/>
    </row>
    <row r="129" spans="1:9" x14ac:dyDescent="0.2">
      <c r="A129" s="4" t="s">
        <v>72</v>
      </c>
      <c r="B129" s="13" t="s">
        <v>2894</v>
      </c>
      <c r="C129" s="13" t="s">
        <v>985</v>
      </c>
      <c r="D129" s="174" t="s">
        <v>1895</v>
      </c>
      <c r="E129" s="175"/>
      <c r="F129" s="13" t="s">
        <v>2854</v>
      </c>
      <c r="G129" s="82">
        <v>302.34899999999999</v>
      </c>
      <c r="H129" s="62">
        <v>0</v>
      </c>
      <c r="I129" s="5"/>
    </row>
    <row r="130" spans="1:9" ht="12.2" customHeight="1" x14ac:dyDescent="0.2">
      <c r="A130" s="5"/>
      <c r="D130" s="54" t="s">
        <v>3026</v>
      </c>
      <c r="E130" s="196"/>
      <c r="F130" s="197"/>
      <c r="G130" s="57">
        <v>154.68</v>
      </c>
      <c r="H130" s="63"/>
      <c r="I130" s="5"/>
    </row>
    <row r="131" spans="1:9" ht="12.2" customHeight="1" x14ac:dyDescent="0.2">
      <c r="A131" s="4"/>
      <c r="B131" s="13"/>
      <c r="C131" s="13"/>
      <c r="D131" s="54" t="s">
        <v>3027</v>
      </c>
      <c r="E131" s="196"/>
      <c r="F131" s="196"/>
      <c r="G131" s="83">
        <v>147.66900000000001</v>
      </c>
      <c r="H131" s="31"/>
      <c r="I131" s="5"/>
    </row>
    <row r="132" spans="1:9" x14ac:dyDescent="0.2">
      <c r="A132" s="4" t="s">
        <v>73</v>
      </c>
      <c r="B132" s="13" t="s">
        <v>2894</v>
      </c>
      <c r="C132" s="13" t="s">
        <v>986</v>
      </c>
      <c r="D132" s="174" t="s">
        <v>1896</v>
      </c>
      <c r="E132" s="175"/>
      <c r="F132" s="13" t="s">
        <v>2853</v>
      </c>
      <c r="G132" s="82">
        <v>67.176000000000002</v>
      </c>
      <c r="H132" s="62">
        <v>0</v>
      </c>
      <c r="I132" s="5"/>
    </row>
    <row r="133" spans="1:9" ht="12.2" customHeight="1" x14ac:dyDescent="0.2">
      <c r="A133" s="5"/>
      <c r="D133" s="54" t="s">
        <v>3028</v>
      </c>
      <c r="E133" s="196"/>
      <c r="F133" s="197"/>
      <c r="G133" s="57">
        <v>5.6449999999999996</v>
      </c>
      <c r="H133" s="63"/>
      <c r="I133" s="5"/>
    </row>
    <row r="134" spans="1:9" ht="12.2" customHeight="1" x14ac:dyDescent="0.2">
      <c r="A134" s="4"/>
      <c r="B134" s="13"/>
      <c r="C134" s="13"/>
      <c r="D134" s="54" t="s">
        <v>3029</v>
      </c>
      <c r="E134" s="196"/>
      <c r="F134" s="196"/>
      <c r="G134" s="83">
        <v>30.044</v>
      </c>
      <c r="H134" s="31"/>
      <c r="I134" s="5"/>
    </row>
    <row r="135" spans="1:9" ht="12.2" customHeight="1" x14ac:dyDescent="0.2">
      <c r="A135" s="4"/>
      <c r="B135" s="13"/>
      <c r="C135" s="13"/>
      <c r="D135" s="54" t="s">
        <v>3030</v>
      </c>
      <c r="E135" s="196"/>
      <c r="F135" s="196"/>
      <c r="G135" s="83">
        <v>31.486999999999998</v>
      </c>
      <c r="H135" s="31"/>
      <c r="I135" s="5"/>
    </row>
    <row r="136" spans="1:9" x14ac:dyDescent="0.2">
      <c r="A136" s="4" t="s">
        <v>74</v>
      </c>
      <c r="B136" s="13" t="s">
        <v>2894</v>
      </c>
      <c r="C136" s="13" t="s">
        <v>987</v>
      </c>
      <c r="D136" s="174" t="s">
        <v>1897</v>
      </c>
      <c r="E136" s="175"/>
      <c r="F136" s="13" t="s">
        <v>2853</v>
      </c>
      <c r="G136" s="82">
        <v>72.875</v>
      </c>
      <c r="H136" s="62">
        <v>0</v>
      </c>
      <c r="I136" s="5"/>
    </row>
    <row r="137" spans="1:9" ht="12.2" customHeight="1" x14ac:dyDescent="0.2">
      <c r="A137" s="5"/>
      <c r="D137" s="54" t="s">
        <v>3023</v>
      </c>
      <c r="E137" s="196"/>
      <c r="F137" s="197"/>
      <c r="G137" s="57">
        <v>72.875</v>
      </c>
      <c r="H137" s="63"/>
      <c r="I137" s="5"/>
    </row>
    <row r="138" spans="1:9" x14ac:dyDescent="0.2">
      <c r="A138" s="4" t="s">
        <v>75</v>
      </c>
      <c r="B138" s="13" t="s">
        <v>2894</v>
      </c>
      <c r="C138" s="13" t="s">
        <v>988</v>
      </c>
      <c r="D138" s="174" t="s">
        <v>1898</v>
      </c>
      <c r="E138" s="175"/>
      <c r="F138" s="13" t="s">
        <v>2853</v>
      </c>
      <c r="G138" s="82">
        <v>9.2880000000000003</v>
      </c>
      <c r="H138" s="62">
        <v>0</v>
      </c>
      <c r="I138" s="5"/>
    </row>
    <row r="139" spans="1:9" ht="12.2" customHeight="1" x14ac:dyDescent="0.2">
      <c r="A139" s="5"/>
      <c r="D139" s="54" t="s">
        <v>3031</v>
      </c>
      <c r="E139" s="196"/>
      <c r="F139" s="197"/>
      <c r="G139" s="57">
        <v>6.5990000000000002</v>
      </c>
      <c r="H139" s="63"/>
      <c r="I139" s="5"/>
    </row>
    <row r="140" spans="1:9" ht="12.2" customHeight="1" x14ac:dyDescent="0.2">
      <c r="A140" s="4"/>
      <c r="B140" s="13"/>
      <c r="C140" s="13"/>
      <c r="D140" s="54" t="s">
        <v>3032</v>
      </c>
      <c r="E140" s="196"/>
      <c r="F140" s="196"/>
      <c r="G140" s="83">
        <v>2.6890000000000001</v>
      </c>
      <c r="H140" s="31"/>
      <c r="I140" s="5"/>
    </row>
    <row r="141" spans="1:9" x14ac:dyDescent="0.2">
      <c r="A141" s="4" t="s">
        <v>76</v>
      </c>
      <c r="B141" s="13" t="s">
        <v>2894</v>
      </c>
      <c r="C141" s="13" t="s">
        <v>989</v>
      </c>
      <c r="D141" s="174" t="s">
        <v>1899</v>
      </c>
      <c r="E141" s="175"/>
      <c r="F141" s="13" t="s">
        <v>2852</v>
      </c>
      <c r="G141" s="82">
        <v>2</v>
      </c>
      <c r="H141" s="62">
        <v>0</v>
      </c>
      <c r="I141" s="5"/>
    </row>
    <row r="142" spans="1:9" ht="12.2" customHeight="1" x14ac:dyDescent="0.2">
      <c r="A142" s="5"/>
      <c r="D142" s="54" t="s">
        <v>8</v>
      </c>
      <c r="E142" s="196"/>
      <c r="F142" s="197"/>
      <c r="G142" s="57">
        <v>2</v>
      </c>
      <c r="H142" s="63"/>
      <c r="I142" s="5"/>
    </row>
    <row r="143" spans="1:9" x14ac:dyDescent="0.2">
      <c r="A143" s="4" t="s">
        <v>77</v>
      </c>
      <c r="B143" s="13" t="s">
        <v>2894</v>
      </c>
      <c r="C143" s="13" t="s">
        <v>990</v>
      </c>
      <c r="D143" s="174" t="s">
        <v>1900</v>
      </c>
      <c r="E143" s="175"/>
      <c r="F143" s="13" t="s">
        <v>2852</v>
      </c>
      <c r="G143" s="82">
        <v>2</v>
      </c>
      <c r="H143" s="62">
        <v>0</v>
      </c>
      <c r="I143" s="5"/>
    </row>
    <row r="144" spans="1:9" ht="12.2" customHeight="1" x14ac:dyDescent="0.2">
      <c r="A144" s="5"/>
      <c r="D144" s="54" t="s">
        <v>8</v>
      </c>
      <c r="E144" s="196"/>
      <c r="F144" s="197"/>
      <c r="G144" s="57">
        <v>2</v>
      </c>
      <c r="H144" s="63"/>
      <c r="I144" s="5"/>
    </row>
    <row r="145" spans="1:9" x14ac:dyDescent="0.2">
      <c r="A145" s="4" t="s">
        <v>78</v>
      </c>
      <c r="B145" s="13" t="s">
        <v>2894</v>
      </c>
      <c r="C145" s="13" t="s">
        <v>991</v>
      </c>
      <c r="D145" s="174" t="s">
        <v>1901</v>
      </c>
      <c r="E145" s="175"/>
      <c r="F145" s="13" t="s">
        <v>2852</v>
      </c>
      <c r="G145" s="82">
        <v>1</v>
      </c>
      <c r="H145" s="62">
        <v>0</v>
      </c>
      <c r="I145" s="5"/>
    </row>
    <row r="146" spans="1:9" ht="12.2" customHeight="1" x14ac:dyDescent="0.2">
      <c r="A146" s="5"/>
      <c r="D146" s="54" t="s">
        <v>7</v>
      </c>
      <c r="E146" s="196"/>
      <c r="F146" s="197"/>
      <c r="G146" s="57">
        <v>1</v>
      </c>
      <c r="H146" s="63"/>
      <c r="I146" s="5"/>
    </row>
    <row r="147" spans="1:9" x14ac:dyDescent="0.2">
      <c r="A147" s="4" t="s">
        <v>79</v>
      </c>
      <c r="B147" s="13" t="s">
        <v>2894</v>
      </c>
      <c r="C147" s="13" t="s">
        <v>992</v>
      </c>
      <c r="D147" s="174" t="s">
        <v>1902</v>
      </c>
      <c r="E147" s="175"/>
      <c r="F147" s="13" t="s">
        <v>2852</v>
      </c>
      <c r="G147" s="82">
        <v>4</v>
      </c>
      <c r="H147" s="62">
        <v>0</v>
      </c>
      <c r="I147" s="5"/>
    </row>
    <row r="148" spans="1:9" ht="12.2" customHeight="1" x14ac:dyDescent="0.2">
      <c r="A148" s="5"/>
      <c r="D148" s="54" t="s">
        <v>3033</v>
      </c>
      <c r="E148" s="196"/>
      <c r="F148" s="197"/>
      <c r="G148" s="57">
        <v>4</v>
      </c>
      <c r="H148" s="63"/>
      <c r="I148" s="5"/>
    </row>
    <row r="149" spans="1:9" x14ac:dyDescent="0.2">
      <c r="A149" s="4" t="s">
        <v>80</v>
      </c>
      <c r="B149" s="13" t="s">
        <v>2894</v>
      </c>
      <c r="C149" s="13" t="s">
        <v>993</v>
      </c>
      <c r="D149" s="174" t="s">
        <v>1903</v>
      </c>
      <c r="E149" s="175"/>
      <c r="F149" s="13" t="s">
        <v>2852</v>
      </c>
      <c r="G149" s="82">
        <v>1</v>
      </c>
      <c r="H149" s="62">
        <v>0</v>
      </c>
      <c r="I149" s="5"/>
    </row>
    <row r="150" spans="1:9" ht="12.2" customHeight="1" x14ac:dyDescent="0.2">
      <c r="A150" s="5"/>
      <c r="D150" s="54" t="s">
        <v>7</v>
      </c>
      <c r="E150" s="196"/>
      <c r="F150" s="197"/>
      <c r="G150" s="57">
        <v>1</v>
      </c>
      <c r="H150" s="63"/>
      <c r="I150" s="5"/>
    </row>
    <row r="151" spans="1:9" x14ac:dyDescent="0.2">
      <c r="A151" s="4" t="s">
        <v>81</v>
      </c>
      <c r="B151" s="13" t="s">
        <v>2894</v>
      </c>
      <c r="C151" s="13" t="s">
        <v>994</v>
      </c>
      <c r="D151" s="174" t="s">
        <v>1904</v>
      </c>
      <c r="E151" s="175"/>
      <c r="F151" s="13" t="s">
        <v>2852</v>
      </c>
      <c r="G151" s="82">
        <v>1</v>
      </c>
      <c r="H151" s="62">
        <v>0</v>
      </c>
      <c r="I151" s="5"/>
    </row>
    <row r="152" spans="1:9" ht="12.2" customHeight="1" x14ac:dyDescent="0.2">
      <c r="A152" s="5"/>
      <c r="D152" s="54" t="s">
        <v>7</v>
      </c>
      <c r="E152" s="196"/>
      <c r="F152" s="197"/>
      <c r="G152" s="57">
        <v>1</v>
      </c>
      <c r="H152" s="63"/>
      <c r="I152" s="5"/>
    </row>
    <row r="153" spans="1:9" x14ac:dyDescent="0.2">
      <c r="A153" s="4" t="s">
        <v>82</v>
      </c>
      <c r="B153" s="13" t="s">
        <v>2894</v>
      </c>
      <c r="C153" s="13" t="s">
        <v>995</v>
      </c>
      <c r="D153" s="174" t="s">
        <v>1905</v>
      </c>
      <c r="E153" s="175"/>
      <c r="F153" s="13" t="s">
        <v>2856</v>
      </c>
      <c r="G153" s="82">
        <v>5.4269999999999996</v>
      </c>
      <c r="H153" s="62">
        <v>0</v>
      </c>
      <c r="I153" s="5"/>
    </row>
    <row r="154" spans="1:9" ht="12.2" customHeight="1" x14ac:dyDescent="0.2">
      <c r="A154" s="5"/>
      <c r="D154" s="54" t="s">
        <v>3034</v>
      </c>
      <c r="E154" s="196"/>
      <c r="F154" s="197"/>
      <c r="G154" s="57">
        <v>5.4269999999999996</v>
      </c>
      <c r="H154" s="63"/>
      <c r="I154" s="5"/>
    </row>
    <row r="155" spans="1:9" x14ac:dyDescent="0.2">
      <c r="A155" s="4" t="s">
        <v>83</v>
      </c>
      <c r="B155" s="13" t="s">
        <v>2894</v>
      </c>
      <c r="C155" s="13" t="s">
        <v>996</v>
      </c>
      <c r="D155" s="174" t="s">
        <v>1906</v>
      </c>
      <c r="E155" s="175"/>
      <c r="F155" s="13" t="s">
        <v>2856</v>
      </c>
      <c r="G155" s="82">
        <v>0.216</v>
      </c>
      <c r="H155" s="62">
        <v>0</v>
      </c>
      <c r="I155" s="5"/>
    </row>
    <row r="156" spans="1:9" ht="12.2" customHeight="1" x14ac:dyDescent="0.2">
      <c r="A156" s="5"/>
      <c r="D156" s="54" t="s">
        <v>3035</v>
      </c>
      <c r="E156" s="196"/>
      <c r="F156" s="197"/>
      <c r="G156" s="57">
        <v>0.125</v>
      </c>
      <c r="H156" s="63"/>
      <c r="I156" s="5"/>
    </row>
    <row r="157" spans="1:9" ht="12.2" customHeight="1" x14ac:dyDescent="0.2">
      <c r="A157" s="4"/>
      <c r="B157" s="13"/>
      <c r="C157" s="13"/>
      <c r="D157" s="54" t="s">
        <v>3036</v>
      </c>
      <c r="E157" s="196"/>
      <c r="F157" s="196"/>
      <c r="G157" s="83">
        <v>4.9000000000000002E-2</v>
      </c>
      <c r="H157" s="31"/>
      <c r="I157" s="5"/>
    </row>
    <row r="158" spans="1:9" ht="12.2" customHeight="1" x14ac:dyDescent="0.2">
      <c r="A158" s="4"/>
      <c r="B158" s="13"/>
      <c r="C158" s="13"/>
      <c r="D158" s="54" t="s">
        <v>3037</v>
      </c>
      <c r="E158" s="196"/>
      <c r="F158" s="196"/>
      <c r="G158" s="83">
        <v>4.2000000000000003E-2</v>
      </c>
      <c r="H158" s="31"/>
      <c r="I158" s="5"/>
    </row>
    <row r="159" spans="1:9" x14ac:dyDescent="0.2">
      <c r="A159" s="4" t="s">
        <v>84</v>
      </c>
      <c r="B159" s="13" t="s">
        <v>2894</v>
      </c>
      <c r="C159" s="13" t="s">
        <v>997</v>
      </c>
      <c r="D159" s="174" t="s">
        <v>1908</v>
      </c>
      <c r="E159" s="175"/>
      <c r="F159" s="13" t="s">
        <v>2855</v>
      </c>
      <c r="G159" s="82">
        <v>0.79500000000000004</v>
      </c>
      <c r="H159" s="62">
        <v>0</v>
      </c>
      <c r="I159" s="5"/>
    </row>
    <row r="160" spans="1:9" ht="12.2" customHeight="1" x14ac:dyDescent="0.2">
      <c r="A160" s="5"/>
      <c r="D160" s="54" t="s">
        <v>3038</v>
      </c>
      <c r="E160" s="196"/>
      <c r="F160" s="197"/>
      <c r="G160" s="57">
        <v>0.79500000000000004</v>
      </c>
      <c r="H160" s="63"/>
      <c r="I160" s="5"/>
    </row>
    <row r="161" spans="1:9" x14ac:dyDescent="0.2">
      <c r="A161" s="4" t="s">
        <v>85</v>
      </c>
      <c r="B161" s="13" t="s">
        <v>2894</v>
      </c>
      <c r="C161" s="13" t="s">
        <v>998</v>
      </c>
      <c r="D161" s="174" t="s">
        <v>1909</v>
      </c>
      <c r="E161" s="175"/>
      <c r="F161" s="13" t="s">
        <v>2855</v>
      </c>
      <c r="G161" s="82">
        <v>0.3</v>
      </c>
      <c r="H161" s="62">
        <v>0</v>
      </c>
      <c r="I161" s="5"/>
    </row>
    <row r="162" spans="1:9" ht="12.2" customHeight="1" x14ac:dyDescent="0.2">
      <c r="A162" s="5"/>
      <c r="D162" s="54" t="s">
        <v>3039</v>
      </c>
      <c r="E162" s="196"/>
      <c r="F162" s="197"/>
      <c r="G162" s="57">
        <v>0.3</v>
      </c>
      <c r="H162" s="63"/>
      <c r="I162" s="5"/>
    </row>
    <row r="163" spans="1:9" x14ac:dyDescent="0.2">
      <c r="A163" s="4" t="s">
        <v>86</v>
      </c>
      <c r="B163" s="13" t="s">
        <v>2894</v>
      </c>
      <c r="C163" s="13" t="s">
        <v>999</v>
      </c>
      <c r="D163" s="174" t="s">
        <v>1910</v>
      </c>
      <c r="E163" s="175"/>
      <c r="F163" s="13" t="s">
        <v>2855</v>
      </c>
      <c r="G163" s="82">
        <v>1.175</v>
      </c>
      <c r="H163" s="62">
        <v>0</v>
      </c>
      <c r="I163" s="5"/>
    </row>
    <row r="164" spans="1:9" ht="12.2" customHeight="1" x14ac:dyDescent="0.2">
      <c r="A164" s="5"/>
      <c r="D164" s="54" t="s">
        <v>3040</v>
      </c>
      <c r="E164" s="196"/>
      <c r="F164" s="197"/>
      <c r="G164" s="57">
        <v>0.98</v>
      </c>
      <c r="H164" s="63"/>
      <c r="I164" s="5"/>
    </row>
    <row r="165" spans="1:9" ht="12.2" customHeight="1" x14ac:dyDescent="0.2">
      <c r="A165" s="4"/>
      <c r="B165" s="13"/>
      <c r="C165" s="13"/>
      <c r="D165" s="54" t="s">
        <v>3041</v>
      </c>
      <c r="E165" s="196"/>
      <c r="F165" s="196"/>
      <c r="G165" s="83">
        <v>0.19500000000000001</v>
      </c>
      <c r="H165" s="31"/>
      <c r="I165" s="5"/>
    </row>
    <row r="166" spans="1:9" x14ac:dyDescent="0.2">
      <c r="A166" s="4" t="s">
        <v>87</v>
      </c>
      <c r="B166" s="13" t="s">
        <v>2894</v>
      </c>
      <c r="C166" s="13" t="s">
        <v>1000</v>
      </c>
      <c r="D166" s="174" t="s">
        <v>1911</v>
      </c>
      <c r="E166" s="175"/>
      <c r="F166" s="13" t="s">
        <v>2854</v>
      </c>
      <c r="G166" s="82">
        <v>48.49</v>
      </c>
      <c r="H166" s="62">
        <v>0</v>
      </c>
      <c r="I166" s="5"/>
    </row>
    <row r="167" spans="1:9" ht="12.2" customHeight="1" x14ac:dyDescent="0.2">
      <c r="A167" s="5"/>
      <c r="D167" s="54" t="s">
        <v>3042</v>
      </c>
      <c r="E167" s="196"/>
      <c r="F167" s="197"/>
      <c r="G167" s="57">
        <v>48.49</v>
      </c>
      <c r="H167" s="63"/>
      <c r="I167" s="5"/>
    </row>
    <row r="168" spans="1:9" x14ac:dyDescent="0.2">
      <c r="A168" s="4" t="s">
        <v>88</v>
      </c>
      <c r="B168" s="13" t="s">
        <v>2894</v>
      </c>
      <c r="C168" s="13" t="s">
        <v>1001</v>
      </c>
      <c r="D168" s="174" t="s">
        <v>1912</v>
      </c>
      <c r="E168" s="175"/>
      <c r="F168" s="13" t="s">
        <v>2854</v>
      </c>
      <c r="G168" s="82">
        <v>373.25</v>
      </c>
      <c r="H168" s="62">
        <v>0</v>
      </c>
      <c r="I168" s="5"/>
    </row>
    <row r="169" spans="1:9" ht="12.2" customHeight="1" x14ac:dyDescent="0.2">
      <c r="A169" s="5"/>
      <c r="D169" s="54" t="s">
        <v>3043</v>
      </c>
      <c r="E169" s="196"/>
      <c r="F169" s="197"/>
      <c r="G169" s="57">
        <v>489.9</v>
      </c>
      <c r="H169" s="63"/>
      <c r="I169" s="5"/>
    </row>
    <row r="170" spans="1:9" ht="12.2" customHeight="1" x14ac:dyDescent="0.2">
      <c r="A170" s="4"/>
      <c r="B170" s="13"/>
      <c r="C170" s="13"/>
      <c r="D170" s="54" t="s">
        <v>3044</v>
      </c>
      <c r="E170" s="196"/>
      <c r="F170" s="196"/>
      <c r="G170" s="83">
        <v>-97.75</v>
      </c>
      <c r="H170" s="31"/>
      <c r="I170" s="5"/>
    </row>
    <row r="171" spans="1:9" ht="12.2" customHeight="1" x14ac:dyDescent="0.2">
      <c r="A171" s="4"/>
      <c r="B171" s="13"/>
      <c r="C171" s="13"/>
      <c r="D171" s="54" t="s">
        <v>3045</v>
      </c>
      <c r="E171" s="196"/>
      <c r="F171" s="196"/>
      <c r="G171" s="83">
        <v>-18.899999999999999</v>
      </c>
      <c r="H171" s="31"/>
      <c r="I171" s="5"/>
    </row>
    <row r="172" spans="1:9" x14ac:dyDescent="0.2">
      <c r="A172" s="4" t="s">
        <v>89</v>
      </c>
      <c r="B172" s="13" t="s">
        <v>2894</v>
      </c>
      <c r="C172" s="13" t="s">
        <v>1001</v>
      </c>
      <c r="D172" s="174" t="s">
        <v>1913</v>
      </c>
      <c r="E172" s="175"/>
      <c r="F172" s="13" t="s">
        <v>2854</v>
      </c>
      <c r="G172" s="82">
        <v>22.05</v>
      </c>
      <c r="H172" s="62">
        <v>0</v>
      </c>
      <c r="I172" s="5"/>
    </row>
    <row r="173" spans="1:9" ht="12.2" customHeight="1" x14ac:dyDescent="0.2">
      <c r="A173" s="5"/>
      <c r="D173" s="54" t="s">
        <v>3046</v>
      </c>
      <c r="E173" s="196"/>
      <c r="F173" s="197"/>
      <c r="G173" s="57">
        <v>22.05</v>
      </c>
      <c r="H173" s="63"/>
      <c r="I173" s="5"/>
    </row>
    <row r="174" spans="1:9" x14ac:dyDescent="0.2">
      <c r="A174" s="4" t="s">
        <v>90</v>
      </c>
      <c r="B174" s="13" t="s">
        <v>2894</v>
      </c>
      <c r="C174" s="13" t="s">
        <v>1002</v>
      </c>
      <c r="D174" s="174" t="s">
        <v>1914</v>
      </c>
      <c r="E174" s="175"/>
      <c r="F174" s="13" t="s">
        <v>2852</v>
      </c>
      <c r="G174" s="82">
        <v>10</v>
      </c>
      <c r="H174" s="62">
        <v>0</v>
      </c>
      <c r="I174" s="5"/>
    </row>
    <row r="175" spans="1:9" ht="12.2" customHeight="1" x14ac:dyDescent="0.2">
      <c r="A175" s="5"/>
      <c r="D175" s="54" t="s">
        <v>3047</v>
      </c>
      <c r="E175" s="196"/>
      <c r="F175" s="197"/>
      <c r="G175" s="57">
        <v>10</v>
      </c>
      <c r="H175" s="63"/>
      <c r="I175" s="5"/>
    </row>
    <row r="176" spans="1:9" x14ac:dyDescent="0.2">
      <c r="A176" s="4" t="s">
        <v>91</v>
      </c>
      <c r="B176" s="13" t="s">
        <v>2894</v>
      </c>
      <c r="C176" s="13" t="s">
        <v>1003</v>
      </c>
      <c r="D176" s="174" t="s">
        <v>1915</v>
      </c>
      <c r="E176" s="175"/>
      <c r="F176" s="13" t="s">
        <v>2852</v>
      </c>
      <c r="G176" s="82">
        <v>7</v>
      </c>
      <c r="H176" s="62">
        <v>0</v>
      </c>
      <c r="I176" s="5"/>
    </row>
    <row r="177" spans="1:9" ht="12.2" customHeight="1" x14ac:dyDescent="0.2">
      <c r="A177" s="5"/>
      <c r="D177" s="54" t="s">
        <v>13</v>
      </c>
      <c r="E177" s="196"/>
      <c r="F177" s="197"/>
      <c r="G177" s="57">
        <v>7</v>
      </c>
      <c r="H177" s="63"/>
      <c r="I177" s="5"/>
    </row>
    <row r="178" spans="1:9" x14ac:dyDescent="0.2">
      <c r="A178" s="4" t="s">
        <v>92</v>
      </c>
      <c r="B178" s="13" t="s">
        <v>2894</v>
      </c>
      <c r="C178" s="13" t="s">
        <v>1004</v>
      </c>
      <c r="D178" s="174" t="s">
        <v>1916</v>
      </c>
      <c r="E178" s="175"/>
      <c r="F178" s="13" t="s">
        <v>2852</v>
      </c>
      <c r="G178" s="82">
        <v>32</v>
      </c>
      <c r="H178" s="62">
        <v>0</v>
      </c>
      <c r="I178" s="5"/>
    </row>
    <row r="179" spans="1:9" ht="12.2" customHeight="1" x14ac:dyDescent="0.2">
      <c r="A179" s="5"/>
      <c r="D179" s="54" t="s">
        <v>38</v>
      </c>
      <c r="E179" s="196"/>
      <c r="F179" s="197"/>
      <c r="G179" s="57">
        <v>32</v>
      </c>
      <c r="H179" s="63"/>
      <c r="I179" s="5"/>
    </row>
    <row r="180" spans="1:9" x14ac:dyDescent="0.2">
      <c r="A180" s="4" t="s">
        <v>93</v>
      </c>
      <c r="B180" s="13" t="s">
        <v>2894</v>
      </c>
      <c r="C180" s="13" t="s">
        <v>1005</v>
      </c>
      <c r="D180" s="174" t="s">
        <v>1917</v>
      </c>
      <c r="E180" s="175"/>
      <c r="F180" s="13" t="s">
        <v>2852</v>
      </c>
      <c r="G180" s="82">
        <v>16</v>
      </c>
      <c r="H180" s="62">
        <v>0</v>
      </c>
      <c r="I180" s="5"/>
    </row>
    <row r="181" spans="1:9" ht="12.2" customHeight="1" x14ac:dyDescent="0.2">
      <c r="A181" s="5"/>
      <c r="D181" s="54" t="s">
        <v>22</v>
      </c>
      <c r="E181" s="196"/>
      <c r="F181" s="197"/>
      <c r="G181" s="57">
        <v>16</v>
      </c>
      <c r="H181" s="63"/>
      <c r="I181" s="5"/>
    </row>
    <row r="182" spans="1:9" x14ac:dyDescent="0.2">
      <c r="A182" s="4" t="s">
        <v>94</v>
      </c>
      <c r="B182" s="13" t="s">
        <v>2894</v>
      </c>
      <c r="C182" s="13" t="s">
        <v>1006</v>
      </c>
      <c r="D182" s="174" t="s">
        <v>1918</v>
      </c>
      <c r="E182" s="175"/>
      <c r="F182" s="13" t="s">
        <v>2852</v>
      </c>
      <c r="G182" s="82">
        <v>40</v>
      </c>
      <c r="H182" s="62">
        <v>0</v>
      </c>
      <c r="I182" s="5"/>
    </row>
    <row r="183" spans="1:9" ht="12.2" customHeight="1" x14ac:dyDescent="0.2">
      <c r="A183" s="5"/>
      <c r="D183" s="54" t="s">
        <v>46</v>
      </c>
      <c r="E183" s="196"/>
      <c r="F183" s="197"/>
      <c r="G183" s="57">
        <v>40</v>
      </c>
      <c r="H183" s="63"/>
      <c r="I183" s="5"/>
    </row>
    <row r="184" spans="1:9" x14ac:dyDescent="0.2">
      <c r="A184" s="4" t="s">
        <v>95</v>
      </c>
      <c r="B184" s="13" t="s">
        <v>2894</v>
      </c>
      <c r="C184" s="13" t="s">
        <v>1007</v>
      </c>
      <c r="D184" s="174" t="s">
        <v>1919</v>
      </c>
      <c r="E184" s="175"/>
      <c r="F184" s="13" t="s">
        <v>2852</v>
      </c>
      <c r="G184" s="82">
        <v>76</v>
      </c>
      <c r="H184" s="62">
        <v>0</v>
      </c>
      <c r="I184" s="5"/>
    </row>
    <row r="185" spans="1:9" ht="12.2" customHeight="1" x14ac:dyDescent="0.2">
      <c r="A185" s="5"/>
      <c r="D185" s="54" t="s">
        <v>3048</v>
      </c>
      <c r="E185" s="196"/>
      <c r="F185" s="197"/>
      <c r="G185" s="57">
        <v>76</v>
      </c>
      <c r="H185" s="63"/>
      <c r="I185" s="5"/>
    </row>
    <row r="186" spans="1:9" x14ac:dyDescent="0.2">
      <c r="A186" s="4" t="s">
        <v>96</v>
      </c>
      <c r="B186" s="13" t="s">
        <v>2894</v>
      </c>
      <c r="C186" s="13" t="s">
        <v>1008</v>
      </c>
      <c r="D186" s="174" t="s">
        <v>1920</v>
      </c>
      <c r="E186" s="175"/>
      <c r="F186" s="13" t="s">
        <v>2855</v>
      </c>
      <c r="G186" s="82">
        <v>28.25</v>
      </c>
      <c r="H186" s="62">
        <v>0</v>
      </c>
      <c r="I186" s="5"/>
    </row>
    <row r="187" spans="1:9" ht="12.2" customHeight="1" x14ac:dyDescent="0.2">
      <c r="A187" s="5"/>
      <c r="D187" s="54" t="s">
        <v>3049</v>
      </c>
      <c r="E187" s="196"/>
      <c r="F187" s="197"/>
      <c r="G187" s="57">
        <v>28.25</v>
      </c>
      <c r="H187" s="63"/>
      <c r="I187" s="5"/>
    </row>
    <row r="188" spans="1:9" x14ac:dyDescent="0.2">
      <c r="A188" s="4" t="s">
        <v>97</v>
      </c>
      <c r="B188" s="13" t="s">
        <v>2894</v>
      </c>
      <c r="C188" s="13" t="s">
        <v>1009</v>
      </c>
      <c r="D188" s="174" t="s">
        <v>1921</v>
      </c>
      <c r="E188" s="175"/>
      <c r="F188" s="13" t="s">
        <v>2855</v>
      </c>
      <c r="G188" s="82">
        <v>11</v>
      </c>
      <c r="H188" s="62">
        <v>0</v>
      </c>
      <c r="I188" s="5"/>
    </row>
    <row r="189" spans="1:9" ht="12.2" customHeight="1" x14ac:dyDescent="0.2">
      <c r="A189" s="5"/>
      <c r="D189" s="54" t="s">
        <v>3050</v>
      </c>
      <c r="E189" s="196"/>
      <c r="F189" s="197"/>
      <c r="G189" s="57">
        <v>11</v>
      </c>
      <c r="H189" s="63"/>
      <c r="I189" s="5"/>
    </row>
    <row r="190" spans="1:9" x14ac:dyDescent="0.2">
      <c r="A190" s="4" t="s">
        <v>98</v>
      </c>
      <c r="B190" s="13" t="s">
        <v>2894</v>
      </c>
      <c r="C190" s="13" t="s">
        <v>1010</v>
      </c>
      <c r="D190" s="174" t="s">
        <v>1923</v>
      </c>
      <c r="E190" s="175"/>
      <c r="F190" s="13" t="s">
        <v>2855</v>
      </c>
      <c r="G190" s="82">
        <v>60</v>
      </c>
      <c r="H190" s="62">
        <v>0</v>
      </c>
      <c r="I190" s="5"/>
    </row>
    <row r="191" spans="1:9" ht="12.2" customHeight="1" x14ac:dyDescent="0.2">
      <c r="A191" s="5"/>
      <c r="D191" s="54" t="s">
        <v>66</v>
      </c>
      <c r="E191" s="196"/>
      <c r="F191" s="197"/>
      <c r="G191" s="57">
        <v>60</v>
      </c>
      <c r="H191" s="63"/>
      <c r="I191" s="5"/>
    </row>
    <row r="192" spans="1:9" x14ac:dyDescent="0.2">
      <c r="A192" s="4" t="s">
        <v>99</v>
      </c>
      <c r="B192" s="13" t="s">
        <v>2894</v>
      </c>
      <c r="C192" s="13" t="s">
        <v>1011</v>
      </c>
      <c r="D192" s="174" t="s">
        <v>1925</v>
      </c>
      <c r="E192" s="175"/>
      <c r="F192" s="13" t="s">
        <v>2854</v>
      </c>
      <c r="G192" s="82">
        <v>17.018000000000001</v>
      </c>
      <c r="H192" s="62">
        <v>0</v>
      </c>
      <c r="I192" s="5"/>
    </row>
    <row r="193" spans="1:9" ht="12.2" customHeight="1" x14ac:dyDescent="0.2">
      <c r="A193" s="5"/>
      <c r="D193" s="54" t="s">
        <v>3051</v>
      </c>
      <c r="E193" s="196"/>
      <c r="F193" s="197"/>
      <c r="G193" s="57">
        <v>20.25</v>
      </c>
      <c r="H193" s="63"/>
      <c r="I193" s="5"/>
    </row>
    <row r="194" spans="1:9" ht="12.2" customHeight="1" x14ac:dyDescent="0.2">
      <c r="A194" s="4"/>
      <c r="B194" s="13"/>
      <c r="C194" s="13"/>
      <c r="D194" s="54" t="s">
        <v>3052</v>
      </c>
      <c r="E194" s="196"/>
      <c r="F194" s="196"/>
      <c r="G194" s="83">
        <v>-3.2320000000000002</v>
      </c>
      <c r="H194" s="31"/>
      <c r="I194" s="5"/>
    </row>
    <row r="195" spans="1:9" x14ac:dyDescent="0.2">
      <c r="A195" s="4" t="s">
        <v>100</v>
      </c>
      <c r="B195" s="13" t="s">
        <v>2894</v>
      </c>
      <c r="C195" s="13" t="s">
        <v>1012</v>
      </c>
      <c r="D195" s="174" t="s">
        <v>1926</v>
      </c>
      <c r="E195" s="175"/>
      <c r="F195" s="13" t="s">
        <v>2854</v>
      </c>
      <c r="G195" s="82">
        <v>277.56099999999998</v>
      </c>
      <c r="H195" s="62">
        <v>0</v>
      </c>
      <c r="I195" s="5"/>
    </row>
    <row r="196" spans="1:9" ht="12.2" customHeight="1" x14ac:dyDescent="0.2">
      <c r="A196" s="5"/>
      <c r="D196" s="54" t="s">
        <v>3053</v>
      </c>
      <c r="E196" s="196"/>
      <c r="F196" s="197"/>
      <c r="G196" s="57">
        <v>303.58100000000002</v>
      </c>
      <c r="H196" s="63"/>
      <c r="I196" s="5"/>
    </row>
    <row r="197" spans="1:9" ht="12.2" customHeight="1" x14ac:dyDescent="0.2">
      <c r="A197" s="4"/>
      <c r="B197" s="13"/>
      <c r="C197" s="13"/>
      <c r="D197" s="54" t="s">
        <v>3054</v>
      </c>
      <c r="E197" s="196"/>
      <c r="F197" s="196"/>
      <c r="G197" s="83">
        <v>-35.868000000000002</v>
      </c>
      <c r="H197" s="31"/>
      <c r="I197" s="5"/>
    </row>
    <row r="198" spans="1:9" ht="12.2" customHeight="1" x14ac:dyDescent="0.2">
      <c r="A198" s="4"/>
      <c r="B198" s="13"/>
      <c r="C198" s="13"/>
      <c r="D198" s="54" t="s">
        <v>3055</v>
      </c>
      <c r="E198" s="196"/>
      <c r="F198" s="196"/>
      <c r="G198" s="83">
        <v>9.8480000000000008</v>
      </c>
      <c r="H198" s="31"/>
      <c r="I198" s="5"/>
    </row>
    <row r="199" spans="1:9" x14ac:dyDescent="0.2">
      <c r="A199" s="4" t="s">
        <v>101</v>
      </c>
      <c r="B199" s="13" t="s">
        <v>2894</v>
      </c>
      <c r="C199" s="13" t="s">
        <v>1013</v>
      </c>
      <c r="D199" s="174" t="s">
        <v>1927</v>
      </c>
      <c r="E199" s="175"/>
      <c r="F199" s="13" t="s">
        <v>2855</v>
      </c>
      <c r="G199" s="82">
        <v>90.254999999999995</v>
      </c>
      <c r="H199" s="62">
        <v>0</v>
      </c>
      <c r="I199" s="5"/>
    </row>
    <row r="200" spans="1:9" ht="12.2" customHeight="1" x14ac:dyDescent="0.2">
      <c r="A200" s="5"/>
      <c r="D200" s="54" t="s">
        <v>3056</v>
      </c>
      <c r="E200" s="196"/>
      <c r="F200" s="197"/>
      <c r="G200" s="57">
        <v>90.254999999999995</v>
      </c>
      <c r="H200" s="63"/>
      <c r="I200" s="5"/>
    </row>
    <row r="201" spans="1:9" x14ac:dyDescent="0.2">
      <c r="A201" s="4" t="s">
        <v>102</v>
      </c>
      <c r="B201" s="13" t="s">
        <v>2894</v>
      </c>
      <c r="C201" s="13" t="s">
        <v>1014</v>
      </c>
      <c r="D201" s="174" t="s">
        <v>1928</v>
      </c>
      <c r="E201" s="175"/>
      <c r="F201" s="13" t="s">
        <v>2855</v>
      </c>
      <c r="G201" s="82">
        <v>127.5</v>
      </c>
      <c r="H201" s="62">
        <v>0</v>
      </c>
      <c r="I201" s="5"/>
    </row>
    <row r="202" spans="1:9" ht="12.2" customHeight="1" x14ac:dyDescent="0.2">
      <c r="A202" s="5"/>
      <c r="D202" s="54" t="s">
        <v>3057</v>
      </c>
      <c r="E202" s="196"/>
      <c r="F202" s="197"/>
      <c r="G202" s="57">
        <v>127.5</v>
      </c>
      <c r="H202" s="63"/>
      <c r="I202" s="5"/>
    </row>
    <row r="203" spans="1:9" x14ac:dyDescent="0.2">
      <c r="A203" s="4" t="s">
        <v>103</v>
      </c>
      <c r="B203" s="13" t="s">
        <v>2894</v>
      </c>
      <c r="C203" s="13" t="s">
        <v>1015</v>
      </c>
      <c r="D203" s="174" t="s">
        <v>1929</v>
      </c>
      <c r="E203" s="175"/>
      <c r="F203" s="13" t="s">
        <v>2854</v>
      </c>
      <c r="G203" s="82">
        <v>57.225000000000001</v>
      </c>
      <c r="H203" s="62">
        <v>0</v>
      </c>
      <c r="I203" s="5"/>
    </row>
    <row r="204" spans="1:9" ht="12.2" customHeight="1" x14ac:dyDescent="0.2">
      <c r="A204" s="5"/>
      <c r="D204" s="54" t="s">
        <v>3058</v>
      </c>
      <c r="E204" s="196"/>
      <c r="F204" s="197"/>
      <c r="G204" s="57">
        <v>57.225000000000001</v>
      </c>
      <c r="H204" s="63"/>
      <c r="I204" s="5"/>
    </row>
    <row r="205" spans="1:9" x14ac:dyDescent="0.2">
      <c r="A205" s="4" t="s">
        <v>104</v>
      </c>
      <c r="B205" s="13" t="s">
        <v>2894</v>
      </c>
      <c r="C205" s="13" t="s">
        <v>1016</v>
      </c>
      <c r="D205" s="174" t="s">
        <v>1931</v>
      </c>
      <c r="E205" s="175"/>
      <c r="F205" s="13" t="s">
        <v>2854</v>
      </c>
      <c r="G205" s="82">
        <v>536.99199999999996</v>
      </c>
      <c r="H205" s="62">
        <v>0</v>
      </c>
      <c r="I205" s="5"/>
    </row>
    <row r="206" spans="1:9" ht="12.2" customHeight="1" x14ac:dyDescent="0.2">
      <c r="A206" s="5"/>
      <c r="D206" s="54" t="s">
        <v>3059</v>
      </c>
      <c r="E206" s="196"/>
      <c r="F206" s="197"/>
      <c r="G206" s="57">
        <v>462.26499999999999</v>
      </c>
      <c r="H206" s="63"/>
      <c r="I206" s="5"/>
    </row>
    <row r="207" spans="1:9" ht="12.2" customHeight="1" x14ac:dyDescent="0.2">
      <c r="A207" s="4"/>
      <c r="B207" s="13"/>
      <c r="C207" s="13"/>
      <c r="D207" s="54" t="s">
        <v>3060</v>
      </c>
      <c r="E207" s="196"/>
      <c r="F207" s="196"/>
      <c r="G207" s="83">
        <v>74.727000000000004</v>
      </c>
      <c r="H207" s="31"/>
      <c r="I207" s="5"/>
    </row>
    <row r="208" spans="1:9" x14ac:dyDescent="0.2">
      <c r="A208" s="4" t="s">
        <v>105</v>
      </c>
      <c r="B208" s="13" t="s">
        <v>2894</v>
      </c>
      <c r="C208" s="13" t="s">
        <v>1017</v>
      </c>
      <c r="D208" s="174" t="s">
        <v>1932</v>
      </c>
      <c r="E208" s="175"/>
      <c r="F208" s="13" t="s">
        <v>2853</v>
      </c>
      <c r="G208" s="82">
        <v>0.27100000000000002</v>
      </c>
      <c r="H208" s="62">
        <v>0</v>
      </c>
      <c r="I208" s="5"/>
    </row>
    <row r="209" spans="1:9" ht="12.2" customHeight="1" x14ac:dyDescent="0.2">
      <c r="A209" s="5"/>
      <c r="D209" s="54" t="s">
        <v>3061</v>
      </c>
      <c r="E209" s="196"/>
      <c r="F209" s="197"/>
      <c r="G209" s="57">
        <v>0.27100000000000002</v>
      </c>
      <c r="H209" s="63"/>
      <c r="I209" s="5"/>
    </row>
    <row r="210" spans="1:9" x14ac:dyDescent="0.2">
      <c r="A210" s="4" t="s">
        <v>106</v>
      </c>
      <c r="B210" s="13" t="s">
        <v>2894</v>
      </c>
      <c r="C210" s="13" t="s">
        <v>1018</v>
      </c>
      <c r="D210" s="174" t="s">
        <v>1933</v>
      </c>
      <c r="E210" s="175"/>
      <c r="F210" s="13" t="s">
        <v>2852</v>
      </c>
      <c r="G210" s="82">
        <v>8</v>
      </c>
      <c r="H210" s="62">
        <v>0</v>
      </c>
      <c r="I210" s="5"/>
    </row>
    <row r="211" spans="1:9" ht="12.2" customHeight="1" x14ac:dyDescent="0.2">
      <c r="A211" s="5"/>
      <c r="D211" s="54" t="s">
        <v>3062</v>
      </c>
      <c r="E211" s="196"/>
      <c r="F211" s="197"/>
      <c r="G211" s="57">
        <v>8</v>
      </c>
      <c r="H211" s="63"/>
      <c r="I211" s="5"/>
    </row>
    <row r="212" spans="1:9" x14ac:dyDescent="0.2">
      <c r="A212" s="4" t="s">
        <v>107</v>
      </c>
      <c r="B212" s="13" t="s">
        <v>2894</v>
      </c>
      <c r="C212" s="13" t="s">
        <v>1019</v>
      </c>
      <c r="D212" s="174" t="s">
        <v>1934</v>
      </c>
      <c r="E212" s="175"/>
      <c r="F212" s="13" t="s">
        <v>2854</v>
      </c>
      <c r="G212" s="82">
        <v>1.44</v>
      </c>
      <c r="H212" s="62">
        <v>0</v>
      </c>
      <c r="I212" s="5"/>
    </row>
    <row r="213" spans="1:9" ht="12.2" customHeight="1" x14ac:dyDescent="0.2">
      <c r="A213" s="5"/>
      <c r="D213" s="54" t="s">
        <v>3063</v>
      </c>
      <c r="E213" s="196"/>
      <c r="F213" s="197"/>
      <c r="G213" s="57">
        <v>1.44</v>
      </c>
      <c r="H213" s="63"/>
      <c r="I213" s="5"/>
    </row>
    <row r="214" spans="1:9" x14ac:dyDescent="0.2">
      <c r="A214" s="4" t="s">
        <v>108</v>
      </c>
      <c r="B214" s="13" t="s">
        <v>2894</v>
      </c>
      <c r="C214" s="13" t="s">
        <v>1020</v>
      </c>
      <c r="D214" s="174" t="s">
        <v>1935</v>
      </c>
      <c r="E214" s="175"/>
      <c r="F214" s="13" t="s">
        <v>2854</v>
      </c>
      <c r="G214" s="82">
        <v>181</v>
      </c>
      <c r="H214" s="62">
        <v>0</v>
      </c>
      <c r="I214" s="5"/>
    </row>
    <row r="215" spans="1:9" ht="12.2" customHeight="1" x14ac:dyDescent="0.2">
      <c r="A215" s="5"/>
      <c r="D215" s="54" t="s">
        <v>3064</v>
      </c>
      <c r="E215" s="196"/>
      <c r="F215" s="197"/>
      <c r="G215" s="57">
        <v>181</v>
      </c>
      <c r="H215" s="63"/>
      <c r="I215" s="5"/>
    </row>
    <row r="216" spans="1:9" x14ac:dyDescent="0.2">
      <c r="A216" s="4" t="s">
        <v>109</v>
      </c>
      <c r="B216" s="13" t="s">
        <v>2894</v>
      </c>
      <c r="C216" s="13" t="s">
        <v>1021</v>
      </c>
      <c r="D216" s="174" t="s">
        <v>1936</v>
      </c>
      <c r="E216" s="175"/>
      <c r="F216" s="13" t="s">
        <v>2854</v>
      </c>
      <c r="G216" s="82">
        <v>251.2</v>
      </c>
      <c r="H216" s="62">
        <v>0</v>
      </c>
      <c r="I216" s="5"/>
    </row>
    <row r="217" spans="1:9" ht="12.2" customHeight="1" x14ac:dyDescent="0.2">
      <c r="A217" s="5"/>
      <c r="D217" s="54" t="s">
        <v>3065</v>
      </c>
      <c r="E217" s="196"/>
      <c r="F217" s="197"/>
      <c r="G217" s="57">
        <v>251.2</v>
      </c>
      <c r="H217" s="63"/>
      <c r="I217" s="5"/>
    </row>
    <row r="218" spans="1:9" x14ac:dyDescent="0.2">
      <c r="A218" s="4" t="s">
        <v>110</v>
      </c>
      <c r="B218" s="13" t="s">
        <v>2894</v>
      </c>
      <c r="C218" s="13" t="s">
        <v>1022</v>
      </c>
      <c r="D218" s="174" t="s">
        <v>1937</v>
      </c>
      <c r="E218" s="175"/>
      <c r="F218" s="13" t="s">
        <v>2853</v>
      </c>
      <c r="G218" s="82">
        <v>10.333</v>
      </c>
      <c r="H218" s="62">
        <v>0</v>
      </c>
      <c r="I218" s="5"/>
    </row>
    <row r="219" spans="1:9" ht="12.2" customHeight="1" x14ac:dyDescent="0.2">
      <c r="A219" s="5"/>
      <c r="D219" s="54" t="s">
        <v>3066</v>
      </c>
      <c r="E219" s="196"/>
      <c r="F219" s="197"/>
      <c r="G219" s="57">
        <v>10.333</v>
      </c>
      <c r="H219" s="63"/>
      <c r="I219" s="5"/>
    </row>
    <row r="220" spans="1:9" x14ac:dyDescent="0.2">
      <c r="A220" s="4" t="s">
        <v>111</v>
      </c>
      <c r="B220" s="13" t="s">
        <v>2894</v>
      </c>
      <c r="C220" s="13" t="s">
        <v>1022</v>
      </c>
      <c r="D220" s="174" t="s">
        <v>1938</v>
      </c>
      <c r="E220" s="175"/>
      <c r="F220" s="13" t="s">
        <v>2853</v>
      </c>
      <c r="G220" s="82">
        <v>8.9629999999999992</v>
      </c>
      <c r="H220" s="62">
        <v>0</v>
      </c>
      <c r="I220" s="5"/>
    </row>
    <row r="221" spans="1:9" ht="12.2" customHeight="1" x14ac:dyDescent="0.2">
      <c r="A221" s="5"/>
      <c r="D221" s="54" t="s">
        <v>3067</v>
      </c>
      <c r="E221" s="196"/>
      <c r="F221" s="197"/>
      <c r="G221" s="57">
        <v>5.532</v>
      </c>
      <c r="H221" s="63"/>
      <c r="I221" s="5"/>
    </row>
    <row r="222" spans="1:9" ht="12.2" customHeight="1" x14ac:dyDescent="0.2">
      <c r="A222" s="4"/>
      <c r="B222" s="13"/>
      <c r="C222" s="13"/>
      <c r="D222" s="54" t="s">
        <v>3068</v>
      </c>
      <c r="E222" s="196"/>
      <c r="F222" s="196"/>
      <c r="G222" s="83">
        <v>3.431</v>
      </c>
      <c r="H222" s="31"/>
      <c r="I222" s="5"/>
    </row>
    <row r="223" spans="1:9" x14ac:dyDescent="0.2">
      <c r="A223" s="4" t="s">
        <v>112</v>
      </c>
      <c r="B223" s="13" t="s">
        <v>2894</v>
      </c>
      <c r="C223" s="13" t="s">
        <v>1022</v>
      </c>
      <c r="D223" s="174" t="s">
        <v>1939</v>
      </c>
      <c r="E223" s="175"/>
      <c r="F223" s="13" t="s">
        <v>2853</v>
      </c>
      <c r="G223" s="82">
        <v>2.3809999999999998</v>
      </c>
      <c r="H223" s="62">
        <v>0</v>
      </c>
      <c r="I223" s="5"/>
    </row>
    <row r="224" spans="1:9" ht="12.2" customHeight="1" x14ac:dyDescent="0.2">
      <c r="A224" s="5"/>
      <c r="D224" s="54" t="s">
        <v>3069</v>
      </c>
      <c r="E224" s="196"/>
      <c r="F224" s="197"/>
      <c r="G224" s="57">
        <v>2.3809999999999998</v>
      </c>
      <c r="H224" s="63"/>
      <c r="I224" s="5"/>
    </row>
    <row r="225" spans="1:9" x14ac:dyDescent="0.2">
      <c r="A225" s="4" t="s">
        <v>113</v>
      </c>
      <c r="B225" s="13" t="s">
        <v>2894</v>
      </c>
      <c r="C225" s="13" t="s">
        <v>1023</v>
      </c>
      <c r="D225" s="174" t="s">
        <v>1940</v>
      </c>
      <c r="E225" s="175"/>
      <c r="F225" s="13" t="s">
        <v>2854</v>
      </c>
      <c r="G225" s="82">
        <v>113.092</v>
      </c>
      <c r="H225" s="62">
        <v>0</v>
      </c>
      <c r="I225" s="5"/>
    </row>
    <row r="226" spans="1:9" ht="12.2" customHeight="1" x14ac:dyDescent="0.2">
      <c r="A226" s="5"/>
      <c r="D226" s="54" t="s">
        <v>3070</v>
      </c>
      <c r="E226" s="196"/>
      <c r="F226" s="197"/>
      <c r="G226" s="57">
        <v>113.092</v>
      </c>
      <c r="H226" s="63"/>
      <c r="I226" s="5"/>
    </row>
    <row r="227" spans="1:9" x14ac:dyDescent="0.2">
      <c r="A227" s="4" t="s">
        <v>114</v>
      </c>
      <c r="B227" s="13" t="s">
        <v>2894</v>
      </c>
      <c r="C227" s="13" t="s">
        <v>1023</v>
      </c>
      <c r="D227" s="174" t="s">
        <v>1941</v>
      </c>
      <c r="E227" s="175"/>
      <c r="F227" s="13" t="s">
        <v>2854</v>
      </c>
      <c r="G227" s="82">
        <v>53.32</v>
      </c>
      <c r="H227" s="62">
        <v>0</v>
      </c>
      <c r="I227" s="5"/>
    </row>
    <row r="228" spans="1:9" ht="12.2" customHeight="1" x14ac:dyDescent="0.2">
      <c r="A228" s="5"/>
      <c r="D228" s="54" t="s">
        <v>3071</v>
      </c>
      <c r="E228" s="196"/>
      <c r="F228" s="197"/>
      <c r="G228" s="57">
        <v>35.28</v>
      </c>
      <c r="H228" s="63"/>
      <c r="I228" s="5"/>
    </row>
    <row r="229" spans="1:9" ht="12.2" customHeight="1" x14ac:dyDescent="0.2">
      <c r="A229" s="4"/>
      <c r="B229" s="13"/>
      <c r="C229" s="13"/>
      <c r="D229" s="54" t="s">
        <v>3072</v>
      </c>
      <c r="E229" s="196"/>
      <c r="F229" s="196"/>
      <c r="G229" s="83">
        <v>18.04</v>
      </c>
      <c r="H229" s="31"/>
      <c r="I229" s="5"/>
    </row>
    <row r="230" spans="1:9" x14ac:dyDescent="0.2">
      <c r="A230" s="4" t="s">
        <v>115</v>
      </c>
      <c r="B230" s="13" t="s">
        <v>2894</v>
      </c>
      <c r="C230" s="13" t="s">
        <v>1023</v>
      </c>
      <c r="D230" s="174" t="s">
        <v>1942</v>
      </c>
      <c r="E230" s="175"/>
      <c r="F230" s="13" t="s">
        <v>2854</v>
      </c>
      <c r="G230" s="82">
        <v>43.218000000000004</v>
      </c>
      <c r="H230" s="62">
        <v>0</v>
      </c>
      <c r="I230" s="5"/>
    </row>
    <row r="231" spans="1:9" ht="12.2" customHeight="1" x14ac:dyDescent="0.2">
      <c r="A231" s="5"/>
      <c r="D231" s="54" t="s">
        <v>3073</v>
      </c>
      <c r="E231" s="196"/>
      <c r="F231" s="197"/>
      <c r="G231" s="57">
        <v>43.218000000000004</v>
      </c>
      <c r="H231" s="63"/>
      <c r="I231" s="5"/>
    </row>
    <row r="232" spans="1:9" x14ac:dyDescent="0.2">
      <c r="A232" s="4" t="s">
        <v>116</v>
      </c>
      <c r="B232" s="13" t="s">
        <v>2894</v>
      </c>
      <c r="C232" s="13" t="s">
        <v>1024</v>
      </c>
      <c r="D232" s="174" t="s">
        <v>1943</v>
      </c>
      <c r="E232" s="175"/>
      <c r="F232" s="13" t="s">
        <v>2854</v>
      </c>
      <c r="G232" s="82">
        <v>113.092</v>
      </c>
      <c r="H232" s="62">
        <v>0</v>
      </c>
      <c r="I232" s="5"/>
    </row>
    <row r="233" spans="1:9" ht="12.2" customHeight="1" x14ac:dyDescent="0.2">
      <c r="A233" s="5"/>
      <c r="D233" s="54" t="s">
        <v>3070</v>
      </c>
      <c r="E233" s="196"/>
      <c r="F233" s="197"/>
      <c r="G233" s="57">
        <v>113.092</v>
      </c>
      <c r="H233" s="63"/>
      <c r="I233" s="5"/>
    </row>
    <row r="234" spans="1:9" x14ac:dyDescent="0.2">
      <c r="A234" s="4" t="s">
        <v>117</v>
      </c>
      <c r="B234" s="13" t="s">
        <v>2894</v>
      </c>
      <c r="C234" s="13" t="s">
        <v>1024</v>
      </c>
      <c r="D234" s="174" t="s">
        <v>1944</v>
      </c>
      <c r="E234" s="175"/>
      <c r="F234" s="13" t="s">
        <v>2854</v>
      </c>
      <c r="G234" s="82">
        <v>53.32</v>
      </c>
      <c r="H234" s="62">
        <v>0</v>
      </c>
      <c r="I234" s="5"/>
    </row>
    <row r="235" spans="1:9" ht="12.2" customHeight="1" x14ac:dyDescent="0.2">
      <c r="A235" s="5"/>
      <c r="D235" s="54" t="s">
        <v>3071</v>
      </c>
      <c r="E235" s="196"/>
      <c r="F235" s="197"/>
      <c r="G235" s="57">
        <v>35.28</v>
      </c>
      <c r="H235" s="63"/>
      <c r="I235" s="5"/>
    </row>
    <row r="236" spans="1:9" ht="12.2" customHeight="1" x14ac:dyDescent="0.2">
      <c r="A236" s="4"/>
      <c r="B236" s="13"/>
      <c r="C236" s="13"/>
      <c r="D236" s="54" t="s">
        <v>3072</v>
      </c>
      <c r="E236" s="196"/>
      <c r="F236" s="196"/>
      <c r="G236" s="83">
        <v>18.04</v>
      </c>
      <c r="H236" s="31"/>
      <c r="I236" s="5"/>
    </row>
    <row r="237" spans="1:9" x14ac:dyDescent="0.2">
      <c r="A237" s="4" t="s">
        <v>118</v>
      </c>
      <c r="B237" s="13" t="s">
        <v>2894</v>
      </c>
      <c r="C237" s="13" t="s">
        <v>1024</v>
      </c>
      <c r="D237" s="174" t="s">
        <v>1945</v>
      </c>
      <c r="E237" s="175"/>
      <c r="F237" s="13" t="s">
        <v>2854</v>
      </c>
      <c r="G237" s="82">
        <v>43.218000000000004</v>
      </c>
      <c r="H237" s="62">
        <v>0</v>
      </c>
      <c r="I237" s="5"/>
    </row>
    <row r="238" spans="1:9" ht="12.2" customHeight="1" x14ac:dyDescent="0.2">
      <c r="A238" s="5"/>
      <c r="D238" s="54" t="s">
        <v>3073</v>
      </c>
      <c r="E238" s="196"/>
      <c r="F238" s="197"/>
      <c r="G238" s="57">
        <v>43.218000000000004</v>
      </c>
      <c r="H238" s="63"/>
      <c r="I238" s="5"/>
    </row>
    <row r="239" spans="1:9" x14ac:dyDescent="0.2">
      <c r="A239" s="4" t="s">
        <v>119</v>
      </c>
      <c r="B239" s="13" t="s">
        <v>2894</v>
      </c>
      <c r="C239" s="13" t="s">
        <v>1025</v>
      </c>
      <c r="D239" s="174" t="s">
        <v>1946</v>
      </c>
      <c r="E239" s="175"/>
      <c r="F239" s="13" t="s">
        <v>2856</v>
      </c>
      <c r="G239" s="82">
        <v>1.7050000000000001</v>
      </c>
      <c r="H239" s="62">
        <v>0</v>
      </c>
      <c r="I239" s="5"/>
    </row>
    <row r="240" spans="1:9" ht="12.2" customHeight="1" x14ac:dyDescent="0.2">
      <c r="A240" s="5"/>
      <c r="D240" s="54" t="s">
        <v>3074</v>
      </c>
      <c r="E240" s="196"/>
      <c r="F240" s="197"/>
      <c r="G240" s="57">
        <v>1.7050000000000001</v>
      </c>
      <c r="H240" s="63"/>
      <c r="I240" s="5"/>
    </row>
    <row r="241" spans="1:9" x14ac:dyDescent="0.2">
      <c r="A241" s="4" t="s">
        <v>120</v>
      </c>
      <c r="B241" s="13" t="s">
        <v>2894</v>
      </c>
      <c r="C241" s="13" t="s">
        <v>1025</v>
      </c>
      <c r="D241" s="174" t="s">
        <v>1947</v>
      </c>
      <c r="E241" s="175"/>
      <c r="F241" s="13" t="s">
        <v>2856</v>
      </c>
      <c r="G241" s="82">
        <v>1.4790000000000001</v>
      </c>
      <c r="H241" s="62">
        <v>0</v>
      </c>
      <c r="I241" s="5"/>
    </row>
    <row r="242" spans="1:9" ht="12.2" customHeight="1" x14ac:dyDescent="0.2">
      <c r="A242" s="5"/>
      <c r="D242" s="54" t="s">
        <v>3075</v>
      </c>
      <c r="E242" s="196"/>
      <c r="F242" s="197"/>
      <c r="G242" s="57">
        <v>1.4790000000000001</v>
      </c>
      <c r="H242" s="63"/>
      <c r="I242" s="5"/>
    </row>
    <row r="243" spans="1:9" x14ac:dyDescent="0.2">
      <c r="A243" s="4" t="s">
        <v>121</v>
      </c>
      <c r="B243" s="13" t="s">
        <v>2894</v>
      </c>
      <c r="C243" s="13" t="s">
        <v>1025</v>
      </c>
      <c r="D243" s="174" t="s">
        <v>1948</v>
      </c>
      <c r="E243" s="175"/>
      <c r="F243" s="13" t="s">
        <v>2856</v>
      </c>
      <c r="G243" s="82">
        <v>0.39300000000000002</v>
      </c>
      <c r="H243" s="62">
        <v>0</v>
      </c>
      <c r="I243" s="5"/>
    </row>
    <row r="244" spans="1:9" ht="12.2" customHeight="1" x14ac:dyDescent="0.2">
      <c r="A244" s="5"/>
      <c r="D244" s="54" t="s">
        <v>3076</v>
      </c>
      <c r="E244" s="196"/>
      <c r="F244" s="197"/>
      <c r="G244" s="57">
        <v>0.39300000000000002</v>
      </c>
      <c r="H244" s="63"/>
      <c r="I244" s="5"/>
    </row>
    <row r="245" spans="1:9" x14ac:dyDescent="0.2">
      <c r="A245" s="4" t="s">
        <v>122</v>
      </c>
      <c r="B245" s="13" t="s">
        <v>2894</v>
      </c>
      <c r="C245" s="13" t="s">
        <v>1026</v>
      </c>
      <c r="D245" s="174" t="s">
        <v>1950</v>
      </c>
      <c r="E245" s="175"/>
      <c r="F245" s="13" t="s">
        <v>2854</v>
      </c>
      <c r="G245" s="82">
        <v>4.5</v>
      </c>
      <c r="H245" s="62">
        <v>0</v>
      </c>
      <c r="I245" s="5"/>
    </row>
    <row r="246" spans="1:9" ht="12.2" customHeight="1" x14ac:dyDescent="0.2">
      <c r="A246" s="5"/>
      <c r="D246" s="54" t="s">
        <v>3077</v>
      </c>
      <c r="E246" s="196"/>
      <c r="F246" s="197"/>
      <c r="G246" s="57">
        <v>4.5</v>
      </c>
      <c r="H246" s="63"/>
      <c r="I246" s="5"/>
    </row>
    <row r="247" spans="1:9" x14ac:dyDescent="0.2">
      <c r="A247" s="4" t="s">
        <v>123</v>
      </c>
      <c r="B247" s="13" t="s">
        <v>2894</v>
      </c>
      <c r="C247" s="13" t="s">
        <v>1027</v>
      </c>
      <c r="D247" s="174" t="s">
        <v>1952</v>
      </c>
      <c r="E247" s="175"/>
      <c r="F247" s="13" t="s">
        <v>2854</v>
      </c>
      <c r="G247" s="82">
        <v>17.57</v>
      </c>
      <c r="H247" s="62">
        <v>0</v>
      </c>
      <c r="I247" s="5"/>
    </row>
    <row r="248" spans="1:9" ht="12.2" customHeight="1" x14ac:dyDescent="0.2">
      <c r="A248" s="5"/>
      <c r="D248" s="54" t="s">
        <v>3078</v>
      </c>
      <c r="E248" s="196"/>
      <c r="F248" s="197"/>
      <c r="G248" s="57">
        <v>17.57</v>
      </c>
      <c r="H248" s="63"/>
      <c r="I248" s="5"/>
    </row>
    <row r="249" spans="1:9" x14ac:dyDescent="0.2">
      <c r="A249" s="4" t="s">
        <v>124</v>
      </c>
      <c r="B249" s="13" t="s">
        <v>2894</v>
      </c>
      <c r="C249" s="13" t="s">
        <v>1028</v>
      </c>
      <c r="D249" s="174" t="s">
        <v>1954</v>
      </c>
      <c r="E249" s="175"/>
      <c r="F249" s="13" t="s">
        <v>2854</v>
      </c>
      <c r="G249" s="82">
        <v>74</v>
      </c>
      <c r="H249" s="62">
        <v>0</v>
      </c>
      <c r="I249" s="5"/>
    </row>
    <row r="250" spans="1:9" ht="12.2" customHeight="1" x14ac:dyDescent="0.2">
      <c r="A250" s="5"/>
      <c r="D250" s="54" t="s">
        <v>3079</v>
      </c>
      <c r="E250" s="196"/>
      <c r="F250" s="197"/>
      <c r="G250" s="57">
        <v>74</v>
      </c>
      <c r="H250" s="63"/>
      <c r="I250" s="5"/>
    </row>
    <row r="251" spans="1:9" x14ac:dyDescent="0.2">
      <c r="A251" s="4" t="s">
        <v>125</v>
      </c>
      <c r="B251" s="13" t="s">
        <v>2894</v>
      </c>
      <c r="C251" s="13" t="s">
        <v>1029</v>
      </c>
      <c r="D251" s="174" t="s">
        <v>1956</v>
      </c>
      <c r="E251" s="175"/>
      <c r="F251" s="13" t="s">
        <v>2854</v>
      </c>
      <c r="G251" s="82">
        <v>779.56899999999996</v>
      </c>
      <c r="H251" s="62">
        <v>0</v>
      </c>
      <c r="I251" s="5"/>
    </row>
    <row r="252" spans="1:9" ht="12.2" customHeight="1" x14ac:dyDescent="0.2">
      <c r="A252" s="5"/>
      <c r="D252" s="54" t="s">
        <v>3080</v>
      </c>
      <c r="E252" s="196"/>
      <c r="F252" s="197"/>
      <c r="G252" s="57">
        <v>120.642</v>
      </c>
      <c r="H252" s="63"/>
      <c r="I252" s="5"/>
    </row>
    <row r="253" spans="1:9" ht="12.2" customHeight="1" x14ac:dyDescent="0.2">
      <c r="A253" s="4"/>
      <c r="B253" s="13"/>
      <c r="C253" s="13"/>
      <c r="D253" s="54" t="s">
        <v>3081</v>
      </c>
      <c r="E253" s="196"/>
      <c r="F253" s="196"/>
      <c r="G253" s="83">
        <v>71.983999999999995</v>
      </c>
      <c r="H253" s="31"/>
      <c r="I253" s="5"/>
    </row>
    <row r="254" spans="1:9" ht="12.2" customHeight="1" x14ac:dyDescent="0.2">
      <c r="A254" s="4"/>
      <c r="B254" s="13"/>
      <c r="C254" s="13"/>
      <c r="D254" s="54" t="s">
        <v>3082</v>
      </c>
      <c r="E254" s="196"/>
      <c r="F254" s="196"/>
      <c r="G254" s="83">
        <v>110.15900000000001</v>
      </c>
      <c r="H254" s="31"/>
      <c r="I254" s="5"/>
    </row>
    <row r="255" spans="1:9" ht="12.2" customHeight="1" x14ac:dyDescent="0.2">
      <c r="A255" s="4"/>
      <c r="B255" s="13"/>
      <c r="C255" s="13"/>
      <c r="D255" s="54" t="s">
        <v>3083</v>
      </c>
      <c r="E255" s="196"/>
      <c r="F255" s="196"/>
      <c r="G255" s="83">
        <v>35.540999999999997</v>
      </c>
      <c r="H255" s="31"/>
      <c r="I255" s="5"/>
    </row>
    <row r="256" spans="1:9" ht="12.2" customHeight="1" x14ac:dyDescent="0.2">
      <c r="A256" s="4"/>
      <c r="B256" s="13"/>
      <c r="C256" s="13"/>
      <c r="D256" s="54" t="s">
        <v>3084</v>
      </c>
      <c r="E256" s="196"/>
      <c r="F256" s="196"/>
      <c r="G256" s="83">
        <v>109.556</v>
      </c>
      <c r="H256" s="31"/>
      <c r="I256" s="5"/>
    </row>
    <row r="257" spans="1:9" ht="12.2" customHeight="1" x14ac:dyDescent="0.2">
      <c r="A257" s="4"/>
      <c r="B257" s="13"/>
      <c r="C257" s="13"/>
      <c r="D257" s="54" t="s">
        <v>3085</v>
      </c>
      <c r="E257" s="196"/>
      <c r="F257" s="196"/>
      <c r="G257" s="83">
        <v>123.71</v>
      </c>
      <c r="H257" s="31"/>
      <c r="I257" s="5"/>
    </row>
    <row r="258" spans="1:9" ht="12.2" customHeight="1" x14ac:dyDescent="0.2">
      <c r="A258" s="4"/>
      <c r="B258" s="13"/>
      <c r="C258" s="13"/>
      <c r="D258" s="54" t="s">
        <v>3086</v>
      </c>
      <c r="E258" s="196"/>
      <c r="F258" s="196"/>
      <c r="G258" s="83">
        <v>96.302000000000007</v>
      </c>
      <c r="H258" s="31"/>
      <c r="I258" s="5"/>
    </row>
    <row r="259" spans="1:9" ht="12.2" customHeight="1" x14ac:dyDescent="0.2">
      <c r="A259" s="4"/>
      <c r="B259" s="13"/>
      <c r="C259" s="13"/>
      <c r="D259" s="54" t="s">
        <v>3087</v>
      </c>
      <c r="E259" s="196"/>
      <c r="F259" s="196"/>
      <c r="G259" s="83">
        <v>111.675</v>
      </c>
      <c r="H259" s="31"/>
      <c r="I259" s="5"/>
    </row>
    <row r="260" spans="1:9" x14ac:dyDescent="0.2">
      <c r="A260" s="4" t="s">
        <v>126</v>
      </c>
      <c r="B260" s="13" t="s">
        <v>2894</v>
      </c>
      <c r="C260" s="13" t="s">
        <v>1030</v>
      </c>
      <c r="D260" s="174" t="s">
        <v>1957</v>
      </c>
      <c r="E260" s="175"/>
      <c r="F260" s="13" t="s">
        <v>2854</v>
      </c>
      <c r="G260" s="82">
        <v>779.56899999999996</v>
      </c>
      <c r="H260" s="62">
        <v>0</v>
      </c>
      <c r="I260" s="5"/>
    </row>
    <row r="261" spans="1:9" ht="12.2" customHeight="1" x14ac:dyDescent="0.2">
      <c r="A261" s="5"/>
      <c r="D261" s="54" t="s">
        <v>3080</v>
      </c>
      <c r="E261" s="196"/>
      <c r="F261" s="197"/>
      <c r="G261" s="57">
        <v>120.642</v>
      </c>
      <c r="H261" s="63"/>
      <c r="I261" s="5"/>
    </row>
    <row r="262" spans="1:9" ht="12.2" customHeight="1" x14ac:dyDescent="0.2">
      <c r="A262" s="4"/>
      <c r="B262" s="13"/>
      <c r="C262" s="13"/>
      <c r="D262" s="54" t="s">
        <v>3081</v>
      </c>
      <c r="E262" s="196"/>
      <c r="F262" s="196"/>
      <c r="G262" s="83">
        <v>71.983999999999995</v>
      </c>
      <c r="H262" s="31"/>
      <c r="I262" s="5"/>
    </row>
    <row r="263" spans="1:9" ht="12.2" customHeight="1" x14ac:dyDescent="0.2">
      <c r="A263" s="4"/>
      <c r="B263" s="13"/>
      <c r="C263" s="13"/>
      <c r="D263" s="54" t="s">
        <v>3082</v>
      </c>
      <c r="E263" s="196"/>
      <c r="F263" s="196"/>
      <c r="G263" s="83">
        <v>110.15900000000001</v>
      </c>
      <c r="H263" s="31"/>
      <c r="I263" s="5"/>
    </row>
    <row r="264" spans="1:9" ht="12.2" customHeight="1" x14ac:dyDescent="0.2">
      <c r="A264" s="4"/>
      <c r="B264" s="13"/>
      <c r="C264" s="13"/>
      <c r="D264" s="54" t="s">
        <v>3083</v>
      </c>
      <c r="E264" s="196"/>
      <c r="F264" s="196"/>
      <c r="G264" s="83">
        <v>35.540999999999997</v>
      </c>
      <c r="H264" s="31"/>
      <c r="I264" s="5"/>
    </row>
    <row r="265" spans="1:9" ht="12.2" customHeight="1" x14ac:dyDescent="0.2">
      <c r="A265" s="4"/>
      <c r="B265" s="13"/>
      <c r="C265" s="13"/>
      <c r="D265" s="54" t="s">
        <v>3084</v>
      </c>
      <c r="E265" s="196"/>
      <c r="F265" s="196"/>
      <c r="G265" s="83">
        <v>109.556</v>
      </c>
      <c r="H265" s="31"/>
      <c r="I265" s="5"/>
    </row>
    <row r="266" spans="1:9" ht="12.2" customHeight="1" x14ac:dyDescent="0.2">
      <c r="A266" s="4"/>
      <c r="B266" s="13"/>
      <c r="C266" s="13"/>
      <c r="D266" s="54" t="s">
        <v>3085</v>
      </c>
      <c r="E266" s="196"/>
      <c r="F266" s="196"/>
      <c r="G266" s="83">
        <v>123.71</v>
      </c>
      <c r="H266" s="31"/>
      <c r="I266" s="5"/>
    </row>
    <row r="267" spans="1:9" ht="12.2" customHeight="1" x14ac:dyDescent="0.2">
      <c r="A267" s="4"/>
      <c r="B267" s="13"/>
      <c r="C267" s="13"/>
      <c r="D267" s="54" t="s">
        <v>3086</v>
      </c>
      <c r="E267" s="196"/>
      <c r="F267" s="196"/>
      <c r="G267" s="83">
        <v>96.302000000000007</v>
      </c>
      <c r="H267" s="31"/>
      <c r="I267" s="5"/>
    </row>
    <row r="268" spans="1:9" ht="12.2" customHeight="1" x14ac:dyDescent="0.2">
      <c r="A268" s="4"/>
      <c r="B268" s="13"/>
      <c r="C268" s="13"/>
      <c r="D268" s="54" t="s">
        <v>3087</v>
      </c>
      <c r="E268" s="196"/>
      <c r="F268" s="196"/>
      <c r="G268" s="83">
        <v>111.675</v>
      </c>
      <c r="H268" s="31"/>
      <c r="I268" s="5"/>
    </row>
    <row r="269" spans="1:9" x14ac:dyDescent="0.2">
      <c r="A269" s="4" t="s">
        <v>127</v>
      </c>
      <c r="B269" s="13" t="s">
        <v>2894</v>
      </c>
      <c r="C269" s="13" t="s">
        <v>1031</v>
      </c>
      <c r="D269" s="174" t="s">
        <v>1958</v>
      </c>
      <c r="E269" s="175"/>
      <c r="F269" s="13" t="s">
        <v>2855</v>
      </c>
      <c r="G269" s="82">
        <v>212.2</v>
      </c>
      <c r="H269" s="62">
        <v>0</v>
      </c>
      <c r="I269" s="5"/>
    </row>
    <row r="270" spans="1:9" ht="12.2" customHeight="1" x14ac:dyDescent="0.2">
      <c r="A270" s="5"/>
      <c r="D270" s="54" t="s">
        <v>3088</v>
      </c>
      <c r="E270" s="196"/>
      <c r="F270" s="197"/>
      <c r="G270" s="57">
        <v>212.2</v>
      </c>
      <c r="H270" s="63"/>
      <c r="I270" s="5"/>
    </row>
    <row r="271" spans="1:9" x14ac:dyDescent="0.2">
      <c r="A271" s="4" t="s">
        <v>128</v>
      </c>
      <c r="B271" s="13" t="s">
        <v>2894</v>
      </c>
      <c r="C271" s="13" t="s">
        <v>1032</v>
      </c>
      <c r="D271" s="174" t="s">
        <v>1959</v>
      </c>
      <c r="E271" s="175"/>
      <c r="F271" s="13" t="s">
        <v>2854</v>
      </c>
      <c r="G271" s="82">
        <v>106.35</v>
      </c>
      <c r="H271" s="62">
        <v>0</v>
      </c>
      <c r="I271" s="5"/>
    </row>
    <row r="272" spans="1:9" ht="12.2" customHeight="1" x14ac:dyDescent="0.2">
      <c r="A272" s="5"/>
      <c r="D272" s="54" t="s">
        <v>3089</v>
      </c>
      <c r="E272" s="196"/>
      <c r="F272" s="197"/>
      <c r="G272" s="57">
        <v>106.35</v>
      </c>
      <c r="H272" s="63"/>
      <c r="I272" s="5"/>
    </row>
    <row r="273" spans="1:9" x14ac:dyDescent="0.2">
      <c r="A273" s="4" t="s">
        <v>129</v>
      </c>
      <c r="B273" s="13" t="s">
        <v>2894</v>
      </c>
      <c r="C273" s="13" t="s">
        <v>1033</v>
      </c>
      <c r="D273" s="174" t="s">
        <v>1960</v>
      </c>
      <c r="E273" s="175"/>
      <c r="F273" s="13" t="s">
        <v>2854</v>
      </c>
      <c r="G273" s="82">
        <v>500.2</v>
      </c>
      <c r="H273" s="62">
        <v>0</v>
      </c>
      <c r="I273" s="5"/>
    </row>
    <row r="274" spans="1:9" ht="12.2" customHeight="1" x14ac:dyDescent="0.2">
      <c r="A274" s="5"/>
      <c r="D274" s="54" t="s">
        <v>3090</v>
      </c>
      <c r="E274" s="196"/>
      <c r="F274" s="197"/>
      <c r="G274" s="57">
        <v>500.2</v>
      </c>
      <c r="H274" s="63"/>
      <c r="I274" s="5"/>
    </row>
    <row r="275" spans="1:9" x14ac:dyDescent="0.2">
      <c r="A275" s="4" t="s">
        <v>130</v>
      </c>
      <c r="B275" s="13" t="s">
        <v>2894</v>
      </c>
      <c r="C275" s="13" t="s">
        <v>1034</v>
      </c>
      <c r="D275" s="174" t="s">
        <v>1961</v>
      </c>
      <c r="E275" s="175"/>
      <c r="F275" s="13" t="s">
        <v>2855</v>
      </c>
      <c r="G275" s="82">
        <v>212.2</v>
      </c>
      <c r="H275" s="62">
        <v>0</v>
      </c>
      <c r="I275" s="5"/>
    </row>
    <row r="276" spans="1:9" ht="12.2" customHeight="1" x14ac:dyDescent="0.2">
      <c r="A276" s="5"/>
      <c r="D276" s="54" t="s">
        <v>3088</v>
      </c>
      <c r="E276" s="196"/>
      <c r="F276" s="197"/>
      <c r="G276" s="57">
        <v>212.2</v>
      </c>
      <c r="H276" s="63"/>
      <c r="I276" s="5"/>
    </row>
    <row r="277" spans="1:9" x14ac:dyDescent="0.2">
      <c r="A277" s="4" t="s">
        <v>131</v>
      </c>
      <c r="B277" s="13" t="s">
        <v>2894</v>
      </c>
      <c r="C277" s="13" t="s">
        <v>1035</v>
      </c>
      <c r="D277" s="174" t="s">
        <v>1962</v>
      </c>
      <c r="E277" s="175"/>
      <c r="F277" s="13" t="s">
        <v>2854</v>
      </c>
      <c r="G277" s="82">
        <v>108.523</v>
      </c>
      <c r="H277" s="62">
        <v>0</v>
      </c>
      <c r="I277" s="5"/>
    </row>
    <row r="278" spans="1:9" ht="12.2" customHeight="1" x14ac:dyDescent="0.2">
      <c r="A278" s="5"/>
      <c r="D278" s="54" t="s">
        <v>3091</v>
      </c>
      <c r="E278" s="196"/>
      <c r="F278" s="197"/>
      <c r="G278" s="57">
        <v>108.523</v>
      </c>
      <c r="H278" s="63"/>
      <c r="I278" s="5"/>
    </row>
    <row r="279" spans="1:9" x14ac:dyDescent="0.2">
      <c r="A279" s="4" t="s">
        <v>132</v>
      </c>
      <c r="B279" s="13" t="s">
        <v>2894</v>
      </c>
      <c r="C279" s="13" t="s">
        <v>1036</v>
      </c>
      <c r="D279" s="174" t="s">
        <v>1963</v>
      </c>
      <c r="E279" s="175"/>
      <c r="F279" s="13" t="s">
        <v>2854</v>
      </c>
      <c r="G279" s="82">
        <v>61.26</v>
      </c>
      <c r="H279" s="62">
        <v>0</v>
      </c>
      <c r="I279" s="5"/>
    </row>
    <row r="280" spans="1:9" ht="12.2" customHeight="1" x14ac:dyDescent="0.2">
      <c r="A280" s="5"/>
      <c r="D280" s="54" t="s">
        <v>3092</v>
      </c>
      <c r="E280" s="196"/>
      <c r="F280" s="197"/>
      <c r="G280" s="57">
        <v>53.05</v>
      </c>
      <c r="H280" s="63"/>
      <c r="I280" s="5"/>
    </row>
    <row r="281" spans="1:9" ht="12.2" customHeight="1" x14ac:dyDescent="0.2">
      <c r="A281" s="4"/>
      <c r="B281" s="13"/>
      <c r="C281" s="13"/>
      <c r="D281" s="54" t="s">
        <v>3093</v>
      </c>
      <c r="E281" s="196"/>
      <c r="F281" s="196"/>
      <c r="G281" s="83">
        <v>-1.2</v>
      </c>
      <c r="H281" s="31"/>
      <c r="I281" s="5"/>
    </row>
    <row r="282" spans="1:9" ht="12.2" customHeight="1" x14ac:dyDescent="0.2">
      <c r="A282" s="4"/>
      <c r="B282" s="13"/>
      <c r="C282" s="13"/>
      <c r="D282" s="54" t="s">
        <v>3094</v>
      </c>
      <c r="E282" s="196"/>
      <c r="F282" s="196"/>
      <c r="G282" s="83">
        <v>9.41</v>
      </c>
      <c r="H282" s="31"/>
      <c r="I282" s="5"/>
    </row>
    <row r="283" spans="1:9" x14ac:dyDescent="0.2">
      <c r="A283" s="4" t="s">
        <v>133</v>
      </c>
      <c r="B283" s="13" t="s">
        <v>2894</v>
      </c>
      <c r="C283" s="13" t="s">
        <v>1037</v>
      </c>
      <c r="D283" s="174" t="s">
        <v>1964</v>
      </c>
      <c r="E283" s="175"/>
      <c r="F283" s="13" t="s">
        <v>2854</v>
      </c>
      <c r="G283" s="82">
        <v>112.28</v>
      </c>
      <c r="H283" s="62">
        <v>0</v>
      </c>
      <c r="I283" s="5"/>
    </row>
    <row r="284" spans="1:9" ht="12.2" customHeight="1" x14ac:dyDescent="0.2">
      <c r="A284" s="5"/>
      <c r="D284" s="54" t="s">
        <v>3095</v>
      </c>
      <c r="E284" s="196"/>
      <c r="F284" s="197"/>
      <c r="G284" s="57">
        <v>112.28</v>
      </c>
      <c r="H284" s="63"/>
      <c r="I284" s="5"/>
    </row>
    <row r="285" spans="1:9" x14ac:dyDescent="0.2">
      <c r="A285" s="4" t="s">
        <v>134</v>
      </c>
      <c r="B285" s="13" t="s">
        <v>2894</v>
      </c>
      <c r="C285" s="13" t="s">
        <v>1038</v>
      </c>
      <c r="D285" s="174" t="s">
        <v>1965</v>
      </c>
      <c r="E285" s="175"/>
      <c r="F285" s="13" t="s">
        <v>2854</v>
      </c>
      <c r="G285" s="82">
        <v>8.375</v>
      </c>
      <c r="H285" s="62">
        <v>0</v>
      </c>
      <c r="I285" s="5"/>
    </row>
    <row r="286" spans="1:9" ht="12.2" customHeight="1" x14ac:dyDescent="0.2">
      <c r="A286" s="5"/>
      <c r="D286" s="54" t="s">
        <v>3096</v>
      </c>
      <c r="E286" s="196"/>
      <c r="F286" s="197"/>
      <c r="G286" s="57">
        <v>8.375</v>
      </c>
      <c r="H286" s="63"/>
      <c r="I286" s="5"/>
    </row>
    <row r="287" spans="1:9" x14ac:dyDescent="0.2">
      <c r="A287" s="4" t="s">
        <v>135</v>
      </c>
      <c r="B287" s="13" t="s">
        <v>2894</v>
      </c>
      <c r="C287" s="13" t="s">
        <v>1039</v>
      </c>
      <c r="D287" s="174" t="s">
        <v>1966</v>
      </c>
      <c r="E287" s="175"/>
      <c r="F287" s="13" t="s">
        <v>2855</v>
      </c>
      <c r="G287" s="82">
        <v>270.3</v>
      </c>
      <c r="H287" s="62">
        <v>0</v>
      </c>
      <c r="I287" s="5"/>
    </row>
    <row r="288" spans="1:9" ht="12.2" customHeight="1" x14ac:dyDescent="0.2">
      <c r="A288" s="5"/>
      <c r="D288" s="54" t="s">
        <v>3097</v>
      </c>
      <c r="E288" s="196"/>
      <c r="F288" s="197"/>
      <c r="G288" s="57">
        <v>270.3</v>
      </c>
      <c r="H288" s="63"/>
      <c r="I288" s="5"/>
    </row>
    <row r="289" spans="1:9" x14ac:dyDescent="0.2">
      <c r="A289" s="4" t="s">
        <v>136</v>
      </c>
      <c r="B289" s="13" t="s">
        <v>2894</v>
      </c>
      <c r="C289" s="13" t="s">
        <v>1040</v>
      </c>
      <c r="D289" s="174" t="s">
        <v>1967</v>
      </c>
      <c r="E289" s="175"/>
      <c r="F289" s="13" t="s">
        <v>2854</v>
      </c>
      <c r="G289" s="82">
        <v>840.82899999999995</v>
      </c>
      <c r="H289" s="62">
        <v>0</v>
      </c>
      <c r="I289" s="5"/>
    </row>
    <row r="290" spans="1:9" ht="12.2" customHeight="1" x14ac:dyDescent="0.2">
      <c r="A290" s="5"/>
      <c r="D290" s="54" t="s">
        <v>3098</v>
      </c>
      <c r="E290" s="196"/>
      <c r="F290" s="197"/>
      <c r="G290" s="57">
        <v>840.82899999999995</v>
      </c>
      <c r="H290" s="63"/>
      <c r="I290" s="5"/>
    </row>
    <row r="291" spans="1:9" x14ac:dyDescent="0.2">
      <c r="A291" s="4" t="s">
        <v>137</v>
      </c>
      <c r="B291" s="13" t="s">
        <v>2894</v>
      </c>
      <c r="C291" s="13" t="s">
        <v>1041</v>
      </c>
      <c r="D291" s="174" t="s">
        <v>1968</v>
      </c>
      <c r="E291" s="175"/>
      <c r="F291" s="13" t="s">
        <v>2854</v>
      </c>
      <c r="G291" s="82">
        <v>19.074999999999999</v>
      </c>
      <c r="H291" s="62">
        <v>0</v>
      </c>
      <c r="I291" s="5"/>
    </row>
    <row r="292" spans="1:9" ht="12.2" customHeight="1" x14ac:dyDescent="0.2">
      <c r="A292" s="5"/>
      <c r="D292" s="54" t="s">
        <v>3099</v>
      </c>
      <c r="E292" s="196"/>
      <c r="F292" s="197"/>
      <c r="G292" s="57">
        <v>19.074999999999999</v>
      </c>
      <c r="H292" s="63"/>
      <c r="I292" s="5"/>
    </row>
    <row r="293" spans="1:9" x14ac:dyDescent="0.2">
      <c r="A293" s="4" t="s">
        <v>138</v>
      </c>
      <c r="B293" s="13" t="s">
        <v>2894</v>
      </c>
      <c r="C293" s="13" t="s">
        <v>1042</v>
      </c>
      <c r="D293" s="174" t="s">
        <v>1970</v>
      </c>
      <c r="E293" s="175"/>
      <c r="F293" s="13" t="s">
        <v>2854</v>
      </c>
      <c r="G293" s="82">
        <v>106.35</v>
      </c>
      <c r="H293" s="62">
        <v>0</v>
      </c>
      <c r="I293" s="5"/>
    </row>
    <row r="294" spans="1:9" ht="12.2" customHeight="1" x14ac:dyDescent="0.2">
      <c r="A294" s="5"/>
      <c r="D294" s="54" t="s">
        <v>3089</v>
      </c>
      <c r="E294" s="196"/>
      <c r="F294" s="197"/>
      <c r="G294" s="57">
        <v>106.35</v>
      </c>
      <c r="H294" s="63"/>
      <c r="I294" s="5"/>
    </row>
    <row r="295" spans="1:9" x14ac:dyDescent="0.2">
      <c r="A295" s="4" t="s">
        <v>139</v>
      </c>
      <c r="B295" s="13" t="s">
        <v>2894</v>
      </c>
      <c r="C295" s="13" t="s">
        <v>1043</v>
      </c>
      <c r="D295" s="174" t="s">
        <v>1971</v>
      </c>
      <c r="E295" s="175"/>
      <c r="F295" s="13" t="s">
        <v>2855</v>
      </c>
      <c r="G295" s="82">
        <v>30</v>
      </c>
      <c r="H295" s="62">
        <v>0</v>
      </c>
      <c r="I295" s="5"/>
    </row>
    <row r="296" spans="1:9" ht="12.2" customHeight="1" x14ac:dyDescent="0.2">
      <c r="A296" s="5"/>
      <c r="D296" s="54" t="s">
        <v>36</v>
      </c>
      <c r="E296" s="196"/>
      <c r="F296" s="197"/>
      <c r="G296" s="57">
        <v>30</v>
      </c>
      <c r="H296" s="63"/>
      <c r="I296" s="5"/>
    </row>
    <row r="297" spans="1:9" x14ac:dyDescent="0.2">
      <c r="A297" s="4" t="s">
        <v>140</v>
      </c>
      <c r="B297" s="13" t="s">
        <v>2894</v>
      </c>
      <c r="C297" s="13" t="s">
        <v>1044</v>
      </c>
      <c r="D297" s="174" t="s">
        <v>1972</v>
      </c>
      <c r="E297" s="175"/>
      <c r="F297" s="13" t="s">
        <v>2854</v>
      </c>
      <c r="G297" s="82">
        <v>36.405000000000001</v>
      </c>
      <c r="H297" s="62">
        <v>0</v>
      </c>
      <c r="I297" s="5"/>
    </row>
    <row r="298" spans="1:9" ht="12.2" customHeight="1" x14ac:dyDescent="0.2">
      <c r="A298" s="5"/>
      <c r="D298" s="54" t="s">
        <v>3100</v>
      </c>
      <c r="E298" s="196"/>
      <c r="F298" s="197"/>
      <c r="G298" s="57">
        <v>36.405000000000001</v>
      </c>
      <c r="H298" s="63"/>
      <c r="I298" s="5"/>
    </row>
    <row r="299" spans="1:9" x14ac:dyDescent="0.2">
      <c r="A299" s="4" t="s">
        <v>141</v>
      </c>
      <c r="B299" s="13" t="s">
        <v>2894</v>
      </c>
      <c r="C299" s="13" t="s">
        <v>1045</v>
      </c>
      <c r="D299" s="174" t="s">
        <v>1974</v>
      </c>
      <c r="E299" s="175"/>
      <c r="F299" s="13" t="s">
        <v>2854</v>
      </c>
      <c r="G299" s="82">
        <v>142.45599999999999</v>
      </c>
      <c r="H299" s="62">
        <v>0</v>
      </c>
      <c r="I299" s="5"/>
    </row>
    <row r="300" spans="1:9" ht="12.2" customHeight="1" x14ac:dyDescent="0.2">
      <c r="A300" s="5"/>
      <c r="D300" s="54" t="s">
        <v>3101</v>
      </c>
      <c r="E300" s="196"/>
      <c r="F300" s="197"/>
      <c r="G300" s="57">
        <v>142.45599999999999</v>
      </c>
      <c r="H300" s="63"/>
      <c r="I300" s="5"/>
    </row>
    <row r="301" spans="1:9" x14ac:dyDescent="0.2">
      <c r="A301" s="4" t="s">
        <v>142</v>
      </c>
      <c r="B301" s="13" t="s">
        <v>2894</v>
      </c>
      <c r="C301" s="13" t="s">
        <v>1046</v>
      </c>
      <c r="D301" s="174" t="s">
        <v>1976</v>
      </c>
      <c r="E301" s="175"/>
      <c r="F301" s="13" t="s">
        <v>2855</v>
      </c>
      <c r="G301" s="82">
        <v>33.5</v>
      </c>
      <c r="H301" s="62">
        <v>0</v>
      </c>
      <c r="I301" s="5"/>
    </row>
    <row r="302" spans="1:9" ht="12.2" customHeight="1" x14ac:dyDescent="0.2">
      <c r="A302" s="5"/>
      <c r="D302" s="54" t="s">
        <v>3102</v>
      </c>
      <c r="E302" s="196"/>
      <c r="F302" s="197"/>
      <c r="G302" s="57">
        <v>33.5</v>
      </c>
      <c r="H302" s="63"/>
      <c r="I302" s="5"/>
    </row>
    <row r="303" spans="1:9" x14ac:dyDescent="0.2">
      <c r="A303" s="4" t="s">
        <v>143</v>
      </c>
      <c r="B303" s="13" t="s">
        <v>2894</v>
      </c>
      <c r="C303" s="13" t="s">
        <v>1047</v>
      </c>
      <c r="D303" s="174" t="s">
        <v>1977</v>
      </c>
      <c r="E303" s="175"/>
      <c r="F303" s="13" t="s">
        <v>2855</v>
      </c>
      <c r="G303" s="82">
        <v>33.5</v>
      </c>
      <c r="H303" s="62">
        <v>0</v>
      </c>
      <c r="I303" s="5"/>
    </row>
    <row r="304" spans="1:9" ht="12.2" customHeight="1" x14ac:dyDescent="0.2">
      <c r="A304" s="5"/>
      <c r="D304" s="54" t="s">
        <v>3102</v>
      </c>
      <c r="E304" s="196"/>
      <c r="F304" s="197"/>
      <c r="G304" s="57">
        <v>33.5</v>
      </c>
      <c r="H304" s="63"/>
      <c r="I304" s="5"/>
    </row>
    <row r="305" spans="1:9" x14ac:dyDescent="0.2">
      <c r="A305" s="4" t="s">
        <v>144</v>
      </c>
      <c r="B305" s="13" t="s">
        <v>2894</v>
      </c>
      <c r="C305" s="13" t="s">
        <v>1048</v>
      </c>
      <c r="D305" s="174" t="s">
        <v>1978</v>
      </c>
      <c r="E305" s="175"/>
      <c r="F305" s="13" t="s">
        <v>2854</v>
      </c>
      <c r="G305" s="82">
        <v>284.92200000000003</v>
      </c>
      <c r="H305" s="62">
        <v>0</v>
      </c>
      <c r="I305" s="5"/>
    </row>
    <row r="306" spans="1:9" ht="12.2" customHeight="1" x14ac:dyDescent="0.2">
      <c r="A306" s="5"/>
      <c r="D306" s="54" t="s">
        <v>3103</v>
      </c>
      <c r="E306" s="196"/>
      <c r="F306" s="197"/>
      <c r="G306" s="57">
        <v>387.17200000000003</v>
      </c>
      <c r="H306" s="63"/>
      <c r="I306" s="5"/>
    </row>
    <row r="307" spans="1:9" ht="12.2" customHeight="1" x14ac:dyDescent="0.2">
      <c r="A307" s="4"/>
      <c r="B307" s="13"/>
      <c r="C307" s="13"/>
      <c r="D307" s="54" t="s">
        <v>3104</v>
      </c>
      <c r="E307" s="196"/>
      <c r="F307" s="196"/>
      <c r="G307" s="83">
        <v>-102.25</v>
      </c>
      <c r="H307" s="31"/>
      <c r="I307" s="5"/>
    </row>
    <row r="308" spans="1:9" x14ac:dyDescent="0.2">
      <c r="A308" s="4" t="s">
        <v>145</v>
      </c>
      <c r="B308" s="13" t="s">
        <v>2894</v>
      </c>
      <c r="C308" s="13" t="s">
        <v>1049</v>
      </c>
      <c r="D308" s="174" t="s">
        <v>1980</v>
      </c>
      <c r="E308" s="175"/>
      <c r="F308" s="13" t="s">
        <v>2854</v>
      </c>
      <c r="G308" s="82">
        <v>33.951999999999998</v>
      </c>
      <c r="H308" s="62">
        <v>0</v>
      </c>
      <c r="I308" s="5"/>
    </row>
    <row r="309" spans="1:9" ht="12.2" customHeight="1" x14ac:dyDescent="0.2">
      <c r="A309" s="5"/>
      <c r="D309" s="54" t="s">
        <v>3105</v>
      </c>
      <c r="E309" s="196"/>
      <c r="F309" s="197"/>
      <c r="G309" s="57">
        <v>33.951999999999998</v>
      </c>
      <c r="H309" s="63"/>
      <c r="I309" s="5"/>
    </row>
    <row r="310" spans="1:9" x14ac:dyDescent="0.2">
      <c r="A310" s="4" t="s">
        <v>146</v>
      </c>
      <c r="B310" s="13" t="s">
        <v>2894</v>
      </c>
      <c r="C310" s="13" t="s">
        <v>1050</v>
      </c>
      <c r="D310" s="174" t="s">
        <v>1981</v>
      </c>
      <c r="E310" s="175"/>
      <c r="F310" s="13" t="s">
        <v>2854</v>
      </c>
      <c r="G310" s="82">
        <v>463.78300000000002</v>
      </c>
      <c r="H310" s="62">
        <v>0</v>
      </c>
      <c r="I310" s="5"/>
    </row>
    <row r="311" spans="1:9" ht="12.2" customHeight="1" x14ac:dyDescent="0.2">
      <c r="A311" s="5"/>
      <c r="D311" s="54" t="s">
        <v>3106</v>
      </c>
      <c r="E311" s="196"/>
      <c r="F311" s="197"/>
      <c r="G311" s="57">
        <v>463.78300000000002</v>
      </c>
      <c r="H311" s="63"/>
      <c r="I311" s="5"/>
    </row>
    <row r="312" spans="1:9" x14ac:dyDescent="0.2">
      <c r="A312" s="4" t="s">
        <v>147</v>
      </c>
      <c r="B312" s="13" t="s">
        <v>2894</v>
      </c>
      <c r="C312" s="13" t="s">
        <v>1051</v>
      </c>
      <c r="D312" s="174" t="s">
        <v>1982</v>
      </c>
      <c r="E312" s="175"/>
      <c r="F312" s="13" t="s">
        <v>2855</v>
      </c>
      <c r="G312" s="82">
        <v>212.2</v>
      </c>
      <c r="H312" s="62">
        <v>0</v>
      </c>
      <c r="I312" s="5"/>
    </row>
    <row r="313" spans="1:9" ht="12.2" customHeight="1" x14ac:dyDescent="0.2">
      <c r="A313" s="5"/>
      <c r="D313" s="54" t="s">
        <v>3088</v>
      </c>
      <c r="E313" s="196"/>
      <c r="F313" s="197"/>
      <c r="G313" s="57">
        <v>212.2</v>
      </c>
      <c r="H313" s="63"/>
      <c r="I313" s="5"/>
    </row>
    <row r="314" spans="1:9" x14ac:dyDescent="0.2">
      <c r="A314" s="4" t="s">
        <v>148</v>
      </c>
      <c r="B314" s="13" t="s">
        <v>2894</v>
      </c>
      <c r="C314" s="13" t="s">
        <v>1052</v>
      </c>
      <c r="D314" s="174" t="s">
        <v>1983</v>
      </c>
      <c r="E314" s="175"/>
      <c r="F314" s="13" t="s">
        <v>2855</v>
      </c>
      <c r="G314" s="82">
        <v>33.5</v>
      </c>
      <c r="H314" s="62">
        <v>0</v>
      </c>
      <c r="I314" s="5"/>
    </row>
    <row r="315" spans="1:9" ht="12.2" customHeight="1" x14ac:dyDescent="0.2">
      <c r="A315" s="5"/>
      <c r="D315" s="54" t="s">
        <v>3102</v>
      </c>
      <c r="E315" s="196"/>
      <c r="F315" s="197"/>
      <c r="G315" s="57">
        <v>33.5</v>
      </c>
      <c r="H315" s="63"/>
      <c r="I315" s="5"/>
    </row>
    <row r="316" spans="1:9" x14ac:dyDescent="0.2">
      <c r="A316" s="4" t="s">
        <v>149</v>
      </c>
      <c r="B316" s="13" t="s">
        <v>2894</v>
      </c>
      <c r="C316" s="13" t="s">
        <v>1053</v>
      </c>
      <c r="D316" s="174" t="s">
        <v>1984</v>
      </c>
      <c r="E316" s="175"/>
      <c r="F316" s="13" t="s">
        <v>2855</v>
      </c>
      <c r="G316" s="82">
        <v>212.2</v>
      </c>
      <c r="H316" s="62">
        <v>0</v>
      </c>
      <c r="I316" s="5"/>
    </row>
    <row r="317" spans="1:9" ht="12.2" customHeight="1" x14ac:dyDescent="0.2">
      <c r="A317" s="5"/>
      <c r="D317" s="54" t="s">
        <v>3088</v>
      </c>
      <c r="E317" s="196"/>
      <c r="F317" s="197"/>
      <c r="G317" s="57">
        <v>212.2</v>
      </c>
      <c r="H317" s="63"/>
      <c r="I317" s="5"/>
    </row>
    <row r="318" spans="1:9" x14ac:dyDescent="0.2">
      <c r="A318" s="4" t="s">
        <v>150</v>
      </c>
      <c r="B318" s="13" t="s">
        <v>2894</v>
      </c>
      <c r="C318" s="13" t="s">
        <v>1054</v>
      </c>
      <c r="D318" s="174" t="s">
        <v>1986</v>
      </c>
      <c r="E318" s="175"/>
      <c r="F318" s="13" t="s">
        <v>2853</v>
      </c>
      <c r="G318" s="82">
        <v>6.2119999999999997</v>
      </c>
      <c r="H318" s="62">
        <v>0</v>
      </c>
      <c r="I318" s="5"/>
    </row>
    <row r="319" spans="1:9" ht="12.2" customHeight="1" x14ac:dyDescent="0.2">
      <c r="A319" s="5"/>
      <c r="D319" s="54" t="s">
        <v>3107</v>
      </c>
      <c r="E319" s="196"/>
      <c r="F319" s="197"/>
      <c r="G319" s="57">
        <v>5.9160000000000004</v>
      </c>
      <c r="H319" s="63"/>
      <c r="I319" s="5"/>
    </row>
    <row r="320" spans="1:9" ht="12.2" customHeight="1" x14ac:dyDescent="0.2">
      <c r="A320" s="4"/>
      <c r="B320" s="13"/>
      <c r="C320" s="13"/>
      <c r="D320" s="54" t="s">
        <v>3108</v>
      </c>
      <c r="E320" s="196"/>
      <c r="F320" s="196"/>
      <c r="G320" s="83">
        <v>0.29599999999999999</v>
      </c>
      <c r="H320" s="31"/>
      <c r="I320" s="5"/>
    </row>
    <row r="321" spans="1:9" x14ac:dyDescent="0.2">
      <c r="A321" s="4" t="s">
        <v>151</v>
      </c>
      <c r="B321" s="13" t="s">
        <v>2894</v>
      </c>
      <c r="C321" s="13" t="s">
        <v>1055</v>
      </c>
      <c r="D321" s="174" t="s">
        <v>1987</v>
      </c>
      <c r="E321" s="175"/>
      <c r="F321" s="13" t="s">
        <v>2854</v>
      </c>
      <c r="G321" s="82">
        <v>93</v>
      </c>
      <c r="H321" s="62">
        <v>0</v>
      </c>
      <c r="I321" s="5"/>
    </row>
    <row r="322" spans="1:9" ht="12.2" customHeight="1" x14ac:dyDescent="0.2">
      <c r="A322" s="5"/>
      <c r="D322" s="54" t="s">
        <v>3109</v>
      </c>
      <c r="E322" s="196"/>
      <c r="F322" s="197"/>
      <c r="G322" s="57">
        <v>93</v>
      </c>
      <c r="H322" s="63"/>
      <c r="I322" s="5"/>
    </row>
    <row r="323" spans="1:9" x14ac:dyDescent="0.2">
      <c r="A323" s="4" t="s">
        <v>152</v>
      </c>
      <c r="B323" s="13" t="s">
        <v>2894</v>
      </c>
      <c r="C323" s="13" t="s">
        <v>1056</v>
      </c>
      <c r="D323" s="174" t="s">
        <v>1988</v>
      </c>
      <c r="E323" s="175"/>
      <c r="F323" s="13" t="s">
        <v>2854</v>
      </c>
      <c r="G323" s="82">
        <v>339.2</v>
      </c>
      <c r="H323" s="62">
        <v>0</v>
      </c>
      <c r="I323" s="5"/>
    </row>
    <row r="324" spans="1:9" ht="12.2" customHeight="1" x14ac:dyDescent="0.2">
      <c r="A324" s="5"/>
      <c r="D324" s="54" t="s">
        <v>3110</v>
      </c>
      <c r="E324" s="196"/>
      <c r="F324" s="197"/>
      <c r="G324" s="57">
        <v>317.39999999999998</v>
      </c>
      <c r="H324" s="63"/>
      <c r="I324" s="5"/>
    </row>
    <row r="325" spans="1:9" ht="12.2" customHeight="1" x14ac:dyDescent="0.2">
      <c r="A325" s="4"/>
      <c r="B325" s="13"/>
      <c r="C325" s="13"/>
      <c r="D325" s="54" t="s">
        <v>3111</v>
      </c>
      <c r="E325" s="196"/>
      <c r="F325" s="196"/>
      <c r="G325" s="83">
        <v>5.3</v>
      </c>
      <c r="H325" s="31"/>
      <c r="I325" s="5"/>
    </row>
    <row r="326" spans="1:9" ht="12.2" customHeight="1" x14ac:dyDescent="0.2">
      <c r="A326" s="4"/>
      <c r="B326" s="13"/>
      <c r="C326" s="13"/>
      <c r="D326" s="54" t="s">
        <v>3112</v>
      </c>
      <c r="E326" s="196"/>
      <c r="F326" s="196"/>
      <c r="G326" s="83">
        <v>16.5</v>
      </c>
      <c r="H326" s="31"/>
      <c r="I326" s="5"/>
    </row>
    <row r="327" spans="1:9" x14ac:dyDescent="0.2">
      <c r="A327" s="4" t="s">
        <v>153</v>
      </c>
      <c r="B327" s="13" t="s">
        <v>2894</v>
      </c>
      <c r="C327" s="13" t="s">
        <v>1057</v>
      </c>
      <c r="D327" s="174" t="s">
        <v>1989</v>
      </c>
      <c r="E327" s="175"/>
      <c r="F327" s="13" t="s">
        <v>2855</v>
      </c>
      <c r="G327" s="82">
        <v>414.20800000000003</v>
      </c>
      <c r="H327" s="62">
        <v>0</v>
      </c>
      <c r="I327" s="5"/>
    </row>
    <row r="328" spans="1:9" ht="12.2" customHeight="1" x14ac:dyDescent="0.2">
      <c r="A328" s="5"/>
      <c r="D328" s="54" t="s">
        <v>3113</v>
      </c>
      <c r="E328" s="196"/>
      <c r="F328" s="197"/>
      <c r="G328" s="57">
        <v>414.20800000000003</v>
      </c>
      <c r="H328" s="63"/>
      <c r="I328" s="5"/>
    </row>
    <row r="329" spans="1:9" x14ac:dyDescent="0.2">
      <c r="A329" s="6" t="s">
        <v>154</v>
      </c>
      <c r="B329" s="15" t="s">
        <v>2894</v>
      </c>
      <c r="C329" s="15" t="s">
        <v>1058</v>
      </c>
      <c r="D329" s="182" t="s">
        <v>1990</v>
      </c>
      <c r="E329" s="183"/>
      <c r="F329" s="15" t="s">
        <v>2855</v>
      </c>
      <c r="G329" s="84">
        <v>434.91800000000001</v>
      </c>
      <c r="H329" s="64">
        <v>0</v>
      </c>
      <c r="I329" s="5"/>
    </row>
    <row r="330" spans="1:9" ht="12.2" customHeight="1" x14ac:dyDescent="0.2">
      <c r="A330" s="5"/>
      <c r="D330" s="54" t="s">
        <v>3114</v>
      </c>
      <c r="E330" s="196"/>
      <c r="F330" s="197"/>
      <c r="G330" s="58">
        <v>414.20800000000003</v>
      </c>
      <c r="H330" s="63"/>
      <c r="I330" s="5"/>
    </row>
    <row r="331" spans="1:9" ht="12.2" customHeight="1" x14ac:dyDescent="0.2">
      <c r="A331" s="6"/>
      <c r="B331" s="15"/>
      <c r="C331" s="15"/>
      <c r="D331" s="54" t="s">
        <v>3115</v>
      </c>
      <c r="E331" s="196"/>
      <c r="F331" s="196"/>
      <c r="G331" s="85">
        <v>20.71</v>
      </c>
      <c r="H331" s="32"/>
      <c r="I331" s="5"/>
    </row>
    <row r="332" spans="1:9" x14ac:dyDescent="0.2">
      <c r="A332" s="4" t="s">
        <v>155</v>
      </c>
      <c r="B332" s="13" t="s">
        <v>2894</v>
      </c>
      <c r="C332" s="13" t="s">
        <v>1059</v>
      </c>
      <c r="D332" s="174" t="s">
        <v>1992</v>
      </c>
      <c r="E332" s="175"/>
      <c r="F332" s="13" t="s">
        <v>2857</v>
      </c>
      <c r="G332" s="82">
        <v>180</v>
      </c>
      <c r="H332" s="62">
        <v>0</v>
      </c>
      <c r="I332" s="5"/>
    </row>
    <row r="333" spans="1:9" ht="12.2" customHeight="1" x14ac:dyDescent="0.2">
      <c r="A333" s="5"/>
      <c r="D333" s="54" t="s">
        <v>186</v>
      </c>
      <c r="E333" s="196"/>
      <c r="F333" s="197"/>
      <c r="G333" s="57">
        <v>180</v>
      </c>
      <c r="H333" s="63"/>
      <c r="I333" s="5"/>
    </row>
    <row r="334" spans="1:9" x14ac:dyDescent="0.2">
      <c r="A334" s="4" t="s">
        <v>156</v>
      </c>
      <c r="B334" s="13" t="s">
        <v>2894</v>
      </c>
      <c r="C334" s="13" t="s">
        <v>1060</v>
      </c>
      <c r="D334" s="174" t="s">
        <v>1994</v>
      </c>
      <c r="E334" s="175"/>
      <c r="F334" s="13" t="s">
        <v>2855</v>
      </c>
      <c r="G334" s="82">
        <v>95</v>
      </c>
      <c r="H334" s="62">
        <v>0</v>
      </c>
      <c r="I334" s="5"/>
    </row>
    <row r="335" spans="1:9" ht="12.2" customHeight="1" x14ac:dyDescent="0.2">
      <c r="A335" s="5"/>
      <c r="D335" s="54" t="s">
        <v>101</v>
      </c>
      <c r="E335" s="196"/>
      <c r="F335" s="197"/>
      <c r="G335" s="57">
        <v>95</v>
      </c>
      <c r="H335" s="63"/>
      <c r="I335" s="5"/>
    </row>
    <row r="336" spans="1:9" x14ac:dyDescent="0.2">
      <c r="A336" s="6" t="s">
        <v>157</v>
      </c>
      <c r="B336" s="15" t="s">
        <v>2894</v>
      </c>
      <c r="C336" s="15" t="s">
        <v>1061</v>
      </c>
      <c r="D336" s="182" t="s">
        <v>1995</v>
      </c>
      <c r="E336" s="183"/>
      <c r="F336" s="15" t="s">
        <v>2852</v>
      </c>
      <c r="G336" s="84">
        <v>99.75</v>
      </c>
      <c r="H336" s="64">
        <v>0</v>
      </c>
      <c r="I336" s="5"/>
    </row>
    <row r="337" spans="1:9" ht="12.2" customHeight="1" x14ac:dyDescent="0.2">
      <c r="A337" s="5"/>
      <c r="D337" s="54" t="s">
        <v>101</v>
      </c>
      <c r="E337" s="196"/>
      <c r="F337" s="197"/>
      <c r="G337" s="58">
        <v>95</v>
      </c>
      <c r="H337" s="63"/>
      <c r="I337" s="5"/>
    </row>
    <row r="338" spans="1:9" ht="12.2" customHeight="1" x14ac:dyDescent="0.2">
      <c r="A338" s="6"/>
      <c r="B338" s="15"/>
      <c r="C338" s="15"/>
      <c r="D338" s="54" t="s">
        <v>3116</v>
      </c>
      <c r="E338" s="196"/>
      <c r="F338" s="196"/>
      <c r="G338" s="85">
        <v>4.75</v>
      </c>
      <c r="H338" s="32"/>
      <c r="I338" s="5"/>
    </row>
    <row r="339" spans="1:9" x14ac:dyDescent="0.2">
      <c r="A339" s="4" t="s">
        <v>158</v>
      </c>
      <c r="B339" s="13" t="s">
        <v>2894</v>
      </c>
      <c r="C339" s="13" t="s">
        <v>1062</v>
      </c>
      <c r="D339" s="174" t="s">
        <v>1996</v>
      </c>
      <c r="E339" s="175"/>
      <c r="F339" s="13" t="s">
        <v>2853</v>
      </c>
      <c r="G339" s="82">
        <v>4.2750000000000004</v>
      </c>
      <c r="H339" s="62">
        <v>0</v>
      </c>
      <c r="I339" s="5"/>
    </row>
    <row r="340" spans="1:9" ht="12.2" customHeight="1" x14ac:dyDescent="0.2">
      <c r="A340" s="5"/>
      <c r="D340" s="54" t="s">
        <v>3117</v>
      </c>
      <c r="E340" s="196"/>
      <c r="F340" s="197"/>
      <c r="G340" s="57">
        <v>4.2750000000000004</v>
      </c>
      <c r="H340" s="63"/>
      <c r="I340" s="5"/>
    </row>
    <row r="341" spans="1:9" x14ac:dyDescent="0.2">
      <c r="A341" s="4" t="s">
        <v>159</v>
      </c>
      <c r="B341" s="13" t="s">
        <v>2894</v>
      </c>
      <c r="C341" s="13" t="s">
        <v>1063</v>
      </c>
      <c r="D341" s="174" t="s">
        <v>1997</v>
      </c>
      <c r="E341" s="175"/>
      <c r="F341" s="13" t="s">
        <v>2852</v>
      </c>
      <c r="G341" s="82">
        <v>1</v>
      </c>
      <c r="H341" s="62">
        <v>0</v>
      </c>
      <c r="I341" s="5"/>
    </row>
    <row r="342" spans="1:9" ht="12.2" customHeight="1" x14ac:dyDescent="0.2">
      <c r="A342" s="5"/>
      <c r="D342" s="54" t="s">
        <v>7</v>
      </c>
      <c r="E342" s="196"/>
      <c r="F342" s="197"/>
      <c r="G342" s="57">
        <v>1</v>
      </c>
      <c r="H342" s="63"/>
      <c r="I342" s="5"/>
    </row>
    <row r="343" spans="1:9" x14ac:dyDescent="0.2">
      <c r="A343" s="4" t="s">
        <v>160</v>
      </c>
      <c r="B343" s="13" t="s">
        <v>2894</v>
      </c>
      <c r="C343" s="13" t="s">
        <v>1064</v>
      </c>
      <c r="D343" s="174" t="s">
        <v>2000</v>
      </c>
      <c r="E343" s="175"/>
      <c r="F343" s="13" t="s">
        <v>2854</v>
      </c>
      <c r="G343" s="82">
        <v>561.04600000000005</v>
      </c>
      <c r="H343" s="62">
        <v>0</v>
      </c>
      <c r="I343" s="5"/>
    </row>
    <row r="344" spans="1:9" ht="12.2" customHeight="1" x14ac:dyDescent="0.2">
      <c r="A344" s="5"/>
      <c r="D344" s="54" t="s">
        <v>3118</v>
      </c>
      <c r="E344" s="196"/>
      <c r="F344" s="197"/>
      <c r="G344" s="57">
        <v>561.04600000000005</v>
      </c>
      <c r="H344" s="63"/>
      <c r="I344" s="5"/>
    </row>
    <row r="345" spans="1:9" x14ac:dyDescent="0.2">
      <c r="A345" s="4" t="s">
        <v>161</v>
      </c>
      <c r="B345" s="13" t="s">
        <v>2894</v>
      </c>
      <c r="C345" s="13" t="s">
        <v>1065</v>
      </c>
      <c r="D345" s="174" t="s">
        <v>2001</v>
      </c>
      <c r="E345" s="175"/>
      <c r="F345" s="13" t="s">
        <v>2854</v>
      </c>
      <c r="G345" s="82">
        <v>1122.0920000000001</v>
      </c>
      <c r="H345" s="62">
        <v>0</v>
      </c>
      <c r="I345" s="5"/>
    </row>
    <row r="346" spans="1:9" ht="12.2" customHeight="1" x14ac:dyDescent="0.2">
      <c r="A346" s="5"/>
      <c r="D346" s="54" t="s">
        <v>3119</v>
      </c>
      <c r="E346" s="196"/>
      <c r="F346" s="197"/>
      <c r="G346" s="57">
        <v>1122.0920000000001</v>
      </c>
      <c r="H346" s="63"/>
      <c r="I346" s="5"/>
    </row>
    <row r="347" spans="1:9" x14ac:dyDescent="0.2">
      <c r="A347" s="4" t="s">
        <v>162</v>
      </c>
      <c r="B347" s="13" t="s">
        <v>2894</v>
      </c>
      <c r="C347" s="13" t="s">
        <v>1066</v>
      </c>
      <c r="D347" s="174" t="s">
        <v>2002</v>
      </c>
      <c r="E347" s="175"/>
      <c r="F347" s="13" t="s">
        <v>2854</v>
      </c>
      <c r="G347" s="82">
        <v>561.04600000000005</v>
      </c>
      <c r="H347" s="62">
        <v>0</v>
      </c>
      <c r="I347" s="5"/>
    </row>
    <row r="348" spans="1:9" ht="12.2" customHeight="1" x14ac:dyDescent="0.2">
      <c r="A348" s="5"/>
      <c r="D348" s="54" t="s">
        <v>3118</v>
      </c>
      <c r="E348" s="196"/>
      <c r="F348" s="197"/>
      <c r="G348" s="57">
        <v>561.04600000000005</v>
      </c>
      <c r="H348" s="63"/>
      <c r="I348" s="5"/>
    </row>
    <row r="349" spans="1:9" x14ac:dyDescent="0.2">
      <c r="A349" s="4" t="s">
        <v>163</v>
      </c>
      <c r="B349" s="13" t="s">
        <v>2894</v>
      </c>
      <c r="C349" s="13" t="s">
        <v>1067</v>
      </c>
      <c r="D349" s="174" t="s">
        <v>2003</v>
      </c>
      <c r="E349" s="175"/>
      <c r="F349" s="13" t="s">
        <v>2854</v>
      </c>
      <c r="G349" s="82">
        <v>460.18400000000003</v>
      </c>
      <c r="H349" s="62">
        <v>0</v>
      </c>
      <c r="I349" s="5"/>
    </row>
    <row r="350" spans="1:9" ht="12.2" customHeight="1" x14ac:dyDescent="0.2">
      <c r="A350" s="5"/>
      <c r="D350" s="54" t="s">
        <v>3120</v>
      </c>
      <c r="E350" s="196"/>
      <c r="F350" s="197"/>
      <c r="G350" s="57">
        <v>460.18400000000003</v>
      </c>
      <c r="H350" s="63"/>
      <c r="I350" s="5"/>
    </row>
    <row r="351" spans="1:9" x14ac:dyDescent="0.2">
      <c r="A351" s="4" t="s">
        <v>164</v>
      </c>
      <c r="B351" s="13" t="s">
        <v>2894</v>
      </c>
      <c r="C351" s="13" t="s">
        <v>1068</v>
      </c>
      <c r="D351" s="174" t="s">
        <v>2004</v>
      </c>
      <c r="E351" s="175"/>
      <c r="F351" s="13" t="s">
        <v>2854</v>
      </c>
      <c r="G351" s="82">
        <v>432.2</v>
      </c>
      <c r="H351" s="62">
        <v>0</v>
      </c>
      <c r="I351" s="5"/>
    </row>
    <row r="352" spans="1:9" ht="12.2" customHeight="1" x14ac:dyDescent="0.2">
      <c r="A352" s="5"/>
      <c r="D352" s="54" t="s">
        <v>3121</v>
      </c>
      <c r="E352" s="196"/>
      <c r="F352" s="197"/>
      <c r="G352" s="57">
        <v>432.2</v>
      </c>
      <c r="H352" s="63"/>
      <c r="I352" s="5"/>
    </row>
    <row r="353" spans="1:9" x14ac:dyDescent="0.2">
      <c r="A353" s="4" t="s">
        <v>165</v>
      </c>
      <c r="B353" s="13" t="s">
        <v>2895</v>
      </c>
      <c r="C353" s="13" t="s">
        <v>1068</v>
      </c>
      <c r="D353" s="174" t="s">
        <v>2620</v>
      </c>
      <c r="E353" s="175"/>
      <c r="F353" s="13" t="s">
        <v>2854</v>
      </c>
      <c r="G353" s="82">
        <v>350.54</v>
      </c>
      <c r="H353" s="62">
        <v>0</v>
      </c>
      <c r="I353" s="5"/>
    </row>
    <row r="354" spans="1:9" ht="12.2" customHeight="1" x14ac:dyDescent="0.2">
      <c r="A354" s="5"/>
      <c r="D354" s="54" t="s">
        <v>3122</v>
      </c>
      <c r="E354" s="196"/>
      <c r="F354" s="197"/>
      <c r="G354" s="57">
        <v>350.54</v>
      </c>
      <c r="H354" s="63"/>
      <c r="I354" s="5"/>
    </row>
    <row r="355" spans="1:9" x14ac:dyDescent="0.2">
      <c r="A355" s="4" t="s">
        <v>166</v>
      </c>
      <c r="B355" s="13" t="s">
        <v>2894</v>
      </c>
      <c r="C355" s="13" t="s">
        <v>1069</v>
      </c>
      <c r="D355" s="174" t="s">
        <v>2005</v>
      </c>
      <c r="E355" s="175"/>
      <c r="F355" s="13" t="s">
        <v>2854</v>
      </c>
      <c r="G355" s="82">
        <v>551.44600000000003</v>
      </c>
      <c r="H355" s="62">
        <v>0</v>
      </c>
      <c r="I355" s="5"/>
    </row>
    <row r="356" spans="1:9" ht="12.2" customHeight="1" x14ac:dyDescent="0.2">
      <c r="A356" s="5"/>
      <c r="D356" s="54" t="s">
        <v>3123</v>
      </c>
      <c r="E356" s="196"/>
      <c r="F356" s="197"/>
      <c r="G356" s="57">
        <v>551.44600000000003</v>
      </c>
      <c r="H356" s="63"/>
      <c r="I356" s="5"/>
    </row>
    <row r="357" spans="1:9" x14ac:dyDescent="0.2">
      <c r="A357" s="4" t="s">
        <v>167</v>
      </c>
      <c r="B357" s="13" t="s">
        <v>2894</v>
      </c>
      <c r="C357" s="13" t="s">
        <v>1070</v>
      </c>
      <c r="D357" s="174" t="s">
        <v>2006</v>
      </c>
      <c r="E357" s="175"/>
      <c r="F357" s="13" t="s">
        <v>2854</v>
      </c>
      <c r="G357" s="82">
        <v>1102.8920000000001</v>
      </c>
      <c r="H357" s="62">
        <v>0</v>
      </c>
      <c r="I357" s="5"/>
    </row>
    <row r="358" spans="1:9" ht="12.2" customHeight="1" x14ac:dyDescent="0.2">
      <c r="A358" s="5"/>
      <c r="D358" s="54" t="s">
        <v>3124</v>
      </c>
      <c r="E358" s="196"/>
      <c r="F358" s="197"/>
      <c r="G358" s="57">
        <v>1102.8920000000001</v>
      </c>
      <c r="H358" s="63"/>
      <c r="I358" s="5"/>
    </row>
    <row r="359" spans="1:9" x14ac:dyDescent="0.2">
      <c r="A359" s="4" t="s">
        <v>168</v>
      </c>
      <c r="B359" s="13" t="s">
        <v>2894</v>
      </c>
      <c r="C359" s="13" t="s">
        <v>1071</v>
      </c>
      <c r="D359" s="174" t="s">
        <v>2007</v>
      </c>
      <c r="E359" s="175"/>
      <c r="F359" s="13" t="s">
        <v>2854</v>
      </c>
      <c r="G359" s="82">
        <v>551.44600000000003</v>
      </c>
      <c r="H359" s="62">
        <v>0</v>
      </c>
      <c r="I359" s="5"/>
    </row>
    <row r="360" spans="1:9" ht="12.2" customHeight="1" x14ac:dyDescent="0.2">
      <c r="A360" s="5"/>
      <c r="D360" s="54" t="s">
        <v>3123</v>
      </c>
      <c r="E360" s="196"/>
      <c r="F360" s="197"/>
      <c r="G360" s="57">
        <v>551.44600000000003</v>
      </c>
      <c r="H360" s="63"/>
      <c r="I360" s="5"/>
    </row>
    <row r="361" spans="1:9" x14ac:dyDescent="0.2">
      <c r="A361" s="4" t="s">
        <v>169</v>
      </c>
      <c r="B361" s="13" t="s">
        <v>2894</v>
      </c>
      <c r="C361" s="13" t="s">
        <v>1072</v>
      </c>
      <c r="D361" s="174" t="s">
        <v>2009</v>
      </c>
      <c r="E361" s="175"/>
      <c r="F361" s="13" t="s">
        <v>2854</v>
      </c>
      <c r="G361" s="82">
        <v>106.35</v>
      </c>
      <c r="H361" s="62">
        <v>0</v>
      </c>
      <c r="I361" s="5"/>
    </row>
    <row r="362" spans="1:9" ht="12.2" customHeight="1" x14ac:dyDescent="0.2">
      <c r="A362" s="5"/>
      <c r="D362" s="54" t="s">
        <v>3089</v>
      </c>
      <c r="E362" s="196"/>
      <c r="F362" s="197"/>
      <c r="G362" s="57">
        <v>106.35</v>
      </c>
      <c r="H362" s="63"/>
      <c r="I362" s="5"/>
    </row>
    <row r="363" spans="1:9" x14ac:dyDescent="0.2">
      <c r="A363" s="4" t="s">
        <v>170</v>
      </c>
      <c r="B363" s="13" t="s">
        <v>2894</v>
      </c>
      <c r="C363" s="13" t="s">
        <v>1073</v>
      </c>
      <c r="D363" s="174" t="s">
        <v>2010</v>
      </c>
      <c r="E363" s="175"/>
      <c r="F363" s="13" t="s">
        <v>2854</v>
      </c>
      <c r="G363" s="82">
        <v>500.2</v>
      </c>
      <c r="H363" s="62">
        <v>0</v>
      </c>
      <c r="I363" s="5"/>
    </row>
    <row r="364" spans="1:9" ht="12.2" customHeight="1" x14ac:dyDescent="0.2">
      <c r="A364" s="5"/>
      <c r="D364" s="54" t="s">
        <v>3125</v>
      </c>
      <c r="E364" s="196"/>
      <c r="F364" s="197"/>
      <c r="G364" s="57">
        <v>500.2</v>
      </c>
      <c r="H364" s="63"/>
      <c r="I364" s="5"/>
    </row>
    <row r="365" spans="1:9" x14ac:dyDescent="0.2">
      <c r="A365" s="4" t="s">
        <v>171</v>
      </c>
      <c r="B365" s="13" t="s">
        <v>2895</v>
      </c>
      <c r="C365" s="13" t="s">
        <v>1621</v>
      </c>
      <c r="D365" s="174" t="s">
        <v>2622</v>
      </c>
      <c r="E365" s="175"/>
      <c r="F365" s="13" t="s">
        <v>2854</v>
      </c>
      <c r="G365" s="82">
        <v>67.397999999999996</v>
      </c>
      <c r="H365" s="62">
        <v>0</v>
      </c>
      <c r="I365" s="5"/>
    </row>
    <row r="366" spans="1:9" ht="12.2" customHeight="1" x14ac:dyDescent="0.2">
      <c r="A366" s="5"/>
      <c r="D366" s="54" t="s">
        <v>3126</v>
      </c>
      <c r="E366" s="196"/>
      <c r="F366" s="197"/>
      <c r="G366" s="57">
        <v>33.698999999999998</v>
      </c>
      <c r="H366" s="63"/>
      <c r="I366" s="5"/>
    </row>
    <row r="367" spans="1:9" ht="12.2" customHeight="1" x14ac:dyDescent="0.2">
      <c r="A367" s="4"/>
      <c r="B367" s="13"/>
      <c r="C367" s="13"/>
      <c r="D367" s="54" t="s">
        <v>3126</v>
      </c>
      <c r="E367" s="196"/>
      <c r="F367" s="196"/>
      <c r="G367" s="83">
        <v>33.698999999999998</v>
      </c>
      <c r="H367" s="31"/>
      <c r="I367" s="5"/>
    </row>
    <row r="368" spans="1:9" x14ac:dyDescent="0.2">
      <c r="A368" s="4" t="s">
        <v>172</v>
      </c>
      <c r="B368" s="13" t="s">
        <v>2895</v>
      </c>
      <c r="C368" s="13" t="s">
        <v>1622</v>
      </c>
      <c r="D368" s="174" t="s">
        <v>2623</v>
      </c>
      <c r="E368" s="175"/>
      <c r="F368" s="13" t="s">
        <v>2854</v>
      </c>
      <c r="G368" s="82">
        <v>67.397999999999996</v>
      </c>
      <c r="H368" s="62">
        <v>0</v>
      </c>
      <c r="I368" s="5"/>
    </row>
    <row r="369" spans="1:9" ht="12.2" customHeight="1" x14ac:dyDescent="0.2">
      <c r="A369" s="5"/>
      <c r="D369" s="54" t="s">
        <v>3127</v>
      </c>
      <c r="E369" s="196"/>
      <c r="F369" s="197"/>
      <c r="G369" s="57">
        <v>67.397999999999996</v>
      </c>
      <c r="H369" s="63"/>
      <c r="I369" s="5"/>
    </row>
    <row r="370" spans="1:9" x14ac:dyDescent="0.2">
      <c r="A370" s="4" t="s">
        <v>173</v>
      </c>
      <c r="B370" s="13" t="s">
        <v>2895</v>
      </c>
      <c r="C370" s="13" t="s">
        <v>1623</v>
      </c>
      <c r="D370" s="174" t="s">
        <v>2624</v>
      </c>
      <c r="E370" s="175"/>
      <c r="F370" s="13" t="s">
        <v>2854</v>
      </c>
      <c r="G370" s="82">
        <v>247.71</v>
      </c>
      <c r="H370" s="62">
        <v>0</v>
      </c>
      <c r="I370" s="5"/>
    </row>
    <row r="371" spans="1:9" ht="12.2" customHeight="1" x14ac:dyDescent="0.2">
      <c r="A371" s="5"/>
      <c r="D371" s="54" t="s">
        <v>3128</v>
      </c>
      <c r="E371" s="196"/>
      <c r="F371" s="197"/>
      <c r="G371" s="57">
        <v>247.71</v>
      </c>
      <c r="H371" s="63"/>
      <c r="I371" s="5"/>
    </row>
    <row r="372" spans="1:9" x14ac:dyDescent="0.2">
      <c r="A372" s="4" t="s">
        <v>174</v>
      </c>
      <c r="B372" s="13" t="s">
        <v>2895</v>
      </c>
      <c r="C372" s="13" t="s">
        <v>1623</v>
      </c>
      <c r="D372" s="174" t="s">
        <v>2625</v>
      </c>
      <c r="E372" s="175"/>
      <c r="F372" s="13" t="s">
        <v>2854</v>
      </c>
      <c r="G372" s="82">
        <v>247.71</v>
      </c>
      <c r="H372" s="62">
        <v>0</v>
      </c>
      <c r="I372" s="5"/>
    </row>
    <row r="373" spans="1:9" ht="12.2" customHeight="1" x14ac:dyDescent="0.2">
      <c r="A373" s="5"/>
      <c r="D373" s="54" t="s">
        <v>3128</v>
      </c>
      <c r="E373" s="196"/>
      <c r="F373" s="197"/>
      <c r="G373" s="57">
        <v>247.71</v>
      </c>
      <c r="H373" s="63"/>
      <c r="I373" s="5"/>
    </row>
    <row r="374" spans="1:9" x14ac:dyDescent="0.2">
      <c r="A374" s="4" t="s">
        <v>175</v>
      </c>
      <c r="B374" s="13" t="s">
        <v>2895</v>
      </c>
      <c r="C374" s="13" t="s">
        <v>1624</v>
      </c>
      <c r="D374" s="174" t="s">
        <v>2626</v>
      </c>
      <c r="E374" s="175"/>
      <c r="F374" s="13" t="s">
        <v>2853</v>
      </c>
      <c r="G374" s="82">
        <v>23.48</v>
      </c>
      <c r="H374" s="62">
        <v>0</v>
      </c>
      <c r="I374" s="5"/>
    </row>
    <row r="375" spans="1:9" ht="12.2" customHeight="1" x14ac:dyDescent="0.2">
      <c r="A375" s="5"/>
      <c r="D375" s="54" t="s">
        <v>3129</v>
      </c>
      <c r="E375" s="196"/>
      <c r="F375" s="197"/>
      <c r="G375" s="57">
        <v>23.48</v>
      </c>
      <c r="H375" s="63"/>
      <c r="I375" s="5"/>
    </row>
    <row r="376" spans="1:9" x14ac:dyDescent="0.2">
      <c r="A376" s="4" t="s">
        <v>176</v>
      </c>
      <c r="B376" s="13" t="s">
        <v>2895</v>
      </c>
      <c r="C376" s="13" t="s">
        <v>1625</v>
      </c>
      <c r="D376" s="174" t="s">
        <v>2627</v>
      </c>
      <c r="E376" s="175"/>
      <c r="F376" s="13" t="s">
        <v>2853</v>
      </c>
      <c r="G376" s="82">
        <v>8.6159999999999997</v>
      </c>
      <c r="H376" s="62">
        <v>0</v>
      </c>
      <c r="I376" s="5"/>
    </row>
    <row r="377" spans="1:9" ht="12.2" customHeight="1" x14ac:dyDescent="0.2">
      <c r="A377" s="5"/>
      <c r="D377" s="54" t="s">
        <v>3130</v>
      </c>
      <c r="E377" s="196"/>
      <c r="F377" s="197"/>
      <c r="G377" s="57">
        <v>3.46</v>
      </c>
      <c r="H377" s="63"/>
      <c r="I377" s="5"/>
    </row>
    <row r="378" spans="1:9" ht="12.2" customHeight="1" x14ac:dyDescent="0.2">
      <c r="A378" s="4"/>
      <c r="B378" s="13"/>
      <c r="C378" s="13"/>
      <c r="D378" s="54" t="s">
        <v>3131</v>
      </c>
      <c r="E378" s="196"/>
      <c r="F378" s="196"/>
      <c r="G378" s="83">
        <v>5.1559999999999997</v>
      </c>
      <c r="H378" s="31"/>
      <c r="I378" s="5"/>
    </row>
    <row r="379" spans="1:9" x14ac:dyDescent="0.2">
      <c r="A379" s="4" t="s">
        <v>177</v>
      </c>
      <c r="B379" s="13" t="s">
        <v>2895</v>
      </c>
      <c r="C379" s="13" t="s">
        <v>1626</v>
      </c>
      <c r="D379" s="174" t="s">
        <v>2628</v>
      </c>
      <c r="E379" s="175"/>
      <c r="F379" s="13" t="s">
        <v>2853</v>
      </c>
      <c r="G379" s="82">
        <v>8.3320000000000007</v>
      </c>
      <c r="H379" s="62">
        <v>0</v>
      </c>
      <c r="I379" s="5"/>
    </row>
    <row r="380" spans="1:9" ht="12.2" customHeight="1" x14ac:dyDescent="0.2">
      <c r="A380" s="5"/>
      <c r="D380" s="54" t="s">
        <v>3132</v>
      </c>
      <c r="E380" s="196"/>
      <c r="F380" s="197"/>
      <c r="G380" s="57">
        <v>6.4039999999999999</v>
      </c>
      <c r="H380" s="63"/>
      <c r="I380" s="5"/>
    </row>
    <row r="381" spans="1:9" ht="12.2" customHeight="1" x14ac:dyDescent="0.2">
      <c r="A381" s="4"/>
      <c r="B381" s="13"/>
      <c r="C381" s="13"/>
      <c r="D381" s="54" t="s">
        <v>3133</v>
      </c>
      <c r="E381" s="196"/>
      <c r="F381" s="196"/>
      <c r="G381" s="83">
        <v>1.9279999999999999</v>
      </c>
      <c r="H381" s="31"/>
      <c r="I381" s="5"/>
    </row>
    <row r="382" spans="1:9" x14ac:dyDescent="0.2">
      <c r="A382" s="4" t="s">
        <v>178</v>
      </c>
      <c r="B382" s="13" t="s">
        <v>2895</v>
      </c>
      <c r="C382" s="13" t="s">
        <v>1627</v>
      </c>
      <c r="D382" s="174" t="s">
        <v>2629</v>
      </c>
      <c r="E382" s="175"/>
      <c r="F382" s="13" t="s">
        <v>2853</v>
      </c>
      <c r="G382" s="82">
        <v>0.72599999999999998</v>
      </c>
      <c r="H382" s="62">
        <v>0</v>
      </c>
      <c r="I382" s="5"/>
    </row>
    <row r="383" spans="1:9" ht="12.2" customHeight="1" x14ac:dyDescent="0.2">
      <c r="A383" s="5"/>
      <c r="D383" s="54" t="s">
        <v>3134</v>
      </c>
      <c r="E383" s="196"/>
      <c r="F383" s="197"/>
      <c r="G383" s="57">
        <v>0.72599999999999998</v>
      </c>
      <c r="H383" s="63"/>
      <c r="I383" s="5"/>
    </row>
    <row r="384" spans="1:9" x14ac:dyDescent="0.2">
      <c r="A384" s="4" t="s">
        <v>179</v>
      </c>
      <c r="B384" s="13" t="s">
        <v>2895</v>
      </c>
      <c r="C384" s="13" t="s">
        <v>1628</v>
      </c>
      <c r="D384" s="174" t="s">
        <v>2630</v>
      </c>
      <c r="E384" s="175"/>
      <c r="F384" s="13" t="s">
        <v>2854</v>
      </c>
      <c r="G384" s="82">
        <v>15.423999999999999</v>
      </c>
      <c r="H384" s="62">
        <v>0</v>
      </c>
      <c r="I384" s="5"/>
    </row>
    <row r="385" spans="1:9" ht="12.2" customHeight="1" x14ac:dyDescent="0.2">
      <c r="A385" s="5"/>
      <c r="D385" s="54" t="s">
        <v>3135</v>
      </c>
      <c r="E385" s="196"/>
      <c r="F385" s="197"/>
      <c r="G385" s="57">
        <v>15.423999999999999</v>
      </c>
      <c r="H385" s="63"/>
      <c r="I385" s="5"/>
    </row>
    <row r="386" spans="1:9" x14ac:dyDescent="0.2">
      <c r="A386" s="4" t="s">
        <v>180</v>
      </c>
      <c r="B386" s="13" t="s">
        <v>2895</v>
      </c>
      <c r="C386" s="13" t="s">
        <v>1629</v>
      </c>
      <c r="D386" s="174" t="s">
        <v>2631</v>
      </c>
      <c r="E386" s="175"/>
      <c r="F386" s="13" t="s">
        <v>2854</v>
      </c>
      <c r="G386" s="82">
        <v>4.0750000000000002</v>
      </c>
      <c r="H386" s="62">
        <v>0</v>
      </c>
      <c r="I386" s="5"/>
    </row>
    <row r="387" spans="1:9" ht="12.2" customHeight="1" x14ac:dyDescent="0.2">
      <c r="A387" s="5"/>
      <c r="D387" s="54" t="s">
        <v>3136</v>
      </c>
      <c r="E387" s="196"/>
      <c r="F387" s="197"/>
      <c r="G387" s="57">
        <v>4.0750000000000002</v>
      </c>
      <c r="H387" s="63"/>
      <c r="I387" s="5"/>
    </row>
    <row r="388" spans="1:9" x14ac:dyDescent="0.2">
      <c r="A388" s="4" t="s">
        <v>181</v>
      </c>
      <c r="B388" s="13" t="s">
        <v>2895</v>
      </c>
      <c r="C388" s="13" t="s">
        <v>1630</v>
      </c>
      <c r="D388" s="174" t="s">
        <v>2632</v>
      </c>
      <c r="E388" s="175"/>
      <c r="F388" s="13" t="s">
        <v>2854</v>
      </c>
      <c r="G388" s="82">
        <v>94.816999999999993</v>
      </c>
      <c r="H388" s="62">
        <v>0</v>
      </c>
      <c r="I388" s="5"/>
    </row>
    <row r="389" spans="1:9" ht="12.2" customHeight="1" x14ac:dyDescent="0.2">
      <c r="A389" s="5"/>
      <c r="D389" s="54" t="s">
        <v>3137</v>
      </c>
      <c r="E389" s="196"/>
      <c r="F389" s="197"/>
      <c r="G389" s="57">
        <v>107.139</v>
      </c>
      <c r="H389" s="63"/>
      <c r="I389" s="5"/>
    </row>
    <row r="390" spans="1:9" ht="12.2" customHeight="1" x14ac:dyDescent="0.2">
      <c r="A390" s="4"/>
      <c r="B390" s="13"/>
      <c r="C390" s="13"/>
      <c r="D390" s="54" t="s">
        <v>3138</v>
      </c>
      <c r="E390" s="196"/>
      <c r="F390" s="196"/>
      <c r="G390" s="83">
        <v>-12.321999999999999</v>
      </c>
      <c r="H390" s="31"/>
      <c r="I390" s="5"/>
    </row>
    <row r="391" spans="1:9" x14ac:dyDescent="0.2">
      <c r="A391" s="4" t="s">
        <v>182</v>
      </c>
      <c r="B391" s="13" t="s">
        <v>2895</v>
      </c>
      <c r="C391" s="13" t="s">
        <v>1631</v>
      </c>
      <c r="D391" s="174" t="s">
        <v>2633</v>
      </c>
      <c r="E391" s="175"/>
      <c r="F391" s="13" t="s">
        <v>2854</v>
      </c>
      <c r="G391" s="82">
        <v>6.7169999999999996</v>
      </c>
      <c r="H391" s="62">
        <v>0</v>
      </c>
      <c r="I391" s="5"/>
    </row>
    <row r="392" spans="1:9" ht="12.2" customHeight="1" x14ac:dyDescent="0.2">
      <c r="A392" s="5"/>
      <c r="D392" s="54" t="s">
        <v>3139</v>
      </c>
      <c r="E392" s="196"/>
      <c r="F392" s="197"/>
      <c r="G392" s="57">
        <v>6.7169999999999996</v>
      </c>
      <c r="H392" s="63"/>
      <c r="I392" s="5"/>
    </row>
    <row r="393" spans="1:9" x14ac:dyDescent="0.2">
      <c r="A393" s="4" t="s">
        <v>183</v>
      </c>
      <c r="B393" s="13" t="s">
        <v>2895</v>
      </c>
      <c r="C393" s="13" t="s">
        <v>1632</v>
      </c>
      <c r="D393" s="174" t="s">
        <v>2634</v>
      </c>
      <c r="E393" s="175"/>
      <c r="F393" s="13" t="s">
        <v>2854</v>
      </c>
      <c r="G393" s="82">
        <v>18.373000000000001</v>
      </c>
      <c r="H393" s="62">
        <v>0</v>
      </c>
      <c r="I393" s="5"/>
    </row>
    <row r="394" spans="1:9" ht="12.2" customHeight="1" x14ac:dyDescent="0.2">
      <c r="A394" s="5"/>
      <c r="D394" s="54" t="s">
        <v>3140</v>
      </c>
      <c r="E394" s="196"/>
      <c r="F394" s="197"/>
      <c r="G394" s="57">
        <v>18.373000000000001</v>
      </c>
      <c r="H394" s="63"/>
      <c r="I394" s="5"/>
    </row>
    <row r="395" spans="1:9" x14ac:dyDescent="0.2">
      <c r="A395" s="4" t="s">
        <v>184</v>
      </c>
      <c r="B395" s="13" t="s">
        <v>2895</v>
      </c>
      <c r="C395" s="13" t="s">
        <v>1633</v>
      </c>
      <c r="D395" s="174" t="s">
        <v>2635</v>
      </c>
      <c r="E395" s="175"/>
      <c r="F395" s="13" t="s">
        <v>2854</v>
      </c>
      <c r="G395" s="82">
        <v>4.0190000000000001</v>
      </c>
      <c r="H395" s="62">
        <v>0</v>
      </c>
      <c r="I395" s="5"/>
    </row>
    <row r="396" spans="1:9" ht="12.2" customHeight="1" x14ac:dyDescent="0.2">
      <c r="A396" s="5"/>
      <c r="D396" s="54" t="s">
        <v>3141</v>
      </c>
      <c r="E396" s="196"/>
      <c r="F396" s="197"/>
      <c r="G396" s="57">
        <v>4.0190000000000001</v>
      </c>
      <c r="H396" s="63"/>
      <c r="I396" s="5"/>
    </row>
    <row r="397" spans="1:9" x14ac:dyDescent="0.2">
      <c r="A397" s="4" t="s">
        <v>185</v>
      </c>
      <c r="B397" s="13" t="s">
        <v>2895</v>
      </c>
      <c r="C397" s="13" t="s">
        <v>1634</v>
      </c>
      <c r="D397" s="174" t="s">
        <v>2636</v>
      </c>
      <c r="E397" s="175"/>
      <c r="F397" s="13" t="s">
        <v>2854</v>
      </c>
      <c r="G397" s="82">
        <v>8.9459999999999997</v>
      </c>
      <c r="H397" s="62">
        <v>0</v>
      </c>
      <c r="I397" s="5"/>
    </row>
    <row r="398" spans="1:9" ht="12.2" customHeight="1" x14ac:dyDescent="0.2">
      <c r="A398" s="5"/>
      <c r="D398" s="54" t="s">
        <v>3142</v>
      </c>
      <c r="E398" s="196"/>
      <c r="F398" s="197"/>
      <c r="G398" s="57">
        <v>8.9459999999999997</v>
      </c>
      <c r="H398" s="63"/>
      <c r="I398" s="5"/>
    </row>
    <row r="399" spans="1:9" x14ac:dyDescent="0.2">
      <c r="A399" s="4" t="s">
        <v>186</v>
      </c>
      <c r="B399" s="13" t="s">
        <v>2895</v>
      </c>
      <c r="C399" s="13" t="s">
        <v>1635</v>
      </c>
      <c r="D399" s="174" t="s">
        <v>2637</v>
      </c>
      <c r="E399" s="175"/>
      <c r="F399" s="13" t="s">
        <v>2854</v>
      </c>
      <c r="G399" s="82">
        <v>6.3609999999999998</v>
      </c>
      <c r="H399" s="62">
        <v>0</v>
      </c>
      <c r="I399" s="5"/>
    </row>
    <row r="400" spans="1:9" ht="12.2" customHeight="1" x14ac:dyDescent="0.2">
      <c r="A400" s="5"/>
      <c r="D400" s="54" t="s">
        <v>3143</v>
      </c>
      <c r="E400" s="196"/>
      <c r="F400" s="197"/>
      <c r="G400" s="57">
        <v>6.3609999999999998</v>
      </c>
      <c r="H400" s="63"/>
      <c r="I400" s="5"/>
    </row>
    <row r="401" spans="1:9" x14ac:dyDescent="0.2">
      <c r="A401" s="4" t="s">
        <v>187</v>
      </c>
      <c r="B401" s="13" t="s">
        <v>2895</v>
      </c>
      <c r="C401" s="13" t="s">
        <v>1636</v>
      </c>
      <c r="D401" s="174" t="s">
        <v>2638</v>
      </c>
      <c r="E401" s="175"/>
      <c r="F401" s="13" t="s">
        <v>2853</v>
      </c>
      <c r="G401" s="82">
        <v>34.463000000000001</v>
      </c>
      <c r="H401" s="62">
        <v>0</v>
      </c>
      <c r="I401" s="5"/>
    </row>
    <row r="402" spans="1:9" ht="12.2" customHeight="1" x14ac:dyDescent="0.2">
      <c r="A402" s="5"/>
      <c r="D402" s="54" t="s">
        <v>3144</v>
      </c>
      <c r="E402" s="196"/>
      <c r="F402" s="197"/>
      <c r="G402" s="57">
        <v>34.463000000000001</v>
      </c>
      <c r="H402" s="63"/>
      <c r="I402" s="5"/>
    </row>
    <row r="403" spans="1:9" x14ac:dyDescent="0.2">
      <c r="A403" s="4" t="s">
        <v>188</v>
      </c>
      <c r="B403" s="13" t="s">
        <v>2895</v>
      </c>
      <c r="C403" s="13" t="s">
        <v>1636</v>
      </c>
      <c r="D403" s="174" t="s">
        <v>2639</v>
      </c>
      <c r="E403" s="175"/>
      <c r="F403" s="13" t="s">
        <v>2853</v>
      </c>
      <c r="G403" s="82">
        <v>44.817999999999998</v>
      </c>
      <c r="H403" s="62">
        <v>0</v>
      </c>
      <c r="I403" s="5"/>
    </row>
    <row r="404" spans="1:9" ht="12.2" customHeight="1" x14ac:dyDescent="0.2">
      <c r="A404" s="5"/>
      <c r="D404" s="54" t="s">
        <v>3145</v>
      </c>
      <c r="E404" s="196"/>
      <c r="F404" s="197"/>
      <c r="G404" s="57">
        <v>44.817999999999998</v>
      </c>
      <c r="H404" s="63"/>
      <c r="I404" s="5"/>
    </row>
    <row r="405" spans="1:9" x14ac:dyDescent="0.2">
      <c r="A405" s="4" t="s">
        <v>189</v>
      </c>
      <c r="B405" s="13" t="s">
        <v>2895</v>
      </c>
      <c r="C405" s="13" t="s">
        <v>1637</v>
      </c>
      <c r="D405" s="174" t="s">
        <v>2640</v>
      </c>
      <c r="E405" s="175"/>
      <c r="F405" s="13" t="s">
        <v>2853</v>
      </c>
      <c r="G405" s="82">
        <v>2</v>
      </c>
      <c r="H405" s="62">
        <v>0</v>
      </c>
      <c r="I405" s="5"/>
    </row>
    <row r="406" spans="1:9" ht="12.2" customHeight="1" x14ac:dyDescent="0.2">
      <c r="A406" s="5"/>
      <c r="D406" s="54" t="s">
        <v>3146</v>
      </c>
      <c r="E406" s="196"/>
      <c r="F406" s="197"/>
      <c r="G406" s="57">
        <v>2</v>
      </c>
      <c r="H406" s="63"/>
      <c r="I406" s="5"/>
    </row>
    <row r="407" spans="1:9" x14ac:dyDescent="0.2">
      <c r="A407" s="4" t="s">
        <v>190</v>
      </c>
      <c r="B407" s="13" t="s">
        <v>2895</v>
      </c>
      <c r="C407" s="13" t="s">
        <v>1638</v>
      </c>
      <c r="D407" s="174" t="s">
        <v>2641</v>
      </c>
      <c r="E407" s="175"/>
      <c r="F407" s="13" t="s">
        <v>2853</v>
      </c>
      <c r="G407" s="82">
        <v>5.67</v>
      </c>
      <c r="H407" s="62">
        <v>0</v>
      </c>
      <c r="I407" s="5"/>
    </row>
    <row r="408" spans="1:9" ht="12.2" customHeight="1" x14ac:dyDescent="0.2">
      <c r="A408" s="5"/>
      <c r="D408" s="54" t="s">
        <v>3147</v>
      </c>
      <c r="E408" s="196"/>
      <c r="F408" s="197"/>
      <c r="G408" s="57">
        <v>5.67</v>
      </c>
      <c r="H408" s="63"/>
      <c r="I408" s="5"/>
    </row>
    <row r="409" spans="1:9" x14ac:dyDescent="0.2">
      <c r="A409" s="4" t="s">
        <v>191</v>
      </c>
      <c r="B409" s="13" t="s">
        <v>2895</v>
      </c>
      <c r="C409" s="13" t="s">
        <v>1639</v>
      </c>
      <c r="D409" s="174" t="s">
        <v>2642</v>
      </c>
      <c r="E409" s="175"/>
      <c r="F409" s="13" t="s">
        <v>2854</v>
      </c>
      <c r="G409" s="82">
        <v>191.4</v>
      </c>
      <c r="H409" s="62">
        <v>0</v>
      </c>
      <c r="I409" s="5"/>
    </row>
    <row r="410" spans="1:9" ht="12.2" customHeight="1" x14ac:dyDescent="0.2">
      <c r="A410" s="5"/>
      <c r="D410" s="54" t="s">
        <v>3148</v>
      </c>
      <c r="E410" s="196"/>
      <c r="F410" s="197"/>
      <c r="G410" s="57">
        <v>191.4</v>
      </c>
      <c r="H410" s="63"/>
      <c r="I410" s="5"/>
    </row>
    <row r="411" spans="1:9" x14ac:dyDescent="0.2">
      <c r="A411" s="4" t="s">
        <v>192</v>
      </c>
      <c r="B411" s="13" t="s">
        <v>2895</v>
      </c>
      <c r="C411" s="13" t="s">
        <v>1640</v>
      </c>
      <c r="D411" s="174" t="s">
        <v>2643</v>
      </c>
      <c r="E411" s="175"/>
      <c r="F411" s="13" t="s">
        <v>2854</v>
      </c>
      <c r="G411" s="82">
        <v>46.874000000000002</v>
      </c>
      <c r="H411" s="62">
        <v>0</v>
      </c>
      <c r="I411" s="5"/>
    </row>
    <row r="412" spans="1:9" ht="12.2" customHeight="1" x14ac:dyDescent="0.2">
      <c r="A412" s="5"/>
      <c r="D412" s="54" t="s">
        <v>3149</v>
      </c>
      <c r="E412" s="196"/>
      <c r="F412" s="197"/>
      <c r="G412" s="57">
        <v>46.874000000000002</v>
      </c>
      <c r="H412" s="63"/>
      <c r="I412" s="5"/>
    </row>
    <row r="413" spans="1:9" x14ac:dyDescent="0.2">
      <c r="A413" s="4" t="s">
        <v>193</v>
      </c>
      <c r="B413" s="13" t="s">
        <v>2895</v>
      </c>
      <c r="C413" s="13" t="s">
        <v>1641</v>
      </c>
      <c r="D413" s="174" t="s">
        <v>2644</v>
      </c>
      <c r="E413" s="175"/>
      <c r="F413" s="13" t="s">
        <v>2854</v>
      </c>
      <c r="G413" s="82">
        <v>17.013999999999999</v>
      </c>
      <c r="H413" s="62">
        <v>0</v>
      </c>
      <c r="I413" s="5"/>
    </row>
    <row r="414" spans="1:9" ht="12.2" customHeight="1" x14ac:dyDescent="0.2">
      <c r="A414" s="5"/>
      <c r="D414" s="54" t="s">
        <v>3150</v>
      </c>
      <c r="E414" s="196"/>
      <c r="F414" s="197"/>
      <c r="G414" s="57">
        <v>17.013999999999999</v>
      </c>
      <c r="H414" s="63"/>
      <c r="I414" s="5"/>
    </row>
    <row r="415" spans="1:9" x14ac:dyDescent="0.2">
      <c r="A415" s="4" t="s">
        <v>194</v>
      </c>
      <c r="B415" s="13" t="s">
        <v>2895</v>
      </c>
      <c r="C415" s="13" t="s">
        <v>1642</v>
      </c>
      <c r="D415" s="174" t="s">
        <v>2645</v>
      </c>
      <c r="E415" s="175"/>
      <c r="F415" s="13" t="s">
        <v>2853</v>
      </c>
      <c r="G415" s="82">
        <v>25.846</v>
      </c>
      <c r="H415" s="62">
        <v>0</v>
      </c>
      <c r="I415" s="5"/>
    </row>
    <row r="416" spans="1:9" ht="12.2" customHeight="1" x14ac:dyDescent="0.2">
      <c r="A416" s="5"/>
      <c r="D416" s="54" t="s">
        <v>3151</v>
      </c>
      <c r="E416" s="196"/>
      <c r="F416" s="197"/>
      <c r="G416" s="57">
        <v>25.846</v>
      </c>
      <c r="H416" s="63"/>
      <c r="I416" s="5"/>
    </row>
    <row r="417" spans="1:9" x14ac:dyDescent="0.2">
      <c r="A417" s="4" t="s">
        <v>195</v>
      </c>
      <c r="B417" s="13" t="s">
        <v>2895</v>
      </c>
      <c r="C417" s="13" t="s">
        <v>1643</v>
      </c>
      <c r="D417" s="174" t="s">
        <v>2646</v>
      </c>
      <c r="E417" s="175"/>
      <c r="F417" s="13" t="s">
        <v>2853</v>
      </c>
      <c r="G417" s="82">
        <v>11.965999999999999</v>
      </c>
      <c r="H417" s="62">
        <v>0</v>
      </c>
      <c r="I417" s="5"/>
    </row>
    <row r="418" spans="1:9" ht="12.2" customHeight="1" x14ac:dyDescent="0.2">
      <c r="A418" s="5"/>
      <c r="D418" s="54" t="s">
        <v>3152</v>
      </c>
      <c r="E418" s="196"/>
      <c r="F418" s="197"/>
      <c r="G418" s="57">
        <v>11.965999999999999</v>
      </c>
      <c r="H418" s="63"/>
      <c r="I418" s="5"/>
    </row>
    <row r="419" spans="1:9" x14ac:dyDescent="0.2">
      <c r="A419" s="4" t="s">
        <v>196</v>
      </c>
      <c r="B419" s="13" t="s">
        <v>2895</v>
      </c>
      <c r="C419" s="13" t="s">
        <v>1644</v>
      </c>
      <c r="D419" s="174" t="s">
        <v>2647</v>
      </c>
      <c r="E419" s="175"/>
      <c r="F419" s="13" t="s">
        <v>2853</v>
      </c>
      <c r="G419" s="82">
        <v>9.57</v>
      </c>
      <c r="H419" s="62">
        <v>0</v>
      </c>
      <c r="I419" s="5"/>
    </row>
    <row r="420" spans="1:9" ht="12.2" customHeight="1" x14ac:dyDescent="0.2">
      <c r="A420" s="5"/>
      <c r="D420" s="54" t="s">
        <v>3153</v>
      </c>
      <c r="E420" s="196"/>
      <c r="F420" s="197"/>
      <c r="G420" s="57">
        <v>9.57</v>
      </c>
      <c r="H420" s="63"/>
      <c r="I420" s="5"/>
    </row>
    <row r="421" spans="1:9" x14ac:dyDescent="0.2">
      <c r="A421" s="4" t="s">
        <v>197</v>
      </c>
      <c r="B421" s="13" t="s">
        <v>2895</v>
      </c>
      <c r="C421" s="13" t="s">
        <v>1645</v>
      </c>
      <c r="D421" s="174" t="s">
        <v>2648</v>
      </c>
      <c r="E421" s="175"/>
      <c r="F421" s="13" t="s">
        <v>2854</v>
      </c>
      <c r="G421" s="82">
        <v>247.71</v>
      </c>
      <c r="H421" s="62">
        <v>0</v>
      </c>
      <c r="I421" s="5"/>
    </row>
    <row r="422" spans="1:9" ht="12.2" customHeight="1" x14ac:dyDescent="0.2">
      <c r="A422" s="5"/>
      <c r="D422" s="54" t="s">
        <v>3128</v>
      </c>
      <c r="E422" s="196"/>
      <c r="F422" s="197"/>
      <c r="G422" s="57">
        <v>247.71</v>
      </c>
      <c r="H422" s="63"/>
      <c r="I422" s="5"/>
    </row>
    <row r="423" spans="1:9" x14ac:dyDescent="0.2">
      <c r="A423" s="4" t="s">
        <v>198</v>
      </c>
      <c r="B423" s="13" t="s">
        <v>2895</v>
      </c>
      <c r="C423" s="13" t="s">
        <v>1646</v>
      </c>
      <c r="D423" s="174" t="s">
        <v>2649</v>
      </c>
      <c r="E423" s="175"/>
      <c r="F423" s="13" t="s">
        <v>2853</v>
      </c>
      <c r="G423" s="82">
        <v>37.811999999999998</v>
      </c>
      <c r="H423" s="62">
        <v>0</v>
      </c>
      <c r="I423" s="5"/>
    </row>
    <row r="424" spans="1:9" ht="12.2" customHeight="1" x14ac:dyDescent="0.2">
      <c r="A424" s="5"/>
      <c r="D424" s="54" t="s">
        <v>3154</v>
      </c>
      <c r="E424" s="196"/>
      <c r="F424" s="197"/>
      <c r="G424" s="57">
        <v>37.811999999999998</v>
      </c>
      <c r="H424" s="63"/>
      <c r="I424" s="5"/>
    </row>
    <row r="425" spans="1:9" x14ac:dyDescent="0.2">
      <c r="A425" s="4" t="s">
        <v>199</v>
      </c>
      <c r="B425" s="13" t="s">
        <v>2895</v>
      </c>
      <c r="C425" s="13" t="s">
        <v>1647</v>
      </c>
      <c r="D425" s="174" t="s">
        <v>2650</v>
      </c>
      <c r="E425" s="175"/>
      <c r="F425" s="13" t="s">
        <v>2853</v>
      </c>
      <c r="G425" s="82">
        <v>9.57</v>
      </c>
      <c r="H425" s="62">
        <v>0</v>
      </c>
      <c r="I425" s="5"/>
    </row>
    <row r="426" spans="1:9" ht="12.2" customHeight="1" x14ac:dyDescent="0.2">
      <c r="A426" s="5"/>
      <c r="D426" s="54" t="s">
        <v>3155</v>
      </c>
      <c r="E426" s="196"/>
      <c r="F426" s="197"/>
      <c r="G426" s="57">
        <v>9.57</v>
      </c>
      <c r="H426" s="63"/>
      <c r="I426" s="5"/>
    </row>
    <row r="427" spans="1:9" x14ac:dyDescent="0.2">
      <c r="A427" s="4" t="s">
        <v>200</v>
      </c>
      <c r="B427" s="13" t="s">
        <v>2895</v>
      </c>
      <c r="C427" s="13" t="s">
        <v>1648</v>
      </c>
      <c r="D427" s="174" t="s">
        <v>2651</v>
      </c>
      <c r="E427" s="175"/>
      <c r="F427" s="13" t="s">
        <v>2854</v>
      </c>
      <c r="G427" s="82">
        <v>62.8</v>
      </c>
      <c r="H427" s="62">
        <v>0</v>
      </c>
      <c r="I427" s="5"/>
    </row>
    <row r="428" spans="1:9" ht="12.2" customHeight="1" x14ac:dyDescent="0.2">
      <c r="A428" s="5"/>
      <c r="D428" s="54" t="s">
        <v>3156</v>
      </c>
      <c r="E428" s="196"/>
      <c r="F428" s="197"/>
      <c r="G428" s="57">
        <v>62.8</v>
      </c>
      <c r="H428" s="63"/>
      <c r="I428" s="5"/>
    </row>
    <row r="429" spans="1:9" x14ac:dyDescent="0.2">
      <c r="A429" s="4" t="s">
        <v>201</v>
      </c>
      <c r="B429" s="13" t="s">
        <v>2895</v>
      </c>
      <c r="C429" s="13" t="s">
        <v>1649</v>
      </c>
      <c r="D429" s="174" t="s">
        <v>2652</v>
      </c>
      <c r="E429" s="175"/>
      <c r="F429" s="13" t="s">
        <v>2854</v>
      </c>
      <c r="G429" s="82">
        <v>32.039000000000001</v>
      </c>
      <c r="H429" s="62">
        <v>0</v>
      </c>
      <c r="I429" s="5"/>
    </row>
    <row r="430" spans="1:9" ht="12.2" customHeight="1" x14ac:dyDescent="0.2">
      <c r="A430" s="5"/>
      <c r="D430" s="54" t="s">
        <v>3157</v>
      </c>
      <c r="E430" s="196"/>
      <c r="F430" s="197"/>
      <c r="G430" s="57">
        <v>32.039000000000001</v>
      </c>
      <c r="H430" s="63"/>
      <c r="I430" s="5"/>
    </row>
    <row r="431" spans="1:9" x14ac:dyDescent="0.2">
      <c r="A431" s="4" t="s">
        <v>202</v>
      </c>
      <c r="B431" s="13" t="s">
        <v>2895</v>
      </c>
      <c r="C431" s="13" t="s">
        <v>1650</v>
      </c>
      <c r="D431" s="174" t="s">
        <v>2653</v>
      </c>
      <c r="E431" s="175"/>
      <c r="F431" s="13" t="s">
        <v>2854</v>
      </c>
      <c r="G431" s="82">
        <v>79.772999999999996</v>
      </c>
      <c r="H431" s="62">
        <v>0</v>
      </c>
      <c r="I431" s="5"/>
    </row>
    <row r="432" spans="1:9" ht="12.2" customHeight="1" x14ac:dyDescent="0.2">
      <c r="A432" s="5"/>
      <c r="D432" s="54" t="s">
        <v>3158</v>
      </c>
      <c r="E432" s="196"/>
      <c r="F432" s="197"/>
      <c r="G432" s="57">
        <v>79.772999999999996</v>
      </c>
      <c r="H432" s="63"/>
      <c r="I432" s="5"/>
    </row>
    <row r="433" spans="1:9" x14ac:dyDescent="0.2">
      <c r="A433" s="4" t="s">
        <v>203</v>
      </c>
      <c r="B433" s="13" t="s">
        <v>2895</v>
      </c>
      <c r="C433" s="13" t="s">
        <v>1651</v>
      </c>
      <c r="D433" s="174" t="s">
        <v>2654</v>
      </c>
      <c r="E433" s="175"/>
      <c r="F433" s="13" t="s">
        <v>2854</v>
      </c>
      <c r="G433" s="82">
        <v>128.6</v>
      </c>
      <c r="H433" s="62">
        <v>0</v>
      </c>
      <c r="I433" s="5"/>
    </row>
    <row r="434" spans="1:9" ht="12.2" customHeight="1" x14ac:dyDescent="0.2">
      <c r="A434" s="5"/>
      <c r="D434" s="54" t="s">
        <v>3159</v>
      </c>
      <c r="E434" s="196"/>
      <c r="F434" s="197"/>
      <c r="G434" s="57">
        <v>128.6</v>
      </c>
      <c r="H434" s="63"/>
      <c r="I434" s="5"/>
    </row>
    <row r="435" spans="1:9" x14ac:dyDescent="0.2">
      <c r="A435" s="4" t="s">
        <v>204</v>
      </c>
      <c r="B435" s="13" t="s">
        <v>2895</v>
      </c>
      <c r="C435" s="13" t="s">
        <v>1652</v>
      </c>
      <c r="D435" s="174" t="s">
        <v>2655</v>
      </c>
      <c r="E435" s="175"/>
      <c r="F435" s="13" t="s">
        <v>2853</v>
      </c>
      <c r="G435" s="82">
        <v>51.692999999999998</v>
      </c>
      <c r="H435" s="62">
        <v>0</v>
      </c>
      <c r="I435" s="5"/>
    </row>
    <row r="436" spans="1:9" ht="12.2" customHeight="1" x14ac:dyDescent="0.2">
      <c r="A436" s="5"/>
      <c r="D436" s="54" t="s">
        <v>3160</v>
      </c>
      <c r="E436" s="196"/>
      <c r="F436" s="197"/>
      <c r="G436" s="57">
        <v>51.692999999999998</v>
      </c>
      <c r="H436" s="63"/>
      <c r="I436" s="5"/>
    </row>
    <row r="437" spans="1:9" x14ac:dyDescent="0.2">
      <c r="A437" s="4" t="s">
        <v>205</v>
      </c>
      <c r="B437" s="13" t="s">
        <v>2895</v>
      </c>
      <c r="C437" s="13" t="s">
        <v>1653</v>
      </c>
      <c r="D437" s="174" t="s">
        <v>2656</v>
      </c>
      <c r="E437" s="175"/>
      <c r="F437" s="13" t="s">
        <v>2852</v>
      </c>
      <c r="G437" s="82">
        <v>60</v>
      </c>
      <c r="H437" s="62">
        <v>0</v>
      </c>
      <c r="I437" s="5"/>
    </row>
    <row r="438" spans="1:9" ht="12.2" customHeight="1" x14ac:dyDescent="0.2">
      <c r="A438" s="5"/>
      <c r="D438" s="54" t="s">
        <v>66</v>
      </c>
      <c r="E438" s="196"/>
      <c r="F438" s="197"/>
      <c r="G438" s="57">
        <v>60</v>
      </c>
      <c r="H438" s="63"/>
      <c r="I438" s="5"/>
    </row>
    <row r="439" spans="1:9" x14ac:dyDescent="0.2">
      <c r="A439" s="4" t="s">
        <v>206</v>
      </c>
      <c r="B439" s="13" t="s">
        <v>2895</v>
      </c>
      <c r="C439" s="13" t="s">
        <v>1654</v>
      </c>
      <c r="D439" s="174" t="s">
        <v>2657</v>
      </c>
      <c r="E439" s="175"/>
      <c r="F439" s="13" t="s">
        <v>2852</v>
      </c>
      <c r="G439" s="82">
        <v>40</v>
      </c>
      <c r="H439" s="62">
        <v>0</v>
      </c>
      <c r="I439" s="5"/>
    </row>
    <row r="440" spans="1:9" ht="12.2" customHeight="1" x14ac:dyDescent="0.2">
      <c r="A440" s="5"/>
      <c r="D440" s="54" t="s">
        <v>46</v>
      </c>
      <c r="E440" s="196"/>
      <c r="F440" s="197"/>
      <c r="G440" s="57">
        <v>40</v>
      </c>
      <c r="H440" s="63"/>
      <c r="I440" s="5"/>
    </row>
    <row r="441" spans="1:9" x14ac:dyDescent="0.2">
      <c r="A441" s="4" t="s">
        <v>207</v>
      </c>
      <c r="B441" s="13" t="s">
        <v>2895</v>
      </c>
      <c r="C441" s="13" t="s">
        <v>1655</v>
      </c>
      <c r="D441" s="174" t="s">
        <v>2658</v>
      </c>
      <c r="E441" s="175"/>
      <c r="F441" s="13" t="s">
        <v>2854</v>
      </c>
      <c r="G441" s="82">
        <v>36.228999999999999</v>
      </c>
      <c r="H441" s="62">
        <v>0</v>
      </c>
      <c r="I441" s="5"/>
    </row>
    <row r="442" spans="1:9" ht="12.2" customHeight="1" x14ac:dyDescent="0.2">
      <c r="A442" s="5"/>
      <c r="D442" s="54" t="s">
        <v>3161</v>
      </c>
      <c r="E442" s="196"/>
      <c r="F442" s="197"/>
      <c r="G442" s="57">
        <v>25.614000000000001</v>
      </c>
      <c r="H442" s="63"/>
      <c r="I442" s="5"/>
    </row>
    <row r="443" spans="1:9" ht="12.2" customHeight="1" x14ac:dyDescent="0.2">
      <c r="A443" s="4"/>
      <c r="B443" s="13"/>
      <c r="C443" s="13"/>
      <c r="D443" s="54" t="s">
        <v>3162</v>
      </c>
      <c r="E443" s="196"/>
      <c r="F443" s="196"/>
      <c r="G443" s="83">
        <v>7.71</v>
      </c>
      <c r="H443" s="31"/>
      <c r="I443" s="5"/>
    </row>
    <row r="444" spans="1:9" ht="12.2" customHeight="1" x14ac:dyDescent="0.2">
      <c r="A444" s="4"/>
      <c r="B444" s="13"/>
      <c r="C444" s="13"/>
      <c r="D444" s="54" t="s">
        <v>3163</v>
      </c>
      <c r="E444" s="196"/>
      <c r="F444" s="196"/>
      <c r="G444" s="83">
        <v>2.9049999999999998</v>
      </c>
      <c r="H444" s="31"/>
      <c r="I444" s="5"/>
    </row>
    <row r="445" spans="1:9" x14ac:dyDescent="0.2">
      <c r="A445" s="4" t="s">
        <v>208</v>
      </c>
      <c r="B445" s="13" t="s">
        <v>2895</v>
      </c>
      <c r="C445" s="13" t="s">
        <v>1656</v>
      </c>
      <c r="D445" s="174" t="s">
        <v>2659</v>
      </c>
      <c r="E445" s="175"/>
      <c r="F445" s="13" t="s">
        <v>2852</v>
      </c>
      <c r="G445" s="82">
        <v>7</v>
      </c>
      <c r="H445" s="62">
        <v>0</v>
      </c>
      <c r="I445" s="5"/>
    </row>
    <row r="446" spans="1:9" ht="12.2" customHeight="1" x14ac:dyDescent="0.2">
      <c r="A446" s="5"/>
      <c r="D446" s="54" t="s">
        <v>13</v>
      </c>
      <c r="E446" s="196"/>
      <c r="F446" s="197"/>
      <c r="G446" s="57">
        <v>7</v>
      </c>
      <c r="H446" s="63"/>
      <c r="I446" s="5"/>
    </row>
    <row r="447" spans="1:9" x14ac:dyDescent="0.2">
      <c r="A447" s="4" t="s">
        <v>209</v>
      </c>
      <c r="B447" s="13" t="s">
        <v>2895</v>
      </c>
      <c r="C447" s="13" t="s">
        <v>1657</v>
      </c>
      <c r="D447" s="174" t="s">
        <v>2660</v>
      </c>
      <c r="E447" s="175"/>
      <c r="F447" s="13" t="s">
        <v>2852</v>
      </c>
      <c r="G447" s="82">
        <v>20</v>
      </c>
      <c r="H447" s="62">
        <v>0</v>
      </c>
      <c r="I447" s="5"/>
    </row>
    <row r="448" spans="1:9" ht="12.2" customHeight="1" x14ac:dyDescent="0.2">
      <c r="A448" s="5"/>
      <c r="D448" s="54" t="s">
        <v>26</v>
      </c>
      <c r="E448" s="196"/>
      <c r="F448" s="197"/>
      <c r="G448" s="57">
        <v>20</v>
      </c>
      <c r="H448" s="63"/>
      <c r="I448" s="5"/>
    </row>
    <row r="449" spans="1:9" x14ac:dyDescent="0.2">
      <c r="A449" s="4" t="s">
        <v>210</v>
      </c>
      <c r="B449" s="13" t="s">
        <v>2895</v>
      </c>
      <c r="C449" s="13" t="s">
        <v>1658</v>
      </c>
      <c r="D449" s="174" t="s">
        <v>2661</v>
      </c>
      <c r="E449" s="175"/>
      <c r="F449" s="13" t="s">
        <v>2852</v>
      </c>
      <c r="G449" s="82">
        <v>15</v>
      </c>
      <c r="H449" s="62">
        <v>0</v>
      </c>
      <c r="I449" s="5"/>
    </row>
    <row r="450" spans="1:9" ht="12.2" customHeight="1" x14ac:dyDescent="0.2">
      <c r="A450" s="5"/>
      <c r="D450" s="54" t="s">
        <v>21</v>
      </c>
      <c r="E450" s="196"/>
      <c r="F450" s="197"/>
      <c r="G450" s="57">
        <v>15</v>
      </c>
      <c r="H450" s="63"/>
      <c r="I450" s="5"/>
    </row>
    <row r="451" spans="1:9" x14ac:dyDescent="0.2">
      <c r="A451" s="4" t="s">
        <v>211</v>
      </c>
      <c r="B451" s="13" t="s">
        <v>2895</v>
      </c>
      <c r="C451" s="13" t="s">
        <v>1659</v>
      </c>
      <c r="D451" s="174" t="s">
        <v>2662</v>
      </c>
      <c r="E451" s="175"/>
      <c r="F451" s="13" t="s">
        <v>2854</v>
      </c>
      <c r="G451" s="82">
        <v>5.04</v>
      </c>
      <c r="H451" s="62">
        <v>0</v>
      </c>
      <c r="I451" s="5"/>
    </row>
    <row r="452" spans="1:9" ht="12.2" customHeight="1" x14ac:dyDescent="0.2">
      <c r="A452" s="5"/>
      <c r="D452" s="54" t="s">
        <v>3164</v>
      </c>
      <c r="E452" s="196"/>
      <c r="F452" s="197"/>
      <c r="G452" s="57">
        <v>5.04</v>
      </c>
      <c r="H452" s="63"/>
      <c r="I452" s="5"/>
    </row>
    <row r="453" spans="1:9" x14ac:dyDescent="0.2">
      <c r="A453" s="4" t="s">
        <v>212</v>
      </c>
      <c r="B453" s="13" t="s">
        <v>2895</v>
      </c>
      <c r="C453" s="13" t="s">
        <v>1660</v>
      </c>
      <c r="D453" s="174" t="s">
        <v>2663</v>
      </c>
      <c r="E453" s="175"/>
      <c r="F453" s="13" t="s">
        <v>2854</v>
      </c>
      <c r="G453" s="82">
        <v>1.484</v>
      </c>
      <c r="H453" s="62">
        <v>0</v>
      </c>
      <c r="I453" s="5"/>
    </row>
    <row r="454" spans="1:9" ht="12.2" customHeight="1" x14ac:dyDescent="0.2">
      <c r="A454" s="5"/>
      <c r="D454" s="54" t="s">
        <v>3165</v>
      </c>
      <c r="E454" s="196"/>
      <c r="F454" s="197"/>
      <c r="G454" s="57">
        <v>1.484</v>
      </c>
      <c r="H454" s="63"/>
      <c r="I454" s="5"/>
    </row>
    <row r="455" spans="1:9" x14ac:dyDescent="0.2">
      <c r="A455" s="4" t="s">
        <v>213</v>
      </c>
      <c r="B455" s="13" t="s">
        <v>2895</v>
      </c>
      <c r="C455" s="13" t="s">
        <v>1661</v>
      </c>
      <c r="D455" s="174" t="s">
        <v>2664</v>
      </c>
      <c r="E455" s="175"/>
      <c r="F455" s="13" t="s">
        <v>2854</v>
      </c>
      <c r="G455" s="82">
        <v>50.4</v>
      </c>
      <c r="H455" s="62">
        <v>0</v>
      </c>
      <c r="I455" s="5"/>
    </row>
    <row r="456" spans="1:9" ht="12.2" customHeight="1" x14ac:dyDescent="0.2">
      <c r="A456" s="5"/>
      <c r="D456" s="54" t="s">
        <v>3166</v>
      </c>
      <c r="E456" s="196"/>
      <c r="F456" s="197"/>
      <c r="G456" s="57">
        <v>50.4</v>
      </c>
      <c r="H456" s="63"/>
      <c r="I456" s="5"/>
    </row>
    <row r="457" spans="1:9" x14ac:dyDescent="0.2">
      <c r="A457" s="4" t="s">
        <v>214</v>
      </c>
      <c r="B457" s="13" t="s">
        <v>2895</v>
      </c>
      <c r="C457" s="13" t="s">
        <v>1662</v>
      </c>
      <c r="D457" s="174" t="s">
        <v>2665</v>
      </c>
      <c r="E457" s="175"/>
      <c r="F457" s="13" t="s">
        <v>2854</v>
      </c>
      <c r="G457" s="82">
        <v>60.484999999999999</v>
      </c>
      <c r="H457" s="62">
        <v>0</v>
      </c>
      <c r="I457" s="5"/>
    </row>
    <row r="458" spans="1:9" x14ac:dyDescent="0.2">
      <c r="A458" s="4" t="s">
        <v>215</v>
      </c>
      <c r="B458" s="13" t="s">
        <v>2895</v>
      </c>
      <c r="C458" s="13" t="s">
        <v>1663</v>
      </c>
      <c r="D458" s="174" t="s">
        <v>2666</v>
      </c>
      <c r="E458" s="175"/>
      <c r="F458" s="13" t="s">
        <v>2854</v>
      </c>
      <c r="G458" s="82">
        <v>38.906999999999996</v>
      </c>
      <c r="H458" s="62">
        <v>0</v>
      </c>
      <c r="I458" s="5"/>
    </row>
    <row r="459" spans="1:9" x14ac:dyDescent="0.2">
      <c r="A459" s="4" t="s">
        <v>216</v>
      </c>
      <c r="B459" s="13" t="s">
        <v>2895</v>
      </c>
      <c r="C459" s="13" t="s">
        <v>1664</v>
      </c>
      <c r="D459" s="174" t="s">
        <v>2667</v>
      </c>
      <c r="E459" s="175"/>
      <c r="F459" s="13" t="s">
        <v>2852</v>
      </c>
      <c r="G459" s="82">
        <v>7</v>
      </c>
      <c r="H459" s="62">
        <v>0</v>
      </c>
      <c r="I459" s="5"/>
    </row>
    <row r="460" spans="1:9" x14ac:dyDescent="0.2">
      <c r="A460" s="4" t="s">
        <v>217</v>
      </c>
      <c r="B460" s="13" t="s">
        <v>2895</v>
      </c>
      <c r="C460" s="13" t="s">
        <v>1665</v>
      </c>
      <c r="D460" s="174" t="s">
        <v>2668</v>
      </c>
      <c r="E460" s="175"/>
      <c r="F460" s="13" t="s">
        <v>2854</v>
      </c>
      <c r="G460" s="82">
        <v>26.462</v>
      </c>
      <c r="H460" s="62">
        <v>0</v>
      </c>
      <c r="I460" s="5"/>
    </row>
    <row r="461" spans="1:9" ht="12.2" customHeight="1" x14ac:dyDescent="0.2">
      <c r="A461" s="5"/>
      <c r="D461" s="54" t="s">
        <v>3167</v>
      </c>
      <c r="E461" s="196"/>
      <c r="F461" s="197"/>
      <c r="G461" s="57">
        <v>26.462</v>
      </c>
      <c r="H461" s="63"/>
      <c r="I461" s="5"/>
    </row>
    <row r="462" spans="1:9" x14ac:dyDescent="0.2">
      <c r="A462" s="4" t="s">
        <v>218</v>
      </c>
      <c r="B462" s="13" t="s">
        <v>2895</v>
      </c>
      <c r="C462" s="13" t="s">
        <v>1666</v>
      </c>
      <c r="D462" s="174" t="s">
        <v>2669</v>
      </c>
      <c r="E462" s="175"/>
      <c r="F462" s="13" t="s">
        <v>2854</v>
      </c>
      <c r="G462" s="82">
        <v>20.79</v>
      </c>
      <c r="H462" s="62">
        <v>0</v>
      </c>
      <c r="I462" s="5"/>
    </row>
    <row r="463" spans="1:9" ht="12.2" customHeight="1" x14ac:dyDescent="0.2">
      <c r="A463" s="5"/>
      <c r="D463" s="54" t="s">
        <v>3168</v>
      </c>
      <c r="E463" s="196"/>
      <c r="F463" s="197"/>
      <c r="G463" s="57">
        <v>20.79</v>
      </c>
      <c r="H463" s="63"/>
      <c r="I463" s="5"/>
    </row>
    <row r="464" spans="1:9" x14ac:dyDescent="0.2">
      <c r="A464" s="4" t="s">
        <v>219</v>
      </c>
      <c r="B464" s="13" t="s">
        <v>2895</v>
      </c>
      <c r="C464" s="13" t="s">
        <v>1667</v>
      </c>
      <c r="D464" s="174" t="s">
        <v>2670</v>
      </c>
      <c r="E464" s="175"/>
      <c r="F464" s="13" t="s">
        <v>2854</v>
      </c>
      <c r="G464" s="82">
        <v>516.92600000000004</v>
      </c>
      <c r="H464" s="62">
        <v>0</v>
      </c>
      <c r="I464" s="5"/>
    </row>
    <row r="465" spans="1:9" ht="12.2" customHeight="1" x14ac:dyDescent="0.2">
      <c r="A465" s="5"/>
      <c r="D465" s="54" t="s">
        <v>3169</v>
      </c>
      <c r="E465" s="196"/>
      <c r="F465" s="197"/>
      <c r="G465" s="57">
        <v>516.92600000000004</v>
      </c>
      <c r="H465" s="63"/>
      <c r="I465" s="5"/>
    </row>
    <row r="466" spans="1:9" x14ac:dyDescent="0.2">
      <c r="A466" s="4" t="s">
        <v>220</v>
      </c>
      <c r="B466" s="13" t="s">
        <v>2895</v>
      </c>
      <c r="C466" s="13" t="s">
        <v>1668</v>
      </c>
      <c r="D466" s="174" t="s">
        <v>2671</v>
      </c>
      <c r="E466" s="175"/>
      <c r="F466" s="13" t="s">
        <v>2854</v>
      </c>
      <c r="G466" s="82">
        <v>247.71</v>
      </c>
      <c r="H466" s="62">
        <v>0</v>
      </c>
      <c r="I466" s="5"/>
    </row>
    <row r="467" spans="1:9" ht="12.2" customHeight="1" x14ac:dyDescent="0.2">
      <c r="A467" s="5"/>
      <c r="D467" s="54" t="s">
        <v>3128</v>
      </c>
      <c r="E467" s="196"/>
      <c r="F467" s="197"/>
      <c r="G467" s="57">
        <v>247.71</v>
      </c>
      <c r="H467" s="63"/>
      <c r="I467" s="5"/>
    </row>
    <row r="468" spans="1:9" x14ac:dyDescent="0.2">
      <c r="A468" s="4" t="s">
        <v>221</v>
      </c>
      <c r="B468" s="13" t="s">
        <v>2895</v>
      </c>
      <c r="C468" s="13" t="s">
        <v>1669</v>
      </c>
      <c r="D468" s="174" t="s">
        <v>2672</v>
      </c>
      <c r="E468" s="175"/>
      <c r="F468" s="13" t="s">
        <v>2854</v>
      </c>
      <c r="G468" s="82">
        <v>123.855</v>
      </c>
      <c r="H468" s="62">
        <v>0</v>
      </c>
      <c r="I468" s="5"/>
    </row>
    <row r="469" spans="1:9" ht="12.2" customHeight="1" x14ac:dyDescent="0.2">
      <c r="A469" s="5"/>
      <c r="D469" s="54" t="s">
        <v>3170</v>
      </c>
      <c r="E469" s="196"/>
      <c r="F469" s="197"/>
      <c r="G469" s="57">
        <v>123.855</v>
      </c>
      <c r="H469" s="63"/>
      <c r="I469" s="5"/>
    </row>
    <row r="470" spans="1:9" x14ac:dyDescent="0.2">
      <c r="A470" s="4" t="s">
        <v>222</v>
      </c>
      <c r="B470" s="13" t="s">
        <v>2895</v>
      </c>
      <c r="C470" s="13" t="s">
        <v>1670</v>
      </c>
      <c r="D470" s="174" t="s">
        <v>2673</v>
      </c>
      <c r="E470" s="175"/>
      <c r="F470" s="13" t="s">
        <v>2854</v>
      </c>
      <c r="G470" s="82">
        <v>191.4</v>
      </c>
      <c r="H470" s="62">
        <v>0</v>
      </c>
      <c r="I470" s="5"/>
    </row>
    <row r="471" spans="1:9" ht="12.2" customHeight="1" x14ac:dyDescent="0.2">
      <c r="A471" s="5"/>
      <c r="D471" s="54" t="s">
        <v>3148</v>
      </c>
      <c r="E471" s="196"/>
      <c r="F471" s="197"/>
      <c r="G471" s="57">
        <v>191.4</v>
      </c>
      <c r="H471" s="63"/>
      <c r="I471" s="5"/>
    </row>
    <row r="472" spans="1:9" x14ac:dyDescent="0.2">
      <c r="A472" s="4" t="s">
        <v>223</v>
      </c>
      <c r="B472" s="13" t="s">
        <v>2895</v>
      </c>
      <c r="C472" s="13" t="s">
        <v>1671</v>
      </c>
      <c r="D472" s="174" t="s">
        <v>2674</v>
      </c>
      <c r="E472" s="175"/>
      <c r="F472" s="13" t="s">
        <v>2867</v>
      </c>
      <c r="G472" s="82">
        <v>8</v>
      </c>
      <c r="H472" s="62">
        <v>0</v>
      </c>
      <c r="I472" s="5"/>
    </row>
    <row r="473" spans="1:9" ht="12.2" customHeight="1" x14ac:dyDescent="0.2">
      <c r="A473" s="5"/>
      <c r="D473" s="54" t="s">
        <v>14</v>
      </c>
      <c r="E473" s="196"/>
      <c r="F473" s="197"/>
      <c r="G473" s="57">
        <v>8</v>
      </c>
      <c r="H473" s="63"/>
      <c r="I473" s="5"/>
    </row>
    <row r="474" spans="1:9" x14ac:dyDescent="0.2">
      <c r="A474" s="4" t="s">
        <v>224</v>
      </c>
      <c r="B474" s="13" t="s">
        <v>2895</v>
      </c>
      <c r="C474" s="13" t="s">
        <v>1672</v>
      </c>
      <c r="D474" s="174" t="s">
        <v>2675</v>
      </c>
      <c r="E474" s="175"/>
      <c r="F474" s="13" t="s">
        <v>2852</v>
      </c>
      <c r="G474" s="82">
        <v>5</v>
      </c>
      <c r="H474" s="62">
        <v>0</v>
      </c>
      <c r="I474" s="5"/>
    </row>
    <row r="475" spans="1:9" x14ac:dyDescent="0.2">
      <c r="A475" s="4" t="s">
        <v>225</v>
      </c>
      <c r="B475" s="13" t="s">
        <v>2895</v>
      </c>
      <c r="C475" s="13" t="s">
        <v>1673</v>
      </c>
      <c r="D475" s="174" t="s">
        <v>2676</v>
      </c>
      <c r="E475" s="175"/>
      <c r="F475" s="13" t="s">
        <v>2852</v>
      </c>
      <c r="G475" s="82">
        <v>8</v>
      </c>
      <c r="H475" s="62">
        <v>0</v>
      </c>
      <c r="I475" s="5"/>
    </row>
    <row r="476" spans="1:9" x14ac:dyDescent="0.2">
      <c r="A476" s="4" t="s">
        <v>226</v>
      </c>
      <c r="B476" s="13" t="s">
        <v>2895</v>
      </c>
      <c r="C476" s="13" t="s">
        <v>1674</v>
      </c>
      <c r="D476" s="174" t="s">
        <v>2677</v>
      </c>
      <c r="E476" s="175"/>
      <c r="F476" s="13" t="s">
        <v>2852</v>
      </c>
      <c r="G476" s="82">
        <v>1</v>
      </c>
      <c r="H476" s="62">
        <v>0</v>
      </c>
      <c r="I476" s="5"/>
    </row>
    <row r="477" spans="1:9" x14ac:dyDescent="0.2">
      <c r="A477" s="4" t="s">
        <v>227</v>
      </c>
      <c r="B477" s="13" t="s">
        <v>2895</v>
      </c>
      <c r="C477" s="13" t="s">
        <v>1675</v>
      </c>
      <c r="D477" s="174" t="s">
        <v>2678</v>
      </c>
      <c r="E477" s="175"/>
      <c r="F477" s="13" t="s">
        <v>2852</v>
      </c>
      <c r="G477" s="82">
        <v>1</v>
      </c>
      <c r="H477" s="62">
        <v>0</v>
      </c>
      <c r="I477" s="5"/>
    </row>
    <row r="478" spans="1:9" x14ac:dyDescent="0.2">
      <c r="A478" s="4" t="s">
        <v>228</v>
      </c>
      <c r="B478" s="13" t="s">
        <v>2895</v>
      </c>
      <c r="C478" s="13" t="s">
        <v>1676</v>
      </c>
      <c r="D478" s="174" t="s">
        <v>2679</v>
      </c>
      <c r="E478" s="175"/>
      <c r="F478" s="13" t="s">
        <v>2852</v>
      </c>
      <c r="G478" s="82">
        <v>4</v>
      </c>
      <c r="H478" s="62">
        <v>0</v>
      </c>
      <c r="I478" s="5"/>
    </row>
    <row r="479" spans="1:9" x14ac:dyDescent="0.2">
      <c r="A479" s="4" t="s">
        <v>229</v>
      </c>
      <c r="B479" s="13" t="s">
        <v>2895</v>
      </c>
      <c r="C479" s="13" t="s">
        <v>1676</v>
      </c>
      <c r="D479" s="174" t="s">
        <v>2680</v>
      </c>
      <c r="E479" s="175"/>
      <c r="F479" s="13" t="s">
        <v>2852</v>
      </c>
      <c r="G479" s="82">
        <v>12</v>
      </c>
      <c r="H479" s="62">
        <v>0</v>
      </c>
      <c r="I479" s="5"/>
    </row>
    <row r="480" spans="1:9" x14ac:dyDescent="0.2">
      <c r="A480" s="4" t="s">
        <v>230</v>
      </c>
      <c r="B480" s="13" t="s">
        <v>2895</v>
      </c>
      <c r="C480" s="13" t="s">
        <v>1676</v>
      </c>
      <c r="D480" s="174" t="s">
        <v>2681</v>
      </c>
      <c r="E480" s="175"/>
      <c r="F480" s="13" t="s">
        <v>2852</v>
      </c>
      <c r="G480" s="82">
        <v>1</v>
      </c>
      <c r="H480" s="62">
        <v>0</v>
      </c>
      <c r="I480" s="5"/>
    </row>
    <row r="481" spans="1:9" x14ac:dyDescent="0.2">
      <c r="A481" s="4" t="s">
        <v>231</v>
      </c>
      <c r="B481" s="13" t="s">
        <v>2895</v>
      </c>
      <c r="C481" s="13" t="s">
        <v>1677</v>
      </c>
      <c r="D481" s="174" t="s">
        <v>2682</v>
      </c>
      <c r="E481" s="175"/>
      <c r="F481" s="13" t="s">
        <v>2867</v>
      </c>
      <c r="G481" s="82">
        <v>8</v>
      </c>
      <c r="H481" s="62">
        <v>0</v>
      </c>
      <c r="I481" s="5"/>
    </row>
    <row r="482" spans="1:9" x14ac:dyDescent="0.2">
      <c r="A482" s="4" t="s">
        <v>232</v>
      </c>
      <c r="B482" s="13" t="s">
        <v>2895</v>
      </c>
      <c r="C482" s="13" t="s">
        <v>1678</v>
      </c>
      <c r="D482" s="174" t="s">
        <v>2683</v>
      </c>
      <c r="E482" s="175"/>
      <c r="F482" s="13" t="s">
        <v>2867</v>
      </c>
      <c r="G482" s="82">
        <v>12</v>
      </c>
      <c r="H482" s="62">
        <v>0</v>
      </c>
      <c r="I482" s="5"/>
    </row>
    <row r="483" spans="1:9" x14ac:dyDescent="0.2">
      <c r="A483" s="4" t="s">
        <v>233</v>
      </c>
      <c r="B483" s="13" t="s">
        <v>2895</v>
      </c>
      <c r="C483" s="13" t="s">
        <v>1679</v>
      </c>
      <c r="D483" s="174" t="s">
        <v>2684</v>
      </c>
      <c r="E483" s="175"/>
      <c r="F483" s="13" t="s">
        <v>2852</v>
      </c>
      <c r="G483" s="82">
        <v>21</v>
      </c>
      <c r="H483" s="62">
        <v>0</v>
      </c>
      <c r="I483" s="5"/>
    </row>
    <row r="484" spans="1:9" x14ac:dyDescent="0.2">
      <c r="A484" s="4" t="s">
        <v>234</v>
      </c>
      <c r="B484" s="13" t="s">
        <v>2895</v>
      </c>
      <c r="C484" s="13" t="s">
        <v>1680</v>
      </c>
      <c r="D484" s="174" t="s">
        <v>2685</v>
      </c>
      <c r="E484" s="175"/>
      <c r="F484" s="13" t="s">
        <v>2867</v>
      </c>
      <c r="G484" s="82">
        <v>32</v>
      </c>
      <c r="H484" s="62">
        <v>0</v>
      </c>
      <c r="I484" s="5"/>
    </row>
    <row r="485" spans="1:9" x14ac:dyDescent="0.2">
      <c r="A485" s="4" t="s">
        <v>235</v>
      </c>
      <c r="B485" s="13" t="s">
        <v>2895</v>
      </c>
      <c r="C485" s="13" t="s">
        <v>1681</v>
      </c>
      <c r="D485" s="174" t="s">
        <v>2686</v>
      </c>
      <c r="E485" s="175"/>
      <c r="F485" s="13" t="s">
        <v>2855</v>
      </c>
      <c r="G485" s="82">
        <v>22.52</v>
      </c>
      <c r="H485" s="62">
        <v>0</v>
      </c>
      <c r="I485" s="5"/>
    </row>
    <row r="486" spans="1:9" x14ac:dyDescent="0.2">
      <c r="A486" s="4" t="s">
        <v>236</v>
      </c>
      <c r="B486" s="13" t="s">
        <v>2895</v>
      </c>
      <c r="C486" s="13" t="s">
        <v>1682</v>
      </c>
      <c r="D486" s="174" t="s">
        <v>2687</v>
      </c>
      <c r="E486" s="175"/>
      <c r="F486" s="13" t="s">
        <v>2855</v>
      </c>
      <c r="G486" s="82">
        <v>43.39</v>
      </c>
      <c r="H486" s="62">
        <v>0</v>
      </c>
      <c r="I486" s="5"/>
    </row>
    <row r="487" spans="1:9" x14ac:dyDescent="0.2">
      <c r="A487" s="4" t="s">
        <v>237</v>
      </c>
      <c r="B487" s="13" t="s">
        <v>2895</v>
      </c>
      <c r="C487" s="13" t="s">
        <v>1683</v>
      </c>
      <c r="D487" s="174" t="s">
        <v>2688</v>
      </c>
      <c r="E487" s="175"/>
      <c r="F487" s="13" t="s">
        <v>2852</v>
      </c>
      <c r="G487" s="82">
        <v>1</v>
      </c>
      <c r="H487" s="62">
        <v>0</v>
      </c>
      <c r="I487" s="5"/>
    </row>
    <row r="488" spans="1:9" x14ac:dyDescent="0.2">
      <c r="A488" s="4" t="s">
        <v>238</v>
      </c>
      <c r="B488" s="13" t="s">
        <v>2895</v>
      </c>
      <c r="C488" s="13" t="s">
        <v>1684</v>
      </c>
      <c r="D488" s="174" t="s">
        <v>2689</v>
      </c>
      <c r="E488" s="175"/>
      <c r="F488" s="13" t="s">
        <v>2855</v>
      </c>
      <c r="G488" s="82">
        <v>30</v>
      </c>
      <c r="H488" s="62">
        <v>0</v>
      </c>
      <c r="I488" s="5"/>
    </row>
    <row r="489" spans="1:9" x14ac:dyDescent="0.2">
      <c r="A489" s="4" t="s">
        <v>239</v>
      </c>
      <c r="B489" s="13" t="s">
        <v>2895</v>
      </c>
      <c r="C489" s="13" t="s">
        <v>1685</v>
      </c>
      <c r="D489" s="174" t="s">
        <v>2690</v>
      </c>
      <c r="E489" s="175"/>
      <c r="F489" s="13" t="s">
        <v>2854</v>
      </c>
      <c r="G489" s="82">
        <v>247.71</v>
      </c>
      <c r="H489" s="62">
        <v>0</v>
      </c>
      <c r="I489" s="5"/>
    </row>
    <row r="490" spans="1:9" ht="12.2" customHeight="1" x14ac:dyDescent="0.2">
      <c r="A490" s="5"/>
      <c r="D490" s="54" t="s">
        <v>3128</v>
      </c>
      <c r="E490" s="196"/>
      <c r="F490" s="197"/>
      <c r="G490" s="57">
        <v>247.71</v>
      </c>
      <c r="H490" s="63"/>
      <c r="I490" s="5"/>
    </row>
    <row r="491" spans="1:9" x14ac:dyDescent="0.2">
      <c r="A491" s="4" t="s">
        <v>240</v>
      </c>
      <c r="B491" s="13" t="s">
        <v>2895</v>
      </c>
      <c r="C491" s="13" t="s">
        <v>1686</v>
      </c>
      <c r="D491" s="174" t="s">
        <v>2691</v>
      </c>
      <c r="E491" s="175"/>
      <c r="F491" s="13" t="s">
        <v>2858</v>
      </c>
      <c r="G491" s="82">
        <v>150</v>
      </c>
      <c r="H491" s="62">
        <v>0</v>
      </c>
      <c r="I491" s="5"/>
    </row>
    <row r="492" spans="1:9" x14ac:dyDescent="0.2">
      <c r="A492" s="4" t="s">
        <v>241</v>
      </c>
      <c r="B492" s="13" t="s">
        <v>2895</v>
      </c>
      <c r="C492" s="13" t="s">
        <v>1687</v>
      </c>
      <c r="D492" s="174" t="s">
        <v>2692</v>
      </c>
      <c r="E492" s="175"/>
      <c r="F492" s="13" t="s">
        <v>2852</v>
      </c>
      <c r="G492" s="82">
        <v>6</v>
      </c>
      <c r="H492" s="62">
        <v>0</v>
      </c>
      <c r="I492" s="5"/>
    </row>
    <row r="493" spans="1:9" x14ac:dyDescent="0.2">
      <c r="A493" s="4" t="s">
        <v>242</v>
      </c>
      <c r="B493" s="13" t="s">
        <v>2894</v>
      </c>
      <c r="C493" s="13" t="s">
        <v>1075</v>
      </c>
      <c r="D493" s="174" t="s">
        <v>2012</v>
      </c>
      <c r="E493" s="175"/>
      <c r="F493" s="13" t="s">
        <v>2856</v>
      </c>
      <c r="G493" s="82">
        <v>1606.0409999999999</v>
      </c>
      <c r="H493" s="62">
        <v>0</v>
      </c>
      <c r="I493" s="5"/>
    </row>
    <row r="494" spans="1:9" ht="12.2" customHeight="1" x14ac:dyDescent="0.2">
      <c r="A494" s="5"/>
      <c r="D494" s="54" t="s">
        <v>3171</v>
      </c>
      <c r="E494" s="196"/>
      <c r="F494" s="197"/>
      <c r="G494" s="57">
        <v>1606.0409999999999</v>
      </c>
      <c r="H494" s="63"/>
      <c r="I494" s="5"/>
    </row>
    <row r="495" spans="1:9" x14ac:dyDescent="0.2">
      <c r="A495" s="4" t="s">
        <v>243</v>
      </c>
      <c r="B495" s="13" t="s">
        <v>2896</v>
      </c>
      <c r="C495" s="13" t="s">
        <v>1707</v>
      </c>
      <c r="D495" s="174" t="s">
        <v>2712</v>
      </c>
      <c r="E495" s="175"/>
      <c r="F495" s="13" t="s">
        <v>2862</v>
      </c>
      <c r="G495" s="82">
        <v>5</v>
      </c>
      <c r="H495" s="62">
        <v>0</v>
      </c>
      <c r="I495" s="5"/>
    </row>
    <row r="496" spans="1:9" x14ac:dyDescent="0.2">
      <c r="A496" s="4" t="s">
        <v>244</v>
      </c>
      <c r="B496" s="13" t="s">
        <v>2896</v>
      </c>
      <c r="C496" s="13" t="s">
        <v>1708</v>
      </c>
      <c r="D496" s="174" t="s">
        <v>2713</v>
      </c>
      <c r="E496" s="175"/>
      <c r="F496" s="13" t="s">
        <v>2868</v>
      </c>
      <c r="G496" s="82">
        <v>1</v>
      </c>
      <c r="H496" s="62">
        <v>0</v>
      </c>
      <c r="I496" s="5"/>
    </row>
    <row r="497" spans="1:9" x14ac:dyDescent="0.2">
      <c r="A497" s="4" t="s">
        <v>245</v>
      </c>
      <c r="B497" s="13" t="s">
        <v>2896</v>
      </c>
      <c r="C497" s="13" t="s">
        <v>1709</v>
      </c>
      <c r="D497" s="174" t="s">
        <v>2714</v>
      </c>
      <c r="E497" s="175"/>
      <c r="F497" s="13" t="s">
        <v>2868</v>
      </c>
      <c r="G497" s="82">
        <v>1</v>
      </c>
      <c r="H497" s="62">
        <v>0</v>
      </c>
      <c r="I497" s="5"/>
    </row>
    <row r="498" spans="1:9" x14ac:dyDescent="0.2">
      <c r="A498" s="4" t="s">
        <v>246</v>
      </c>
      <c r="B498" s="13" t="s">
        <v>2896</v>
      </c>
      <c r="C498" s="13" t="s">
        <v>1710</v>
      </c>
      <c r="D498" s="174" t="s">
        <v>2715</v>
      </c>
      <c r="E498" s="175"/>
      <c r="F498" s="13" t="s">
        <v>2852</v>
      </c>
      <c r="G498" s="82">
        <v>1</v>
      </c>
      <c r="H498" s="62">
        <v>0</v>
      </c>
      <c r="I498" s="5"/>
    </row>
    <row r="499" spans="1:9" x14ac:dyDescent="0.2">
      <c r="A499" s="86" t="s">
        <v>247</v>
      </c>
      <c r="B499" s="87" t="s">
        <v>2896</v>
      </c>
      <c r="C499" s="87" t="s">
        <v>1711</v>
      </c>
      <c r="D499" s="184" t="s">
        <v>2715</v>
      </c>
      <c r="E499" s="175"/>
      <c r="F499" s="87" t="s">
        <v>2852</v>
      </c>
      <c r="G499" s="88">
        <v>1</v>
      </c>
      <c r="H499" s="89">
        <v>0</v>
      </c>
      <c r="I499" s="5"/>
    </row>
    <row r="500" spans="1:9" x14ac:dyDescent="0.2">
      <c r="A500" s="4" t="s">
        <v>248</v>
      </c>
      <c r="B500" s="13" t="s">
        <v>2896</v>
      </c>
      <c r="C500" s="13" t="s">
        <v>1712</v>
      </c>
      <c r="D500" s="174" t="s">
        <v>2716</v>
      </c>
      <c r="E500" s="175"/>
      <c r="F500" s="13" t="s">
        <v>2862</v>
      </c>
      <c r="G500" s="82">
        <v>16</v>
      </c>
      <c r="H500" s="62">
        <v>0</v>
      </c>
      <c r="I500" s="5"/>
    </row>
    <row r="501" spans="1:9" x14ac:dyDescent="0.2">
      <c r="A501" s="4" t="s">
        <v>249</v>
      </c>
      <c r="B501" s="13" t="s">
        <v>2894</v>
      </c>
      <c r="C501" s="13" t="s">
        <v>1076</v>
      </c>
      <c r="D501" s="174" t="s">
        <v>2014</v>
      </c>
      <c r="E501" s="175"/>
      <c r="F501" s="13" t="s">
        <v>2854</v>
      </c>
      <c r="G501" s="82">
        <v>485.83300000000003</v>
      </c>
      <c r="H501" s="62">
        <v>0</v>
      </c>
      <c r="I501" s="5"/>
    </row>
    <row r="502" spans="1:9" ht="12.2" customHeight="1" x14ac:dyDescent="0.2">
      <c r="A502" s="5"/>
      <c r="D502" s="54" t="s">
        <v>3172</v>
      </c>
      <c r="E502" s="196"/>
      <c r="F502" s="197"/>
      <c r="G502" s="57">
        <v>485.83300000000003</v>
      </c>
      <c r="H502" s="63"/>
      <c r="I502" s="5"/>
    </row>
    <row r="503" spans="1:9" x14ac:dyDescent="0.2">
      <c r="A503" s="6" t="s">
        <v>250</v>
      </c>
      <c r="B503" s="15" t="s">
        <v>2894</v>
      </c>
      <c r="C503" s="15" t="s">
        <v>1077</v>
      </c>
      <c r="D503" s="182" t="s">
        <v>2015</v>
      </c>
      <c r="E503" s="183"/>
      <c r="F503" s="15" t="s">
        <v>2858</v>
      </c>
      <c r="G503" s="84">
        <v>145.75</v>
      </c>
      <c r="H503" s="64">
        <v>0</v>
      </c>
      <c r="I503" s="5"/>
    </row>
    <row r="504" spans="1:9" ht="12.2" customHeight="1" x14ac:dyDescent="0.2">
      <c r="A504" s="5"/>
      <c r="D504" s="54" t="s">
        <v>3173</v>
      </c>
      <c r="E504" s="196"/>
      <c r="F504" s="197"/>
      <c r="G504" s="58">
        <v>145.75</v>
      </c>
      <c r="H504" s="63"/>
      <c r="I504" s="5"/>
    </row>
    <row r="505" spans="1:9" x14ac:dyDescent="0.2">
      <c r="A505" s="4" t="s">
        <v>251</v>
      </c>
      <c r="B505" s="13" t="s">
        <v>2894</v>
      </c>
      <c r="C505" s="13" t="s">
        <v>1078</v>
      </c>
      <c r="D505" s="174" t="s">
        <v>2016</v>
      </c>
      <c r="E505" s="175"/>
      <c r="F505" s="13" t="s">
        <v>2854</v>
      </c>
      <c r="G505" s="82">
        <v>51.753999999999998</v>
      </c>
      <c r="H505" s="62">
        <v>0</v>
      </c>
      <c r="I505" s="5"/>
    </row>
    <row r="506" spans="1:9" ht="12.2" customHeight="1" x14ac:dyDescent="0.2">
      <c r="A506" s="5"/>
      <c r="D506" s="54" t="s">
        <v>3174</v>
      </c>
      <c r="E506" s="196"/>
      <c r="F506" s="197"/>
      <c r="G506" s="57">
        <v>51.753999999999998</v>
      </c>
      <c r="H506" s="63"/>
      <c r="I506" s="5"/>
    </row>
    <row r="507" spans="1:9" x14ac:dyDescent="0.2">
      <c r="A507" s="6" t="s">
        <v>252</v>
      </c>
      <c r="B507" s="15" t="s">
        <v>2894</v>
      </c>
      <c r="C507" s="15" t="s">
        <v>1077</v>
      </c>
      <c r="D507" s="182" t="s">
        <v>2015</v>
      </c>
      <c r="E507" s="183"/>
      <c r="F507" s="15" t="s">
        <v>2858</v>
      </c>
      <c r="G507" s="84">
        <v>15.526</v>
      </c>
      <c r="H507" s="64">
        <v>0</v>
      </c>
      <c r="I507" s="5"/>
    </row>
    <row r="508" spans="1:9" ht="12.2" customHeight="1" x14ac:dyDescent="0.2">
      <c r="A508" s="5"/>
      <c r="D508" s="54" t="s">
        <v>3175</v>
      </c>
      <c r="E508" s="196"/>
      <c r="F508" s="197"/>
      <c r="G508" s="58">
        <v>15.526</v>
      </c>
      <c r="H508" s="63"/>
      <c r="I508" s="5"/>
    </row>
    <row r="509" spans="1:9" x14ac:dyDescent="0.2">
      <c r="A509" s="4" t="s">
        <v>253</v>
      </c>
      <c r="B509" s="13" t="s">
        <v>2894</v>
      </c>
      <c r="C509" s="13" t="s">
        <v>1079</v>
      </c>
      <c r="D509" s="174" t="s">
        <v>2017</v>
      </c>
      <c r="E509" s="175"/>
      <c r="F509" s="13" t="s">
        <v>2854</v>
      </c>
      <c r="G509" s="82">
        <v>485.83300000000003</v>
      </c>
      <c r="H509" s="62">
        <v>0</v>
      </c>
      <c r="I509" s="5"/>
    </row>
    <row r="510" spans="1:9" ht="12.2" customHeight="1" x14ac:dyDescent="0.2">
      <c r="A510" s="5"/>
      <c r="D510" s="54" t="s">
        <v>3172</v>
      </c>
      <c r="E510" s="196"/>
      <c r="F510" s="197"/>
      <c r="G510" s="57">
        <v>485.83300000000003</v>
      </c>
      <c r="H510" s="63"/>
      <c r="I510" s="5"/>
    </row>
    <row r="511" spans="1:9" x14ac:dyDescent="0.2">
      <c r="A511" s="6" t="s">
        <v>254</v>
      </c>
      <c r="B511" s="15" t="s">
        <v>2894</v>
      </c>
      <c r="C511" s="15" t="s">
        <v>1080</v>
      </c>
      <c r="D511" s="182" t="s">
        <v>2018</v>
      </c>
      <c r="E511" s="183"/>
      <c r="F511" s="15" t="s">
        <v>2854</v>
      </c>
      <c r="G511" s="84">
        <v>558.70799999999997</v>
      </c>
      <c r="H511" s="64">
        <v>0</v>
      </c>
      <c r="I511" s="5"/>
    </row>
    <row r="512" spans="1:9" ht="12.2" customHeight="1" x14ac:dyDescent="0.2">
      <c r="A512" s="5"/>
      <c r="D512" s="54" t="s">
        <v>3176</v>
      </c>
      <c r="E512" s="196"/>
      <c r="F512" s="197"/>
      <c r="G512" s="58">
        <v>485.83300000000003</v>
      </c>
      <c r="H512" s="63"/>
      <c r="I512" s="5"/>
    </row>
    <row r="513" spans="1:9" ht="12.2" customHeight="1" x14ac:dyDescent="0.2">
      <c r="A513" s="6"/>
      <c r="B513" s="15"/>
      <c r="C513" s="15"/>
      <c r="D513" s="54" t="s">
        <v>3177</v>
      </c>
      <c r="E513" s="196"/>
      <c r="F513" s="196"/>
      <c r="G513" s="85">
        <v>72.875</v>
      </c>
      <c r="H513" s="32"/>
      <c r="I513" s="5"/>
    </row>
    <row r="514" spans="1:9" x14ac:dyDescent="0.2">
      <c r="A514" s="4" t="s">
        <v>255</v>
      </c>
      <c r="B514" s="13" t="s">
        <v>2894</v>
      </c>
      <c r="C514" s="13" t="s">
        <v>1081</v>
      </c>
      <c r="D514" s="174" t="s">
        <v>2019</v>
      </c>
      <c r="E514" s="175"/>
      <c r="F514" s="13" t="s">
        <v>2854</v>
      </c>
      <c r="G514" s="82">
        <v>51.753999999999998</v>
      </c>
      <c r="H514" s="62">
        <v>0</v>
      </c>
      <c r="I514" s="5"/>
    </row>
    <row r="515" spans="1:9" ht="12.2" customHeight="1" x14ac:dyDescent="0.2">
      <c r="A515" s="5"/>
      <c r="D515" s="54" t="s">
        <v>3174</v>
      </c>
      <c r="E515" s="196"/>
      <c r="F515" s="197"/>
      <c r="G515" s="57">
        <v>51.753999999999998</v>
      </c>
      <c r="H515" s="63"/>
      <c r="I515" s="5"/>
    </row>
    <row r="516" spans="1:9" x14ac:dyDescent="0.2">
      <c r="A516" s="6" t="s">
        <v>256</v>
      </c>
      <c r="B516" s="15" t="s">
        <v>2894</v>
      </c>
      <c r="C516" s="15" t="s">
        <v>1080</v>
      </c>
      <c r="D516" s="182" t="s">
        <v>2018</v>
      </c>
      <c r="E516" s="183"/>
      <c r="F516" s="15" t="s">
        <v>2854</v>
      </c>
      <c r="G516" s="84">
        <v>59.517000000000003</v>
      </c>
      <c r="H516" s="64">
        <v>0</v>
      </c>
      <c r="I516" s="5"/>
    </row>
    <row r="517" spans="1:9" ht="12.2" customHeight="1" x14ac:dyDescent="0.2">
      <c r="A517" s="5"/>
      <c r="D517" s="54" t="s">
        <v>3174</v>
      </c>
      <c r="E517" s="196"/>
      <c r="F517" s="197"/>
      <c r="G517" s="58">
        <v>51.753999999999998</v>
      </c>
      <c r="H517" s="63"/>
      <c r="I517" s="5"/>
    </row>
    <row r="518" spans="1:9" ht="12.2" customHeight="1" x14ac:dyDescent="0.2">
      <c r="A518" s="6"/>
      <c r="B518" s="15"/>
      <c r="C518" s="15"/>
      <c r="D518" s="54" t="s">
        <v>3178</v>
      </c>
      <c r="E518" s="196"/>
      <c r="F518" s="196"/>
      <c r="G518" s="85">
        <v>7.7629999999999999</v>
      </c>
      <c r="H518" s="32"/>
      <c r="I518" s="5"/>
    </row>
    <row r="519" spans="1:9" x14ac:dyDescent="0.2">
      <c r="A519" s="4" t="s">
        <v>257</v>
      </c>
      <c r="B519" s="13" t="s">
        <v>2894</v>
      </c>
      <c r="C519" s="13" t="s">
        <v>1082</v>
      </c>
      <c r="D519" s="174" t="s">
        <v>2020</v>
      </c>
      <c r="E519" s="175"/>
      <c r="F519" s="13" t="s">
        <v>2859</v>
      </c>
      <c r="G519" s="82">
        <v>1</v>
      </c>
      <c r="H519" s="62">
        <v>0</v>
      </c>
      <c r="I519" s="5"/>
    </row>
    <row r="520" spans="1:9" ht="12.2" customHeight="1" x14ac:dyDescent="0.2">
      <c r="A520" s="5"/>
      <c r="D520" s="54" t="s">
        <v>7</v>
      </c>
      <c r="E520" s="196"/>
      <c r="F520" s="197"/>
      <c r="G520" s="57">
        <v>1</v>
      </c>
      <c r="H520" s="63"/>
      <c r="I520" s="5"/>
    </row>
    <row r="521" spans="1:9" x14ac:dyDescent="0.2">
      <c r="A521" s="4" t="s">
        <v>258</v>
      </c>
      <c r="B521" s="13" t="s">
        <v>2894</v>
      </c>
      <c r="C521" s="13" t="s">
        <v>1083</v>
      </c>
      <c r="D521" s="174" t="s">
        <v>2021</v>
      </c>
      <c r="E521" s="175"/>
      <c r="F521" s="13" t="s">
        <v>2854</v>
      </c>
      <c r="G521" s="82">
        <v>485.83300000000003</v>
      </c>
      <c r="H521" s="62">
        <v>0</v>
      </c>
      <c r="I521" s="5"/>
    </row>
    <row r="522" spans="1:9" ht="12.2" customHeight="1" x14ac:dyDescent="0.2">
      <c r="A522" s="5"/>
      <c r="D522" s="54" t="s">
        <v>3172</v>
      </c>
      <c r="E522" s="196"/>
      <c r="F522" s="197"/>
      <c r="G522" s="57">
        <v>485.83300000000003</v>
      </c>
      <c r="H522" s="63"/>
      <c r="I522" s="5"/>
    </row>
    <row r="523" spans="1:9" x14ac:dyDescent="0.2">
      <c r="A523" s="4" t="s">
        <v>259</v>
      </c>
      <c r="B523" s="13" t="s">
        <v>2894</v>
      </c>
      <c r="C523" s="13" t="s">
        <v>1084</v>
      </c>
      <c r="D523" s="174" t="s">
        <v>2022</v>
      </c>
      <c r="E523" s="175"/>
      <c r="F523" s="13" t="s">
        <v>2856</v>
      </c>
      <c r="G523" s="82">
        <v>3.238</v>
      </c>
      <c r="H523" s="62">
        <v>0</v>
      </c>
      <c r="I523" s="5"/>
    </row>
    <row r="524" spans="1:9" ht="12.2" customHeight="1" x14ac:dyDescent="0.2">
      <c r="A524" s="5"/>
      <c r="D524" s="54" t="s">
        <v>3179</v>
      </c>
      <c r="E524" s="196"/>
      <c r="F524" s="197"/>
      <c r="G524" s="57">
        <v>3.238</v>
      </c>
      <c r="H524" s="63"/>
      <c r="I524" s="5"/>
    </row>
    <row r="525" spans="1:9" x14ac:dyDescent="0.2">
      <c r="A525" s="4" t="s">
        <v>260</v>
      </c>
      <c r="B525" s="13" t="s">
        <v>2894</v>
      </c>
      <c r="C525" s="13" t="s">
        <v>1085</v>
      </c>
      <c r="D525" s="174" t="s">
        <v>2024</v>
      </c>
      <c r="E525" s="175"/>
      <c r="F525" s="13" t="s">
        <v>2854</v>
      </c>
      <c r="G525" s="82">
        <v>485.83300000000003</v>
      </c>
      <c r="H525" s="62">
        <v>0</v>
      </c>
      <c r="I525" s="5"/>
    </row>
    <row r="526" spans="1:9" ht="12.2" customHeight="1" x14ac:dyDescent="0.2">
      <c r="A526" s="5"/>
      <c r="D526" s="54" t="s">
        <v>3180</v>
      </c>
      <c r="E526" s="196"/>
      <c r="F526" s="197"/>
      <c r="G526" s="57">
        <v>485.83300000000003</v>
      </c>
      <c r="H526" s="63"/>
      <c r="I526" s="5"/>
    </row>
    <row r="527" spans="1:9" x14ac:dyDescent="0.2">
      <c r="A527" s="6" t="s">
        <v>261</v>
      </c>
      <c r="B527" s="15" t="s">
        <v>2894</v>
      </c>
      <c r="C527" s="15" t="s">
        <v>1077</v>
      </c>
      <c r="D527" s="182" t="s">
        <v>2015</v>
      </c>
      <c r="E527" s="183"/>
      <c r="F527" s="15" t="s">
        <v>2858</v>
      </c>
      <c r="G527" s="84">
        <v>161.94399999999999</v>
      </c>
      <c r="H527" s="64">
        <v>0</v>
      </c>
      <c r="I527" s="5"/>
    </row>
    <row r="528" spans="1:9" ht="12.2" customHeight="1" x14ac:dyDescent="0.2">
      <c r="A528" s="5"/>
      <c r="D528" s="54" t="s">
        <v>3181</v>
      </c>
      <c r="E528" s="196"/>
      <c r="F528" s="197"/>
      <c r="G528" s="58">
        <v>161.94399999999999</v>
      </c>
      <c r="H528" s="63"/>
      <c r="I528" s="5"/>
    </row>
    <row r="529" spans="1:9" x14ac:dyDescent="0.2">
      <c r="A529" s="4" t="s">
        <v>262</v>
      </c>
      <c r="B529" s="13" t="s">
        <v>2894</v>
      </c>
      <c r="C529" s="13" t="s">
        <v>1086</v>
      </c>
      <c r="D529" s="174" t="s">
        <v>2025</v>
      </c>
      <c r="E529" s="175"/>
      <c r="F529" s="13" t="s">
        <v>2854</v>
      </c>
      <c r="G529" s="82">
        <v>21.75</v>
      </c>
      <c r="H529" s="62">
        <v>0</v>
      </c>
      <c r="I529" s="5"/>
    </row>
    <row r="530" spans="1:9" ht="12.2" customHeight="1" x14ac:dyDescent="0.2">
      <c r="A530" s="5"/>
      <c r="D530" s="54" t="s">
        <v>3182</v>
      </c>
      <c r="E530" s="196"/>
      <c r="F530" s="197"/>
      <c r="G530" s="57">
        <v>21.75</v>
      </c>
      <c r="H530" s="63"/>
      <c r="I530" s="5"/>
    </row>
    <row r="531" spans="1:9" x14ac:dyDescent="0.2">
      <c r="A531" s="6" t="s">
        <v>263</v>
      </c>
      <c r="B531" s="15" t="s">
        <v>2894</v>
      </c>
      <c r="C531" s="15" t="s">
        <v>1077</v>
      </c>
      <c r="D531" s="182" t="s">
        <v>2015</v>
      </c>
      <c r="E531" s="183"/>
      <c r="F531" s="15" t="s">
        <v>2858</v>
      </c>
      <c r="G531" s="84">
        <v>7.25</v>
      </c>
      <c r="H531" s="64">
        <v>0</v>
      </c>
      <c r="I531" s="5"/>
    </row>
    <row r="532" spans="1:9" ht="12.2" customHeight="1" x14ac:dyDescent="0.2">
      <c r="A532" s="5"/>
      <c r="D532" s="54" t="s">
        <v>3183</v>
      </c>
      <c r="E532" s="196"/>
      <c r="F532" s="197"/>
      <c r="G532" s="58">
        <v>7.25</v>
      </c>
      <c r="H532" s="63"/>
      <c r="I532" s="5"/>
    </row>
    <row r="533" spans="1:9" x14ac:dyDescent="0.2">
      <c r="A533" s="4" t="s">
        <v>264</v>
      </c>
      <c r="B533" s="13" t="s">
        <v>2894</v>
      </c>
      <c r="C533" s="13" t="s">
        <v>1087</v>
      </c>
      <c r="D533" s="174" t="s">
        <v>2026</v>
      </c>
      <c r="E533" s="175"/>
      <c r="F533" s="13" t="s">
        <v>2854</v>
      </c>
      <c r="G533" s="82">
        <v>501.43900000000002</v>
      </c>
      <c r="H533" s="62">
        <v>0</v>
      </c>
      <c r="I533" s="5"/>
    </row>
    <row r="534" spans="1:9" ht="12.2" customHeight="1" x14ac:dyDescent="0.2">
      <c r="A534" s="5"/>
      <c r="D534" s="54" t="s">
        <v>3184</v>
      </c>
      <c r="E534" s="196"/>
      <c r="F534" s="197"/>
      <c r="G534" s="57">
        <v>501.43900000000002</v>
      </c>
      <c r="H534" s="63"/>
      <c r="I534" s="5"/>
    </row>
    <row r="535" spans="1:9" x14ac:dyDescent="0.2">
      <c r="A535" s="4" t="s">
        <v>265</v>
      </c>
      <c r="B535" s="13" t="s">
        <v>2894</v>
      </c>
      <c r="C535" s="13" t="s">
        <v>1088</v>
      </c>
      <c r="D535" s="174" t="s">
        <v>2027</v>
      </c>
      <c r="E535" s="175"/>
      <c r="F535" s="13" t="s">
        <v>2852</v>
      </c>
      <c r="G535" s="82">
        <v>20</v>
      </c>
      <c r="H535" s="62">
        <v>0</v>
      </c>
      <c r="I535" s="5"/>
    </row>
    <row r="536" spans="1:9" ht="12.2" customHeight="1" x14ac:dyDescent="0.2">
      <c r="A536" s="5"/>
      <c r="D536" s="54" t="s">
        <v>26</v>
      </c>
      <c r="E536" s="196"/>
      <c r="F536" s="197"/>
      <c r="G536" s="57">
        <v>20</v>
      </c>
      <c r="H536" s="63"/>
      <c r="I536" s="5"/>
    </row>
    <row r="537" spans="1:9" x14ac:dyDescent="0.2">
      <c r="A537" s="4" t="s">
        <v>266</v>
      </c>
      <c r="B537" s="13" t="s">
        <v>2894</v>
      </c>
      <c r="C537" s="13" t="s">
        <v>1089</v>
      </c>
      <c r="D537" s="174" t="s">
        <v>2028</v>
      </c>
      <c r="E537" s="175"/>
      <c r="F537" s="13" t="s">
        <v>2856</v>
      </c>
      <c r="G537" s="82">
        <v>2.9289999999999998</v>
      </c>
      <c r="H537" s="62">
        <v>0</v>
      </c>
      <c r="I537" s="5"/>
    </row>
    <row r="538" spans="1:9" ht="12.2" customHeight="1" x14ac:dyDescent="0.2">
      <c r="A538" s="5"/>
      <c r="D538" s="54" t="s">
        <v>3185</v>
      </c>
      <c r="E538" s="196"/>
      <c r="F538" s="197"/>
      <c r="G538" s="57">
        <v>2.9289999999999998</v>
      </c>
      <c r="H538" s="63"/>
      <c r="I538" s="5"/>
    </row>
    <row r="539" spans="1:9" x14ac:dyDescent="0.2">
      <c r="A539" s="4" t="s">
        <v>267</v>
      </c>
      <c r="B539" s="13" t="s">
        <v>2894</v>
      </c>
      <c r="C539" s="13" t="s">
        <v>1090</v>
      </c>
      <c r="D539" s="174" t="s">
        <v>2030</v>
      </c>
      <c r="E539" s="175"/>
      <c r="F539" s="13" t="s">
        <v>2854</v>
      </c>
      <c r="G539" s="82">
        <v>68</v>
      </c>
      <c r="H539" s="62">
        <v>0</v>
      </c>
      <c r="I539" s="5"/>
    </row>
    <row r="540" spans="1:9" ht="12.2" customHeight="1" x14ac:dyDescent="0.2">
      <c r="A540" s="5"/>
      <c r="D540" s="54" t="s">
        <v>74</v>
      </c>
      <c r="E540" s="196"/>
      <c r="F540" s="197"/>
      <c r="G540" s="57">
        <v>68</v>
      </c>
      <c r="H540" s="63"/>
      <c r="I540" s="5"/>
    </row>
    <row r="541" spans="1:9" x14ac:dyDescent="0.2">
      <c r="A541" s="6" t="s">
        <v>268</v>
      </c>
      <c r="B541" s="15" t="s">
        <v>2894</v>
      </c>
      <c r="C541" s="15" t="s">
        <v>1091</v>
      </c>
      <c r="D541" s="182" t="s">
        <v>2031</v>
      </c>
      <c r="E541" s="183"/>
      <c r="F541" s="15" t="s">
        <v>2854</v>
      </c>
      <c r="G541" s="84">
        <v>71.400000000000006</v>
      </c>
      <c r="H541" s="64">
        <v>0</v>
      </c>
      <c r="I541" s="5"/>
    </row>
    <row r="542" spans="1:9" ht="12.2" customHeight="1" x14ac:dyDescent="0.2">
      <c r="A542" s="5"/>
      <c r="D542" s="54" t="s">
        <v>74</v>
      </c>
      <c r="E542" s="196"/>
      <c r="F542" s="197"/>
      <c r="G542" s="58">
        <v>68</v>
      </c>
      <c r="H542" s="63"/>
      <c r="I542" s="5"/>
    </row>
    <row r="543" spans="1:9" ht="12.2" customHeight="1" x14ac:dyDescent="0.2">
      <c r="A543" s="6"/>
      <c r="B543" s="15"/>
      <c r="C543" s="15"/>
      <c r="D543" s="54" t="s">
        <v>3186</v>
      </c>
      <c r="E543" s="196"/>
      <c r="F543" s="196"/>
      <c r="G543" s="85">
        <v>3.4</v>
      </c>
      <c r="H543" s="32"/>
      <c r="I543" s="5"/>
    </row>
    <row r="544" spans="1:9" x14ac:dyDescent="0.2">
      <c r="A544" s="4" t="s">
        <v>269</v>
      </c>
      <c r="B544" s="13" t="s">
        <v>2894</v>
      </c>
      <c r="C544" s="13" t="s">
        <v>1090</v>
      </c>
      <c r="D544" s="174" t="s">
        <v>2032</v>
      </c>
      <c r="E544" s="175"/>
      <c r="F544" s="13" t="s">
        <v>2854</v>
      </c>
      <c r="G544" s="82">
        <v>500.2</v>
      </c>
      <c r="H544" s="62">
        <v>0</v>
      </c>
      <c r="I544" s="5"/>
    </row>
    <row r="545" spans="1:9" ht="12.2" customHeight="1" x14ac:dyDescent="0.2">
      <c r="A545" s="5"/>
      <c r="D545" s="54" t="s">
        <v>3187</v>
      </c>
      <c r="E545" s="196"/>
      <c r="F545" s="197"/>
      <c r="G545" s="57">
        <v>500.2</v>
      </c>
      <c r="H545" s="63"/>
      <c r="I545" s="5"/>
    </row>
    <row r="546" spans="1:9" x14ac:dyDescent="0.2">
      <c r="A546" s="6" t="s">
        <v>270</v>
      </c>
      <c r="B546" s="15" t="s">
        <v>2894</v>
      </c>
      <c r="C546" s="15" t="s">
        <v>1092</v>
      </c>
      <c r="D546" s="182" t="s">
        <v>2033</v>
      </c>
      <c r="E546" s="183"/>
      <c r="F546" s="15" t="s">
        <v>2854</v>
      </c>
      <c r="G546" s="84">
        <v>525.21</v>
      </c>
      <c r="H546" s="64">
        <v>0</v>
      </c>
      <c r="I546" s="5"/>
    </row>
    <row r="547" spans="1:9" ht="12.2" customHeight="1" x14ac:dyDescent="0.2">
      <c r="A547" s="5"/>
      <c r="D547" s="54" t="s">
        <v>3188</v>
      </c>
      <c r="E547" s="196"/>
      <c r="F547" s="197"/>
      <c r="G547" s="58">
        <v>500.2</v>
      </c>
      <c r="H547" s="63"/>
      <c r="I547" s="5"/>
    </row>
    <row r="548" spans="1:9" ht="12.2" customHeight="1" x14ac:dyDescent="0.2">
      <c r="A548" s="6"/>
      <c r="B548" s="15"/>
      <c r="C548" s="15"/>
      <c r="D548" s="54" t="s">
        <v>3189</v>
      </c>
      <c r="E548" s="196"/>
      <c r="F548" s="196"/>
      <c r="G548" s="85">
        <v>25.01</v>
      </c>
      <c r="H548" s="32"/>
      <c r="I548" s="5"/>
    </row>
    <row r="549" spans="1:9" x14ac:dyDescent="0.2">
      <c r="A549" s="4" t="s">
        <v>271</v>
      </c>
      <c r="B549" s="13" t="s">
        <v>2894</v>
      </c>
      <c r="C549" s="13" t="s">
        <v>1090</v>
      </c>
      <c r="D549" s="174" t="s">
        <v>2034</v>
      </c>
      <c r="E549" s="175"/>
      <c r="F549" s="13" t="s">
        <v>2854</v>
      </c>
      <c r="G549" s="82">
        <v>432.2</v>
      </c>
      <c r="H549" s="62">
        <v>0</v>
      </c>
      <c r="I549" s="5"/>
    </row>
    <row r="550" spans="1:9" ht="12.2" customHeight="1" x14ac:dyDescent="0.2">
      <c r="A550" s="5"/>
      <c r="D550" s="54" t="s">
        <v>3190</v>
      </c>
      <c r="E550" s="196"/>
      <c r="F550" s="197"/>
      <c r="G550" s="57">
        <v>432.2</v>
      </c>
      <c r="H550" s="63"/>
      <c r="I550" s="5"/>
    </row>
    <row r="551" spans="1:9" x14ac:dyDescent="0.2">
      <c r="A551" s="6" t="s">
        <v>272</v>
      </c>
      <c r="B551" s="15" t="s">
        <v>2894</v>
      </c>
      <c r="C551" s="15" t="s">
        <v>1093</v>
      </c>
      <c r="D551" s="182" t="s">
        <v>2035</v>
      </c>
      <c r="E551" s="183"/>
      <c r="F551" s="15" t="s">
        <v>2854</v>
      </c>
      <c r="G551" s="84">
        <v>453.81</v>
      </c>
      <c r="H551" s="64">
        <v>0</v>
      </c>
      <c r="I551" s="5"/>
    </row>
    <row r="552" spans="1:9" ht="12.2" customHeight="1" x14ac:dyDescent="0.2">
      <c r="A552" s="5"/>
      <c r="D552" s="54" t="s">
        <v>3191</v>
      </c>
      <c r="E552" s="196"/>
      <c r="F552" s="197"/>
      <c r="G552" s="58">
        <v>432.2</v>
      </c>
      <c r="H552" s="63"/>
      <c r="I552" s="5"/>
    </row>
    <row r="553" spans="1:9" ht="12.2" customHeight="1" x14ac:dyDescent="0.2">
      <c r="A553" s="6"/>
      <c r="B553" s="15"/>
      <c r="C553" s="15"/>
      <c r="D553" s="54" t="s">
        <v>3192</v>
      </c>
      <c r="E553" s="196"/>
      <c r="F553" s="196"/>
      <c r="G553" s="85">
        <v>21.61</v>
      </c>
      <c r="H553" s="32"/>
      <c r="I553" s="5"/>
    </row>
    <row r="554" spans="1:9" x14ac:dyDescent="0.2">
      <c r="A554" s="4" t="s">
        <v>273</v>
      </c>
      <c r="B554" s="13" t="s">
        <v>2894</v>
      </c>
      <c r="C554" s="13" t="s">
        <v>1094</v>
      </c>
      <c r="D554" s="174" t="s">
        <v>2036</v>
      </c>
      <c r="E554" s="175"/>
      <c r="F554" s="13" t="s">
        <v>2854</v>
      </c>
      <c r="G554" s="82">
        <v>432.2</v>
      </c>
      <c r="H554" s="62">
        <v>0</v>
      </c>
      <c r="I554" s="5"/>
    </row>
    <row r="555" spans="1:9" ht="12.2" customHeight="1" x14ac:dyDescent="0.2">
      <c r="A555" s="5"/>
      <c r="D555" s="54" t="s">
        <v>3190</v>
      </c>
      <c r="E555" s="196"/>
      <c r="F555" s="197"/>
      <c r="G555" s="57">
        <v>432.2</v>
      </c>
      <c r="H555" s="63"/>
      <c r="I555" s="5"/>
    </row>
    <row r="556" spans="1:9" x14ac:dyDescent="0.2">
      <c r="A556" s="6" t="s">
        <v>274</v>
      </c>
      <c r="B556" s="15" t="s">
        <v>2894</v>
      </c>
      <c r="C556" s="15" t="s">
        <v>1093</v>
      </c>
      <c r="D556" s="182" t="s">
        <v>2035</v>
      </c>
      <c r="E556" s="183"/>
      <c r="F556" s="15" t="s">
        <v>2854</v>
      </c>
      <c r="G556" s="84">
        <v>453.81</v>
      </c>
      <c r="H556" s="64">
        <v>0</v>
      </c>
      <c r="I556" s="5"/>
    </row>
    <row r="557" spans="1:9" ht="12.2" customHeight="1" x14ac:dyDescent="0.2">
      <c r="A557" s="5"/>
      <c r="D557" s="54" t="s">
        <v>3191</v>
      </c>
      <c r="E557" s="196"/>
      <c r="F557" s="197"/>
      <c r="G557" s="58">
        <v>432.2</v>
      </c>
      <c r="H557" s="63"/>
      <c r="I557" s="5"/>
    </row>
    <row r="558" spans="1:9" ht="12.2" customHeight="1" x14ac:dyDescent="0.2">
      <c r="A558" s="6"/>
      <c r="B558" s="15"/>
      <c r="C558" s="15"/>
      <c r="D558" s="54" t="s">
        <v>3192</v>
      </c>
      <c r="E558" s="196"/>
      <c r="F558" s="196"/>
      <c r="G558" s="85">
        <v>21.61</v>
      </c>
      <c r="H558" s="32"/>
      <c r="I558" s="5"/>
    </row>
    <row r="559" spans="1:9" x14ac:dyDescent="0.2">
      <c r="A559" s="6" t="s">
        <v>275</v>
      </c>
      <c r="B559" s="15" t="s">
        <v>2894</v>
      </c>
      <c r="C559" s="15" t="s">
        <v>1095</v>
      </c>
      <c r="D559" s="182" t="s">
        <v>2037</v>
      </c>
      <c r="E559" s="183"/>
      <c r="F559" s="15" t="s">
        <v>2854</v>
      </c>
      <c r="G559" s="84">
        <v>453.81</v>
      </c>
      <c r="H559" s="64">
        <v>0</v>
      </c>
      <c r="I559" s="5"/>
    </row>
    <row r="560" spans="1:9" ht="12.2" customHeight="1" x14ac:dyDescent="0.2">
      <c r="A560" s="5"/>
      <c r="D560" s="54" t="s">
        <v>3191</v>
      </c>
      <c r="E560" s="196"/>
      <c r="F560" s="197"/>
      <c r="G560" s="58">
        <v>432.2</v>
      </c>
      <c r="H560" s="63"/>
      <c r="I560" s="5"/>
    </row>
    <row r="561" spans="1:9" ht="12.2" customHeight="1" x14ac:dyDescent="0.2">
      <c r="A561" s="6"/>
      <c r="B561" s="15"/>
      <c r="C561" s="15"/>
      <c r="D561" s="54" t="s">
        <v>3192</v>
      </c>
      <c r="E561" s="196"/>
      <c r="F561" s="196"/>
      <c r="G561" s="85">
        <v>21.61</v>
      </c>
      <c r="H561" s="32"/>
      <c r="I561" s="5"/>
    </row>
    <row r="562" spans="1:9" x14ac:dyDescent="0.2">
      <c r="A562" s="4" t="s">
        <v>276</v>
      </c>
      <c r="B562" s="13" t="s">
        <v>2894</v>
      </c>
      <c r="C562" s="13" t="s">
        <v>1096</v>
      </c>
      <c r="D562" s="174" t="s">
        <v>2038</v>
      </c>
      <c r="E562" s="175"/>
      <c r="F562" s="13" t="s">
        <v>2854</v>
      </c>
      <c r="G562" s="82">
        <v>56.387999999999998</v>
      </c>
      <c r="H562" s="62">
        <v>0</v>
      </c>
      <c r="I562" s="5"/>
    </row>
    <row r="563" spans="1:9" ht="12.2" customHeight="1" x14ac:dyDescent="0.2">
      <c r="A563" s="5"/>
      <c r="D563" s="54" t="s">
        <v>3193</v>
      </c>
      <c r="E563" s="196"/>
      <c r="F563" s="197"/>
      <c r="G563" s="57">
        <v>22.05</v>
      </c>
      <c r="H563" s="63"/>
      <c r="I563" s="5"/>
    </row>
    <row r="564" spans="1:9" ht="12.2" customHeight="1" x14ac:dyDescent="0.2">
      <c r="A564" s="4"/>
      <c r="B564" s="13"/>
      <c r="C564" s="13"/>
      <c r="D564" s="54" t="s">
        <v>3194</v>
      </c>
      <c r="E564" s="196"/>
      <c r="F564" s="196"/>
      <c r="G564" s="83">
        <v>11.275</v>
      </c>
      <c r="H564" s="31"/>
      <c r="I564" s="5"/>
    </row>
    <row r="565" spans="1:9" ht="12.2" customHeight="1" x14ac:dyDescent="0.2">
      <c r="A565" s="4"/>
      <c r="B565" s="13"/>
      <c r="C565" s="13"/>
      <c r="D565" s="54" t="s">
        <v>3195</v>
      </c>
      <c r="E565" s="196"/>
      <c r="F565" s="196"/>
      <c r="G565" s="83">
        <v>23.062999999999999</v>
      </c>
      <c r="H565" s="31"/>
      <c r="I565" s="5"/>
    </row>
    <row r="566" spans="1:9" x14ac:dyDescent="0.2">
      <c r="A566" s="6" t="s">
        <v>277</v>
      </c>
      <c r="B566" s="15" t="s">
        <v>2894</v>
      </c>
      <c r="C566" s="15" t="s">
        <v>1097</v>
      </c>
      <c r="D566" s="182" t="s">
        <v>2039</v>
      </c>
      <c r="E566" s="183"/>
      <c r="F566" s="15" t="s">
        <v>2854</v>
      </c>
      <c r="G566" s="84">
        <v>59.207000000000001</v>
      </c>
      <c r="H566" s="64">
        <v>0</v>
      </c>
      <c r="I566" s="5"/>
    </row>
    <row r="567" spans="1:9" ht="12.2" customHeight="1" x14ac:dyDescent="0.2">
      <c r="A567" s="5"/>
      <c r="D567" s="54" t="s">
        <v>3196</v>
      </c>
      <c r="E567" s="196"/>
      <c r="F567" s="197"/>
      <c r="G567" s="58">
        <v>56.387999999999998</v>
      </c>
      <c r="H567" s="63"/>
      <c r="I567" s="5"/>
    </row>
    <row r="568" spans="1:9" ht="12.2" customHeight="1" x14ac:dyDescent="0.2">
      <c r="A568" s="6"/>
      <c r="B568" s="15"/>
      <c r="C568" s="15"/>
      <c r="D568" s="54" t="s">
        <v>3197</v>
      </c>
      <c r="E568" s="196"/>
      <c r="F568" s="196"/>
      <c r="G568" s="85">
        <v>2.819</v>
      </c>
      <c r="H568" s="32"/>
      <c r="I568" s="5"/>
    </row>
    <row r="569" spans="1:9" x14ac:dyDescent="0.2">
      <c r="A569" s="4" t="s">
        <v>278</v>
      </c>
      <c r="B569" s="13" t="s">
        <v>2894</v>
      </c>
      <c r="C569" s="13" t="s">
        <v>1096</v>
      </c>
      <c r="D569" s="174" t="s">
        <v>2040</v>
      </c>
      <c r="E569" s="175"/>
      <c r="F569" s="13" t="s">
        <v>2854</v>
      </c>
      <c r="G569" s="82">
        <v>4.1100000000000003</v>
      </c>
      <c r="H569" s="62">
        <v>0</v>
      </c>
      <c r="I569" s="5"/>
    </row>
    <row r="570" spans="1:9" ht="12.2" customHeight="1" x14ac:dyDescent="0.2">
      <c r="A570" s="5"/>
      <c r="D570" s="54" t="s">
        <v>3198</v>
      </c>
      <c r="E570" s="196"/>
      <c r="F570" s="197"/>
      <c r="G570" s="57">
        <v>4.1100000000000003</v>
      </c>
      <c r="H570" s="63"/>
      <c r="I570" s="5"/>
    </row>
    <row r="571" spans="1:9" x14ac:dyDescent="0.2">
      <c r="A571" s="6" t="s">
        <v>279</v>
      </c>
      <c r="B571" s="15" t="s">
        <v>2894</v>
      </c>
      <c r="C571" s="15" t="s">
        <v>1098</v>
      </c>
      <c r="D571" s="182" t="s">
        <v>2041</v>
      </c>
      <c r="E571" s="183"/>
      <c r="F571" s="15" t="s">
        <v>2854</v>
      </c>
      <c r="G571" s="84">
        <v>4.3159999999999998</v>
      </c>
      <c r="H571" s="64">
        <v>0</v>
      </c>
      <c r="I571" s="5"/>
    </row>
    <row r="572" spans="1:9" ht="12.2" customHeight="1" x14ac:dyDescent="0.2">
      <c r="A572" s="5"/>
      <c r="D572" s="54" t="s">
        <v>3199</v>
      </c>
      <c r="E572" s="196"/>
      <c r="F572" s="197"/>
      <c r="G572" s="58">
        <v>4.1100000000000003</v>
      </c>
      <c r="H572" s="63"/>
      <c r="I572" s="5"/>
    </row>
    <row r="573" spans="1:9" ht="12.2" customHeight="1" x14ac:dyDescent="0.2">
      <c r="A573" s="6"/>
      <c r="B573" s="15"/>
      <c r="C573" s="15"/>
      <c r="D573" s="54" t="s">
        <v>3200</v>
      </c>
      <c r="E573" s="196"/>
      <c r="F573" s="196"/>
      <c r="G573" s="85">
        <v>0.20599999999999999</v>
      </c>
      <c r="H573" s="32"/>
      <c r="I573" s="5"/>
    </row>
    <row r="574" spans="1:9" x14ac:dyDescent="0.2">
      <c r="A574" s="4" t="s">
        <v>280</v>
      </c>
      <c r="B574" s="13" t="s">
        <v>2894</v>
      </c>
      <c r="C574" s="13" t="s">
        <v>1096</v>
      </c>
      <c r="D574" s="174" t="s">
        <v>2042</v>
      </c>
      <c r="E574" s="175"/>
      <c r="F574" s="13" t="s">
        <v>2854</v>
      </c>
      <c r="G574" s="82">
        <v>41.76</v>
      </c>
      <c r="H574" s="62">
        <v>0</v>
      </c>
      <c r="I574" s="5"/>
    </row>
    <row r="575" spans="1:9" ht="12.2" customHeight="1" x14ac:dyDescent="0.2">
      <c r="A575" s="5"/>
      <c r="D575" s="54" t="s">
        <v>3201</v>
      </c>
      <c r="E575" s="196"/>
      <c r="F575" s="197"/>
      <c r="G575" s="57">
        <v>41.76</v>
      </c>
      <c r="H575" s="63"/>
      <c r="I575" s="5"/>
    </row>
    <row r="576" spans="1:9" x14ac:dyDescent="0.2">
      <c r="A576" s="6" t="s">
        <v>281</v>
      </c>
      <c r="B576" s="15" t="s">
        <v>2894</v>
      </c>
      <c r="C576" s="15" t="s">
        <v>1099</v>
      </c>
      <c r="D576" s="182" t="s">
        <v>2043</v>
      </c>
      <c r="E576" s="183"/>
      <c r="F576" s="15" t="s">
        <v>2854</v>
      </c>
      <c r="G576" s="84">
        <v>41.76</v>
      </c>
      <c r="H576" s="64">
        <v>0</v>
      </c>
      <c r="I576" s="5"/>
    </row>
    <row r="577" spans="1:9" ht="12.2" customHeight="1" x14ac:dyDescent="0.2">
      <c r="A577" s="5"/>
      <c r="D577" s="54" t="s">
        <v>3202</v>
      </c>
      <c r="E577" s="196"/>
      <c r="F577" s="197"/>
      <c r="G577" s="58">
        <v>41.76</v>
      </c>
      <c r="H577" s="63"/>
      <c r="I577" s="5"/>
    </row>
    <row r="578" spans="1:9" x14ac:dyDescent="0.2">
      <c r="A578" s="4" t="s">
        <v>282</v>
      </c>
      <c r="B578" s="13" t="s">
        <v>2894</v>
      </c>
      <c r="C578" s="13" t="s">
        <v>1096</v>
      </c>
      <c r="D578" s="174" t="s">
        <v>2044</v>
      </c>
      <c r="E578" s="175"/>
      <c r="F578" s="13" t="s">
        <v>2854</v>
      </c>
      <c r="G578" s="82">
        <v>26.46</v>
      </c>
      <c r="H578" s="62">
        <v>0</v>
      </c>
      <c r="I578" s="5"/>
    </row>
    <row r="579" spans="1:9" ht="12.2" customHeight="1" x14ac:dyDescent="0.2">
      <c r="A579" s="5"/>
      <c r="D579" s="54" t="s">
        <v>3203</v>
      </c>
      <c r="E579" s="196"/>
      <c r="F579" s="197"/>
      <c r="G579" s="57">
        <v>26.46</v>
      </c>
      <c r="H579" s="63"/>
      <c r="I579" s="5"/>
    </row>
    <row r="580" spans="1:9" x14ac:dyDescent="0.2">
      <c r="A580" s="6" t="s">
        <v>283</v>
      </c>
      <c r="B580" s="15" t="s">
        <v>2894</v>
      </c>
      <c r="C580" s="15" t="s">
        <v>1100</v>
      </c>
      <c r="D580" s="182" t="s">
        <v>2045</v>
      </c>
      <c r="E580" s="183"/>
      <c r="F580" s="15" t="s">
        <v>2854</v>
      </c>
      <c r="G580" s="84">
        <v>27.783000000000001</v>
      </c>
      <c r="H580" s="64">
        <v>0</v>
      </c>
      <c r="I580" s="5"/>
    </row>
    <row r="581" spans="1:9" ht="12.2" customHeight="1" x14ac:dyDescent="0.2">
      <c r="A581" s="5"/>
      <c r="D581" s="54" t="s">
        <v>3204</v>
      </c>
      <c r="E581" s="196"/>
      <c r="F581" s="197"/>
      <c r="G581" s="58">
        <v>26.46</v>
      </c>
      <c r="H581" s="63"/>
      <c r="I581" s="5"/>
    </row>
    <row r="582" spans="1:9" ht="12.2" customHeight="1" x14ac:dyDescent="0.2">
      <c r="A582" s="6"/>
      <c r="B582" s="15"/>
      <c r="C582" s="15"/>
      <c r="D582" s="54" t="s">
        <v>3205</v>
      </c>
      <c r="E582" s="196"/>
      <c r="F582" s="196"/>
      <c r="G582" s="85">
        <v>1.323</v>
      </c>
      <c r="H582" s="32"/>
      <c r="I582" s="5"/>
    </row>
    <row r="583" spans="1:9" x14ac:dyDescent="0.2">
      <c r="A583" s="4" t="s">
        <v>284</v>
      </c>
      <c r="B583" s="13" t="s">
        <v>2894</v>
      </c>
      <c r="C583" s="13" t="s">
        <v>1101</v>
      </c>
      <c r="D583" s="174" t="s">
        <v>2046</v>
      </c>
      <c r="E583" s="175"/>
      <c r="F583" s="13" t="s">
        <v>2854</v>
      </c>
      <c r="G583" s="82">
        <v>500.2</v>
      </c>
      <c r="H583" s="62">
        <v>0</v>
      </c>
      <c r="I583" s="5"/>
    </row>
    <row r="584" spans="1:9" ht="12.2" customHeight="1" x14ac:dyDescent="0.2">
      <c r="A584" s="5"/>
      <c r="D584" s="54" t="s">
        <v>3187</v>
      </c>
      <c r="E584" s="196"/>
      <c r="F584" s="197"/>
      <c r="G584" s="57">
        <v>500.2</v>
      </c>
      <c r="H584" s="63"/>
      <c r="I584" s="5"/>
    </row>
    <row r="585" spans="1:9" x14ac:dyDescent="0.2">
      <c r="A585" s="4" t="s">
        <v>285</v>
      </c>
      <c r="B585" s="13" t="s">
        <v>2894</v>
      </c>
      <c r="C585" s="13" t="s">
        <v>1102</v>
      </c>
      <c r="D585" s="174" t="s">
        <v>2047</v>
      </c>
      <c r="E585" s="175"/>
      <c r="F585" s="13" t="s">
        <v>2854</v>
      </c>
      <c r="G585" s="82">
        <v>445.55500000000001</v>
      </c>
      <c r="H585" s="62">
        <v>0</v>
      </c>
      <c r="I585" s="5"/>
    </row>
    <row r="586" spans="1:9" ht="12.2" customHeight="1" x14ac:dyDescent="0.2">
      <c r="A586" s="5"/>
      <c r="D586" s="54" t="s">
        <v>3206</v>
      </c>
      <c r="E586" s="196"/>
      <c r="F586" s="197"/>
      <c r="G586" s="57">
        <v>445.55500000000001</v>
      </c>
      <c r="H586" s="63"/>
      <c r="I586" s="5"/>
    </row>
    <row r="587" spans="1:9" x14ac:dyDescent="0.2">
      <c r="A587" s="6" t="s">
        <v>286</v>
      </c>
      <c r="B587" s="15" t="s">
        <v>2894</v>
      </c>
      <c r="C587" s="15" t="s">
        <v>1099</v>
      </c>
      <c r="D587" s="182" t="s">
        <v>2043</v>
      </c>
      <c r="E587" s="183"/>
      <c r="F587" s="15" t="s">
        <v>2854</v>
      </c>
      <c r="G587" s="84">
        <v>467.83300000000003</v>
      </c>
      <c r="H587" s="64">
        <v>0</v>
      </c>
      <c r="I587" s="5"/>
    </row>
    <row r="588" spans="1:9" ht="12.2" customHeight="1" x14ac:dyDescent="0.2">
      <c r="A588" s="5"/>
      <c r="D588" s="54" t="s">
        <v>3207</v>
      </c>
      <c r="E588" s="196"/>
      <c r="F588" s="197"/>
      <c r="G588" s="58">
        <v>445.55500000000001</v>
      </c>
      <c r="H588" s="63"/>
      <c r="I588" s="5"/>
    </row>
    <row r="589" spans="1:9" ht="12.2" customHeight="1" x14ac:dyDescent="0.2">
      <c r="A589" s="6"/>
      <c r="B589" s="15"/>
      <c r="C589" s="15"/>
      <c r="D589" s="54" t="s">
        <v>3208</v>
      </c>
      <c r="E589" s="196"/>
      <c r="F589" s="196"/>
      <c r="G589" s="85">
        <v>22.277999999999999</v>
      </c>
      <c r="H589" s="32"/>
      <c r="I589" s="5"/>
    </row>
    <row r="590" spans="1:9" x14ac:dyDescent="0.2">
      <c r="A590" s="4" t="s">
        <v>287</v>
      </c>
      <c r="B590" s="13" t="s">
        <v>2894</v>
      </c>
      <c r="C590" s="13" t="s">
        <v>1103</v>
      </c>
      <c r="D590" s="174" t="s">
        <v>2048</v>
      </c>
      <c r="E590" s="175"/>
      <c r="F590" s="13" t="s">
        <v>2854</v>
      </c>
      <c r="G590" s="82">
        <v>445.55500000000001</v>
      </c>
      <c r="H590" s="62">
        <v>0</v>
      </c>
      <c r="I590" s="5"/>
    </row>
    <row r="591" spans="1:9" ht="12.2" customHeight="1" x14ac:dyDescent="0.2">
      <c r="A591" s="5"/>
      <c r="D591" s="54" t="s">
        <v>3206</v>
      </c>
      <c r="E591" s="196"/>
      <c r="F591" s="197"/>
      <c r="G591" s="57">
        <v>445.55500000000001</v>
      </c>
      <c r="H591" s="63"/>
      <c r="I591" s="5"/>
    </row>
    <row r="592" spans="1:9" x14ac:dyDescent="0.2">
      <c r="A592" s="4" t="s">
        <v>288</v>
      </c>
      <c r="B592" s="13" t="s">
        <v>2894</v>
      </c>
      <c r="C592" s="13" t="s">
        <v>1104</v>
      </c>
      <c r="D592" s="174" t="s">
        <v>2049</v>
      </c>
      <c r="E592" s="175"/>
      <c r="F592" s="13" t="s">
        <v>2854</v>
      </c>
      <c r="G592" s="82">
        <v>501.43900000000002</v>
      </c>
      <c r="H592" s="62">
        <v>0</v>
      </c>
      <c r="I592" s="5"/>
    </row>
    <row r="593" spans="1:9" ht="12.2" customHeight="1" x14ac:dyDescent="0.2">
      <c r="A593" s="5"/>
      <c r="D593" s="54" t="s">
        <v>3184</v>
      </c>
      <c r="E593" s="196"/>
      <c r="F593" s="197"/>
      <c r="G593" s="57">
        <v>501.43900000000002</v>
      </c>
      <c r="H593" s="63"/>
      <c r="I593" s="5"/>
    </row>
    <row r="594" spans="1:9" x14ac:dyDescent="0.2">
      <c r="A594" s="4" t="s">
        <v>289</v>
      </c>
      <c r="B594" s="13" t="s">
        <v>2894</v>
      </c>
      <c r="C594" s="13" t="s">
        <v>1105</v>
      </c>
      <c r="D594" s="174" t="s">
        <v>2050</v>
      </c>
      <c r="E594" s="175"/>
      <c r="F594" s="13" t="s">
        <v>2854</v>
      </c>
      <c r="G594" s="82">
        <v>501.43900000000002</v>
      </c>
      <c r="H594" s="62">
        <v>0</v>
      </c>
      <c r="I594" s="5"/>
    </row>
    <row r="595" spans="1:9" ht="12.2" customHeight="1" x14ac:dyDescent="0.2">
      <c r="A595" s="5"/>
      <c r="D595" s="54" t="s">
        <v>3184</v>
      </c>
      <c r="E595" s="196"/>
      <c r="F595" s="197"/>
      <c r="G595" s="57">
        <v>501.43900000000002</v>
      </c>
      <c r="H595" s="63"/>
      <c r="I595" s="5"/>
    </row>
    <row r="596" spans="1:9" x14ac:dyDescent="0.2">
      <c r="A596" s="6" t="s">
        <v>290</v>
      </c>
      <c r="B596" s="15" t="s">
        <v>2894</v>
      </c>
      <c r="C596" s="15" t="s">
        <v>1106</v>
      </c>
      <c r="D596" s="182" t="s">
        <v>2051</v>
      </c>
      <c r="E596" s="183"/>
      <c r="F596" s="15" t="s">
        <v>2854</v>
      </c>
      <c r="G596" s="84">
        <v>576.65499999999997</v>
      </c>
      <c r="H596" s="64">
        <v>0</v>
      </c>
      <c r="I596" s="5"/>
    </row>
    <row r="597" spans="1:9" ht="12.2" customHeight="1" x14ac:dyDescent="0.2">
      <c r="A597" s="5"/>
      <c r="D597" s="54" t="s">
        <v>3209</v>
      </c>
      <c r="E597" s="196"/>
      <c r="F597" s="197"/>
      <c r="G597" s="58">
        <v>501.43900000000002</v>
      </c>
      <c r="H597" s="63"/>
      <c r="I597" s="5"/>
    </row>
    <row r="598" spans="1:9" ht="12.2" customHeight="1" x14ac:dyDescent="0.2">
      <c r="A598" s="6"/>
      <c r="B598" s="15"/>
      <c r="C598" s="15"/>
      <c r="D598" s="54" t="s">
        <v>3210</v>
      </c>
      <c r="E598" s="196"/>
      <c r="F598" s="196"/>
      <c r="G598" s="85">
        <v>75.215999999999994</v>
      </c>
      <c r="H598" s="32"/>
      <c r="I598" s="5"/>
    </row>
    <row r="599" spans="1:9" x14ac:dyDescent="0.2">
      <c r="A599" s="4" t="s">
        <v>291</v>
      </c>
      <c r="B599" s="13" t="s">
        <v>2894</v>
      </c>
      <c r="C599" s="13" t="s">
        <v>1107</v>
      </c>
      <c r="D599" s="174" t="s">
        <v>2052</v>
      </c>
      <c r="E599" s="175"/>
      <c r="F599" s="13" t="s">
        <v>2856</v>
      </c>
      <c r="G599" s="82">
        <v>12.645</v>
      </c>
      <c r="H599" s="62">
        <v>0</v>
      </c>
      <c r="I599" s="5"/>
    </row>
    <row r="600" spans="1:9" ht="12.2" customHeight="1" x14ac:dyDescent="0.2">
      <c r="A600" s="5"/>
      <c r="D600" s="54" t="s">
        <v>3211</v>
      </c>
      <c r="E600" s="196"/>
      <c r="F600" s="197"/>
      <c r="G600" s="57">
        <v>12.645</v>
      </c>
      <c r="H600" s="63"/>
      <c r="I600" s="5"/>
    </row>
    <row r="601" spans="1:9" x14ac:dyDescent="0.2">
      <c r="A601" s="4" t="s">
        <v>292</v>
      </c>
      <c r="B601" s="13" t="s">
        <v>2894</v>
      </c>
      <c r="C601" s="13" t="s">
        <v>1108</v>
      </c>
      <c r="D601" s="174" t="s">
        <v>2054</v>
      </c>
      <c r="E601" s="175"/>
      <c r="F601" s="13" t="s">
        <v>2855</v>
      </c>
      <c r="G601" s="82">
        <v>51</v>
      </c>
      <c r="H601" s="62">
        <v>0</v>
      </c>
      <c r="I601" s="5"/>
    </row>
    <row r="602" spans="1:9" x14ac:dyDescent="0.2">
      <c r="A602" s="4" t="s">
        <v>293</v>
      </c>
      <c r="B602" s="13" t="s">
        <v>2894</v>
      </c>
      <c r="C602" s="13" t="s">
        <v>1109</v>
      </c>
      <c r="D602" s="174" t="s">
        <v>2056</v>
      </c>
      <c r="E602" s="175"/>
      <c r="F602" s="13" t="s">
        <v>2855</v>
      </c>
      <c r="G602" s="82">
        <v>102</v>
      </c>
      <c r="H602" s="62">
        <v>0</v>
      </c>
      <c r="I602" s="5"/>
    </row>
    <row r="603" spans="1:9" x14ac:dyDescent="0.2">
      <c r="A603" s="4" t="s">
        <v>294</v>
      </c>
      <c r="B603" s="13" t="s">
        <v>2894</v>
      </c>
      <c r="C603" s="13" t="s">
        <v>1110</v>
      </c>
      <c r="D603" s="174" t="s">
        <v>2057</v>
      </c>
      <c r="E603" s="175"/>
      <c r="F603" s="13" t="s">
        <v>2855</v>
      </c>
      <c r="G603" s="82">
        <v>23</v>
      </c>
      <c r="H603" s="62">
        <v>0</v>
      </c>
      <c r="I603" s="5"/>
    </row>
    <row r="604" spans="1:9" x14ac:dyDescent="0.2">
      <c r="A604" s="4" t="s">
        <v>295</v>
      </c>
      <c r="B604" s="13" t="s">
        <v>2894</v>
      </c>
      <c r="C604" s="13" t="s">
        <v>1111</v>
      </c>
      <c r="D604" s="174" t="s">
        <v>2058</v>
      </c>
      <c r="E604" s="175"/>
      <c r="F604" s="13" t="s">
        <v>2855</v>
      </c>
      <c r="G604" s="82">
        <v>5</v>
      </c>
      <c r="H604" s="62">
        <v>0</v>
      </c>
      <c r="I604" s="5"/>
    </row>
    <row r="605" spans="1:9" x14ac:dyDescent="0.2">
      <c r="A605" s="4" t="s">
        <v>296</v>
      </c>
      <c r="B605" s="13" t="s">
        <v>2894</v>
      </c>
      <c r="C605" s="13" t="s">
        <v>1112</v>
      </c>
      <c r="D605" s="174" t="s">
        <v>2060</v>
      </c>
      <c r="E605" s="175"/>
      <c r="F605" s="13" t="s">
        <v>2855</v>
      </c>
      <c r="G605" s="82">
        <v>41</v>
      </c>
      <c r="H605" s="62">
        <v>0</v>
      </c>
      <c r="I605" s="5"/>
    </row>
    <row r="606" spans="1:9" x14ac:dyDescent="0.2">
      <c r="A606" s="4" t="s">
        <v>297</v>
      </c>
      <c r="B606" s="13" t="s">
        <v>2894</v>
      </c>
      <c r="C606" s="13" t="s">
        <v>1113</v>
      </c>
      <c r="D606" s="174" t="s">
        <v>2061</v>
      </c>
      <c r="E606" s="175"/>
      <c r="F606" s="13" t="s">
        <v>2855</v>
      </c>
      <c r="G606" s="82">
        <v>25</v>
      </c>
      <c r="H606" s="62">
        <v>0</v>
      </c>
      <c r="I606" s="5"/>
    </row>
    <row r="607" spans="1:9" x14ac:dyDescent="0.2">
      <c r="A607" s="4" t="s">
        <v>298</v>
      </c>
      <c r="B607" s="13" t="s">
        <v>2894</v>
      </c>
      <c r="C607" s="13" t="s">
        <v>1114</v>
      </c>
      <c r="D607" s="174" t="s">
        <v>2062</v>
      </c>
      <c r="E607" s="175"/>
      <c r="F607" s="13" t="s">
        <v>2855</v>
      </c>
      <c r="G607" s="82">
        <v>68</v>
      </c>
      <c r="H607" s="62">
        <v>0</v>
      </c>
      <c r="I607" s="5"/>
    </row>
    <row r="608" spans="1:9" x14ac:dyDescent="0.2">
      <c r="A608" s="4" t="s">
        <v>299</v>
      </c>
      <c r="B608" s="13" t="s">
        <v>2894</v>
      </c>
      <c r="C608" s="13" t="s">
        <v>1115</v>
      </c>
      <c r="D608" s="174" t="s">
        <v>2063</v>
      </c>
      <c r="E608" s="175"/>
      <c r="F608" s="13" t="s">
        <v>2860</v>
      </c>
      <c r="G608" s="82">
        <v>45</v>
      </c>
      <c r="H608" s="62">
        <v>0</v>
      </c>
      <c r="I608" s="5"/>
    </row>
    <row r="609" spans="1:9" x14ac:dyDescent="0.2">
      <c r="A609" s="4" t="s">
        <v>300</v>
      </c>
      <c r="B609" s="13" t="s">
        <v>2894</v>
      </c>
      <c r="C609" s="13" t="s">
        <v>1116</v>
      </c>
      <c r="D609" s="174" t="s">
        <v>2065</v>
      </c>
      <c r="E609" s="175"/>
      <c r="F609" s="13" t="s">
        <v>2860</v>
      </c>
      <c r="G609" s="82">
        <v>3</v>
      </c>
      <c r="H609" s="62">
        <v>0</v>
      </c>
      <c r="I609" s="5"/>
    </row>
    <row r="610" spans="1:9" x14ac:dyDescent="0.2">
      <c r="A610" s="4" t="s">
        <v>301</v>
      </c>
      <c r="B610" s="13" t="s">
        <v>2894</v>
      </c>
      <c r="C610" s="13" t="s">
        <v>1117</v>
      </c>
      <c r="D610" s="174" t="s">
        <v>2066</v>
      </c>
      <c r="E610" s="175"/>
      <c r="F610" s="13" t="s">
        <v>2860</v>
      </c>
      <c r="G610" s="82">
        <v>9</v>
      </c>
      <c r="H610" s="62">
        <v>0</v>
      </c>
      <c r="I610" s="5"/>
    </row>
    <row r="611" spans="1:9" x14ac:dyDescent="0.2">
      <c r="A611" s="4" t="s">
        <v>302</v>
      </c>
      <c r="B611" s="13" t="s">
        <v>2894</v>
      </c>
      <c r="C611" s="13" t="s">
        <v>1118</v>
      </c>
      <c r="D611" s="174" t="s">
        <v>2067</v>
      </c>
      <c r="E611" s="175"/>
      <c r="F611" s="13" t="s">
        <v>2860</v>
      </c>
      <c r="G611" s="82">
        <v>1</v>
      </c>
      <c r="H611" s="62">
        <v>0</v>
      </c>
      <c r="I611" s="5"/>
    </row>
    <row r="612" spans="1:9" x14ac:dyDescent="0.2">
      <c r="A612" s="4" t="s">
        <v>303</v>
      </c>
      <c r="B612" s="13" t="s">
        <v>2894</v>
      </c>
      <c r="C612" s="13" t="s">
        <v>1119</v>
      </c>
      <c r="D612" s="174" t="s">
        <v>2068</v>
      </c>
      <c r="E612" s="175"/>
      <c r="F612" s="13" t="s">
        <v>2860</v>
      </c>
      <c r="G612" s="82">
        <v>2</v>
      </c>
      <c r="H612" s="62">
        <v>0</v>
      </c>
      <c r="I612" s="5"/>
    </row>
    <row r="613" spans="1:9" x14ac:dyDescent="0.2">
      <c r="A613" s="4" t="s">
        <v>304</v>
      </c>
      <c r="B613" s="13" t="s">
        <v>2894</v>
      </c>
      <c r="C613" s="13" t="s">
        <v>1120</v>
      </c>
      <c r="D613" s="174" t="s">
        <v>2069</v>
      </c>
      <c r="E613" s="175"/>
      <c r="F613" s="13" t="s">
        <v>2860</v>
      </c>
      <c r="G613" s="82">
        <v>4</v>
      </c>
      <c r="H613" s="62">
        <v>0</v>
      </c>
      <c r="I613" s="5"/>
    </row>
    <row r="614" spans="1:9" x14ac:dyDescent="0.2">
      <c r="A614" s="4" t="s">
        <v>305</v>
      </c>
      <c r="B614" s="13" t="s">
        <v>2894</v>
      </c>
      <c r="C614" s="13" t="s">
        <v>1121</v>
      </c>
      <c r="D614" s="174" t="s">
        <v>2071</v>
      </c>
      <c r="E614" s="175"/>
      <c r="F614" s="13" t="s">
        <v>2860</v>
      </c>
      <c r="G614" s="82">
        <v>2</v>
      </c>
      <c r="H614" s="62">
        <v>0</v>
      </c>
      <c r="I614" s="5"/>
    </row>
    <row r="615" spans="1:9" x14ac:dyDescent="0.2">
      <c r="A615" s="4" t="s">
        <v>306</v>
      </c>
      <c r="B615" s="13" t="s">
        <v>2894</v>
      </c>
      <c r="C615" s="13" t="s">
        <v>1122</v>
      </c>
      <c r="D615" s="174" t="s">
        <v>2073</v>
      </c>
      <c r="E615" s="175"/>
      <c r="F615" s="13" t="s">
        <v>2860</v>
      </c>
      <c r="G615" s="82">
        <v>3</v>
      </c>
      <c r="H615" s="62">
        <v>0</v>
      </c>
      <c r="I615" s="5"/>
    </row>
    <row r="616" spans="1:9" x14ac:dyDescent="0.2">
      <c r="A616" s="4" t="s">
        <v>307</v>
      </c>
      <c r="B616" s="13" t="s">
        <v>2894</v>
      </c>
      <c r="C616" s="13" t="s">
        <v>1123</v>
      </c>
      <c r="D616" s="174" t="s">
        <v>2075</v>
      </c>
      <c r="E616" s="175"/>
      <c r="F616" s="13" t="s">
        <v>2860</v>
      </c>
      <c r="G616" s="82">
        <v>4</v>
      </c>
      <c r="H616" s="62">
        <v>0</v>
      </c>
      <c r="I616" s="5"/>
    </row>
    <row r="617" spans="1:9" x14ac:dyDescent="0.2">
      <c r="A617" s="4" t="s">
        <v>308</v>
      </c>
      <c r="B617" s="13" t="s">
        <v>2894</v>
      </c>
      <c r="C617" s="13" t="s">
        <v>1124</v>
      </c>
      <c r="D617" s="174" t="s">
        <v>2077</v>
      </c>
      <c r="E617" s="175"/>
      <c r="F617" s="13" t="s">
        <v>2860</v>
      </c>
      <c r="G617" s="82">
        <v>3</v>
      </c>
      <c r="H617" s="62">
        <v>0</v>
      </c>
      <c r="I617" s="5"/>
    </row>
    <row r="618" spans="1:9" x14ac:dyDescent="0.2">
      <c r="A618" s="4" t="s">
        <v>309</v>
      </c>
      <c r="B618" s="13" t="s">
        <v>2894</v>
      </c>
      <c r="C618" s="13" t="s">
        <v>1125</v>
      </c>
      <c r="D618" s="174" t="s">
        <v>2078</v>
      </c>
      <c r="E618" s="175"/>
      <c r="F618" s="13" t="s">
        <v>2860</v>
      </c>
      <c r="G618" s="82">
        <v>1</v>
      </c>
      <c r="H618" s="62">
        <v>0</v>
      </c>
      <c r="I618" s="5"/>
    </row>
    <row r="619" spans="1:9" x14ac:dyDescent="0.2">
      <c r="A619" s="4" t="s">
        <v>310</v>
      </c>
      <c r="B619" s="13" t="s">
        <v>2894</v>
      </c>
      <c r="C619" s="13" t="s">
        <v>1126</v>
      </c>
      <c r="D619" s="174" t="s">
        <v>2080</v>
      </c>
      <c r="E619" s="175"/>
      <c r="F619" s="13" t="s">
        <v>2860</v>
      </c>
      <c r="G619" s="82">
        <v>4</v>
      </c>
      <c r="H619" s="62">
        <v>0</v>
      </c>
      <c r="I619" s="5"/>
    </row>
    <row r="620" spans="1:9" x14ac:dyDescent="0.2">
      <c r="A620" s="4" t="s">
        <v>311</v>
      </c>
      <c r="B620" s="13" t="s">
        <v>2894</v>
      </c>
      <c r="C620" s="13" t="s">
        <v>1127</v>
      </c>
      <c r="D620" s="174" t="s">
        <v>2081</v>
      </c>
      <c r="E620" s="175"/>
      <c r="F620" s="13" t="s">
        <v>2860</v>
      </c>
      <c r="G620" s="82">
        <v>2</v>
      </c>
      <c r="H620" s="62">
        <v>0</v>
      </c>
      <c r="I620" s="5"/>
    </row>
    <row r="621" spans="1:9" x14ac:dyDescent="0.2">
      <c r="A621" s="4" t="s">
        <v>312</v>
      </c>
      <c r="B621" s="13" t="s">
        <v>2894</v>
      </c>
      <c r="C621" s="13" t="s">
        <v>1128</v>
      </c>
      <c r="D621" s="174" t="s">
        <v>2082</v>
      </c>
      <c r="E621" s="175"/>
      <c r="F621" s="13" t="s">
        <v>2860</v>
      </c>
      <c r="G621" s="82">
        <v>2</v>
      </c>
      <c r="H621" s="62">
        <v>0</v>
      </c>
      <c r="I621" s="5"/>
    </row>
    <row r="622" spans="1:9" x14ac:dyDescent="0.2">
      <c r="A622" s="4" t="s">
        <v>313</v>
      </c>
      <c r="B622" s="13" t="s">
        <v>2894</v>
      </c>
      <c r="C622" s="13" t="s">
        <v>1129</v>
      </c>
      <c r="D622" s="174" t="s">
        <v>2084</v>
      </c>
      <c r="E622" s="175"/>
      <c r="F622" s="13" t="s">
        <v>2860</v>
      </c>
      <c r="G622" s="82">
        <v>1</v>
      </c>
      <c r="H622" s="62">
        <v>0</v>
      </c>
      <c r="I622" s="5"/>
    </row>
    <row r="623" spans="1:9" x14ac:dyDescent="0.2">
      <c r="A623" s="4" t="s">
        <v>314</v>
      </c>
      <c r="B623" s="13" t="s">
        <v>2894</v>
      </c>
      <c r="C623" s="13" t="s">
        <v>1130</v>
      </c>
      <c r="D623" s="174" t="s">
        <v>2086</v>
      </c>
      <c r="E623" s="175"/>
      <c r="F623" s="13" t="s">
        <v>2860</v>
      </c>
      <c r="G623" s="82">
        <v>1</v>
      </c>
      <c r="H623" s="62">
        <v>0</v>
      </c>
      <c r="I623" s="5"/>
    </row>
    <row r="624" spans="1:9" x14ac:dyDescent="0.2">
      <c r="A624" s="4" t="s">
        <v>315</v>
      </c>
      <c r="B624" s="13" t="s">
        <v>2894</v>
      </c>
      <c r="C624" s="13" t="s">
        <v>1131</v>
      </c>
      <c r="D624" s="174" t="s">
        <v>2087</v>
      </c>
      <c r="E624" s="175"/>
      <c r="F624" s="13" t="s">
        <v>2860</v>
      </c>
      <c r="G624" s="82">
        <v>2</v>
      </c>
      <c r="H624" s="62">
        <v>0</v>
      </c>
      <c r="I624" s="5"/>
    </row>
    <row r="625" spans="1:9" x14ac:dyDescent="0.2">
      <c r="A625" s="4" t="s">
        <v>316</v>
      </c>
      <c r="B625" s="13" t="s">
        <v>2894</v>
      </c>
      <c r="C625" s="13" t="s">
        <v>1132</v>
      </c>
      <c r="D625" s="174" t="s">
        <v>2089</v>
      </c>
      <c r="E625" s="175"/>
      <c r="F625" s="13" t="s">
        <v>2860</v>
      </c>
      <c r="G625" s="82">
        <v>1</v>
      </c>
      <c r="H625" s="62">
        <v>0</v>
      </c>
      <c r="I625" s="5"/>
    </row>
    <row r="626" spans="1:9" x14ac:dyDescent="0.2">
      <c r="A626" s="4" t="s">
        <v>317</v>
      </c>
      <c r="B626" s="13" t="s">
        <v>2894</v>
      </c>
      <c r="C626" s="13" t="s">
        <v>1133</v>
      </c>
      <c r="D626" s="174" t="s">
        <v>2091</v>
      </c>
      <c r="E626" s="175"/>
      <c r="F626" s="13" t="s">
        <v>2860</v>
      </c>
      <c r="G626" s="82">
        <v>2</v>
      </c>
      <c r="H626" s="62">
        <v>0</v>
      </c>
      <c r="I626" s="5"/>
    </row>
    <row r="627" spans="1:9" x14ac:dyDescent="0.2">
      <c r="A627" s="4" t="s">
        <v>318</v>
      </c>
      <c r="B627" s="13" t="s">
        <v>2894</v>
      </c>
      <c r="C627" s="13" t="s">
        <v>1134</v>
      </c>
      <c r="D627" s="174" t="s">
        <v>2093</v>
      </c>
      <c r="E627" s="175"/>
      <c r="F627" s="13" t="s">
        <v>2860</v>
      </c>
      <c r="G627" s="82">
        <v>1</v>
      </c>
      <c r="H627" s="62">
        <v>0</v>
      </c>
      <c r="I627" s="5"/>
    </row>
    <row r="628" spans="1:9" x14ac:dyDescent="0.2">
      <c r="A628" s="4" t="s">
        <v>319</v>
      </c>
      <c r="B628" s="13" t="s">
        <v>2894</v>
      </c>
      <c r="C628" s="13" t="s">
        <v>1135</v>
      </c>
      <c r="D628" s="174" t="s">
        <v>2095</v>
      </c>
      <c r="E628" s="175"/>
      <c r="F628" s="13" t="s">
        <v>2860</v>
      </c>
      <c r="G628" s="82">
        <v>3</v>
      </c>
      <c r="H628" s="62">
        <v>0</v>
      </c>
      <c r="I628" s="5"/>
    </row>
    <row r="629" spans="1:9" x14ac:dyDescent="0.2">
      <c r="A629" s="4" t="s">
        <v>320</v>
      </c>
      <c r="B629" s="13" t="s">
        <v>2894</v>
      </c>
      <c r="C629" s="13" t="s">
        <v>1136</v>
      </c>
      <c r="D629" s="174" t="s">
        <v>2097</v>
      </c>
      <c r="E629" s="175"/>
      <c r="F629" s="13" t="s">
        <v>2860</v>
      </c>
      <c r="G629" s="82">
        <v>1</v>
      </c>
      <c r="H629" s="62">
        <v>0</v>
      </c>
      <c r="I629" s="5"/>
    </row>
    <row r="630" spans="1:9" x14ac:dyDescent="0.2">
      <c r="A630" s="4" t="s">
        <v>321</v>
      </c>
      <c r="B630" s="13" t="s">
        <v>2894</v>
      </c>
      <c r="C630" s="13" t="s">
        <v>1137</v>
      </c>
      <c r="D630" s="174" t="s">
        <v>2099</v>
      </c>
      <c r="E630" s="175"/>
      <c r="F630" s="13" t="s">
        <v>2860</v>
      </c>
      <c r="G630" s="82">
        <v>2</v>
      </c>
      <c r="H630" s="62">
        <v>0</v>
      </c>
      <c r="I630" s="5"/>
    </row>
    <row r="631" spans="1:9" x14ac:dyDescent="0.2">
      <c r="A631" s="4" t="s">
        <v>322</v>
      </c>
      <c r="B631" s="13" t="s">
        <v>2894</v>
      </c>
      <c r="C631" s="13" t="s">
        <v>1138</v>
      </c>
      <c r="D631" s="174" t="s">
        <v>2101</v>
      </c>
      <c r="E631" s="175"/>
      <c r="F631" s="13" t="s">
        <v>2860</v>
      </c>
      <c r="G631" s="82">
        <v>2</v>
      </c>
      <c r="H631" s="62">
        <v>0</v>
      </c>
      <c r="I631" s="5"/>
    </row>
    <row r="632" spans="1:9" x14ac:dyDescent="0.2">
      <c r="A632" s="4" t="s">
        <v>323</v>
      </c>
      <c r="B632" s="13" t="s">
        <v>2894</v>
      </c>
      <c r="C632" s="13" t="s">
        <v>1139</v>
      </c>
      <c r="D632" s="174" t="s">
        <v>2103</v>
      </c>
      <c r="E632" s="175"/>
      <c r="F632" s="13" t="s">
        <v>2860</v>
      </c>
      <c r="G632" s="82">
        <v>2</v>
      </c>
      <c r="H632" s="62">
        <v>0</v>
      </c>
      <c r="I632" s="5"/>
    </row>
    <row r="633" spans="1:9" x14ac:dyDescent="0.2">
      <c r="A633" s="4" t="s">
        <v>324</v>
      </c>
      <c r="B633" s="13" t="s">
        <v>2894</v>
      </c>
      <c r="C633" s="13" t="s">
        <v>1140</v>
      </c>
      <c r="D633" s="174" t="s">
        <v>2104</v>
      </c>
      <c r="E633" s="175"/>
      <c r="F633" s="13" t="s">
        <v>2860</v>
      </c>
      <c r="G633" s="82">
        <v>2</v>
      </c>
      <c r="H633" s="62">
        <v>0</v>
      </c>
      <c r="I633" s="5"/>
    </row>
    <row r="634" spans="1:9" x14ac:dyDescent="0.2">
      <c r="A634" s="4" t="s">
        <v>325</v>
      </c>
      <c r="B634" s="13" t="s">
        <v>2894</v>
      </c>
      <c r="C634" s="13" t="s">
        <v>1141</v>
      </c>
      <c r="D634" s="174" t="s">
        <v>2105</v>
      </c>
      <c r="E634" s="175"/>
      <c r="F634" s="13" t="s">
        <v>2860</v>
      </c>
      <c r="G634" s="82">
        <v>12</v>
      </c>
      <c r="H634" s="62">
        <v>0</v>
      </c>
      <c r="I634" s="5"/>
    </row>
    <row r="635" spans="1:9" x14ac:dyDescent="0.2">
      <c r="A635" s="4" t="s">
        <v>326</v>
      </c>
      <c r="B635" s="13" t="s">
        <v>2894</v>
      </c>
      <c r="C635" s="13" t="s">
        <v>1142</v>
      </c>
      <c r="D635" s="174" t="s">
        <v>2106</v>
      </c>
      <c r="E635" s="175"/>
      <c r="F635" s="13" t="s">
        <v>2860</v>
      </c>
      <c r="G635" s="82">
        <v>6</v>
      </c>
      <c r="H635" s="62">
        <v>0</v>
      </c>
      <c r="I635" s="5"/>
    </row>
    <row r="636" spans="1:9" x14ac:dyDescent="0.2">
      <c r="A636" s="4" t="s">
        <v>327</v>
      </c>
      <c r="B636" s="13" t="s">
        <v>2894</v>
      </c>
      <c r="C636" s="13" t="s">
        <v>1143</v>
      </c>
      <c r="D636" s="174" t="s">
        <v>2108</v>
      </c>
      <c r="E636" s="175"/>
      <c r="F636" s="13" t="s">
        <v>2860</v>
      </c>
      <c r="G636" s="82">
        <v>6</v>
      </c>
      <c r="H636" s="62">
        <v>0</v>
      </c>
      <c r="I636" s="5"/>
    </row>
    <row r="637" spans="1:9" x14ac:dyDescent="0.2">
      <c r="A637" s="4" t="s">
        <v>328</v>
      </c>
      <c r="B637" s="13" t="s">
        <v>2894</v>
      </c>
      <c r="C637" s="13" t="s">
        <v>1144</v>
      </c>
      <c r="D637" s="174" t="s">
        <v>2109</v>
      </c>
      <c r="E637" s="175"/>
      <c r="F637" s="13" t="s">
        <v>2861</v>
      </c>
      <c r="G637" s="82">
        <v>1</v>
      </c>
      <c r="H637" s="62">
        <v>0</v>
      </c>
      <c r="I637" s="5"/>
    </row>
    <row r="638" spans="1:9" x14ac:dyDescent="0.2">
      <c r="A638" s="4" t="s">
        <v>329</v>
      </c>
      <c r="B638" s="13" t="s">
        <v>2894</v>
      </c>
      <c r="C638" s="13" t="s">
        <v>1145</v>
      </c>
      <c r="D638" s="174" t="s">
        <v>2110</v>
      </c>
      <c r="E638" s="175"/>
      <c r="F638" s="13" t="s">
        <v>2861</v>
      </c>
      <c r="G638" s="82">
        <v>1</v>
      </c>
      <c r="H638" s="62">
        <v>0</v>
      </c>
      <c r="I638" s="5"/>
    </row>
    <row r="639" spans="1:9" x14ac:dyDescent="0.2">
      <c r="A639" s="4" t="s">
        <v>330</v>
      </c>
      <c r="B639" s="13" t="s">
        <v>2894</v>
      </c>
      <c r="C639" s="13" t="s">
        <v>1146</v>
      </c>
      <c r="D639" s="174" t="s">
        <v>2111</v>
      </c>
      <c r="E639" s="175"/>
      <c r="F639" s="13" t="s">
        <v>2860</v>
      </c>
      <c r="G639" s="82">
        <v>6</v>
      </c>
      <c r="H639" s="62">
        <v>0</v>
      </c>
      <c r="I639" s="5"/>
    </row>
    <row r="640" spans="1:9" x14ac:dyDescent="0.2">
      <c r="A640" s="4" t="s">
        <v>331</v>
      </c>
      <c r="B640" s="13" t="s">
        <v>2894</v>
      </c>
      <c r="C640" s="13" t="s">
        <v>1147</v>
      </c>
      <c r="D640" s="174" t="s">
        <v>2112</v>
      </c>
      <c r="E640" s="175"/>
      <c r="F640" s="13" t="s">
        <v>2860</v>
      </c>
      <c r="G640" s="82">
        <v>13</v>
      </c>
      <c r="H640" s="62">
        <v>0</v>
      </c>
      <c r="I640" s="5"/>
    </row>
    <row r="641" spans="1:9" x14ac:dyDescent="0.2">
      <c r="A641" s="4" t="s">
        <v>332</v>
      </c>
      <c r="B641" s="13" t="s">
        <v>2894</v>
      </c>
      <c r="C641" s="13" t="s">
        <v>1148</v>
      </c>
      <c r="D641" s="174" t="s">
        <v>2113</v>
      </c>
      <c r="E641" s="175"/>
      <c r="F641" s="13" t="s">
        <v>2860</v>
      </c>
      <c r="G641" s="82">
        <v>2</v>
      </c>
      <c r="H641" s="62">
        <v>0</v>
      </c>
      <c r="I641" s="5"/>
    </row>
    <row r="642" spans="1:9" x14ac:dyDescent="0.2">
      <c r="A642" s="4" t="s">
        <v>333</v>
      </c>
      <c r="B642" s="13" t="s">
        <v>2894</v>
      </c>
      <c r="C642" s="13" t="s">
        <v>1149</v>
      </c>
      <c r="D642" s="174" t="s">
        <v>2114</v>
      </c>
      <c r="E642" s="175"/>
      <c r="F642" s="13" t="s">
        <v>2862</v>
      </c>
      <c r="G642" s="82">
        <v>75</v>
      </c>
      <c r="H642" s="62">
        <v>0</v>
      </c>
      <c r="I642" s="5"/>
    </row>
    <row r="643" spans="1:9" x14ac:dyDescent="0.2">
      <c r="A643" s="4" t="s">
        <v>334</v>
      </c>
      <c r="B643" s="13" t="s">
        <v>2894</v>
      </c>
      <c r="C643" s="13" t="s">
        <v>1150</v>
      </c>
      <c r="D643" s="174" t="s">
        <v>2115</v>
      </c>
      <c r="E643" s="175"/>
      <c r="F643" s="13" t="s">
        <v>2855</v>
      </c>
      <c r="G643" s="82">
        <v>9.5</v>
      </c>
      <c r="H643" s="62">
        <v>0</v>
      </c>
      <c r="I643" s="5"/>
    </row>
    <row r="644" spans="1:9" x14ac:dyDescent="0.2">
      <c r="A644" s="4" t="s">
        <v>335</v>
      </c>
      <c r="B644" s="13" t="s">
        <v>2894</v>
      </c>
      <c r="C644" s="13" t="s">
        <v>1151</v>
      </c>
      <c r="D644" s="174" t="s">
        <v>2117</v>
      </c>
      <c r="E644" s="175"/>
      <c r="F644" s="13" t="s">
        <v>2855</v>
      </c>
      <c r="G644" s="82">
        <v>324.5</v>
      </c>
      <c r="H644" s="62">
        <v>0</v>
      </c>
      <c r="I644" s="5"/>
    </row>
    <row r="645" spans="1:9" x14ac:dyDescent="0.2">
      <c r="A645" s="4" t="s">
        <v>336</v>
      </c>
      <c r="B645" s="13" t="s">
        <v>2894</v>
      </c>
      <c r="C645" s="13" t="s">
        <v>1152</v>
      </c>
      <c r="D645" s="174" t="s">
        <v>2118</v>
      </c>
      <c r="E645" s="175"/>
      <c r="F645" s="13" t="s">
        <v>2855</v>
      </c>
      <c r="G645" s="82">
        <v>324.5</v>
      </c>
      <c r="H645" s="62">
        <v>0</v>
      </c>
      <c r="I645" s="5"/>
    </row>
    <row r="646" spans="1:9" x14ac:dyDescent="0.2">
      <c r="A646" s="4" t="s">
        <v>337</v>
      </c>
      <c r="B646" s="13" t="s">
        <v>2894</v>
      </c>
      <c r="C646" s="13" t="s">
        <v>1153</v>
      </c>
      <c r="D646" s="174" t="s">
        <v>2119</v>
      </c>
      <c r="E646" s="175"/>
      <c r="F646" s="13" t="s">
        <v>2855</v>
      </c>
      <c r="G646" s="82">
        <v>324.5</v>
      </c>
      <c r="H646" s="62">
        <v>0</v>
      </c>
      <c r="I646" s="5"/>
    </row>
    <row r="647" spans="1:9" x14ac:dyDescent="0.2">
      <c r="A647" s="4" t="s">
        <v>338</v>
      </c>
      <c r="B647" s="13" t="s">
        <v>2894</v>
      </c>
      <c r="C647" s="13" t="s">
        <v>1154</v>
      </c>
      <c r="D647" s="174" t="s">
        <v>2120</v>
      </c>
      <c r="E647" s="175"/>
      <c r="F647" s="13" t="s">
        <v>2862</v>
      </c>
      <c r="G647" s="82">
        <v>50</v>
      </c>
      <c r="H647" s="62">
        <v>0</v>
      </c>
      <c r="I647" s="5"/>
    </row>
    <row r="648" spans="1:9" x14ac:dyDescent="0.2">
      <c r="A648" s="4" t="s">
        <v>339</v>
      </c>
      <c r="B648" s="13" t="s">
        <v>2894</v>
      </c>
      <c r="C648" s="13" t="s">
        <v>1155</v>
      </c>
      <c r="D648" s="174" t="s">
        <v>2121</v>
      </c>
      <c r="E648" s="175"/>
      <c r="F648" s="13" t="s">
        <v>2861</v>
      </c>
      <c r="G648" s="82">
        <v>1</v>
      </c>
      <c r="H648" s="62">
        <v>0</v>
      </c>
      <c r="I648" s="5"/>
    </row>
    <row r="649" spans="1:9" x14ac:dyDescent="0.2">
      <c r="A649" s="4" t="s">
        <v>340</v>
      </c>
      <c r="B649" s="13" t="s">
        <v>2894</v>
      </c>
      <c r="C649" s="13" t="s">
        <v>1156</v>
      </c>
      <c r="D649" s="174" t="s">
        <v>2122</v>
      </c>
      <c r="E649" s="175"/>
      <c r="F649" s="13" t="s">
        <v>2860</v>
      </c>
      <c r="G649" s="82">
        <v>1</v>
      </c>
      <c r="H649" s="62">
        <v>0</v>
      </c>
      <c r="I649" s="5"/>
    </row>
    <row r="650" spans="1:9" x14ac:dyDescent="0.2">
      <c r="A650" s="4" t="s">
        <v>341</v>
      </c>
      <c r="B650" s="13" t="s">
        <v>2894</v>
      </c>
      <c r="C650" s="13" t="s">
        <v>1157</v>
      </c>
      <c r="D650" s="174" t="s">
        <v>2123</v>
      </c>
      <c r="E650" s="175"/>
      <c r="F650" s="13" t="s">
        <v>2861</v>
      </c>
      <c r="G650" s="82">
        <v>1</v>
      </c>
      <c r="H650" s="62">
        <v>0</v>
      </c>
      <c r="I650" s="5"/>
    </row>
    <row r="651" spans="1:9" x14ac:dyDescent="0.2">
      <c r="A651" s="4" t="s">
        <v>342</v>
      </c>
      <c r="B651" s="13" t="s">
        <v>2894</v>
      </c>
      <c r="C651" s="13" t="s">
        <v>1158</v>
      </c>
      <c r="D651" s="174" t="s">
        <v>2125</v>
      </c>
      <c r="E651" s="175"/>
      <c r="F651" s="13" t="s">
        <v>2855</v>
      </c>
      <c r="G651" s="82">
        <v>198</v>
      </c>
      <c r="H651" s="62">
        <v>0</v>
      </c>
      <c r="I651" s="5"/>
    </row>
    <row r="652" spans="1:9" x14ac:dyDescent="0.2">
      <c r="A652" s="4" t="s">
        <v>343</v>
      </c>
      <c r="B652" s="13" t="s">
        <v>2894</v>
      </c>
      <c r="C652" s="13" t="s">
        <v>1159</v>
      </c>
      <c r="D652" s="174" t="s">
        <v>2127</v>
      </c>
      <c r="E652" s="175"/>
      <c r="F652" s="13" t="s">
        <v>2855</v>
      </c>
      <c r="G652" s="82">
        <v>119</v>
      </c>
      <c r="H652" s="62">
        <v>0</v>
      </c>
      <c r="I652" s="5"/>
    </row>
    <row r="653" spans="1:9" x14ac:dyDescent="0.2">
      <c r="A653" s="4" t="s">
        <v>344</v>
      </c>
      <c r="B653" s="13" t="s">
        <v>2894</v>
      </c>
      <c r="C653" s="13" t="s">
        <v>1160</v>
      </c>
      <c r="D653" s="174" t="s">
        <v>2128</v>
      </c>
      <c r="E653" s="175"/>
      <c r="F653" s="13" t="s">
        <v>2855</v>
      </c>
      <c r="G653" s="82">
        <v>112</v>
      </c>
      <c r="H653" s="62">
        <v>0</v>
      </c>
      <c r="I653" s="5"/>
    </row>
    <row r="654" spans="1:9" x14ac:dyDescent="0.2">
      <c r="A654" s="4" t="s">
        <v>345</v>
      </c>
      <c r="B654" s="13" t="s">
        <v>2894</v>
      </c>
      <c r="C654" s="13" t="s">
        <v>1161</v>
      </c>
      <c r="D654" s="174" t="s">
        <v>2129</v>
      </c>
      <c r="E654" s="175"/>
      <c r="F654" s="13" t="s">
        <v>2855</v>
      </c>
      <c r="G654" s="82">
        <v>19</v>
      </c>
      <c r="H654" s="62">
        <v>0</v>
      </c>
      <c r="I654" s="5"/>
    </row>
    <row r="655" spans="1:9" x14ac:dyDescent="0.2">
      <c r="A655" s="4" t="s">
        <v>346</v>
      </c>
      <c r="B655" s="13" t="s">
        <v>2894</v>
      </c>
      <c r="C655" s="13" t="s">
        <v>1162</v>
      </c>
      <c r="D655" s="174" t="s">
        <v>2130</v>
      </c>
      <c r="E655" s="175"/>
      <c r="F655" s="13" t="s">
        <v>2855</v>
      </c>
      <c r="G655" s="82">
        <v>5</v>
      </c>
      <c r="H655" s="62">
        <v>0</v>
      </c>
      <c r="I655" s="5"/>
    </row>
    <row r="656" spans="1:9" x14ac:dyDescent="0.2">
      <c r="A656" s="4" t="s">
        <v>347</v>
      </c>
      <c r="B656" s="13" t="s">
        <v>2894</v>
      </c>
      <c r="C656" s="13" t="s">
        <v>1163</v>
      </c>
      <c r="D656" s="174" t="s">
        <v>2131</v>
      </c>
      <c r="E656" s="175"/>
      <c r="F656" s="13" t="s">
        <v>2855</v>
      </c>
      <c r="G656" s="82">
        <v>2</v>
      </c>
      <c r="H656" s="62">
        <v>0</v>
      </c>
      <c r="I656" s="5"/>
    </row>
    <row r="657" spans="1:9" x14ac:dyDescent="0.2">
      <c r="A657" s="4" t="s">
        <v>348</v>
      </c>
      <c r="B657" s="13" t="s">
        <v>2894</v>
      </c>
      <c r="C657" s="13" t="s">
        <v>1164</v>
      </c>
      <c r="D657" s="174" t="s">
        <v>2133</v>
      </c>
      <c r="E657" s="175"/>
      <c r="F657" s="13" t="s">
        <v>2855</v>
      </c>
      <c r="G657" s="82">
        <v>38</v>
      </c>
      <c r="H657" s="62">
        <v>0</v>
      </c>
      <c r="I657" s="5"/>
    </row>
    <row r="658" spans="1:9" x14ac:dyDescent="0.2">
      <c r="A658" s="4" t="s">
        <v>349</v>
      </c>
      <c r="B658" s="13" t="s">
        <v>2894</v>
      </c>
      <c r="C658" s="13" t="s">
        <v>1165</v>
      </c>
      <c r="D658" s="174" t="s">
        <v>2134</v>
      </c>
      <c r="E658" s="175"/>
      <c r="F658" s="13" t="s">
        <v>2855</v>
      </c>
      <c r="G658" s="82">
        <v>77</v>
      </c>
      <c r="H658" s="62">
        <v>0</v>
      </c>
      <c r="I658" s="5"/>
    </row>
    <row r="659" spans="1:9" x14ac:dyDescent="0.2">
      <c r="A659" s="4" t="s">
        <v>350</v>
      </c>
      <c r="B659" s="13" t="s">
        <v>2894</v>
      </c>
      <c r="C659" s="13" t="s">
        <v>1166</v>
      </c>
      <c r="D659" s="174" t="s">
        <v>2136</v>
      </c>
      <c r="E659" s="175"/>
      <c r="F659" s="13" t="s">
        <v>2855</v>
      </c>
      <c r="G659" s="82">
        <v>103</v>
      </c>
      <c r="H659" s="62">
        <v>0</v>
      </c>
      <c r="I659" s="5"/>
    </row>
    <row r="660" spans="1:9" x14ac:dyDescent="0.2">
      <c r="A660" s="4" t="s">
        <v>351</v>
      </c>
      <c r="B660" s="13" t="s">
        <v>2894</v>
      </c>
      <c r="C660" s="13" t="s">
        <v>1167</v>
      </c>
      <c r="D660" s="174" t="s">
        <v>2137</v>
      </c>
      <c r="E660" s="175"/>
      <c r="F660" s="13" t="s">
        <v>2855</v>
      </c>
      <c r="G660" s="82">
        <v>145</v>
      </c>
      <c r="H660" s="62">
        <v>0</v>
      </c>
      <c r="I660" s="5"/>
    </row>
    <row r="661" spans="1:9" x14ac:dyDescent="0.2">
      <c r="A661" s="4" t="s">
        <v>352</v>
      </c>
      <c r="B661" s="13" t="s">
        <v>2894</v>
      </c>
      <c r="C661" s="13" t="s">
        <v>1168</v>
      </c>
      <c r="D661" s="174" t="s">
        <v>2138</v>
      </c>
      <c r="E661" s="175"/>
      <c r="F661" s="13" t="s">
        <v>2855</v>
      </c>
      <c r="G661" s="82">
        <v>19</v>
      </c>
      <c r="H661" s="62">
        <v>0</v>
      </c>
      <c r="I661" s="5"/>
    </row>
    <row r="662" spans="1:9" x14ac:dyDescent="0.2">
      <c r="A662" s="4" t="s">
        <v>353</v>
      </c>
      <c r="B662" s="13" t="s">
        <v>2894</v>
      </c>
      <c r="C662" s="13" t="s">
        <v>1169</v>
      </c>
      <c r="D662" s="174" t="s">
        <v>2139</v>
      </c>
      <c r="E662" s="175"/>
      <c r="F662" s="13" t="s">
        <v>2855</v>
      </c>
      <c r="G662" s="82">
        <v>5</v>
      </c>
      <c r="H662" s="62">
        <v>0</v>
      </c>
      <c r="I662" s="5"/>
    </row>
    <row r="663" spans="1:9" x14ac:dyDescent="0.2">
      <c r="A663" s="4" t="s">
        <v>354</v>
      </c>
      <c r="B663" s="13" t="s">
        <v>2894</v>
      </c>
      <c r="C663" s="13" t="s">
        <v>1170</v>
      </c>
      <c r="D663" s="174" t="s">
        <v>2140</v>
      </c>
      <c r="E663" s="175"/>
      <c r="F663" s="13" t="s">
        <v>2855</v>
      </c>
      <c r="G663" s="82">
        <v>121</v>
      </c>
      <c r="H663" s="62">
        <v>0</v>
      </c>
      <c r="I663" s="5"/>
    </row>
    <row r="664" spans="1:9" x14ac:dyDescent="0.2">
      <c r="A664" s="4" t="s">
        <v>355</v>
      </c>
      <c r="B664" s="13" t="s">
        <v>2894</v>
      </c>
      <c r="C664" s="13" t="s">
        <v>1171</v>
      </c>
      <c r="D664" s="174" t="s">
        <v>2142</v>
      </c>
      <c r="E664" s="175"/>
      <c r="F664" s="13" t="s">
        <v>2855</v>
      </c>
      <c r="G664" s="82">
        <v>18</v>
      </c>
      <c r="H664" s="62">
        <v>0</v>
      </c>
      <c r="I664" s="5"/>
    </row>
    <row r="665" spans="1:9" x14ac:dyDescent="0.2">
      <c r="A665" s="4" t="s">
        <v>356</v>
      </c>
      <c r="B665" s="13" t="s">
        <v>2894</v>
      </c>
      <c r="C665" s="13" t="s">
        <v>1172</v>
      </c>
      <c r="D665" s="174" t="s">
        <v>2143</v>
      </c>
      <c r="E665" s="175"/>
      <c r="F665" s="13" t="s">
        <v>2855</v>
      </c>
      <c r="G665" s="82">
        <v>5</v>
      </c>
      <c r="H665" s="62">
        <v>0</v>
      </c>
      <c r="I665" s="5"/>
    </row>
    <row r="666" spans="1:9" x14ac:dyDescent="0.2">
      <c r="A666" s="4" t="s">
        <v>357</v>
      </c>
      <c r="B666" s="13" t="s">
        <v>2894</v>
      </c>
      <c r="C666" s="13" t="s">
        <v>1173</v>
      </c>
      <c r="D666" s="174" t="s">
        <v>2144</v>
      </c>
      <c r="E666" s="175"/>
      <c r="F666" s="13" t="s">
        <v>2860</v>
      </c>
      <c r="G666" s="82">
        <v>9</v>
      </c>
      <c r="H666" s="62">
        <v>0</v>
      </c>
      <c r="I666" s="5"/>
    </row>
    <row r="667" spans="1:9" x14ac:dyDescent="0.2">
      <c r="A667" s="4" t="s">
        <v>358</v>
      </c>
      <c r="B667" s="13" t="s">
        <v>2894</v>
      </c>
      <c r="C667" s="13" t="s">
        <v>1174</v>
      </c>
      <c r="D667" s="174" t="s">
        <v>2146</v>
      </c>
      <c r="E667" s="175"/>
      <c r="F667" s="13" t="s">
        <v>2860</v>
      </c>
      <c r="G667" s="82">
        <v>7</v>
      </c>
      <c r="H667" s="62">
        <v>0</v>
      </c>
      <c r="I667" s="5"/>
    </row>
    <row r="668" spans="1:9" x14ac:dyDescent="0.2">
      <c r="A668" s="4" t="s">
        <v>359</v>
      </c>
      <c r="B668" s="13" t="s">
        <v>2894</v>
      </c>
      <c r="C668" s="13" t="s">
        <v>1175</v>
      </c>
      <c r="D668" s="174" t="s">
        <v>2148</v>
      </c>
      <c r="E668" s="175"/>
      <c r="F668" s="13" t="s">
        <v>2860</v>
      </c>
      <c r="G668" s="82">
        <v>1</v>
      </c>
      <c r="H668" s="62">
        <v>0</v>
      </c>
      <c r="I668" s="5"/>
    </row>
    <row r="669" spans="1:9" x14ac:dyDescent="0.2">
      <c r="A669" s="4" t="s">
        <v>360</v>
      </c>
      <c r="B669" s="13" t="s">
        <v>2894</v>
      </c>
      <c r="C669" s="13" t="s">
        <v>1176</v>
      </c>
      <c r="D669" s="174" t="s">
        <v>2150</v>
      </c>
      <c r="E669" s="175"/>
      <c r="F669" s="13" t="s">
        <v>2860</v>
      </c>
      <c r="G669" s="82">
        <v>6</v>
      </c>
      <c r="H669" s="62">
        <v>0</v>
      </c>
      <c r="I669" s="5"/>
    </row>
    <row r="670" spans="1:9" x14ac:dyDescent="0.2">
      <c r="A670" s="4" t="s">
        <v>361</v>
      </c>
      <c r="B670" s="13" t="s">
        <v>2894</v>
      </c>
      <c r="C670" s="13" t="s">
        <v>1177</v>
      </c>
      <c r="D670" s="174" t="s">
        <v>2152</v>
      </c>
      <c r="E670" s="175"/>
      <c r="F670" s="13" t="s">
        <v>2860</v>
      </c>
      <c r="G670" s="82">
        <v>2</v>
      </c>
      <c r="H670" s="62">
        <v>0</v>
      </c>
      <c r="I670" s="5"/>
    </row>
    <row r="671" spans="1:9" x14ac:dyDescent="0.2">
      <c r="A671" s="4" t="s">
        <v>362</v>
      </c>
      <c r="B671" s="13" t="s">
        <v>2894</v>
      </c>
      <c r="C671" s="13" t="s">
        <v>1178</v>
      </c>
      <c r="D671" s="174" t="s">
        <v>2154</v>
      </c>
      <c r="E671" s="175"/>
      <c r="F671" s="13" t="s">
        <v>2860</v>
      </c>
      <c r="G671" s="82">
        <v>1</v>
      </c>
      <c r="H671" s="62">
        <v>0</v>
      </c>
      <c r="I671" s="5"/>
    </row>
    <row r="672" spans="1:9" x14ac:dyDescent="0.2">
      <c r="A672" s="4" t="s">
        <v>363</v>
      </c>
      <c r="B672" s="13" t="s">
        <v>2894</v>
      </c>
      <c r="C672" s="13" t="s">
        <v>1179</v>
      </c>
      <c r="D672" s="174" t="s">
        <v>2156</v>
      </c>
      <c r="E672" s="175"/>
      <c r="F672" s="13" t="s">
        <v>2860</v>
      </c>
      <c r="G672" s="82">
        <v>1</v>
      </c>
      <c r="H672" s="62">
        <v>0</v>
      </c>
      <c r="I672" s="5"/>
    </row>
    <row r="673" spans="1:9" x14ac:dyDescent="0.2">
      <c r="A673" s="4" t="s">
        <v>364</v>
      </c>
      <c r="B673" s="13" t="s">
        <v>2894</v>
      </c>
      <c r="C673" s="13" t="s">
        <v>1180</v>
      </c>
      <c r="D673" s="174" t="s">
        <v>2158</v>
      </c>
      <c r="E673" s="175"/>
      <c r="F673" s="13" t="s">
        <v>2860</v>
      </c>
      <c r="G673" s="82">
        <v>1</v>
      </c>
      <c r="H673" s="62">
        <v>0</v>
      </c>
      <c r="I673" s="5"/>
    </row>
    <row r="674" spans="1:9" x14ac:dyDescent="0.2">
      <c r="A674" s="4" t="s">
        <v>365</v>
      </c>
      <c r="B674" s="13" t="s">
        <v>2894</v>
      </c>
      <c r="C674" s="13" t="s">
        <v>1180</v>
      </c>
      <c r="D674" s="174" t="s">
        <v>2160</v>
      </c>
      <c r="E674" s="175"/>
      <c r="F674" s="13" t="s">
        <v>2860</v>
      </c>
      <c r="G674" s="82">
        <v>4</v>
      </c>
      <c r="H674" s="62">
        <v>0</v>
      </c>
      <c r="I674" s="5"/>
    </row>
    <row r="675" spans="1:9" x14ac:dyDescent="0.2">
      <c r="A675" s="4" t="s">
        <v>366</v>
      </c>
      <c r="B675" s="13" t="s">
        <v>2894</v>
      </c>
      <c r="C675" s="13" t="s">
        <v>1181</v>
      </c>
      <c r="D675" s="174" t="s">
        <v>2161</v>
      </c>
      <c r="E675" s="175"/>
      <c r="F675" s="13" t="s">
        <v>2860</v>
      </c>
      <c r="G675" s="82">
        <v>1</v>
      </c>
      <c r="H675" s="62">
        <v>0</v>
      </c>
      <c r="I675" s="5"/>
    </row>
    <row r="676" spans="1:9" x14ac:dyDescent="0.2">
      <c r="A676" s="4" t="s">
        <v>367</v>
      </c>
      <c r="B676" s="13" t="s">
        <v>2894</v>
      </c>
      <c r="C676" s="13" t="s">
        <v>1182</v>
      </c>
      <c r="D676" s="174" t="s">
        <v>2162</v>
      </c>
      <c r="E676" s="175"/>
      <c r="F676" s="13" t="s">
        <v>2860</v>
      </c>
      <c r="G676" s="82">
        <v>1</v>
      </c>
      <c r="H676" s="62">
        <v>0</v>
      </c>
      <c r="I676" s="5"/>
    </row>
    <row r="677" spans="1:9" x14ac:dyDescent="0.2">
      <c r="A677" s="4" t="s">
        <v>368</v>
      </c>
      <c r="B677" s="13" t="s">
        <v>2894</v>
      </c>
      <c r="C677" s="13" t="s">
        <v>1183</v>
      </c>
      <c r="D677" s="174" t="s">
        <v>2163</v>
      </c>
      <c r="E677" s="175"/>
      <c r="F677" s="13" t="s">
        <v>2860</v>
      </c>
      <c r="G677" s="82">
        <v>1</v>
      </c>
      <c r="H677" s="62">
        <v>0</v>
      </c>
      <c r="I677" s="5"/>
    </row>
    <row r="678" spans="1:9" x14ac:dyDescent="0.2">
      <c r="A678" s="4" t="s">
        <v>369</v>
      </c>
      <c r="B678" s="13" t="s">
        <v>2894</v>
      </c>
      <c r="C678" s="13" t="s">
        <v>1184</v>
      </c>
      <c r="D678" s="174" t="s">
        <v>2165</v>
      </c>
      <c r="E678" s="175"/>
      <c r="F678" s="13" t="s">
        <v>2860</v>
      </c>
      <c r="G678" s="82">
        <v>1</v>
      </c>
      <c r="H678" s="62">
        <v>0</v>
      </c>
      <c r="I678" s="5"/>
    </row>
    <row r="679" spans="1:9" x14ac:dyDescent="0.2">
      <c r="A679" s="4" t="s">
        <v>370</v>
      </c>
      <c r="B679" s="13" t="s">
        <v>2894</v>
      </c>
      <c r="C679" s="13" t="s">
        <v>1185</v>
      </c>
      <c r="D679" s="174" t="s">
        <v>2167</v>
      </c>
      <c r="E679" s="175"/>
      <c r="F679" s="13" t="s">
        <v>2860</v>
      </c>
      <c r="G679" s="82">
        <v>1</v>
      </c>
      <c r="H679" s="62">
        <v>0</v>
      </c>
      <c r="I679" s="5"/>
    </row>
    <row r="680" spans="1:9" x14ac:dyDescent="0.2">
      <c r="A680" s="4" t="s">
        <v>371</v>
      </c>
      <c r="B680" s="13" t="s">
        <v>2894</v>
      </c>
      <c r="C680" s="13" t="s">
        <v>1186</v>
      </c>
      <c r="D680" s="174" t="s">
        <v>2169</v>
      </c>
      <c r="E680" s="175"/>
      <c r="F680" s="13" t="s">
        <v>2860</v>
      </c>
      <c r="G680" s="82">
        <v>1</v>
      </c>
      <c r="H680" s="62">
        <v>0</v>
      </c>
      <c r="I680" s="5"/>
    </row>
    <row r="681" spans="1:9" x14ac:dyDescent="0.2">
      <c r="A681" s="4" t="s">
        <v>372</v>
      </c>
      <c r="B681" s="13" t="s">
        <v>2894</v>
      </c>
      <c r="C681" s="13" t="s">
        <v>1187</v>
      </c>
      <c r="D681" s="174" t="s">
        <v>2171</v>
      </c>
      <c r="E681" s="175"/>
      <c r="F681" s="13" t="s">
        <v>2860</v>
      </c>
      <c r="G681" s="82">
        <v>3</v>
      </c>
      <c r="H681" s="62">
        <v>0</v>
      </c>
      <c r="I681" s="5"/>
    </row>
    <row r="682" spans="1:9" x14ac:dyDescent="0.2">
      <c r="A682" s="4" t="s">
        <v>373</v>
      </c>
      <c r="B682" s="13" t="s">
        <v>2894</v>
      </c>
      <c r="C682" s="13" t="s">
        <v>1188</v>
      </c>
      <c r="D682" s="174" t="s">
        <v>2172</v>
      </c>
      <c r="E682" s="175"/>
      <c r="F682" s="13" t="s">
        <v>2860</v>
      </c>
      <c r="G682" s="82">
        <v>3</v>
      </c>
      <c r="H682" s="62">
        <v>0</v>
      </c>
      <c r="I682" s="5"/>
    </row>
    <row r="683" spans="1:9" x14ac:dyDescent="0.2">
      <c r="A683" s="4" t="s">
        <v>374</v>
      </c>
      <c r="B683" s="13" t="s">
        <v>2894</v>
      </c>
      <c r="C683" s="13" t="s">
        <v>1189</v>
      </c>
      <c r="D683" s="174" t="s">
        <v>2173</v>
      </c>
      <c r="E683" s="175"/>
      <c r="F683" s="13" t="s">
        <v>2860</v>
      </c>
      <c r="G683" s="82">
        <v>4</v>
      </c>
      <c r="H683" s="62">
        <v>0</v>
      </c>
      <c r="I683" s="5"/>
    </row>
    <row r="684" spans="1:9" x14ac:dyDescent="0.2">
      <c r="A684" s="4" t="s">
        <v>375</v>
      </c>
      <c r="B684" s="13" t="s">
        <v>2894</v>
      </c>
      <c r="C684" s="13" t="s">
        <v>1190</v>
      </c>
      <c r="D684" s="174" t="s">
        <v>2174</v>
      </c>
      <c r="E684" s="175"/>
      <c r="F684" s="13" t="s">
        <v>2860</v>
      </c>
      <c r="G684" s="82">
        <v>2</v>
      </c>
      <c r="H684" s="62">
        <v>0</v>
      </c>
      <c r="I684" s="5"/>
    </row>
    <row r="685" spans="1:9" x14ac:dyDescent="0.2">
      <c r="A685" s="4" t="s">
        <v>376</v>
      </c>
      <c r="B685" s="13" t="s">
        <v>2894</v>
      </c>
      <c r="C685" s="13" t="s">
        <v>1191</v>
      </c>
      <c r="D685" s="174" t="s">
        <v>2175</v>
      </c>
      <c r="E685" s="175"/>
      <c r="F685" s="13" t="s">
        <v>2860</v>
      </c>
      <c r="G685" s="82">
        <v>24</v>
      </c>
      <c r="H685" s="62">
        <v>0</v>
      </c>
      <c r="I685" s="5"/>
    </row>
    <row r="686" spans="1:9" x14ac:dyDescent="0.2">
      <c r="A686" s="4" t="s">
        <v>377</v>
      </c>
      <c r="B686" s="13" t="s">
        <v>2894</v>
      </c>
      <c r="C686" s="13" t="s">
        <v>1192</v>
      </c>
      <c r="D686" s="174" t="s">
        <v>2176</v>
      </c>
      <c r="E686" s="175"/>
      <c r="F686" s="13" t="s">
        <v>2860</v>
      </c>
      <c r="G686" s="82">
        <v>2</v>
      </c>
      <c r="H686" s="62">
        <v>0</v>
      </c>
      <c r="I686" s="5"/>
    </row>
    <row r="687" spans="1:9" x14ac:dyDescent="0.2">
      <c r="A687" s="4" t="s">
        <v>378</v>
      </c>
      <c r="B687" s="13" t="s">
        <v>2894</v>
      </c>
      <c r="C687" s="13" t="s">
        <v>1193</v>
      </c>
      <c r="D687" s="174" t="s">
        <v>2177</v>
      </c>
      <c r="E687" s="175"/>
      <c r="F687" s="13" t="s">
        <v>2860</v>
      </c>
      <c r="G687" s="82">
        <v>24</v>
      </c>
      <c r="H687" s="62">
        <v>0</v>
      </c>
      <c r="I687" s="5"/>
    </row>
    <row r="688" spans="1:9" x14ac:dyDescent="0.2">
      <c r="A688" s="4" t="s">
        <v>379</v>
      </c>
      <c r="B688" s="13" t="s">
        <v>2894</v>
      </c>
      <c r="C688" s="13" t="s">
        <v>1194</v>
      </c>
      <c r="D688" s="174" t="s">
        <v>2178</v>
      </c>
      <c r="E688" s="175"/>
      <c r="F688" s="13" t="s">
        <v>2860</v>
      </c>
      <c r="G688" s="82">
        <v>18</v>
      </c>
      <c r="H688" s="62">
        <v>0</v>
      </c>
      <c r="I688" s="5"/>
    </row>
    <row r="689" spans="1:9" x14ac:dyDescent="0.2">
      <c r="A689" s="4" t="s">
        <v>380</v>
      </c>
      <c r="B689" s="13" t="s">
        <v>2894</v>
      </c>
      <c r="C689" s="13" t="s">
        <v>1195</v>
      </c>
      <c r="D689" s="174" t="s">
        <v>2179</v>
      </c>
      <c r="E689" s="175"/>
      <c r="F689" s="13" t="s">
        <v>2860</v>
      </c>
      <c r="G689" s="82">
        <v>4</v>
      </c>
      <c r="H689" s="62">
        <v>0</v>
      </c>
      <c r="I689" s="5"/>
    </row>
    <row r="690" spans="1:9" x14ac:dyDescent="0.2">
      <c r="A690" s="4" t="s">
        <v>381</v>
      </c>
      <c r="B690" s="13" t="s">
        <v>2894</v>
      </c>
      <c r="C690" s="13" t="s">
        <v>1196</v>
      </c>
      <c r="D690" s="174" t="s">
        <v>2180</v>
      </c>
      <c r="E690" s="175"/>
      <c r="F690" s="13" t="s">
        <v>2860</v>
      </c>
      <c r="G690" s="82">
        <v>4</v>
      </c>
      <c r="H690" s="62">
        <v>0</v>
      </c>
      <c r="I690" s="5"/>
    </row>
    <row r="691" spans="1:9" x14ac:dyDescent="0.2">
      <c r="A691" s="4" t="s">
        <v>382</v>
      </c>
      <c r="B691" s="13" t="s">
        <v>2894</v>
      </c>
      <c r="C691" s="13" t="s">
        <v>1197</v>
      </c>
      <c r="D691" s="174" t="s">
        <v>2181</v>
      </c>
      <c r="E691" s="175"/>
      <c r="F691" s="13" t="s">
        <v>2860</v>
      </c>
      <c r="G691" s="82">
        <v>11</v>
      </c>
      <c r="H691" s="62">
        <v>0</v>
      </c>
      <c r="I691" s="5"/>
    </row>
    <row r="692" spans="1:9" x14ac:dyDescent="0.2">
      <c r="A692" s="4" t="s">
        <v>383</v>
      </c>
      <c r="B692" s="13" t="s">
        <v>2894</v>
      </c>
      <c r="C692" s="13" t="s">
        <v>1198</v>
      </c>
      <c r="D692" s="174" t="s">
        <v>2182</v>
      </c>
      <c r="E692" s="175"/>
      <c r="F692" s="13" t="s">
        <v>2860</v>
      </c>
      <c r="G692" s="82">
        <v>4</v>
      </c>
      <c r="H692" s="62">
        <v>0</v>
      </c>
      <c r="I692" s="5"/>
    </row>
    <row r="693" spans="1:9" x14ac:dyDescent="0.2">
      <c r="A693" s="4" t="s">
        <v>384</v>
      </c>
      <c r="B693" s="13" t="s">
        <v>2894</v>
      </c>
      <c r="C693" s="13" t="s">
        <v>1199</v>
      </c>
      <c r="D693" s="174" t="s">
        <v>2183</v>
      </c>
      <c r="E693" s="175"/>
      <c r="F693" s="13" t="s">
        <v>2860</v>
      </c>
      <c r="G693" s="82">
        <v>1</v>
      </c>
      <c r="H693" s="62">
        <v>0</v>
      </c>
      <c r="I693" s="5"/>
    </row>
    <row r="694" spans="1:9" x14ac:dyDescent="0.2">
      <c r="A694" s="4" t="s">
        <v>385</v>
      </c>
      <c r="B694" s="13" t="s">
        <v>2894</v>
      </c>
      <c r="C694" s="13" t="s">
        <v>1200</v>
      </c>
      <c r="D694" s="174" t="s">
        <v>2184</v>
      </c>
      <c r="E694" s="175"/>
      <c r="F694" s="13" t="s">
        <v>2860</v>
      </c>
      <c r="G694" s="82">
        <v>1</v>
      </c>
      <c r="H694" s="62">
        <v>0</v>
      </c>
      <c r="I694" s="5"/>
    </row>
    <row r="695" spans="1:9" x14ac:dyDescent="0.2">
      <c r="A695" s="4" t="s">
        <v>386</v>
      </c>
      <c r="B695" s="13" t="s">
        <v>2894</v>
      </c>
      <c r="C695" s="13" t="s">
        <v>1201</v>
      </c>
      <c r="D695" s="174" t="s">
        <v>2185</v>
      </c>
      <c r="E695" s="175"/>
      <c r="F695" s="13" t="s">
        <v>2860</v>
      </c>
      <c r="G695" s="82">
        <v>3</v>
      </c>
      <c r="H695" s="62">
        <v>0</v>
      </c>
      <c r="I695" s="5"/>
    </row>
    <row r="696" spans="1:9" x14ac:dyDescent="0.2">
      <c r="A696" s="4" t="s">
        <v>387</v>
      </c>
      <c r="B696" s="13" t="s">
        <v>2894</v>
      </c>
      <c r="C696" s="13" t="s">
        <v>1202</v>
      </c>
      <c r="D696" s="174" t="s">
        <v>2186</v>
      </c>
      <c r="E696" s="175"/>
      <c r="F696" s="13" t="s">
        <v>2860</v>
      </c>
      <c r="G696" s="82">
        <v>1</v>
      </c>
      <c r="H696" s="62">
        <v>0</v>
      </c>
      <c r="I696" s="5"/>
    </row>
    <row r="697" spans="1:9" x14ac:dyDescent="0.2">
      <c r="A697" s="4" t="s">
        <v>388</v>
      </c>
      <c r="B697" s="13" t="s">
        <v>2894</v>
      </c>
      <c r="C697" s="13" t="s">
        <v>1203</v>
      </c>
      <c r="D697" s="174" t="s">
        <v>2187</v>
      </c>
      <c r="E697" s="175"/>
      <c r="F697" s="13" t="s">
        <v>2860</v>
      </c>
      <c r="G697" s="82">
        <v>1</v>
      </c>
      <c r="H697" s="62">
        <v>0</v>
      </c>
      <c r="I697" s="5"/>
    </row>
    <row r="698" spans="1:9" x14ac:dyDescent="0.2">
      <c r="A698" s="4" t="s">
        <v>389</v>
      </c>
      <c r="B698" s="13" t="s">
        <v>2894</v>
      </c>
      <c r="C698" s="13" t="s">
        <v>1204</v>
      </c>
      <c r="D698" s="174" t="s">
        <v>2188</v>
      </c>
      <c r="E698" s="175"/>
      <c r="F698" s="13" t="s">
        <v>2860</v>
      </c>
      <c r="G698" s="82">
        <v>1</v>
      </c>
      <c r="H698" s="62">
        <v>0</v>
      </c>
      <c r="I698" s="5"/>
    </row>
    <row r="699" spans="1:9" x14ac:dyDescent="0.2">
      <c r="A699" s="4" t="s">
        <v>390</v>
      </c>
      <c r="B699" s="13" t="s">
        <v>2894</v>
      </c>
      <c r="C699" s="13" t="s">
        <v>1205</v>
      </c>
      <c r="D699" s="174" t="s">
        <v>2190</v>
      </c>
      <c r="E699" s="175"/>
      <c r="F699" s="13" t="s">
        <v>2860</v>
      </c>
      <c r="G699" s="82">
        <v>1</v>
      </c>
      <c r="H699" s="62">
        <v>0</v>
      </c>
      <c r="I699" s="5"/>
    </row>
    <row r="700" spans="1:9" x14ac:dyDescent="0.2">
      <c r="A700" s="4" t="s">
        <v>391</v>
      </c>
      <c r="B700" s="13" t="s">
        <v>2894</v>
      </c>
      <c r="C700" s="13" t="s">
        <v>1206</v>
      </c>
      <c r="D700" s="174" t="s">
        <v>2192</v>
      </c>
      <c r="E700" s="175"/>
      <c r="F700" s="13" t="s">
        <v>2860</v>
      </c>
      <c r="G700" s="82">
        <v>1</v>
      </c>
      <c r="H700" s="62">
        <v>0</v>
      </c>
      <c r="I700" s="5"/>
    </row>
    <row r="701" spans="1:9" x14ac:dyDescent="0.2">
      <c r="A701" s="4" t="s">
        <v>392</v>
      </c>
      <c r="B701" s="13" t="s">
        <v>2894</v>
      </c>
      <c r="C701" s="13" t="s">
        <v>1207</v>
      </c>
      <c r="D701" s="174" t="s">
        <v>2193</v>
      </c>
      <c r="E701" s="175"/>
      <c r="F701" s="13" t="s">
        <v>2860</v>
      </c>
      <c r="G701" s="82">
        <v>1</v>
      </c>
      <c r="H701" s="62">
        <v>0</v>
      </c>
      <c r="I701" s="5"/>
    </row>
    <row r="702" spans="1:9" x14ac:dyDescent="0.2">
      <c r="A702" s="4" t="s">
        <v>393</v>
      </c>
      <c r="B702" s="13" t="s">
        <v>2894</v>
      </c>
      <c r="C702" s="13" t="s">
        <v>1208</v>
      </c>
      <c r="D702" s="174" t="s">
        <v>2194</v>
      </c>
      <c r="E702" s="175"/>
      <c r="F702" s="13" t="s">
        <v>2860</v>
      </c>
      <c r="G702" s="82">
        <v>1</v>
      </c>
      <c r="H702" s="62">
        <v>0</v>
      </c>
      <c r="I702" s="5"/>
    </row>
    <row r="703" spans="1:9" x14ac:dyDescent="0.2">
      <c r="A703" s="4" t="s">
        <v>394</v>
      </c>
      <c r="B703" s="13" t="s">
        <v>2894</v>
      </c>
      <c r="C703" s="13" t="s">
        <v>1209</v>
      </c>
      <c r="D703" s="174" t="s">
        <v>2195</v>
      </c>
      <c r="E703" s="175"/>
      <c r="F703" s="13" t="s">
        <v>2860</v>
      </c>
      <c r="G703" s="82">
        <v>1</v>
      </c>
      <c r="H703" s="62">
        <v>0</v>
      </c>
      <c r="I703" s="5"/>
    </row>
    <row r="704" spans="1:9" x14ac:dyDescent="0.2">
      <c r="A704" s="4" t="s">
        <v>395</v>
      </c>
      <c r="B704" s="13" t="s">
        <v>2894</v>
      </c>
      <c r="C704" s="13" t="s">
        <v>1210</v>
      </c>
      <c r="D704" s="174" t="s">
        <v>2196</v>
      </c>
      <c r="E704" s="175"/>
      <c r="F704" s="13" t="s">
        <v>2860</v>
      </c>
      <c r="G704" s="82">
        <v>2</v>
      </c>
      <c r="H704" s="62">
        <v>0</v>
      </c>
      <c r="I704" s="5"/>
    </row>
    <row r="705" spans="1:9" x14ac:dyDescent="0.2">
      <c r="A705" s="4" t="s">
        <v>396</v>
      </c>
      <c r="B705" s="13" t="s">
        <v>2894</v>
      </c>
      <c r="C705" s="13" t="s">
        <v>1211</v>
      </c>
      <c r="D705" s="174" t="s">
        <v>2197</v>
      </c>
      <c r="E705" s="175"/>
      <c r="F705" s="13" t="s">
        <v>2860</v>
      </c>
      <c r="G705" s="82">
        <v>1</v>
      </c>
      <c r="H705" s="62">
        <v>0</v>
      </c>
      <c r="I705" s="5"/>
    </row>
    <row r="706" spans="1:9" x14ac:dyDescent="0.2">
      <c r="A706" s="4" t="s">
        <v>397</v>
      </c>
      <c r="B706" s="13" t="s">
        <v>2894</v>
      </c>
      <c r="C706" s="13" t="s">
        <v>1212</v>
      </c>
      <c r="D706" s="174" t="s">
        <v>2198</v>
      </c>
      <c r="E706" s="175"/>
      <c r="F706" s="13" t="s">
        <v>2860</v>
      </c>
      <c r="G706" s="82">
        <v>1</v>
      </c>
      <c r="H706" s="62">
        <v>0</v>
      </c>
      <c r="I706" s="5"/>
    </row>
    <row r="707" spans="1:9" x14ac:dyDescent="0.2">
      <c r="A707" s="4" t="s">
        <v>398</v>
      </c>
      <c r="B707" s="13" t="s">
        <v>2894</v>
      </c>
      <c r="C707" s="13" t="s">
        <v>1213</v>
      </c>
      <c r="D707" s="174" t="s">
        <v>2199</v>
      </c>
      <c r="E707" s="175"/>
      <c r="F707" s="13" t="s">
        <v>2860</v>
      </c>
      <c r="G707" s="82">
        <v>1</v>
      </c>
      <c r="H707" s="62">
        <v>0</v>
      </c>
      <c r="I707" s="5"/>
    </row>
    <row r="708" spans="1:9" x14ac:dyDescent="0.2">
      <c r="A708" s="4" t="s">
        <v>399</v>
      </c>
      <c r="B708" s="13" t="s">
        <v>2894</v>
      </c>
      <c r="C708" s="13" t="s">
        <v>1214</v>
      </c>
      <c r="D708" s="174" t="s">
        <v>2200</v>
      </c>
      <c r="E708" s="175"/>
      <c r="F708" s="13" t="s">
        <v>2860</v>
      </c>
      <c r="G708" s="82">
        <v>5</v>
      </c>
      <c r="H708" s="62">
        <v>0</v>
      </c>
      <c r="I708" s="5"/>
    </row>
    <row r="709" spans="1:9" x14ac:dyDescent="0.2">
      <c r="A709" s="4" t="s">
        <v>400</v>
      </c>
      <c r="B709" s="13" t="s">
        <v>2894</v>
      </c>
      <c r="C709" s="13" t="s">
        <v>1215</v>
      </c>
      <c r="D709" s="174" t="s">
        <v>2201</v>
      </c>
      <c r="E709" s="175"/>
      <c r="F709" s="13" t="s">
        <v>2860</v>
      </c>
      <c r="G709" s="82">
        <v>1</v>
      </c>
      <c r="H709" s="62">
        <v>0</v>
      </c>
      <c r="I709" s="5"/>
    </row>
    <row r="710" spans="1:9" x14ac:dyDescent="0.2">
      <c r="A710" s="4" t="s">
        <v>401</v>
      </c>
      <c r="B710" s="13" t="s">
        <v>2894</v>
      </c>
      <c r="C710" s="13" t="s">
        <v>1216</v>
      </c>
      <c r="D710" s="174" t="s">
        <v>2202</v>
      </c>
      <c r="E710" s="175"/>
      <c r="F710" s="13" t="s">
        <v>2860</v>
      </c>
      <c r="G710" s="82">
        <v>1</v>
      </c>
      <c r="H710" s="62">
        <v>0</v>
      </c>
      <c r="I710" s="5"/>
    </row>
    <row r="711" spans="1:9" x14ac:dyDescent="0.2">
      <c r="A711" s="4" t="s">
        <v>402</v>
      </c>
      <c r="B711" s="13" t="s">
        <v>2894</v>
      </c>
      <c r="C711" s="13" t="s">
        <v>1217</v>
      </c>
      <c r="D711" s="174" t="s">
        <v>2203</v>
      </c>
      <c r="E711" s="175"/>
      <c r="F711" s="13" t="s">
        <v>2860</v>
      </c>
      <c r="G711" s="82">
        <v>1</v>
      </c>
      <c r="H711" s="62">
        <v>0</v>
      </c>
      <c r="I711" s="5"/>
    </row>
    <row r="712" spans="1:9" x14ac:dyDescent="0.2">
      <c r="A712" s="4" t="s">
        <v>403</v>
      </c>
      <c r="B712" s="13" t="s">
        <v>2894</v>
      </c>
      <c r="C712" s="13" t="s">
        <v>1218</v>
      </c>
      <c r="D712" s="174" t="s">
        <v>2205</v>
      </c>
      <c r="E712" s="175"/>
      <c r="F712" s="13" t="s">
        <v>2860</v>
      </c>
      <c r="G712" s="82">
        <v>1</v>
      </c>
      <c r="H712" s="62">
        <v>0</v>
      </c>
      <c r="I712" s="5"/>
    </row>
    <row r="713" spans="1:9" x14ac:dyDescent="0.2">
      <c r="A713" s="4" t="s">
        <v>404</v>
      </c>
      <c r="B713" s="13" t="s">
        <v>2894</v>
      </c>
      <c r="C713" s="13" t="s">
        <v>1219</v>
      </c>
      <c r="D713" s="174" t="s">
        <v>2207</v>
      </c>
      <c r="E713" s="175"/>
      <c r="F713" s="13" t="s">
        <v>2860</v>
      </c>
      <c r="G713" s="82">
        <v>1</v>
      </c>
      <c r="H713" s="62">
        <v>0</v>
      </c>
      <c r="I713" s="5"/>
    </row>
    <row r="714" spans="1:9" x14ac:dyDescent="0.2">
      <c r="A714" s="4" t="s">
        <v>405</v>
      </c>
      <c r="B714" s="13" t="s">
        <v>2894</v>
      </c>
      <c r="C714" s="13" t="s">
        <v>1220</v>
      </c>
      <c r="D714" s="174" t="s">
        <v>2208</v>
      </c>
      <c r="E714" s="175"/>
      <c r="F714" s="13" t="s">
        <v>2860</v>
      </c>
      <c r="G714" s="82">
        <v>1</v>
      </c>
      <c r="H714" s="62">
        <v>0</v>
      </c>
      <c r="I714" s="5"/>
    </row>
    <row r="715" spans="1:9" x14ac:dyDescent="0.2">
      <c r="A715" s="4" t="s">
        <v>406</v>
      </c>
      <c r="B715" s="13" t="s">
        <v>2894</v>
      </c>
      <c r="C715" s="13" t="s">
        <v>1221</v>
      </c>
      <c r="D715" s="174" t="s">
        <v>2209</v>
      </c>
      <c r="E715" s="175"/>
      <c r="F715" s="13" t="s">
        <v>2860</v>
      </c>
      <c r="G715" s="82">
        <v>1</v>
      </c>
      <c r="H715" s="62">
        <v>0</v>
      </c>
      <c r="I715" s="5"/>
    </row>
    <row r="716" spans="1:9" x14ac:dyDescent="0.2">
      <c r="A716" s="4" t="s">
        <v>407</v>
      </c>
      <c r="B716" s="13" t="s">
        <v>2894</v>
      </c>
      <c r="C716" s="13" t="s">
        <v>1222</v>
      </c>
      <c r="D716" s="174" t="s">
        <v>2211</v>
      </c>
      <c r="E716" s="175"/>
      <c r="F716" s="13" t="s">
        <v>2860</v>
      </c>
      <c r="G716" s="82">
        <v>1</v>
      </c>
      <c r="H716" s="62">
        <v>0</v>
      </c>
      <c r="I716" s="5"/>
    </row>
    <row r="717" spans="1:9" x14ac:dyDescent="0.2">
      <c r="A717" s="4" t="s">
        <v>408</v>
      </c>
      <c r="B717" s="13" t="s">
        <v>2894</v>
      </c>
      <c r="C717" s="13" t="s">
        <v>1223</v>
      </c>
      <c r="D717" s="174" t="s">
        <v>2212</v>
      </c>
      <c r="E717" s="175"/>
      <c r="F717" s="13" t="s">
        <v>2860</v>
      </c>
      <c r="G717" s="82">
        <v>1</v>
      </c>
      <c r="H717" s="62">
        <v>0</v>
      </c>
      <c r="I717" s="5"/>
    </row>
    <row r="718" spans="1:9" x14ac:dyDescent="0.2">
      <c r="A718" s="4" t="s">
        <v>409</v>
      </c>
      <c r="B718" s="13" t="s">
        <v>2894</v>
      </c>
      <c r="C718" s="13" t="s">
        <v>1224</v>
      </c>
      <c r="D718" s="174" t="s">
        <v>2213</v>
      </c>
      <c r="E718" s="175"/>
      <c r="F718" s="13" t="s">
        <v>2860</v>
      </c>
      <c r="G718" s="82">
        <v>1</v>
      </c>
      <c r="H718" s="62">
        <v>0</v>
      </c>
      <c r="I718" s="5"/>
    </row>
    <row r="719" spans="1:9" x14ac:dyDescent="0.2">
      <c r="A719" s="4" t="s">
        <v>410</v>
      </c>
      <c r="B719" s="13" t="s">
        <v>2894</v>
      </c>
      <c r="C719" s="13" t="s">
        <v>1225</v>
      </c>
      <c r="D719" s="174" t="s">
        <v>2214</v>
      </c>
      <c r="E719" s="175"/>
      <c r="F719" s="13" t="s">
        <v>2860</v>
      </c>
      <c r="G719" s="82">
        <v>1</v>
      </c>
      <c r="H719" s="62">
        <v>0</v>
      </c>
      <c r="I719" s="5"/>
    </row>
    <row r="720" spans="1:9" x14ac:dyDescent="0.2">
      <c r="A720" s="4" t="s">
        <v>411</v>
      </c>
      <c r="B720" s="13" t="s">
        <v>2894</v>
      </c>
      <c r="C720" s="13" t="s">
        <v>1226</v>
      </c>
      <c r="D720" s="174" t="s">
        <v>2215</v>
      </c>
      <c r="E720" s="175"/>
      <c r="F720" s="13" t="s">
        <v>2860</v>
      </c>
      <c r="G720" s="82">
        <v>1</v>
      </c>
      <c r="H720" s="62">
        <v>0</v>
      </c>
      <c r="I720" s="5"/>
    </row>
    <row r="721" spans="1:9" x14ac:dyDescent="0.2">
      <c r="A721" s="4" t="s">
        <v>412</v>
      </c>
      <c r="B721" s="13" t="s">
        <v>2894</v>
      </c>
      <c r="C721" s="13" t="s">
        <v>1227</v>
      </c>
      <c r="D721" s="174" t="s">
        <v>2216</v>
      </c>
      <c r="E721" s="175"/>
      <c r="F721" s="13" t="s">
        <v>2860</v>
      </c>
      <c r="G721" s="82">
        <v>1</v>
      </c>
      <c r="H721" s="62">
        <v>0</v>
      </c>
      <c r="I721" s="5"/>
    </row>
    <row r="722" spans="1:9" x14ac:dyDescent="0.2">
      <c r="A722" s="4" t="s">
        <v>413</v>
      </c>
      <c r="B722" s="13" t="s">
        <v>2894</v>
      </c>
      <c r="C722" s="13" t="s">
        <v>1228</v>
      </c>
      <c r="D722" s="174" t="s">
        <v>2218</v>
      </c>
      <c r="E722" s="175"/>
      <c r="F722" s="13" t="s">
        <v>2860</v>
      </c>
      <c r="G722" s="82">
        <v>2</v>
      </c>
      <c r="H722" s="62">
        <v>0</v>
      </c>
      <c r="I722" s="5"/>
    </row>
    <row r="723" spans="1:9" x14ac:dyDescent="0.2">
      <c r="A723" s="4" t="s">
        <v>414</v>
      </c>
      <c r="B723" s="13" t="s">
        <v>2894</v>
      </c>
      <c r="C723" s="13" t="s">
        <v>1144</v>
      </c>
      <c r="D723" s="174" t="s">
        <v>2220</v>
      </c>
      <c r="E723" s="175"/>
      <c r="F723" s="13" t="s">
        <v>2860</v>
      </c>
      <c r="G723" s="82">
        <v>5</v>
      </c>
      <c r="H723" s="62">
        <v>0</v>
      </c>
      <c r="I723" s="5"/>
    </row>
    <row r="724" spans="1:9" x14ac:dyDescent="0.2">
      <c r="A724" s="4" t="s">
        <v>415</v>
      </c>
      <c r="B724" s="13" t="s">
        <v>2894</v>
      </c>
      <c r="C724" s="13" t="s">
        <v>1229</v>
      </c>
      <c r="D724" s="174" t="s">
        <v>2221</v>
      </c>
      <c r="E724" s="175"/>
      <c r="F724" s="13" t="s">
        <v>2860</v>
      </c>
      <c r="G724" s="82">
        <v>4</v>
      </c>
      <c r="H724" s="62">
        <v>0</v>
      </c>
      <c r="I724" s="5"/>
    </row>
    <row r="725" spans="1:9" x14ac:dyDescent="0.2">
      <c r="A725" s="4" t="s">
        <v>416</v>
      </c>
      <c r="B725" s="13" t="s">
        <v>2894</v>
      </c>
      <c r="C725" s="13" t="s">
        <v>1229</v>
      </c>
      <c r="D725" s="174" t="s">
        <v>2222</v>
      </c>
      <c r="E725" s="175"/>
      <c r="F725" s="13" t="s">
        <v>2860</v>
      </c>
      <c r="G725" s="82">
        <v>10</v>
      </c>
      <c r="H725" s="62">
        <v>0</v>
      </c>
      <c r="I725" s="5"/>
    </row>
    <row r="726" spans="1:9" x14ac:dyDescent="0.2">
      <c r="A726" s="4" t="s">
        <v>417</v>
      </c>
      <c r="B726" s="13" t="s">
        <v>2894</v>
      </c>
      <c r="C726" s="13" t="s">
        <v>1230</v>
      </c>
      <c r="D726" s="174" t="s">
        <v>2114</v>
      </c>
      <c r="E726" s="175"/>
      <c r="F726" s="13" t="s">
        <v>2862</v>
      </c>
      <c r="G726" s="82">
        <v>60</v>
      </c>
      <c r="H726" s="62">
        <v>0</v>
      </c>
      <c r="I726" s="5"/>
    </row>
    <row r="727" spans="1:9" x14ac:dyDescent="0.2">
      <c r="A727" s="4" t="s">
        <v>418</v>
      </c>
      <c r="B727" s="13" t="s">
        <v>2894</v>
      </c>
      <c r="C727" s="13" t="s">
        <v>1231</v>
      </c>
      <c r="D727" s="174" t="s">
        <v>2223</v>
      </c>
      <c r="E727" s="175"/>
      <c r="F727" s="13" t="s">
        <v>2861</v>
      </c>
      <c r="G727" s="82">
        <v>1</v>
      </c>
      <c r="H727" s="62">
        <v>0</v>
      </c>
      <c r="I727" s="5"/>
    </row>
    <row r="728" spans="1:9" x14ac:dyDescent="0.2">
      <c r="A728" s="4" t="s">
        <v>419</v>
      </c>
      <c r="B728" s="13" t="s">
        <v>2894</v>
      </c>
      <c r="C728" s="13" t="s">
        <v>1232</v>
      </c>
      <c r="D728" s="174" t="s">
        <v>2224</v>
      </c>
      <c r="E728" s="175"/>
      <c r="F728" s="13" t="s">
        <v>2861</v>
      </c>
      <c r="G728" s="82">
        <v>1</v>
      </c>
      <c r="H728" s="62">
        <v>0</v>
      </c>
      <c r="I728" s="5"/>
    </row>
    <row r="729" spans="1:9" x14ac:dyDescent="0.2">
      <c r="A729" s="4" t="s">
        <v>420</v>
      </c>
      <c r="B729" s="13" t="s">
        <v>2894</v>
      </c>
      <c r="C729" s="13" t="s">
        <v>1233</v>
      </c>
      <c r="D729" s="174" t="s">
        <v>2225</v>
      </c>
      <c r="E729" s="175"/>
      <c r="F729" s="13" t="s">
        <v>2860</v>
      </c>
      <c r="G729" s="82">
        <v>6</v>
      </c>
      <c r="H729" s="62">
        <v>0</v>
      </c>
      <c r="I729" s="5"/>
    </row>
    <row r="730" spans="1:9" x14ac:dyDescent="0.2">
      <c r="A730" s="4" t="s">
        <v>421</v>
      </c>
      <c r="B730" s="13" t="s">
        <v>2894</v>
      </c>
      <c r="C730" s="13" t="s">
        <v>1234</v>
      </c>
      <c r="D730" s="174" t="s">
        <v>2226</v>
      </c>
      <c r="E730" s="175"/>
      <c r="F730" s="13" t="s">
        <v>2855</v>
      </c>
      <c r="G730" s="82">
        <v>493</v>
      </c>
      <c r="H730" s="62">
        <v>0</v>
      </c>
      <c r="I730" s="5"/>
    </row>
    <row r="731" spans="1:9" x14ac:dyDescent="0.2">
      <c r="A731" s="4" t="s">
        <v>422</v>
      </c>
      <c r="B731" s="13" t="s">
        <v>2894</v>
      </c>
      <c r="C731" s="13" t="s">
        <v>1235</v>
      </c>
      <c r="D731" s="174" t="s">
        <v>2227</v>
      </c>
      <c r="E731" s="175"/>
      <c r="F731" s="13" t="s">
        <v>2855</v>
      </c>
      <c r="G731" s="82">
        <v>493</v>
      </c>
      <c r="H731" s="62">
        <v>0</v>
      </c>
      <c r="I731" s="5"/>
    </row>
    <row r="732" spans="1:9" x14ac:dyDescent="0.2">
      <c r="A732" s="4" t="s">
        <v>423</v>
      </c>
      <c r="B732" s="13" t="s">
        <v>2894</v>
      </c>
      <c r="C732" s="13" t="s">
        <v>1236</v>
      </c>
      <c r="D732" s="174" t="s">
        <v>2228</v>
      </c>
      <c r="E732" s="175"/>
      <c r="F732" s="13" t="s">
        <v>2855</v>
      </c>
      <c r="G732" s="82">
        <v>493</v>
      </c>
      <c r="H732" s="62">
        <v>0</v>
      </c>
      <c r="I732" s="5"/>
    </row>
    <row r="733" spans="1:9" x14ac:dyDescent="0.2">
      <c r="A733" s="4" t="s">
        <v>424</v>
      </c>
      <c r="B733" s="13" t="s">
        <v>2894</v>
      </c>
      <c r="C733" s="13" t="s">
        <v>1237</v>
      </c>
      <c r="D733" s="174" t="s">
        <v>2120</v>
      </c>
      <c r="E733" s="175"/>
      <c r="F733" s="13" t="s">
        <v>2862</v>
      </c>
      <c r="G733" s="82">
        <v>120</v>
      </c>
      <c r="H733" s="62">
        <v>0</v>
      </c>
      <c r="I733" s="5"/>
    </row>
    <row r="734" spans="1:9" x14ac:dyDescent="0.2">
      <c r="A734" s="4" t="s">
        <v>425</v>
      </c>
      <c r="B734" s="13" t="s">
        <v>2894</v>
      </c>
      <c r="C734" s="13" t="s">
        <v>1238</v>
      </c>
      <c r="D734" s="174" t="s">
        <v>2121</v>
      </c>
      <c r="E734" s="175"/>
      <c r="F734" s="13" t="s">
        <v>2861</v>
      </c>
      <c r="G734" s="82">
        <v>1</v>
      </c>
      <c r="H734" s="62">
        <v>0</v>
      </c>
      <c r="I734" s="5"/>
    </row>
    <row r="735" spans="1:9" x14ac:dyDescent="0.2">
      <c r="A735" s="4" t="s">
        <v>426</v>
      </c>
      <c r="B735" s="13" t="s">
        <v>2894</v>
      </c>
      <c r="C735" s="13" t="s">
        <v>1239</v>
      </c>
      <c r="D735" s="174" t="s">
        <v>2122</v>
      </c>
      <c r="E735" s="175"/>
      <c r="F735" s="13" t="s">
        <v>2860</v>
      </c>
      <c r="G735" s="82">
        <v>1</v>
      </c>
      <c r="H735" s="62">
        <v>0</v>
      </c>
      <c r="I735" s="5"/>
    </row>
    <row r="736" spans="1:9" x14ac:dyDescent="0.2">
      <c r="A736" s="4" t="s">
        <v>427</v>
      </c>
      <c r="B736" s="13" t="s">
        <v>2894</v>
      </c>
      <c r="C736" s="13" t="s">
        <v>1240</v>
      </c>
      <c r="D736" s="174" t="s">
        <v>2123</v>
      </c>
      <c r="E736" s="175"/>
      <c r="F736" s="13" t="s">
        <v>2861</v>
      </c>
      <c r="G736" s="82">
        <v>1</v>
      </c>
      <c r="H736" s="62">
        <v>0</v>
      </c>
      <c r="I736" s="5"/>
    </row>
    <row r="737" spans="1:9" x14ac:dyDescent="0.2">
      <c r="A737" s="4" t="s">
        <v>428</v>
      </c>
      <c r="B737" s="13" t="s">
        <v>2894</v>
      </c>
      <c r="C737" s="13" t="s">
        <v>1241</v>
      </c>
      <c r="D737" s="174" t="s">
        <v>2230</v>
      </c>
      <c r="E737" s="175"/>
      <c r="F737" s="13" t="s">
        <v>2860</v>
      </c>
      <c r="G737" s="82">
        <v>2</v>
      </c>
      <c r="H737" s="62">
        <v>0</v>
      </c>
      <c r="I737" s="5"/>
    </row>
    <row r="738" spans="1:9" x14ac:dyDescent="0.2">
      <c r="A738" s="4" t="s">
        <v>429</v>
      </c>
      <c r="B738" s="13" t="s">
        <v>2894</v>
      </c>
      <c r="C738" s="13" t="s">
        <v>1242</v>
      </c>
      <c r="D738" s="174" t="s">
        <v>2232</v>
      </c>
      <c r="E738" s="175"/>
      <c r="F738" s="13" t="s">
        <v>2860</v>
      </c>
      <c r="G738" s="82">
        <v>2</v>
      </c>
      <c r="H738" s="62">
        <v>0</v>
      </c>
      <c r="I738" s="5"/>
    </row>
    <row r="739" spans="1:9" x14ac:dyDescent="0.2">
      <c r="A739" s="4" t="s">
        <v>430</v>
      </c>
      <c r="B739" s="13" t="s">
        <v>2894</v>
      </c>
      <c r="C739" s="13" t="s">
        <v>1243</v>
      </c>
      <c r="D739" s="174" t="s">
        <v>2233</v>
      </c>
      <c r="E739" s="175"/>
      <c r="F739" s="13" t="s">
        <v>2860</v>
      </c>
      <c r="G739" s="82">
        <v>2</v>
      </c>
      <c r="H739" s="62">
        <v>0</v>
      </c>
      <c r="I739" s="5"/>
    </row>
    <row r="740" spans="1:9" x14ac:dyDescent="0.2">
      <c r="A740" s="4" t="s">
        <v>431</v>
      </c>
      <c r="B740" s="13" t="s">
        <v>2894</v>
      </c>
      <c r="C740" s="13" t="s">
        <v>1244</v>
      </c>
      <c r="D740" s="174" t="s">
        <v>2234</v>
      </c>
      <c r="E740" s="175"/>
      <c r="F740" s="13" t="s">
        <v>2861</v>
      </c>
      <c r="G740" s="82">
        <v>2</v>
      </c>
      <c r="H740" s="62">
        <v>0</v>
      </c>
      <c r="I740" s="5"/>
    </row>
    <row r="741" spans="1:9" x14ac:dyDescent="0.2">
      <c r="A741" s="4" t="s">
        <v>432</v>
      </c>
      <c r="B741" s="13" t="s">
        <v>2894</v>
      </c>
      <c r="C741" s="13" t="s">
        <v>1245</v>
      </c>
      <c r="D741" s="174" t="s">
        <v>2235</v>
      </c>
      <c r="E741" s="175"/>
      <c r="F741" s="13" t="s">
        <v>2855</v>
      </c>
      <c r="G741" s="82">
        <v>24.5</v>
      </c>
      <c r="H741" s="62">
        <v>0</v>
      </c>
      <c r="I741" s="5"/>
    </row>
    <row r="742" spans="1:9" x14ac:dyDescent="0.2">
      <c r="A742" s="4" t="s">
        <v>433</v>
      </c>
      <c r="B742" s="13" t="s">
        <v>2894</v>
      </c>
      <c r="C742" s="13" t="s">
        <v>1246</v>
      </c>
      <c r="D742" s="174" t="s">
        <v>2237</v>
      </c>
      <c r="E742" s="175"/>
      <c r="F742" s="13" t="s">
        <v>2855</v>
      </c>
      <c r="G742" s="82">
        <v>15.5</v>
      </c>
      <c r="H742" s="62">
        <v>0</v>
      </c>
      <c r="I742" s="5"/>
    </row>
    <row r="743" spans="1:9" x14ac:dyDescent="0.2">
      <c r="A743" s="4" t="s">
        <v>434</v>
      </c>
      <c r="B743" s="13" t="s">
        <v>2894</v>
      </c>
      <c r="C743" s="13" t="s">
        <v>1247</v>
      </c>
      <c r="D743" s="174" t="s">
        <v>2238</v>
      </c>
      <c r="E743" s="175"/>
      <c r="F743" s="13" t="s">
        <v>2855</v>
      </c>
      <c r="G743" s="82">
        <v>5.5</v>
      </c>
      <c r="H743" s="62">
        <v>0</v>
      </c>
      <c r="I743" s="5"/>
    </row>
    <row r="744" spans="1:9" x14ac:dyDescent="0.2">
      <c r="A744" s="4" t="s">
        <v>435</v>
      </c>
      <c r="B744" s="13" t="s">
        <v>2894</v>
      </c>
      <c r="C744" s="13" t="s">
        <v>1248</v>
      </c>
      <c r="D744" s="174" t="s">
        <v>2239</v>
      </c>
      <c r="E744" s="175"/>
      <c r="F744" s="13" t="s">
        <v>2855</v>
      </c>
      <c r="G744" s="82">
        <v>9.5</v>
      </c>
      <c r="H744" s="62">
        <v>0</v>
      </c>
      <c r="I744" s="5"/>
    </row>
    <row r="745" spans="1:9" x14ac:dyDescent="0.2">
      <c r="A745" s="4" t="s">
        <v>436</v>
      </c>
      <c r="B745" s="13" t="s">
        <v>2894</v>
      </c>
      <c r="C745" s="13" t="s">
        <v>1249</v>
      </c>
      <c r="D745" s="174" t="s">
        <v>2240</v>
      </c>
      <c r="E745" s="175"/>
      <c r="F745" s="13" t="s">
        <v>2855</v>
      </c>
      <c r="G745" s="82">
        <v>22.5</v>
      </c>
      <c r="H745" s="62">
        <v>0</v>
      </c>
      <c r="I745" s="5"/>
    </row>
    <row r="746" spans="1:9" x14ac:dyDescent="0.2">
      <c r="A746" s="4" t="s">
        <v>437</v>
      </c>
      <c r="B746" s="13" t="s">
        <v>2894</v>
      </c>
      <c r="C746" s="13" t="s">
        <v>1250</v>
      </c>
      <c r="D746" s="174" t="s">
        <v>2242</v>
      </c>
      <c r="E746" s="175"/>
      <c r="F746" s="13" t="s">
        <v>2855</v>
      </c>
      <c r="G746" s="82">
        <v>22.5</v>
      </c>
      <c r="H746" s="62">
        <v>0</v>
      </c>
      <c r="I746" s="5"/>
    </row>
    <row r="747" spans="1:9" x14ac:dyDescent="0.2">
      <c r="A747" s="4" t="s">
        <v>438</v>
      </c>
      <c r="B747" s="13" t="s">
        <v>2894</v>
      </c>
      <c r="C747" s="13" t="s">
        <v>1251</v>
      </c>
      <c r="D747" s="174" t="s">
        <v>2243</v>
      </c>
      <c r="E747" s="175"/>
      <c r="F747" s="13" t="s">
        <v>2855</v>
      </c>
      <c r="G747" s="82">
        <v>22.5</v>
      </c>
      <c r="H747" s="62">
        <v>0</v>
      </c>
      <c r="I747" s="5"/>
    </row>
    <row r="748" spans="1:9" x14ac:dyDescent="0.2">
      <c r="A748" s="4" t="s">
        <v>439</v>
      </c>
      <c r="B748" s="13" t="s">
        <v>2894</v>
      </c>
      <c r="C748" s="13" t="s">
        <v>1252</v>
      </c>
      <c r="D748" s="174" t="s">
        <v>2244</v>
      </c>
      <c r="E748" s="175"/>
      <c r="F748" s="13" t="s">
        <v>2860</v>
      </c>
      <c r="G748" s="82">
        <v>16</v>
      </c>
      <c r="H748" s="62">
        <v>0</v>
      </c>
      <c r="I748" s="5"/>
    </row>
    <row r="749" spans="1:9" x14ac:dyDescent="0.2">
      <c r="A749" s="4" t="s">
        <v>440</v>
      </c>
      <c r="B749" s="13" t="s">
        <v>2894</v>
      </c>
      <c r="C749" s="13" t="s">
        <v>1253</v>
      </c>
      <c r="D749" s="174" t="s">
        <v>2246</v>
      </c>
      <c r="E749" s="175"/>
      <c r="F749" s="13" t="s">
        <v>2860</v>
      </c>
      <c r="G749" s="82">
        <v>16</v>
      </c>
      <c r="H749" s="62">
        <v>0</v>
      </c>
      <c r="I749" s="5"/>
    </row>
    <row r="750" spans="1:9" x14ac:dyDescent="0.2">
      <c r="A750" s="4" t="s">
        <v>441</v>
      </c>
      <c r="B750" s="13" t="s">
        <v>2894</v>
      </c>
      <c r="C750" s="13" t="s">
        <v>1254</v>
      </c>
      <c r="D750" s="174" t="s">
        <v>2247</v>
      </c>
      <c r="E750" s="175"/>
      <c r="F750" s="13" t="s">
        <v>2860</v>
      </c>
      <c r="G750" s="82">
        <v>16</v>
      </c>
      <c r="H750" s="62">
        <v>0</v>
      </c>
      <c r="I750" s="5"/>
    </row>
    <row r="751" spans="1:9" x14ac:dyDescent="0.2">
      <c r="A751" s="4" t="s">
        <v>442</v>
      </c>
      <c r="B751" s="13" t="s">
        <v>2894</v>
      </c>
      <c r="C751" s="13" t="s">
        <v>1255</v>
      </c>
      <c r="D751" s="174" t="s">
        <v>2248</v>
      </c>
      <c r="E751" s="175"/>
      <c r="F751" s="13" t="s">
        <v>2860</v>
      </c>
      <c r="G751" s="82">
        <v>2</v>
      </c>
      <c r="H751" s="62">
        <v>0</v>
      </c>
      <c r="I751" s="5"/>
    </row>
    <row r="752" spans="1:9" x14ac:dyDescent="0.2">
      <c r="A752" s="4" t="s">
        <v>443</v>
      </c>
      <c r="B752" s="13" t="s">
        <v>2894</v>
      </c>
      <c r="C752" s="13" t="s">
        <v>1256</v>
      </c>
      <c r="D752" s="174" t="s">
        <v>2249</v>
      </c>
      <c r="E752" s="175"/>
      <c r="F752" s="13" t="s">
        <v>2860</v>
      </c>
      <c r="G752" s="82">
        <v>2</v>
      </c>
      <c r="H752" s="62">
        <v>0</v>
      </c>
      <c r="I752" s="5"/>
    </row>
    <row r="753" spans="1:9" x14ac:dyDescent="0.2">
      <c r="A753" s="4" t="s">
        <v>444</v>
      </c>
      <c r="B753" s="13" t="s">
        <v>2894</v>
      </c>
      <c r="C753" s="13" t="s">
        <v>1257</v>
      </c>
      <c r="D753" s="174" t="s">
        <v>2250</v>
      </c>
      <c r="E753" s="175"/>
      <c r="F753" s="13" t="s">
        <v>2860</v>
      </c>
      <c r="G753" s="82">
        <v>2</v>
      </c>
      <c r="H753" s="62">
        <v>0</v>
      </c>
      <c r="I753" s="5"/>
    </row>
    <row r="754" spans="1:9" x14ac:dyDescent="0.2">
      <c r="A754" s="4" t="s">
        <v>445</v>
      </c>
      <c r="B754" s="13" t="s">
        <v>2894</v>
      </c>
      <c r="C754" s="13" t="s">
        <v>1258</v>
      </c>
      <c r="D754" s="174" t="s">
        <v>2251</v>
      </c>
      <c r="E754" s="175"/>
      <c r="F754" s="13" t="s">
        <v>2860</v>
      </c>
      <c r="G754" s="82">
        <v>2</v>
      </c>
      <c r="H754" s="62">
        <v>0</v>
      </c>
      <c r="I754" s="5"/>
    </row>
    <row r="755" spans="1:9" x14ac:dyDescent="0.2">
      <c r="A755" s="4" t="s">
        <v>446</v>
      </c>
      <c r="B755" s="13" t="s">
        <v>2894</v>
      </c>
      <c r="C755" s="13" t="s">
        <v>1259</v>
      </c>
      <c r="D755" s="174" t="s">
        <v>2252</v>
      </c>
      <c r="E755" s="175"/>
      <c r="F755" s="13" t="s">
        <v>2860</v>
      </c>
      <c r="G755" s="82">
        <v>2</v>
      </c>
      <c r="H755" s="62">
        <v>0</v>
      </c>
      <c r="I755" s="5"/>
    </row>
    <row r="756" spans="1:9" x14ac:dyDescent="0.2">
      <c r="A756" s="4" t="s">
        <v>447</v>
      </c>
      <c r="B756" s="13" t="s">
        <v>2894</v>
      </c>
      <c r="C756" s="13" t="s">
        <v>1260</v>
      </c>
      <c r="D756" s="174" t="s">
        <v>2253</v>
      </c>
      <c r="E756" s="175"/>
      <c r="F756" s="13" t="s">
        <v>2860</v>
      </c>
      <c r="G756" s="82">
        <v>2</v>
      </c>
      <c r="H756" s="62">
        <v>0</v>
      </c>
      <c r="I756" s="5"/>
    </row>
    <row r="757" spans="1:9" x14ac:dyDescent="0.2">
      <c r="A757" s="4" t="s">
        <v>448</v>
      </c>
      <c r="B757" s="13" t="s">
        <v>2894</v>
      </c>
      <c r="C757" s="13" t="s">
        <v>1261</v>
      </c>
      <c r="D757" s="174" t="s">
        <v>2254</v>
      </c>
      <c r="E757" s="175"/>
      <c r="F757" s="13" t="s">
        <v>2860</v>
      </c>
      <c r="G757" s="82">
        <v>2</v>
      </c>
      <c r="H757" s="62">
        <v>0</v>
      </c>
      <c r="I757" s="5"/>
    </row>
    <row r="758" spans="1:9" x14ac:dyDescent="0.2">
      <c r="A758" s="4" t="s">
        <v>449</v>
      </c>
      <c r="B758" s="13" t="s">
        <v>2894</v>
      </c>
      <c r="C758" s="13" t="s">
        <v>1262</v>
      </c>
      <c r="D758" s="174" t="s">
        <v>2255</v>
      </c>
      <c r="E758" s="175"/>
      <c r="F758" s="13" t="s">
        <v>2860</v>
      </c>
      <c r="G758" s="82">
        <v>2</v>
      </c>
      <c r="H758" s="62">
        <v>0</v>
      </c>
      <c r="I758" s="5"/>
    </row>
    <row r="759" spans="1:9" x14ac:dyDescent="0.2">
      <c r="A759" s="4" t="s">
        <v>450</v>
      </c>
      <c r="B759" s="13" t="s">
        <v>2894</v>
      </c>
      <c r="C759" s="13" t="s">
        <v>1263</v>
      </c>
      <c r="D759" s="174" t="s">
        <v>2256</v>
      </c>
      <c r="E759" s="175"/>
      <c r="F759" s="13" t="s">
        <v>2860</v>
      </c>
      <c r="G759" s="82">
        <v>2</v>
      </c>
      <c r="H759" s="62">
        <v>0</v>
      </c>
      <c r="I759" s="5"/>
    </row>
    <row r="760" spans="1:9" x14ac:dyDescent="0.2">
      <c r="A760" s="4" t="s">
        <v>451</v>
      </c>
      <c r="B760" s="13" t="s">
        <v>2894</v>
      </c>
      <c r="C760" s="13" t="s">
        <v>1264</v>
      </c>
      <c r="D760" s="174" t="s">
        <v>2257</v>
      </c>
      <c r="E760" s="175"/>
      <c r="F760" s="13" t="s">
        <v>2854</v>
      </c>
      <c r="G760" s="82">
        <v>25.882000000000001</v>
      </c>
      <c r="H760" s="62">
        <v>0</v>
      </c>
      <c r="I760" s="5"/>
    </row>
    <row r="761" spans="1:9" x14ac:dyDescent="0.2">
      <c r="A761" s="4" t="s">
        <v>452</v>
      </c>
      <c r="B761" s="13" t="s">
        <v>2894</v>
      </c>
      <c r="C761" s="13" t="s">
        <v>1265</v>
      </c>
      <c r="D761" s="174" t="s">
        <v>2259</v>
      </c>
      <c r="E761" s="175"/>
      <c r="F761" s="13" t="s">
        <v>2858</v>
      </c>
      <c r="G761" s="82">
        <v>45</v>
      </c>
      <c r="H761" s="62">
        <v>0</v>
      </c>
      <c r="I761" s="5"/>
    </row>
    <row r="762" spans="1:9" x14ac:dyDescent="0.2">
      <c r="A762" s="4" t="s">
        <v>453</v>
      </c>
      <c r="B762" s="13" t="s">
        <v>2894</v>
      </c>
      <c r="C762" s="13" t="s">
        <v>1266</v>
      </c>
      <c r="D762" s="174" t="s">
        <v>2260</v>
      </c>
      <c r="E762" s="175"/>
      <c r="F762" s="13" t="s">
        <v>2858</v>
      </c>
      <c r="G762" s="82">
        <v>50</v>
      </c>
      <c r="H762" s="62">
        <v>0</v>
      </c>
      <c r="I762" s="5"/>
    </row>
    <row r="763" spans="1:9" x14ac:dyDescent="0.2">
      <c r="A763" s="4" t="s">
        <v>454</v>
      </c>
      <c r="B763" s="13" t="s">
        <v>2894</v>
      </c>
      <c r="C763" s="13" t="s">
        <v>1267</v>
      </c>
      <c r="D763" s="174" t="s">
        <v>2261</v>
      </c>
      <c r="E763" s="175"/>
      <c r="F763" s="13" t="s">
        <v>2860</v>
      </c>
      <c r="G763" s="82">
        <v>1</v>
      </c>
      <c r="H763" s="62">
        <v>0</v>
      </c>
      <c r="I763" s="5"/>
    </row>
    <row r="764" spans="1:9" x14ac:dyDescent="0.2">
      <c r="A764" s="4" t="s">
        <v>455</v>
      </c>
      <c r="B764" s="13" t="s">
        <v>2894</v>
      </c>
      <c r="C764" s="13" t="s">
        <v>1268</v>
      </c>
      <c r="D764" s="174" t="s">
        <v>2262</v>
      </c>
      <c r="E764" s="175"/>
      <c r="F764" s="13" t="s">
        <v>2860</v>
      </c>
      <c r="G764" s="82">
        <v>1</v>
      </c>
      <c r="H764" s="62">
        <v>0</v>
      </c>
      <c r="I764" s="5"/>
    </row>
    <row r="765" spans="1:9" x14ac:dyDescent="0.2">
      <c r="A765" s="4" t="s">
        <v>456</v>
      </c>
      <c r="B765" s="13" t="s">
        <v>2894</v>
      </c>
      <c r="C765" s="13" t="s">
        <v>1269</v>
      </c>
      <c r="D765" s="174" t="s">
        <v>2263</v>
      </c>
      <c r="E765" s="175"/>
      <c r="F765" s="13" t="s">
        <v>2860</v>
      </c>
      <c r="G765" s="82">
        <v>1</v>
      </c>
      <c r="H765" s="62">
        <v>0</v>
      </c>
      <c r="I765" s="5"/>
    </row>
    <row r="766" spans="1:9" x14ac:dyDescent="0.2">
      <c r="A766" s="4" t="s">
        <v>457</v>
      </c>
      <c r="B766" s="13" t="s">
        <v>2894</v>
      </c>
      <c r="C766" s="13" t="s">
        <v>1270</v>
      </c>
      <c r="D766" s="174" t="s">
        <v>2264</v>
      </c>
      <c r="E766" s="175"/>
      <c r="F766" s="13" t="s">
        <v>2860</v>
      </c>
      <c r="G766" s="82">
        <v>1</v>
      </c>
      <c r="H766" s="62">
        <v>0</v>
      </c>
      <c r="I766" s="5"/>
    </row>
    <row r="767" spans="1:9" x14ac:dyDescent="0.2">
      <c r="A767" s="4" t="s">
        <v>458</v>
      </c>
      <c r="B767" s="13" t="s">
        <v>2894</v>
      </c>
      <c r="C767" s="13" t="s">
        <v>1271</v>
      </c>
      <c r="D767" s="174" t="s">
        <v>2238</v>
      </c>
      <c r="E767" s="175"/>
      <c r="F767" s="13" t="s">
        <v>2855</v>
      </c>
      <c r="G767" s="82">
        <v>1</v>
      </c>
      <c r="H767" s="62">
        <v>0</v>
      </c>
      <c r="I767" s="5"/>
    </row>
    <row r="768" spans="1:9" x14ac:dyDescent="0.2">
      <c r="A768" s="4" t="s">
        <v>459</v>
      </c>
      <c r="B768" s="13" t="s">
        <v>2894</v>
      </c>
      <c r="C768" s="13" t="s">
        <v>1272</v>
      </c>
      <c r="D768" s="174" t="s">
        <v>2266</v>
      </c>
      <c r="E768" s="175"/>
      <c r="F768" s="13" t="s">
        <v>2860</v>
      </c>
      <c r="G768" s="82">
        <v>1</v>
      </c>
      <c r="H768" s="62">
        <v>0</v>
      </c>
      <c r="I768" s="5"/>
    </row>
    <row r="769" spans="1:9" x14ac:dyDescent="0.2">
      <c r="A769" s="4" t="s">
        <v>460</v>
      </c>
      <c r="B769" s="13" t="s">
        <v>2894</v>
      </c>
      <c r="C769" s="13" t="s">
        <v>1273</v>
      </c>
      <c r="D769" s="174" t="s">
        <v>2257</v>
      </c>
      <c r="E769" s="175"/>
      <c r="F769" s="13" t="s">
        <v>2854</v>
      </c>
      <c r="G769" s="82">
        <v>1</v>
      </c>
      <c r="H769" s="62">
        <v>0</v>
      </c>
      <c r="I769" s="5"/>
    </row>
    <row r="770" spans="1:9" x14ac:dyDescent="0.2">
      <c r="A770" s="4" t="s">
        <v>461</v>
      </c>
      <c r="B770" s="13" t="s">
        <v>2894</v>
      </c>
      <c r="C770" s="13" t="s">
        <v>1274</v>
      </c>
      <c r="D770" s="174" t="s">
        <v>2259</v>
      </c>
      <c r="E770" s="175"/>
      <c r="F770" s="13" t="s">
        <v>2858</v>
      </c>
      <c r="G770" s="82">
        <v>5</v>
      </c>
      <c r="H770" s="62">
        <v>0</v>
      </c>
      <c r="I770" s="5"/>
    </row>
    <row r="771" spans="1:9" x14ac:dyDescent="0.2">
      <c r="A771" s="4" t="s">
        <v>462</v>
      </c>
      <c r="B771" s="13" t="s">
        <v>2894</v>
      </c>
      <c r="C771" s="13" t="s">
        <v>1275</v>
      </c>
      <c r="D771" s="174" t="s">
        <v>2260</v>
      </c>
      <c r="E771" s="175"/>
      <c r="F771" s="13" t="s">
        <v>2858</v>
      </c>
      <c r="G771" s="82">
        <v>5</v>
      </c>
      <c r="H771" s="62">
        <v>0</v>
      </c>
      <c r="I771" s="5"/>
    </row>
    <row r="772" spans="1:9" x14ac:dyDescent="0.2">
      <c r="A772" s="4" t="s">
        <v>463</v>
      </c>
      <c r="B772" s="13" t="s">
        <v>2894</v>
      </c>
      <c r="C772" s="13" t="s">
        <v>1276</v>
      </c>
      <c r="D772" s="174" t="s">
        <v>2267</v>
      </c>
      <c r="E772" s="175"/>
      <c r="F772" s="13" t="s">
        <v>2860</v>
      </c>
      <c r="G772" s="82">
        <v>4</v>
      </c>
      <c r="H772" s="62">
        <v>0</v>
      </c>
      <c r="I772" s="5"/>
    </row>
    <row r="773" spans="1:9" x14ac:dyDescent="0.2">
      <c r="A773" s="4" t="s">
        <v>464</v>
      </c>
      <c r="B773" s="13" t="s">
        <v>2894</v>
      </c>
      <c r="C773" s="13" t="s">
        <v>1277</v>
      </c>
      <c r="D773" s="174" t="s">
        <v>2268</v>
      </c>
      <c r="E773" s="175"/>
      <c r="F773" s="13" t="s">
        <v>2860</v>
      </c>
      <c r="G773" s="82">
        <v>8</v>
      </c>
      <c r="H773" s="62">
        <v>0</v>
      </c>
      <c r="I773" s="5"/>
    </row>
    <row r="774" spans="1:9" x14ac:dyDescent="0.2">
      <c r="A774" s="4" t="s">
        <v>465</v>
      </c>
      <c r="B774" s="13" t="s">
        <v>2894</v>
      </c>
      <c r="C774" s="13" t="s">
        <v>1278</v>
      </c>
      <c r="D774" s="174" t="s">
        <v>2269</v>
      </c>
      <c r="E774" s="175"/>
      <c r="F774" s="13" t="s">
        <v>2863</v>
      </c>
      <c r="G774" s="82">
        <v>1</v>
      </c>
      <c r="H774" s="62">
        <v>0</v>
      </c>
      <c r="I774" s="5"/>
    </row>
    <row r="775" spans="1:9" x14ac:dyDescent="0.2">
      <c r="A775" s="4" t="s">
        <v>466</v>
      </c>
      <c r="B775" s="13" t="s">
        <v>2894</v>
      </c>
      <c r="C775" s="13" t="s">
        <v>1279</v>
      </c>
      <c r="D775" s="174" t="s">
        <v>2114</v>
      </c>
      <c r="E775" s="175"/>
      <c r="F775" s="13" t="s">
        <v>2862</v>
      </c>
      <c r="G775" s="82">
        <v>50</v>
      </c>
      <c r="H775" s="62">
        <v>0</v>
      </c>
      <c r="I775" s="5"/>
    </row>
    <row r="776" spans="1:9" x14ac:dyDescent="0.2">
      <c r="A776" s="4" t="s">
        <v>467</v>
      </c>
      <c r="B776" s="13" t="s">
        <v>2894</v>
      </c>
      <c r="C776" s="13" t="s">
        <v>1280</v>
      </c>
      <c r="D776" s="174" t="s">
        <v>2270</v>
      </c>
      <c r="E776" s="175"/>
      <c r="F776" s="13" t="s">
        <v>2861</v>
      </c>
      <c r="G776" s="82">
        <v>1</v>
      </c>
      <c r="H776" s="62">
        <v>0</v>
      </c>
      <c r="I776" s="5"/>
    </row>
    <row r="777" spans="1:9" x14ac:dyDescent="0.2">
      <c r="A777" s="4" t="s">
        <v>468</v>
      </c>
      <c r="B777" s="13" t="s">
        <v>2894</v>
      </c>
      <c r="C777" s="13" t="s">
        <v>1281</v>
      </c>
      <c r="D777" s="174" t="s">
        <v>2271</v>
      </c>
      <c r="E777" s="175"/>
      <c r="F777" s="13" t="s">
        <v>2861</v>
      </c>
      <c r="G777" s="82">
        <v>1</v>
      </c>
      <c r="H777" s="62">
        <v>0</v>
      </c>
      <c r="I777" s="5"/>
    </row>
    <row r="778" spans="1:9" x14ac:dyDescent="0.2">
      <c r="A778" s="4" t="s">
        <v>469</v>
      </c>
      <c r="B778" s="13" t="s">
        <v>2894</v>
      </c>
      <c r="C778" s="13" t="s">
        <v>1282</v>
      </c>
      <c r="D778" s="174" t="s">
        <v>2272</v>
      </c>
      <c r="E778" s="175"/>
      <c r="F778" s="13" t="s">
        <v>2861</v>
      </c>
      <c r="G778" s="82">
        <v>1</v>
      </c>
      <c r="H778" s="62">
        <v>0</v>
      </c>
      <c r="I778" s="5"/>
    </row>
    <row r="779" spans="1:9" x14ac:dyDescent="0.2">
      <c r="A779" s="4" t="s">
        <v>470</v>
      </c>
      <c r="B779" s="13" t="s">
        <v>2894</v>
      </c>
      <c r="C779" s="13" t="s">
        <v>1283</v>
      </c>
      <c r="D779" s="174" t="s">
        <v>2273</v>
      </c>
      <c r="E779" s="175"/>
      <c r="F779" s="13" t="s">
        <v>2861</v>
      </c>
      <c r="G779" s="82">
        <v>1</v>
      </c>
      <c r="H779" s="62">
        <v>0</v>
      </c>
      <c r="I779" s="5"/>
    </row>
    <row r="780" spans="1:9" x14ac:dyDescent="0.2">
      <c r="A780" s="4" t="s">
        <v>471</v>
      </c>
      <c r="B780" s="13" t="s">
        <v>2894</v>
      </c>
      <c r="C780" s="13" t="s">
        <v>1284</v>
      </c>
      <c r="D780" s="174" t="s">
        <v>2274</v>
      </c>
      <c r="E780" s="175"/>
      <c r="F780" s="13" t="s">
        <v>2862</v>
      </c>
      <c r="G780" s="82">
        <v>70</v>
      </c>
      <c r="H780" s="62">
        <v>0</v>
      </c>
      <c r="I780" s="5"/>
    </row>
    <row r="781" spans="1:9" x14ac:dyDescent="0.2">
      <c r="A781" s="4" t="s">
        <v>472</v>
      </c>
      <c r="B781" s="13" t="s">
        <v>2894</v>
      </c>
      <c r="C781" s="13" t="s">
        <v>1285</v>
      </c>
      <c r="D781" s="174" t="s">
        <v>2220</v>
      </c>
      <c r="E781" s="175"/>
      <c r="F781" s="13" t="s">
        <v>2860</v>
      </c>
      <c r="G781" s="82">
        <v>1</v>
      </c>
      <c r="H781" s="62">
        <v>0</v>
      </c>
      <c r="I781" s="5"/>
    </row>
    <row r="782" spans="1:9" x14ac:dyDescent="0.2">
      <c r="A782" s="4" t="s">
        <v>473</v>
      </c>
      <c r="B782" s="13" t="s">
        <v>2894</v>
      </c>
      <c r="C782" s="13" t="s">
        <v>1286</v>
      </c>
      <c r="D782" s="174" t="s">
        <v>2276</v>
      </c>
      <c r="E782" s="175"/>
      <c r="F782" s="13" t="s">
        <v>2862</v>
      </c>
      <c r="G782" s="82">
        <v>30</v>
      </c>
      <c r="H782" s="62">
        <v>0</v>
      </c>
      <c r="I782" s="5"/>
    </row>
    <row r="783" spans="1:9" x14ac:dyDescent="0.2">
      <c r="A783" s="4" t="s">
        <v>474</v>
      </c>
      <c r="B783" s="13" t="s">
        <v>2894</v>
      </c>
      <c r="C783" s="13" t="s">
        <v>1287</v>
      </c>
      <c r="D783" s="174" t="s">
        <v>2277</v>
      </c>
      <c r="E783" s="175"/>
      <c r="F783" s="13" t="s">
        <v>2861</v>
      </c>
      <c r="G783" s="82">
        <v>1</v>
      </c>
      <c r="H783" s="62">
        <v>0</v>
      </c>
      <c r="I783" s="5"/>
    </row>
    <row r="784" spans="1:9" x14ac:dyDescent="0.2">
      <c r="A784" s="4" t="s">
        <v>475</v>
      </c>
      <c r="B784" s="13" t="s">
        <v>2894</v>
      </c>
      <c r="C784" s="13" t="s">
        <v>1288</v>
      </c>
      <c r="D784" s="174" t="s">
        <v>2120</v>
      </c>
      <c r="E784" s="175"/>
      <c r="F784" s="13" t="s">
        <v>2862</v>
      </c>
      <c r="G784" s="82">
        <v>25</v>
      </c>
      <c r="H784" s="62">
        <v>0</v>
      </c>
      <c r="I784" s="5"/>
    </row>
    <row r="785" spans="1:9" x14ac:dyDescent="0.2">
      <c r="A785" s="4" t="s">
        <v>476</v>
      </c>
      <c r="B785" s="13" t="s">
        <v>2894</v>
      </c>
      <c r="C785" s="13" t="s">
        <v>1289</v>
      </c>
      <c r="D785" s="174" t="s">
        <v>2121</v>
      </c>
      <c r="E785" s="175"/>
      <c r="F785" s="13" t="s">
        <v>2861</v>
      </c>
      <c r="G785" s="82">
        <v>1</v>
      </c>
      <c r="H785" s="62">
        <v>0</v>
      </c>
      <c r="I785" s="5"/>
    </row>
    <row r="786" spans="1:9" x14ac:dyDescent="0.2">
      <c r="A786" s="4" t="s">
        <v>477</v>
      </c>
      <c r="B786" s="13" t="s">
        <v>2894</v>
      </c>
      <c r="C786" s="13" t="s">
        <v>1290</v>
      </c>
      <c r="D786" s="174" t="s">
        <v>2122</v>
      </c>
      <c r="E786" s="175"/>
      <c r="F786" s="13" t="s">
        <v>2860</v>
      </c>
      <c r="G786" s="82">
        <v>1</v>
      </c>
      <c r="H786" s="62">
        <v>0</v>
      </c>
      <c r="I786" s="5"/>
    </row>
    <row r="787" spans="1:9" x14ac:dyDescent="0.2">
      <c r="A787" s="4" t="s">
        <v>478</v>
      </c>
      <c r="B787" s="13" t="s">
        <v>2894</v>
      </c>
      <c r="C787" s="13" t="s">
        <v>1291</v>
      </c>
      <c r="D787" s="174" t="s">
        <v>2123</v>
      </c>
      <c r="E787" s="175"/>
      <c r="F787" s="13" t="s">
        <v>2861</v>
      </c>
      <c r="G787" s="82">
        <v>1</v>
      </c>
      <c r="H787" s="62">
        <v>0</v>
      </c>
      <c r="I787" s="5"/>
    </row>
    <row r="788" spans="1:9" x14ac:dyDescent="0.2">
      <c r="A788" s="4" t="s">
        <v>479</v>
      </c>
      <c r="B788" s="13" t="s">
        <v>2894</v>
      </c>
      <c r="C788" s="13" t="s">
        <v>1292</v>
      </c>
      <c r="D788" s="174" t="s">
        <v>2279</v>
      </c>
      <c r="E788" s="175"/>
      <c r="F788" s="13" t="s">
        <v>2855</v>
      </c>
      <c r="G788" s="82">
        <v>180</v>
      </c>
      <c r="H788" s="62">
        <v>0</v>
      </c>
      <c r="I788" s="5"/>
    </row>
    <row r="789" spans="1:9" x14ac:dyDescent="0.2">
      <c r="A789" s="4" t="s">
        <v>480</v>
      </c>
      <c r="B789" s="13" t="s">
        <v>2894</v>
      </c>
      <c r="C789" s="13" t="s">
        <v>1293</v>
      </c>
      <c r="D789" s="174" t="s">
        <v>2281</v>
      </c>
      <c r="E789" s="175"/>
      <c r="F789" s="13" t="s">
        <v>2855</v>
      </c>
      <c r="G789" s="82">
        <v>120</v>
      </c>
      <c r="H789" s="62">
        <v>0</v>
      </c>
      <c r="I789" s="5"/>
    </row>
    <row r="790" spans="1:9" x14ac:dyDescent="0.2">
      <c r="A790" s="4" t="s">
        <v>481</v>
      </c>
      <c r="B790" s="13" t="s">
        <v>2894</v>
      </c>
      <c r="C790" s="13" t="s">
        <v>1294</v>
      </c>
      <c r="D790" s="174" t="s">
        <v>2282</v>
      </c>
      <c r="E790" s="175"/>
      <c r="F790" s="13" t="s">
        <v>2855</v>
      </c>
      <c r="G790" s="82">
        <v>15</v>
      </c>
      <c r="H790" s="62">
        <v>0</v>
      </c>
      <c r="I790" s="5"/>
    </row>
    <row r="791" spans="1:9" x14ac:dyDescent="0.2">
      <c r="A791" s="4" t="s">
        <v>482</v>
      </c>
      <c r="B791" s="13" t="s">
        <v>2894</v>
      </c>
      <c r="C791" s="13" t="s">
        <v>1295</v>
      </c>
      <c r="D791" s="174" t="s">
        <v>2283</v>
      </c>
      <c r="E791" s="175"/>
      <c r="F791" s="13" t="s">
        <v>2855</v>
      </c>
      <c r="G791" s="82">
        <v>15</v>
      </c>
      <c r="H791" s="62">
        <v>0</v>
      </c>
      <c r="I791" s="5"/>
    </row>
    <row r="792" spans="1:9" x14ac:dyDescent="0.2">
      <c r="A792" s="4" t="s">
        <v>483</v>
      </c>
      <c r="B792" s="13" t="s">
        <v>2894</v>
      </c>
      <c r="C792" s="13" t="s">
        <v>1296</v>
      </c>
      <c r="D792" s="174" t="s">
        <v>2285</v>
      </c>
      <c r="E792" s="175"/>
      <c r="F792" s="13" t="s">
        <v>2855</v>
      </c>
      <c r="G792" s="82">
        <v>180</v>
      </c>
      <c r="H792" s="62">
        <v>0</v>
      </c>
      <c r="I792" s="5"/>
    </row>
    <row r="793" spans="1:9" x14ac:dyDescent="0.2">
      <c r="A793" s="4" t="s">
        <v>484</v>
      </c>
      <c r="B793" s="13" t="s">
        <v>2894</v>
      </c>
      <c r="C793" s="13" t="s">
        <v>1297</v>
      </c>
      <c r="D793" s="174" t="s">
        <v>2287</v>
      </c>
      <c r="E793" s="175"/>
      <c r="F793" s="13" t="s">
        <v>2855</v>
      </c>
      <c r="G793" s="82">
        <v>120</v>
      </c>
      <c r="H793" s="62">
        <v>0</v>
      </c>
      <c r="I793" s="5"/>
    </row>
    <row r="794" spans="1:9" x14ac:dyDescent="0.2">
      <c r="A794" s="4" t="s">
        <v>485</v>
      </c>
      <c r="B794" s="13" t="s">
        <v>2894</v>
      </c>
      <c r="C794" s="13" t="s">
        <v>1298</v>
      </c>
      <c r="D794" s="174" t="s">
        <v>2288</v>
      </c>
      <c r="E794" s="175"/>
      <c r="F794" s="13" t="s">
        <v>2860</v>
      </c>
      <c r="G794" s="82">
        <v>1</v>
      </c>
      <c r="H794" s="62">
        <v>0</v>
      </c>
      <c r="I794" s="5"/>
    </row>
    <row r="795" spans="1:9" x14ac:dyDescent="0.2">
      <c r="A795" s="4" t="s">
        <v>486</v>
      </c>
      <c r="B795" s="13" t="s">
        <v>2894</v>
      </c>
      <c r="C795" s="13" t="s">
        <v>1299</v>
      </c>
      <c r="D795" s="174" t="s">
        <v>2290</v>
      </c>
      <c r="E795" s="175"/>
      <c r="F795" s="13" t="s">
        <v>2860</v>
      </c>
      <c r="G795" s="82">
        <v>2</v>
      </c>
      <c r="H795" s="62">
        <v>0</v>
      </c>
      <c r="I795" s="5"/>
    </row>
    <row r="796" spans="1:9" x14ac:dyDescent="0.2">
      <c r="A796" s="4" t="s">
        <v>487</v>
      </c>
      <c r="B796" s="13" t="s">
        <v>2894</v>
      </c>
      <c r="C796" s="13" t="s">
        <v>1300</v>
      </c>
      <c r="D796" s="174" t="s">
        <v>2292</v>
      </c>
      <c r="E796" s="175"/>
      <c r="F796" s="13" t="s">
        <v>2860</v>
      </c>
      <c r="G796" s="82">
        <v>2</v>
      </c>
      <c r="H796" s="62">
        <v>0</v>
      </c>
      <c r="I796" s="5"/>
    </row>
    <row r="797" spans="1:9" x14ac:dyDescent="0.2">
      <c r="A797" s="4" t="s">
        <v>488</v>
      </c>
      <c r="B797" s="13" t="s">
        <v>2894</v>
      </c>
      <c r="C797" s="13" t="s">
        <v>1301</v>
      </c>
      <c r="D797" s="174" t="s">
        <v>2293</v>
      </c>
      <c r="E797" s="175"/>
      <c r="F797" s="13" t="s">
        <v>2860</v>
      </c>
      <c r="G797" s="82">
        <v>1</v>
      </c>
      <c r="H797" s="62">
        <v>0</v>
      </c>
      <c r="I797" s="5"/>
    </row>
    <row r="798" spans="1:9" x14ac:dyDescent="0.2">
      <c r="A798" s="4" t="s">
        <v>489</v>
      </c>
      <c r="B798" s="13" t="s">
        <v>2894</v>
      </c>
      <c r="C798" s="13" t="s">
        <v>1302</v>
      </c>
      <c r="D798" s="174" t="s">
        <v>2294</v>
      </c>
      <c r="E798" s="175"/>
      <c r="F798" s="13" t="s">
        <v>2860</v>
      </c>
      <c r="G798" s="82">
        <v>7</v>
      </c>
      <c r="H798" s="62">
        <v>0</v>
      </c>
      <c r="I798" s="5"/>
    </row>
    <row r="799" spans="1:9" x14ac:dyDescent="0.2">
      <c r="A799" s="4" t="s">
        <v>490</v>
      </c>
      <c r="B799" s="13" t="s">
        <v>2894</v>
      </c>
      <c r="C799" s="13" t="s">
        <v>1303</v>
      </c>
      <c r="D799" s="174" t="s">
        <v>2295</v>
      </c>
      <c r="E799" s="175"/>
      <c r="F799" s="13" t="s">
        <v>2860</v>
      </c>
      <c r="G799" s="82">
        <v>2</v>
      </c>
      <c r="H799" s="62">
        <v>0</v>
      </c>
      <c r="I799" s="5"/>
    </row>
    <row r="800" spans="1:9" x14ac:dyDescent="0.2">
      <c r="A800" s="4" t="s">
        <v>491</v>
      </c>
      <c r="B800" s="13" t="s">
        <v>2894</v>
      </c>
      <c r="C800" s="13" t="s">
        <v>1304</v>
      </c>
      <c r="D800" s="174" t="s">
        <v>2296</v>
      </c>
      <c r="E800" s="175"/>
      <c r="F800" s="13" t="s">
        <v>2860</v>
      </c>
      <c r="G800" s="82">
        <v>2</v>
      </c>
      <c r="H800" s="62">
        <v>0</v>
      </c>
      <c r="I800" s="5"/>
    </row>
    <row r="801" spans="1:9" x14ac:dyDescent="0.2">
      <c r="A801" s="4" t="s">
        <v>492</v>
      </c>
      <c r="B801" s="13" t="s">
        <v>2894</v>
      </c>
      <c r="C801" s="13" t="s">
        <v>1305</v>
      </c>
      <c r="D801" s="174" t="s">
        <v>2297</v>
      </c>
      <c r="E801" s="175"/>
      <c r="F801" s="13" t="s">
        <v>2860</v>
      </c>
      <c r="G801" s="82">
        <v>1</v>
      </c>
      <c r="H801" s="62">
        <v>0</v>
      </c>
      <c r="I801" s="5"/>
    </row>
    <row r="802" spans="1:9" x14ac:dyDescent="0.2">
      <c r="A802" s="4" t="s">
        <v>493</v>
      </c>
      <c r="B802" s="13" t="s">
        <v>2894</v>
      </c>
      <c r="C802" s="13" t="s">
        <v>1306</v>
      </c>
      <c r="D802" s="174" t="s">
        <v>2298</v>
      </c>
      <c r="E802" s="175"/>
      <c r="F802" s="13" t="s">
        <v>2860</v>
      </c>
      <c r="G802" s="82">
        <v>6</v>
      </c>
      <c r="H802" s="62">
        <v>0</v>
      </c>
      <c r="I802" s="5"/>
    </row>
    <row r="803" spans="1:9" x14ac:dyDescent="0.2">
      <c r="A803" s="4" t="s">
        <v>494</v>
      </c>
      <c r="B803" s="13" t="s">
        <v>2894</v>
      </c>
      <c r="C803" s="13" t="s">
        <v>1307</v>
      </c>
      <c r="D803" s="174" t="s">
        <v>2299</v>
      </c>
      <c r="E803" s="175"/>
      <c r="F803" s="13" t="s">
        <v>2860</v>
      </c>
      <c r="G803" s="82">
        <v>1</v>
      </c>
      <c r="H803" s="62">
        <v>0</v>
      </c>
      <c r="I803" s="5"/>
    </row>
    <row r="804" spans="1:9" x14ac:dyDescent="0.2">
      <c r="A804" s="4" t="s">
        <v>495</v>
      </c>
      <c r="B804" s="13" t="s">
        <v>2894</v>
      </c>
      <c r="C804" s="13" t="s">
        <v>1308</v>
      </c>
      <c r="D804" s="174" t="s">
        <v>2300</v>
      </c>
      <c r="E804" s="175"/>
      <c r="F804" s="13" t="s">
        <v>2860</v>
      </c>
      <c r="G804" s="82">
        <v>25</v>
      </c>
      <c r="H804" s="62">
        <v>0</v>
      </c>
      <c r="I804" s="5"/>
    </row>
    <row r="805" spans="1:9" x14ac:dyDescent="0.2">
      <c r="A805" s="4" t="s">
        <v>496</v>
      </c>
      <c r="B805" s="13" t="s">
        <v>2894</v>
      </c>
      <c r="C805" s="13" t="s">
        <v>1309</v>
      </c>
      <c r="D805" s="174" t="s">
        <v>2301</v>
      </c>
      <c r="E805" s="175"/>
      <c r="F805" s="13" t="s">
        <v>2860</v>
      </c>
      <c r="G805" s="82">
        <v>24</v>
      </c>
      <c r="H805" s="62">
        <v>0</v>
      </c>
      <c r="I805" s="5"/>
    </row>
    <row r="806" spans="1:9" x14ac:dyDescent="0.2">
      <c r="A806" s="4" t="s">
        <v>497</v>
      </c>
      <c r="B806" s="13" t="s">
        <v>2894</v>
      </c>
      <c r="C806" s="13" t="s">
        <v>1310</v>
      </c>
      <c r="D806" s="174" t="s">
        <v>2302</v>
      </c>
      <c r="E806" s="175"/>
      <c r="F806" s="13" t="s">
        <v>2860</v>
      </c>
      <c r="G806" s="82">
        <v>1</v>
      </c>
      <c r="H806" s="62">
        <v>0</v>
      </c>
      <c r="I806" s="5"/>
    </row>
    <row r="807" spans="1:9" x14ac:dyDescent="0.2">
      <c r="A807" s="4" t="s">
        <v>498</v>
      </c>
      <c r="B807" s="13" t="s">
        <v>2894</v>
      </c>
      <c r="C807" s="13" t="s">
        <v>1311</v>
      </c>
      <c r="D807" s="174" t="s">
        <v>2303</v>
      </c>
      <c r="E807" s="175"/>
      <c r="F807" s="13" t="s">
        <v>2860</v>
      </c>
      <c r="G807" s="82">
        <v>25</v>
      </c>
      <c r="H807" s="62">
        <v>0</v>
      </c>
      <c r="I807" s="5"/>
    </row>
    <row r="808" spans="1:9" x14ac:dyDescent="0.2">
      <c r="A808" s="4" t="s">
        <v>499</v>
      </c>
      <c r="B808" s="13" t="s">
        <v>2894</v>
      </c>
      <c r="C808" s="13" t="s">
        <v>1312</v>
      </c>
      <c r="D808" s="174" t="s">
        <v>2304</v>
      </c>
      <c r="E808" s="175"/>
      <c r="F808" s="13" t="s">
        <v>2860</v>
      </c>
      <c r="G808" s="82">
        <v>25</v>
      </c>
      <c r="H808" s="62">
        <v>0</v>
      </c>
      <c r="I808" s="5"/>
    </row>
    <row r="809" spans="1:9" x14ac:dyDescent="0.2">
      <c r="A809" s="4" t="s">
        <v>500</v>
      </c>
      <c r="B809" s="13" t="s">
        <v>2894</v>
      </c>
      <c r="C809" s="13" t="s">
        <v>1313</v>
      </c>
      <c r="D809" s="174" t="s">
        <v>2305</v>
      </c>
      <c r="E809" s="175"/>
      <c r="F809" s="13" t="s">
        <v>2860</v>
      </c>
      <c r="G809" s="82">
        <v>25</v>
      </c>
      <c r="H809" s="62">
        <v>0</v>
      </c>
      <c r="I809" s="5"/>
    </row>
    <row r="810" spans="1:9" x14ac:dyDescent="0.2">
      <c r="A810" s="4" t="s">
        <v>501</v>
      </c>
      <c r="B810" s="13" t="s">
        <v>2894</v>
      </c>
      <c r="C810" s="13" t="s">
        <v>1314</v>
      </c>
      <c r="D810" s="174" t="s">
        <v>2306</v>
      </c>
      <c r="E810" s="175"/>
      <c r="F810" s="13" t="s">
        <v>2860</v>
      </c>
      <c r="G810" s="82">
        <v>25</v>
      </c>
      <c r="H810" s="62">
        <v>0</v>
      </c>
      <c r="I810" s="5"/>
    </row>
    <row r="811" spans="1:9" x14ac:dyDescent="0.2">
      <c r="A811" s="4" t="s">
        <v>502</v>
      </c>
      <c r="B811" s="13" t="s">
        <v>2894</v>
      </c>
      <c r="C811" s="13" t="s">
        <v>1315</v>
      </c>
      <c r="D811" s="174" t="s">
        <v>2307</v>
      </c>
      <c r="E811" s="175"/>
      <c r="F811" s="13" t="s">
        <v>2860</v>
      </c>
      <c r="G811" s="82">
        <v>2</v>
      </c>
      <c r="H811" s="62">
        <v>0</v>
      </c>
      <c r="I811" s="5"/>
    </row>
    <row r="812" spans="1:9" x14ac:dyDescent="0.2">
      <c r="A812" s="4" t="s">
        <v>503</v>
      </c>
      <c r="B812" s="13" t="s">
        <v>2894</v>
      </c>
      <c r="C812" s="13" t="s">
        <v>1316</v>
      </c>
      <c r="D812" s="174" t="s">
        <v>2309</v>
      </c>
      <c r="E812" s="175"/>
      <c r="F812" s="13" t="s">
        <v>2860</v>
      </c>
      <c r="G812" s="82">
        <v>1</v>
      </c>
      <c r="H812" s="62">
        <v>0</v>
      </c>
      <c r="I812" s="5"/>
    </row>
    <row r="813" spans="1:9" x14ac:dyDescent="0.2">
      <c r="A813" s="4" t="s">
        <v>504</v>
      </c>
      <c r="B813" s="13" t="s">
        <v>2894</v>
      </c>
      <c r="C813" s="13" t="s">
        <v>1317</v>
      </c>
      <c r="D813" s="174" t="s">
        <v>2310</v>
      </c>
      <c r="E813" s="175"/>
      <c r="F813" s="13" t="s">
        <v>2860</v>
      </c>
      <c r="G813" s="82">
        <v>1</v>
      </c>
      <c r="H813" s="62">
        <v>0</v>
      </c>
      <c r="I813" s="5"/>
    </row>
    <row r="814" spans="1:9" x14ac:dyDescent="0.2">
      <c r="A814" s="4" t="s">
        <v>505</v>
      </c>
      <c r="B814" s="13" t="s">
        <v>2894</v>
      </c>
      <c r="C814" s="13" t="s">
        <v>1318</v>
      </c>
      <c r="D814" s="174" t="s">
        <v>2311</v>
      </c>
      <c r="E814" s="175"/>
      <c r="F814" s="13" t="s">
        <v>2861</v>
      </c>
      <c r="G814" s="82">
        <v>1</v>
      </c>
      <c r="H814" s="62">
        <v>0</v>
      </c>
      <c r="I814" s="5"/>
    </row>
    <row r="815" spans="1:9" x14ac:dyDescent="0.2">
      <c r="A815" s="4" t="s">
        <v>506</v>
      </c>
      <c r="B815" s="13" t="s">
        <v>2894</v>
      </c>
      <c r="C815" s="13" t="s">
        <v>1319</v>
      </c>
      <c r="D815" s="174" t="s">
        <v>2313</v>
      </c>
      <c r="E815" s="175"/>
      <c r="F815" s="13" t="s">
        <v>2861</v>
      </c>
      <c r="G815" s="82">
        <v>1</v>
      </c>
      <c r="H815" s="62">
        <v>0</v>
      </c>
      <c r="I815" s="5"/>
    </row>
    <row r="816" spans="1:9" x14ac:dyDescent="0.2">
      <c r="A816" s="4" t="s">
        <v>507</v>
      </c>
      <c r="B816" s="13" t="s">
        <v>2894</v>
      </c>
      <c r="C816" s="13" t="s">
        <v>1320</v>
      </c>
      <c r="D816" s="174" t="s">
        <v>2314</v>
      </c>
      <c r="E816" s="175"/>
      <c r="F816" s="13" t="s">
        <v>2855</v>
      </c>
      <c r="G816" s="82">
        <v>5</v>
      </c>
      <c r="H816" s="62">
        <v>0</v>
      </c>
      <c r="I816" s="5"/>
    </row>
    <row r="817" spans="1:9" x14ac:dyDescent="0.2">
      <c r="A817" s="4" t="s">
        <v>508</v>
      </c>
      <c r="B817" s="13" t="s">
        <v>2894</v>
      </c>
      <c r="C817" s="13" t="s">
        <v>1321</v>
      </c>
      <c r="D817" s="174" t="s">
        <v>2315</v>
      </c>
      <c r="E817" s="175"/>
      <c r="F817" s="13" t="s">
        <v>2861</v>
      </c>
      <c r="G817" s="82">
        <v>1</v>
      </c>
      <c r="H817" s="62">
        <v>0</v>
      </c>
      <c r="I817" s="5"/>
    </row>
    <row r="818" spans="1:9" x14ac:dyDescent="0.2">
      <c r="A818" s="4" t="s">
        <v>509</v>
      </c>
      <c r="B818" s="13" t="s">
        <v>2894</v>
      </c>
      <c r="C818" s="13" t="s">
        <v>1322</v>
      </c>
      <c r="D818" s="174" t="s">
        <v>2316</v>
      </c>
      <c r="E818" s="175"/>
      <c r="F818" s="13" t="s">
        <v>2861</v>
      </c>
      <c r="G818" s="82">
        <v>1</v>
      </c>
      <c r="H818" s="62">
        <v>0</v>
      </c>
      <c r="I818" s="5"/>
    </row>
    <row r="819" spans="1:9" x14ac:dyDescent="0.2">
      <c r="A819" s="4" t="s">
        <v>510</v>
      </c>
      <c r="B819" s="13" t="s">
        <v>2894</v>
      </c>
      <c r="C819" s="13" t="s">
        <v>1323</v>
      </c>
      <c r="D819" s="174" t="s">
        <v>2317</v>
      </c>
      <c r="E819" s="175"/>
      <c r="F819" s="13" t="s">
        <v>2861</v>
      </c>
      <c r="G819" s="82">
        <v>1</v>
      </c>
      <c r="H819" s="62">
        <v>0</v>
      </c>
      <c r="I819" s="5"/>
    </row>
    <row r="820" spans="1:9" x14ac:dyDescent="0.2">
      <c r="A820" s="4" t="s">
        <v>511</v>
      </c>
      <c r="B820" s="13" t="s">
        <v>2894</v>
      </c>
      <c r="C820" s="13" t="s">
        <v>1324</v>
      </c>
      <c r="D820" s="174" t="s">
        <v>2318</v>
      </c>
      <c r="E820" s="175"/>
      <c r="F820" s="13" t="s">
        <v>2861</v>
      </c>
      <c r="G820" s="82">
        <v>1</v>
      </c>
      <c r="H820" s="62">
        <v>0</v>
      </c>
      <c r="I820" s="5"/>
    </row>
    <row r="821" spans="1:9" x14ac:dyDescent="0.2">
      <c r="A821" s="4" t="s">
        <v>512</v>
      </c>
      <c r="B821" s="13" t="s">
        <v>2894</v>
      </c>
      <c r="C821" s="13" t="s">
        <v>1325</v>
      </c>
      <c r="D821" s="174" t="s">
        <v>2319</v>
      </c>
      <c r="E821" s="175"/>
      <c r="F821" s="13" t="s">
        <v>2861</v>
      </c>
      <c r="G821" s="82">
        <v>1</v>
      </c>
      <c r="H821" s="62">
        <v>0</v>
      </c>
      <c r="I821" s="5"/>
    </row>
    <row r="822" spans="1:9" x14ac:dyDescent="0.2">
      <c r="A822" s="4" t="s">
        <v>513</v>
      </c>
      <c r="B822" s="13" t="s">
        <v>2894</v>
      </c>
      <c r="C822" s="13" t="s">
        <v>1326</v>
      </c>
      <c r="D822" s="174" t="s">
        <v>2320</v>
      </c>
      <c r="E822" s="175"/>
      <c r="F822" s="13" t="s">
        <v>2861</v>
      </c>
      <c r="G822" s="82">
        <v>1</v>
      </c>
      <c r="H822" s="62">
        <v>0</v>
      </c>
      <c r="I822" s="5"/>
    </row>
    <row r="823" spans="1:9" x14ac:dyDescent="0.2">
      <c r="A823" s="4" t="s">
        <v>514</v>
      </c>
      <c r="B823" s="13" t="s">
        <v>2894</v>
      </c>
      <c r="C823" s="13" t="s">
        <v>1327</v>
      </c>
      <c r="D823" s="174" t="s">
        <v>2321</v>
      </c>
      <c r="E823" s="175"/>
      <c r="F823" s="13" t="s">
        <v>2861</v>
      </c>
      <c r="G823" s="82">
        <v>1</v>
      </c>
      <c r="H823" s="62">
        <v>0</v>
      </c>
      <c r="I823" s="5"/>
    </row>
    <row r="824" spans="1:9" x14ac:dyDescent="0.2">
      <c r="A824" s="4" t="s">
        <v>515</v>
      </c>
      <c r="B824" s="13" t="s">
        <v>2894</v>
      </c>
      <c r="C824" s="13" t="s">
        <v>1328</v>
      </c>
      <c r="D824" s="174" t="s">
        <v>2322</v>
      </c>
      <c r="E824" s="175"/>
      <c r="F824" s="13" t="s">
        <v>2861</v>
      </c>
      <c r="G824" s="82">
        <v>1</v>
      </c>
      <c r="H824" s="62">
        <v>0</v>
      </c>
      <c r="I824" s="5"/>
    </row>
    <row r="825" spans="1:9" x14ac:dyDescent="0.2">
      <c r="A825" s="4" t="s">
        <v>516</v>
      </c>
      <c r="B825" s="13" t="s">
        <v>2894</v>
      </c>
      <c r="C825" s="13" t="s">
        <v>1329</v>
      </c>
      <c r="D825" s="174" t="s">
        <v>2323</v>
      </c>
      <c r="E825" s="175"/>
      <c r="F825" s="13" t="s">
        <v>2861</v>
      </c>
      <c r="G825" s="82">
        <v>1</v>
      </c>
      <c r="H825" s="62">
        <v>0</v>
      </c>
      <c r="I825" s="5"/>
    </row>
    <row r="826" spans="1:9" x14ac:dyDescent="0.2">
      <c r="A826" s="4" t="s">
        <v>517</v>
      </c>
      <c r="B826" s="13" t="s">
        <v>2894</v>
      </c>
      <c r="C826" s="13" t="s">
        <v>1330</v>
      </c>
      <c r="D826" s="174" t="s">
        <v>2122</v>
      </c>
      <c r="E826" s="175"/>
      <c r="F826" s="13" t="s">
        <v>2861</v>
      </c>
      <c r="G826" s="82">
        <v>1</v>
      </c>
      <c r="H826" s="62">
        <v>0</v>
      </c>
      <c r="I826" s="5"/>
    </row>
    <row r="827" spans="1:9" x14ac:dyDescent="0.2">
      <c r="A827" s="4" t="s">
        <v>518</v>
      </c>
      <c r="B827" s="13" t="s">
        <v>2894</v>
      </c>
      <c r="C827" s="13" t="s">
        <v>1331</v>
      </c>
      <c r="D827" s="174" t="s">
        <v>2324</v>
      </c>
      <c r="E827" s="175"/>
      <c r="F827" s="13" t="s">
        <v>2862</v>
      </c>
      <c r="G827" s="82">
        <v>20</v>
      </c>
      <c r="H827" s="62">
        <v>0</v>
      </c>
      <c r="I827" s="5"/>
    </row>
    <row r="828" spans="1:9" x14ac:dyDescent="0.2">
      <c r="A828" s="4" t="s">
        <v>519</v>
      </c>
      <c r="B828" s="13" t="s">
        <v>2894</v>
      </c>
      <c r="C828" s="13" t="s">
        <v>1332</v>
      </c>
      <c r="D828" s="174" t="s">
        <v>2326</v>
      </c>
      <c r="E828" s="175"/>
      <c r="F828" s="13" t="s">
        <v>2862</v>
      </c>
      <c r="G828" s="82">
        <v>40</v>
      </c>
      <c r="H828" s="62">
        <v>0</v>
      </c>
      <c r="I828" s="5"/>
    </row>
    <row r="829" spans="1:9" x14ac:dyDescent="0.2">
      <c r="A829" s="4" t="s">
        <v>520</v>
      </c>
      <c r="B829" s="13" t="s">
        <v>2894</v>
      </c>
      <c r="C829" s="13" t="s">
        <v>1333</v>
      </c>
      <c r="D829" s="174" t="s">
        <v>2327</v>
      </c>
      <c r="E829" s="175"/>
      <c r="F829" s="13" t="s">
        <v>2861</v>
      </c>
      <c r="G829" s="82">
        <v>1</v>
      </c>
      <c r="H829" s="62">
        <v>0</v>
      </c>
      <c r="I829" s="5"/>
    </row>
    <row r="830" spans="1:9" x14ac:dyDescent="0.2">
      <c r="A830" s="4" t="s">
        <v>521</v>
      </c>
      <c r="B830" s="13" t="s">
        <v>2894</v>
      </c>
      <c r="C830" s="13" t="s">
        <v>1334</v>
      </c>
      <c r="D830" s="174" t="s">
        <v>2328</v>
      </c>
      <c r="E830" s="175"/>
      <c r="F830" s="13" t="s">
        <v>2860</v>
      </c>
      <c r="G830" s="82">
        <v>5</v>
      </c>
      <c r="H830" s="62">
        <v>0</v>
      </c>
      <c r="I830" s="5"/>
    </row>
    <row r="831" spans="1:9" x14ac:dyDescent="0.2">
      <c r="A831" s="4" t="s">
        <v>522</v>
      </c>
      <c r="B831" s="13" t="s">
        <v>2894</v>
      </c>
      <c r="C831" s="13" t="s">
        <v>1335</v>
      </c>
      <c r="D831" s="174" t="s">
        <v>2329</v>
      </c>
      <c r="E831" s="175"/>
      <c r="F831" s="13" t="s">
        <v>2860</v>
      </c>
      <c r="G831" s="82">
        <v>10</v>
      </c>
      <c r="H831" s="62">
        <v>0</v>
      </c>
      <c r="I831" s="5"/>
    </row>
    <row r="832" spans="1:9" x14ac:dyDescent="0.2">
      <c r="A832" s="4" t="s">
        <v>523</v>
      </c>
      <c r="B832" s="13" t="s">
        <v>2894</v>
      </c>
      <c r="C832" s="13" t="s">
        <v>1336</v>
      </c>
      <c r="D832" s="174" t="s">
        <v>2114</v>
      </c>
      <c r="E832" s="175"/>
      <c r="F832" s="13" t="s">
        <v>2862</v>
      </c>
      <c r="G832" s="82">
        <v>50</v>
      </c>
      <c r="H832" s="62">
        <v>0</v>
      </c>
      <c r="I832" s="5"/>
    </row>
    <row r="833" spans="1:9" x14ac:dyDescent="0.2">
      <c r="A833" s="4" t="s">
        <v>524</v>
      </c>
      <c r="B833" s="13" t="s">
        <v>2894</v>
      </c>
      <c r="C833" s="13" t="s">
        <v>1337</v>
      </c>
      <c r="D833" s="174" t="s">
        <v>2330</v>
      </c>
      <c r="E833" s="175"/>
      <c r="F833" s="13" t="s">
        <v>2860</v>
      </c>
      <c r="G833" s="82">
        <v>10</v>
      </c>
      <c r="H833" s="62">
        <v>0</v>
      </c>
      <c r="I833" s="5"/>
    </row>
    <row r="834" spans="1:9" x14ac:dyDescent="0.2">
      <c r="A834" s="4" t="s">
        <v>525</v>
      </c>
      <c r="B834" s="13" t="s">
        <v>2894</v>
      </c>
      <c r="C834" s="13" t="s">
        <v>1338</v>
      </c>
      <c r="D834" s="174" t="s">
        <v>2331</v>
      </c>
      <c r="E834" s="175"/>
      <c r="F834" s="13" t="s">
        <v>2861</v>
      </c>
      <c r="G834" s="82">
        <v>1</v>
      </c>
      <c r="H834" s="62">
        <v>0</v>
      </c>
      <c r="I834" s="5"/>
    </row>
    <row r="835" spans="1:9" x14ac:dyDescent="0.2">
      <c r="A835" s="4" t="s">
        <v>526</v>
      </c>
      <c r="B835" s="13" t="s">
        <v>2894</v>
      </c>
      <c r="C835" s="13" t="s">
        <v>1339</v>
      </c>
      <c r="D835" s="174" t="s">
        <v>2332</v>
      </c>
      <c r="E835" s="175"/>
      <c r="F835" s="13" t="s">
        <v>2861</v>
      </c>
      <c r="G835" s="82">
        <v>1</v>
      </c>
      <c r="H835" s="62">
        <v>0</v>
      </c>
      <c r="I835" s="5"/>
    </row>
    <row r="836" spans="1:9" x14ac:dyDescent="0.2">
      <c r="A836" s="4" t="s">
        <v>527</v>
      </c>
      <c r="B836" s="13" t="s">
        <v>2894</v>
      </c>
      <c r="C836" s="13" t="s">
        <v>1340</v>
      </c>
      <c r="D836" s="174" t="s">
        <v>2333</v>
      </c>
      <c r="E836" s="175"/>
      <c r="F836" s="13" t="s">
        <v>2861</v>
      </c>
      <c r="G836" s="82">
        <v>1</v>
      </c>
      <c r="H836" s="62">
        <v>0</v>
      </c>
      <c r="I836" s="5"/>
    </row>
    <row r="837" spans="1:9" x14ac:dyDescent="0.2">
      <c r="A837" s="4" t="s">
        <v>528</v>
      </c>
      <c r="B837" s="13" t="s">
        <v>2894</v>
      </c>
      <c r="C837" s="13" t="s">
        <v>1341</v>
      </c>
      <c r="D837" s="174" t="s">
        <v>2334</v>
      </c>
      <c r="E837" s="175"/>
      <c r="F837" s="13" t="s">
        <v>2861</v>
      </c>
      <c r="G837" s="82">
        <v>1</v>
      </c>
      <c r="H837" s="62">
        <v>0</v>
      </c>
      <c r="I837" s="5"/>
    </row>
    <row r="838" spans="1:9" x14ac:dyDescent="0.2">
      <c r="A838" s="4" t="s">
        <v>529</v>
      </c>
      <c r="B838" s="13" t="s">
        <v>2894</v>
      </c>
      <c r="C838" s="13" t="s">
        <v>1342</v>
      </c>
      <c r="D838" s="174" t="s">
        <v>2335</v>
      </c>
      <c r="E838" s="175"/>
      <c r="F838" s="13" t="s">
        <v>2860</v>
      </c>
      <c r="G838" s="82">
        <v>2</v>
      </c>
      <c r="H838" s="62">
        <v>0</v>
      </c>
      <c r="I838" s="5"/>
    </row>
    <row r="839" spans="1:9" x14ac:dyDescent="0.2">
      <c r="A839" s="4" t="s">
        <v>530</v>
      </c>
      <c r="B839" s="13" t="s">
        <v>2894</v>
      </c>
      <c r="C839" s="13" t="s">
        <v>1343</v>
      </c>
      <c r="D839" s="174" t="s">
        <v>2336</v>
      </c>
      <c r="E839" s="175"/>
      <c r="F839" s="13" t="s">
        <v>2861</v>
      </c>
      <c r="G839" s="82">
        <v>1</v>
      </c>
      <c r="H839" s="62">
        <v>0</v>
      </c>
      <c r="I839" s="5"/>
    </row>
    <row r="840" spans="1:9" x14ac:dyDescent="0.2">
      <c r="A840" s="4" t="s">
        <v>531</v>
      </c>
      <c r="B840" s="13" t="s">
        <v>2894</v>
      </c>
      <c r="C840" s="13" t="s">
        <v>1344</v>
      </c>
      <c r="D840" s="174" t="s">
        <v>2337</v>
      </c>
      <c r="E840" s="175"/>
      <c r="F840" s="13" t="s">
        <v>2861</v>
      </c>
      <c r="G840" s="82">
        <v>1</v>
      </c>
      <c r="H840" s="62">
        <v>0</v>
      </c>
      <c r="I840" s="5"/>
    </row>
    <row r="841" spans="1:9" x14ac:dyDescent="0.2">
      <c r="A841" s="4" t="s">
        <v>532</v>
      </c>
      <c r="B841" s="13" t="s">
        <v>2894</v>
      </c>
      <c r="C841" s="13" t="s">
        <v>1345</v>
      </c>
      <c r="D841" s="174" t="s">
        <v>2121</v>
      </c>
      <c r="E841" s="175"/>
      <c r="F841" s="13" t="s">
        <v>2861</v>
      </c>
      <c r="G841" s="82">
        <v>1</v>
      </c>
      <c r="H841" s="62">
        <v>0</v>
      </c>
      <c r="I841" s="5"/>
    </row>
    <row r="842" spans="1:9" x14ac:dyDescent="0.2">
      <c r="A842" s="4" t="s">
        <v>533</v>
      </c>
      <c r="B842" s="13" t="s">
        <v>2894</v>
      </c>
      <c r="C842" s="13" t="s">
        <v>1346</v>
      </c>
      <c r="D842" s="174" t="s">
        <v>2122</v>
      </c>
      <c r="E842" s="175"/>
      <c r="F842" s="13" t="s">
        <v>2860</v>
      </c>
      <c r="G842" s="82">
        <v>1</v>
      </c>
      <c r="H842" s="62">
        <v>0</v>
      </c>
      <c r="I842" s="5"/>
    </row>
    <row r="843" spans="1:9" x14ac:dyDescent="0.2">
      <c r="A843" s="4" t="s">
        <v>534</v>
      </c>
      <c r="B843" s="13" t="s">
        <v>2894</v>
      </c>
      <c r="C843" s="13" t="s">
        <v>1347</v>
      </c>
      <c r="D843" s="174" t="s">
        <v>2123</v>
      </c>
      <c r="E843" s="175"/>
      <c r="F843" s="13" t="s">
        <v>2861</v>
      </c>
      <c r="G843" s="82">
        <v>1</v>
      </c>
      <c r="H843" s="62">
        <v>0</v>
      </c>
      <c r="I843" s="5"/>
    </row>
    <row r="844" spans="1:9" x14ac:dyDescent="0.2">
      <c r="A844" s="4" t="s">
        <v>535</v>
      </c>
      <c r="B844" s="13" t="s">
        <v>2894</v>
      </c>
      <c r="C844" s="13" t="s">
        <v>1348</v>
      </c>
      <c r="D844" s="174" t="s">
        <v>2339</v>
      </c>
      <c r="E844" s="175"/>
      <c r="F844" s="13" t="s">
        <v>2855</v>
      </c>
      <c r="G844" s="82">
        <v>33.5</v>
      </c>
      <c r="H844" s="62">
        <v>0</v>
      </c>
      <c r="I844" s="5"/>
    </row>
    <row r="845" spans="1:9" ht="12.2" customHeight="1" x14ac:dyDescent="0.2">
      <c r="A845" s="5"/>
      <c r="D845" s="54" t="s">
        <v>3212</v>
      </c>
      <c r="E845" s="196"/>
      <c r="F845" s="197"/>
      <c r="G845" s="57">
        <v>33.5</v>
      </c>
      <c r="H845" s="63"/>
      <c r="I845" s="5"/>
    </row>
    <row r="846" spans="1:9" x14ac:dyDescent="0.2">
      <c r="A846" s="4" t="s">
        <v>536</v>
      </c>
      <c r="B846" s="13" t="s">
        <v>2894</v>
      </c>
      <c r="C846" s="13" t="s">
        <v>1349</v>
      </c>
      <c r="D846" s="174" t="s">
        <v>2340</v>
      </c>
      <c r="E846" s="175"/>
      <c r="F846" s="13" t="s">
        <v>2855</v>
      </c>
      <c r="G846" s="82">
        <v>92</v>
      </c>
      <c r="H846" s="62">
        <v>0</v>
      </c>
      <c r="I846" s="5"/>
    </row>
    <row r="847" spans="1:9" ht="12.2" customHeight="1" x14ac:dyDescent="0.2">
      <c r="A847" s="5"/>
      <c r="D847" s="54" t="s">
        <v>98</v>
      </c>
      <c r="E847" s="196"/>
      <c r="F847" s="197"/>
      <c r="G847" s="57">
        <v>92</v>
      </c>
      <c r="H847" s="63"/>
      <c r="I847" s="5"/>
    </row>
    <row r="848" spans="1:9" x14ac:dyDescent="0.2">
      <c r="A848" s="4" t="s">
        <v>537</v>
      </c>
      <c r="B848" s="13" t="s">
        <v>2894</v>
      </c>
      <c r="C848" s="13" t="s">
        <v>1350</v>
      </c>
      <c r="D848" s="174" t="s">
        <v>2341</v>
      </c>
      <c r="E848" s="175"/>
      <c r="F848" s="13" t="s">
        <v>2856</v>
      </c>
      <c r="G848" s="82">
        <v>0.51900000000000002</v>
      </c>
      <c r="H848" s="62">
        <v>0</v>
      </c>
      <c r="I848" s="5"/>
    </row>
    <row r="849" spans="1:9" ht="12.2" customHeight="1" x14ac:dyDescent="0.2">
      <c r="A849" s="5"/>
      <c r="D849" s="54" t="s">
        <v>3213</v>
      </c>
      <c r="E849" s="196"/>
      <c r="F849" s="197"/>
      <c r="G849" s="57">
        <v>0.51900000000000002</v>
      </c>
      <c r="H849" s="63"/>
      <c r="I849" s="5"/>
    </row>
    <row r="850" spans="1:9" x14ac:dyDescent="0.2">
      <c r="A850" s="4" t="s">
        <v>538</v>
      </c>
      <c r="B850" s="13" t="s">
        <v>2894</v>
      </c>
      <c r="C850" s="13" t="s">
        <v>1351</v>
      </c>
      <c r="D850" s="174" t="s">
        <v>2343</v>
      </c>
      <c r="E850" s="175"/>
      <c r="F850" s="13" t="s">
        <v>2855</v>
      </c>
      <c r="G850" s="82">
        <v>204.7</v>
      </c>
      <c r="H850" s="62">
        <v>0</v>
      </c>
      <c r="I850" s="5"/>
    </row>
    <row r="851" spans="1:9" ht="12.2" customHeight="1" x14ac:dyDescent="0.2">
      <c r="A851" s="5"/>
      <c r="D851" s="54" t="s">
        <v>3214</v>
      </c>
      <c r="E851" s="196"/>
      <c r="F851" s="197"/>
      <c r="G851" s="57">
        <v>204.7</v>
      </c>
      <c r="H851" s="63"/>
      <c r="I851" s="5"/>
    </row>
    <row r="852" spans="1:9" x14ac:dyDescent="0.2">
      <c r="A852" s="4" t="s">
        <v>539</v>
      </c>
      <c r="B852" s="13" t="s">
        <v>2894</v>
      </c>
      <c r="C852" s="13" t="s">
        <v>1352</v>
      </c>
      <c r="D852" s="174" t="s">
        <v>2344</v>
      </c>
      <c r="E852" s="175"/>
      <c r="F852" s="13" t="s">
        <v>2855</v>
      </c>
      <c r="G852" s="82">
        <v>33.5</v>
      </c>
      <c r="H852" s="62">
        <v>0</v>
      </c>
      <c r="I852" s="5"/>
    </row>
    <row r="853" spans="1:9" ht="12.2" customHeight="1" x14ac:dyDescent="0.2">
      <c r="A853" s="5"/>
      <c r="D853" s="54" t="s">
        <v>3215</v>
      </c>
      <c r="E853" s="196"/>
      <c r="F853" s="197"/>
      <c r="G853" s="57">
        <v>33.5</v>
      </c>
      <c r="H853" s="63"/>
      <c r="I853" s="5"/>
    </row>
    <row r="854" spans="1:9" x14ac:dyDescent="0.2">
      <c r="A854" s="4" t="s">
        <v>540</v>
      </c>
      <c r="B854" s="13" t="s">
        <v>2894</v>
      </c>
      <c r="C854" s="13" t="s">
        <v>1353</v>
      </c>
      <c r="D854" s="174" t="s">
        <v>2346</v>
      </c>
      <c r="E854" s="175"/>
      <c r="F854" s="13" t="s">
        <v>2852</v>
      </c>
      <c r="G854" s="82">
        <v>4</v>
      </c>
      <c r="H854" s="62">
        <v>0</v>
      </c>
      <c r="I854" s="5"/>
    </row>
    <row r="855" spans="1:9" ht="12.2" customHeight="1" x14ac:dyDescent="0.2">
      <c r="A855" s="5"/>
      <c r="D855" s="54" t="s">
        <v>3216</v>
      </c>
      <c r="E855" s="196"/>
      <c r="F855" s="197"/>
      <c r="G855" s="57">
        <v>4</v>
      </c>
      <c r="H855" s="63"/>
      <c r="I855" s="5"/>
    </row>
    <row r="856" spans="1:9" x14ac:dyDescent="0.2">
      <c r="A856" s="4" t="s">
        <v>541</v>
      </c>
      <c r="B856" s="13" t="s">
        <v>2894</v>
      </c>
      <c r="C856" s="13" t="s">
        <v>1354</v>
      </c>
      <c r="D856" s="174" t="s">
        <v>2347</v>
      </c>
      <c r="E856" s="175"/>
      <c r="F856" s="13" t="s">
        <v>2852</v>
      </c>
      <c r="G856" s="82">
        <v>1</v>
      </c>
      <c r="H856" s="62">
        <v>0</v>
      </c>
      <c r="I856" s="5"/>
    </row>
    <row r="857" spans="1:9" ht="12.2" customHeight="1" x14ac:dyDescent="0.2">
      <c r="A857" s="5"/>
      <c r="D857" s="54" t="s">
        <v>7</v>
      </c>
      <c r="E857" s="196"/>
      <c r="F857" s="197"/>
      <c r="G857" s="57">
        <v>1</v>
      </c>
      <c r="H857" s="63"/>
      <c r="I857" s="5"/>
    </row>
    <row r="858" spans="1:9" x14ac:dyDescent="0.2">
      <c r="A858" s="4" t="s">
        <v>542</v>
      </c>
      <c r="B858" s="13" t="s">
        <v>2894</v>
      </c>
      <c r="C858" s="13" t="s">
        <v>1355</v>
      </c>
      <c r="D858" s="174" t="s">
        <v>2348</v>
      </c>
      <c r="E858" s="175"/>
      <c r="F858" s="13" t="s">
        <v>2852</v>
      </c>
      <c r="G858" s="82">
        <v>2</v>
      </c>
      <c r="H858" s="62">
        <v>0</v>
      </c>
      <c r="I858" s="5"/>
    </row>
    <row r="859" spans="1:9" ht="12.2" customHeight="1" x14ac:dyDescent="0.2">
      <c r="A859" s="5"/>
      <c r="D859" s="54" t="s">
        <v>8</v>
      </c>
      <c r="E859" s="196"/>
      <c r="F859" s="197"/>
      <c r="G859" s="57">
        <v>2</v>
      </c>
      <c r="H859" s="63"/>
      <c r="I859" s="5"/>
    </row>
    <row r="860" spans="1:9" x14ac:dyDescent="0.2">
      <c r="A860" s="4" t="s">
        <v>543</v>
      </c>
      <c r="B860" s="13" t="s">
        <v>2894</v>
      </c>
      <c r="C860" s="13" t="s">
        <v>1356</v>
      </c>
      <c r="D860" s="174" t="s">
        <v>2349</v>
      </c>
      <c r="E860" s="175"/>
      <c r="F860" s="13" t="s">
        <v>2852</v>
      </c>
      <c r="G860" s="82">
        <v>13</v>
      </c>
      <c r="H860" s="62">
        <v>0</v>
      </c>
      <c r="I860" s="5"/>
    </row>
    <row r="861" spans="1:9" ht="12.2" customHeight="1" x14ac:dyDescent="0.2">
      <c r="A861" s="5"/>
      <c r="D861" s="54" t="s">
        <v>3217</v>
      </c>
      <c r="E861" s="196"/>
      <c r="F861" s="197"/>
      <c r="G861" s="57">
        <v>13</v>
      </c>
      <c r="H861" s="63"/>
      <c r="I861" s="5"/>
    </row>
    <row r="862" spans="1:9" x14ac:dyDescent="0.2">
      <c r="A862" s="4" t="s">
        <v>544</v>
      </c>
      <c r="B862" s="13" t="s">
        <v>2894</v>
      </c>
      <c r="C862" s="13" t="s">
        <v>1357</v>
      </c>
      <c r="D862" s="174" t="s">
        <v>2350</v>
      </c>
      <c r="E862" s="175"/>
      <c r="F862" s="13" t="s">
        <v>2852</v>
      </c>
      <c r="G862" s="82">
        <v>3</v>
      </c>
      <c r="H862" s="62">
        <v>0</v>
      </c>
      <c r="I862" s="5"/>
    </row>
    <row r="863" spans="1:9" ht="12.2" customHeight="1" x14ac:dyDescent="0.2">
      <c r="A863" s="5"/>
      <c r="D863" s="54" t="s">
        <v>9</v>
      </c>
      <c r="E863" s="196"/>
      <c r="F863" s="197"/>
      <c r="G863" s="57">
        <v>3</v>
      </c>
      <c r="H863" s="63"/>
      <c r="I863" s="5"/>
    </row>
    <row r="864" spans="1:9" x14ac:dyDescent="0.2">
      <c r="A864" s="4" t="s">
        <v>545</v>
      </c>
      <c r="B864" s="13" t="s">
        <v>2894</v>
      </c>
      <c r="C864" s="13" t="s">
        <v>1358</v>
      </c>
      <c r="D864" s="174" t="s">
        <v>2351</v>
      </c>
      <c r="E864" s="175"/>
      <c r="F864" s="13" t="s">
        <v>2852</v>
      </c>
      <c r="G864" s="82">
        <v>4</v>
      </c>
      <c r="H864" s="62">
        <v>0</v>
      </c>
      <c r="I864" s="5"/>
    </row>
    <row r="865" spans="1:9" ht="12.2" customHeight="1" x14ac:dyDescent="0.2">
      <c r="A865" s="5"/>
      <c r="D865" s="54" t="s">
        <v>3216</v>
      </c>
      <c r="E865" s="196"/>
      <c r="F865" s="197"/>
      <c r="G865" s="57">
        <v>4</v>
      </c>
      <c r="H865" s="63"/>
      <c r="I865" s="5"/>
    </row>
    <row r="866" spans="1:9" x14ac:dyDescent="0.2">
      <c r="A866" s="4" t="s">
        <v>546</v>
      </c>
      <c r="B866" s="13" t="s">
        <v>2894</v>
      </c>
      <c r="C866" s="13" t="s">
        <v>1359</v>
      </c>
      <c r="D866" s="174" t="s">
        <v>2352</v>
      </c>
      <c r="E866" s="175"/>
      <c r="F866" s="13" t="s">
        <v>2852</v>
      </c>
      <c r="G866" s="82">
        <v>4</v>
      </c>
      <c r="H866" s="62">
        <v>0</v>
      </c>
      <c r="I866" s="5"/>
    </row>
    <row r="867" spans="1:9" ht="12.2" customHeight="1" x14ac:dyDescent="0.2">
      <c r="A867" s="5"/>
      <c r="D867" s="54" t="s">
        <v>3216</v>
      </c>
      <c r="E867" s="196"/>
      <c r="F867" s="197"/>
      <c r="G867" s="57">
        <v>4</v>
      </c>
      <c r="H867" s="63"/>
      <c r="I867" s="5"/>
    </row>
    <row r="868" spans="1:9" x14ac:dyDescent="0.2">
      <c r="A868" s="4" t="s">
        <v>547</v>
      </c>
      <c r="B868" s="13" t="s">
        <v>2894</v>
      </c>
      <c r="C868" s="13" t="s">
        <v>1360</v>
      </c>
      <c r="D868" s="174" t="s">
        <v>2353</v>
      </c>
      <c r="E868" s="175"/>
      <c r="F868" s="13" t="s">
        <v>2852</v>
      </c>
      <c r="G868" s="82">
        <v>4</v>
      </c>
      <c r="H868" s="62">
        <v>0</v>
      </c>
      <c r="I868" s="5"/>
    </row>
    <row r="869" spans="1:9" ht="12.2" customHeight="1" x14ac:dyDescent="0.2">
      <c r="A869" s="5"/>
      <c r="D869" s="54" t="s">
        <v>3216</v>
      </c>
      <c r="E869" s="196"/>
      <c r="F869" s="197"/>
      <c r="G869" s="57">
        <v>4</v>
      </c>
      <c r="H869" s="63"/>
      <c r="I869" s="5"/>
    </row>
    <row r="870" spans="1:9" x14ac:dyDescent="0.2">
      <c r="A870" s="4" t="s">
        <v>548</v>
      </c>
      <c r="B870" s="13" t="s">
        <v>2894</v>
      </c>
      <c r="C870" s="13" t="s">
        <v>1361</v>
      </c>
      <c r="D870" s="174" t="s">
        <v>2354</v>
      </c>
      <c r="E870" s="175"/>
      <c r="F870" s="13" t="s">
        <v>2852</v>
      </c>
      <c r="G870" s="82">
        <v>1</v>
      </c>
      <c r="H870" s="62">
        <v>0</v>
      </c>
      <c r="I870" s="5"/>
    </row>
    <row r="871" spans="1:9" ht="12.2" customHeight="1" x14ac:dyDescent="0.2">
      <c r="A871" s="5"/>
      <c r="D871" s="54" t="s">
        <v>7</v>
      </c>
      <c r="E871" s="196"/>
      <c r="F871" s="197"/>
      <c r="G871" s="57">
        <v>1</v>
      </c>
      <c r="H871" s="63"/>
      <c r="I871" s="5"/>
    </row>
    <row r="872" spans="1:9" x14ac:dyDescent="0.2">
      <c r="A872" s="4" t="s">
        <v>549</v>
      </c>
      <c r="B872" s="13" t="s">
        <v>2894</v>
      </c>
      <c r="C872" s="13" t="s">
        <v>1362</v>
      </c>
      <c r="D872" s="174" t="s">
        <v>2355</v>
      </c>
      <c r="E872" s="175"/>
      <c r="F872" s="13" t="s">
        <v>2852</v>
      </c>
      <c r="G872" s="82">
        <v>5</v>
      </c>
      <c r="H872" s="62">
        <v>0</v>
      </c>
      <c r="I872" s="5"/>
    </row>
    <row r="873" spans="1:9" ht="12.2" customHeight="1" x14ac:dyDescent="0.2">
      <c r="A873" s="5"/>
      <c r="D873" s="54" t="s">
        <v>11</v>
      </c>
      <c r="E873" s="196"/>
      <c r="F873" s="197"/>
      <c r="G873" s="57">
        <v>5</v>
      </c>
      <c r="H873" s="63"/>
      <c r="I873" s="5"/>
    </row>
    <row r="874" spans="1:9" x14ac:dyDescent="0.2">
      <c r="A874" s="4" t="s">
        <v>550</v>
      </c>
      <c r="B874" s="13" t="s">
        <v>2894</v>
      </c>
      <c r="C874" s="13" t="s">
        <v>1363</v>
      </c>
      <c r="D874" s="174" t="s">
        <v>2356</v>
      </c>
      <c r="E874" s="175"/>
      <c r="F874" s="13" t="s">
        <v>2852</v>
      </c>
      <c r="G874" s="82">
        <v>3</v>
      </c>
      <c r="H874" s="62">
        <v>0</v>
      </c>
      <c r="I874" s="5"/>
    </row>
    <row r="875" spans="1:9" ht="12.2" customHeight="1" x14ac:dyDescent="0.2">
      <c r="A875" s="5"/>
      <c r="D875" s="54" t="s">
        <v>9</v>
      </c>
      <c r="E875" s="196"/>
      <c r="F875" s="197"/>
      <c r="G875" s="57">
        <v>3</v>
      </c>
      <c r="H875" s="63"/>
      <c r="I875" s="5"/>
    </row>
    <row r="876" spans="1:9" x14ac:dyDescent="0.2">
      <c r="A876" s="4" t="s">
        <v>551</v>
      </c>
      <c r="B876" s="13" t="s">
        <v>2894</v>
      </c>
      <c r="C876" s="13" t="s">
        <v>1364</v>
      </c>
      <c r="D876" s="174" t="s">
        <v>2357</v>
      </c>
      <c r="E876" s="175"/>
      <c r="F876" s="13" t="s">
        <v>2852</v>
      </c>
      <c r="G876" s="82">
        <v>3</v>
      </c>
      <c r="H876" s="62">
        <v>0</v>
      </c>
      <c r="I876" s="5"/>
    </row>
    <row r="877" spans="1:9" ht="12.2" customHeight="1" x14ac:dyDescent="0.2">
      <c r="A877" s="5"/>
      <c r="D877" s="54" t="s">
        <v>3218</v>
      </c>
      <c r="E877" s="196"/>
      <c r="F877" s="197"/>
      <c r="G877" s="57">
        <v>3</v>
      </c>
      <c r="H877" s="63"/>
      <c r="I877" s="5"/>
    </row>
    <row r="878" spans="1:9" x14ac:dyDescent="0.2">
      <c r="A878" s="4" t="s">
        <v>552</v>
      </c>
      <c r="B878" s="13" t="s">
        <v>2894</v>
      </c>
      <c r="C878" s="13" t="s">
        <v>1365</v>
      </c>
      <c r="D878" s="174" t="s">
        <v>2358</v>
      </c>
      <c r="E878" s="175"/>
      <c r="F878" s="13" t="s">
        <v>2852</v>
      </c>
      <c r="G878" s="82">
        <v>7</v>
      </c>
      <c r="H878" s="62">
        <v>0</v>
      </c>
      <c r="I878" s="5"/>
    </row>
    <row r="879" spans="1:9" ht="12.2" customHeight="1" x14ac:dyDescent="0.2">
      <c r="A879" s="5"/>
      <c r="D879" s="54" t="s">
        <v>13</v>
      </c>
      <c r="E879" s="196"/>
      <c r="F879" s="197"/>
      <c r="G879" s="57">
        <v>7</v>
      </c>
      <c r="H879" s="63"/>
      <c r="I879" s="5"/>
    </row>
    <row r="880" spans="1:9" x14ac:dyDescent="0.2">
      <c r="A880" s="4" t="s">
        <v>553</v>
      </c>
      <c r="B880" s="13" t="s">
        <v>2894</v>
      </c>
      <c r="C880" s="13" t="s">
        <v>1366</v>
      </c>
      <c r="D880" s="174" t="s">
        <v>2359</v>
      </c>
      <c r="E880" s="175"/>
      <c r="F880" s="13" t="s">
        <v>2852</v>
      </c>
      <c r="G880" s="82">
        <v>1</v>
      </c>
      <c r="H880" s="62">
        <v>0</v>
      </c>
      <c r="I880" s="5"/>
    </row>
    <row r="881" spans="1:9" ht="12.2" customHeight="1" x14ac:dyDescent="0.2">
      <c r="A881" s="5"/>
      <c r="D881" s="54" t="s">
        <v>7</v>
      </c>
      <c r="E881" s="196"/>
      <c r="F881" s="197"/>
      <c r="G881" s="57">
        <v>1</v>
      </c>
      <c r="H881" s="63"/>
      <c r="I881" s="5"/>
    </row>
    <row r="882" spans="1:9" x14ac:dyDescent="0.2">
      <c r="A882" s="4" t="s">
        <v>554</v>
      </c>
      <c r="B882" s="13" t="s">
        <v>2894</v>
      </c>
      <c r="C882" s="13" t="s">
        <v>1367</v>
      </c>
      <c r="D882" s="174" t="s">
        <v>2360</v>
      </c>
      <c r="E882" s="175"/>
      <c r="F882" s="13" t="s">
        <v>2852</v>
      </c>
      <c r="G882" s="82">
        <v>2</v>
      </c>
      <c r="H882" s="62">
        <v>0</v>
      </c>
      <c r="I882" s="5"/>
    </row>
    <row r="883" spans="1:9" ht="12.2" customHeight="1" x14ac:dyDescent="0.2">
      <c r="A883" s="5"/>
      <c r="D883" s="54" t="s">
        <v>3219</v>
      </c>
      <c r="E883" s="196"/>
      <c r="F883" s="197"/>
      <c r="G883" s="57">
        <v>2</v>
      </c>
      <c r="H883" s="63"/>
      <c r="I883" s="5"/>
    </row>
    <row r="884" spans="1:9" x14ac:dyDescent="0.2">
      <c r="A884" s="4" t="s">
        <v>555</v>
      </c>
      <c r="B884" s="13" t="s">
        <v>2894</v>
      </c>
      <c r="C884" s="13" t="s">
        <v>1368</v>
      </c>
      <c r="D884" s="174" t="s">
        <v>2361</v>
      </c>
      <c r="E884" s="175"/>
      <c r="F884" s="13" t="s">
        <v>2852</v>
      </c>
      <c r="G884" s="82">
        <v>13</v>
      </c>
      <c r="H884" s="62">
        <v>0</v>
      </c>
      <c r="I884" s="5"/>
    </row>
    <row r="885" spans="1:9" ht="12.2" customHeight="1" x14ac:dyDescent="0.2">
      <c r="A885" s="5"/>
      <c r="D885" s="54" t="s">
        <v>19</v>
      </c>
      <c r="E885" s="196"/>
      <c r="F885" s="197"/>
      <c r="G885" s="57">
        <v>13</v>
      </c>
      <c r="H885" s="63"/>
      <c r="I885" s="5"/>
    </row>
    <row r="886" spans="1:9" x14ac:dyDescent="0.2">
      <c r="A886" s="4" t="s">
        <v>556</v>
      </c>
      <c r="B886" s="13" t="s">
        <v>2894</v>
      </c>
      <c r="C886" s="13" t="s">
        <v>1369</v>
      </c>
      <c r="D886" s="174" t="s">
        <v>2362</v>
      </c>
      <c r="E886" s="175"/>
      <c r="F886" s="13" t="s">
        <v>2852</v>
      </c>
      <c r="G886" s="82">
        <v>3</v>
      </c>
      <c r="H886" s="62">
        <v>0</v>
      </c>
      <c r="I886" s="5"/>
    </row>
    <row r="887" spans="1:9" ht="12.2" customHeight="1" x14ac:dyDescent="0.2">
      <c r="A887" s="5"/>
      <c r="D887" s="54" t="s">
        <v>9</v>
      </c>
      <c r="E887" s="196"/>
      <c r="F887" s="197"/>
      <c r="G887" s="57">
        <v>3</v>
      </c>
      <c r="H887" s="63"/>
      <c r="I887" s="5"/>
    </row>
    <row r="888" spans="1:9" x14ac:dyDescent="0.2">
      <c r="A888" s="4" t="s">
        <v>557</v>
      </c>
      <c r="B888" s="13" t="s">
        <v>2894</v>
      </c>
      <c r="C888" s="13" t="s">
        <v>1370</v>
      </c>
      <c r="D888" s="174" t="s">
        <v>2363</v>
      </c>
      <c r="E888" s="175"/>
      <c r="F888" s="13" t="s">
        <v>2852</v>
      </c>
      <c r="G888" s="82">
        <v>4</v>
      </c>
      <c r="H888" s="62">
        <v>0</v>
      </c>
      <c r="I888" s="5"/>
    </row>
    <row r="889" spans="1:9" ht="12.2" customHeight="1" x14ac:dyDescent="0.2">
      <c r="A889" s="5"/>
      <c r="D889" s="54" t="s">
        <v>10</v>
      </c>
      <c r="E889" s="196"/>
      <c r="F889" s="197"/>
      <c r="G889" s="57">
        <v>4</v>
      </c>
      <c r="H889" s="63"/>
      <c r="I889" s="5"/>
    </row>
    <row r="890" spans="1:9" x14ac:dyDescent="0.2">
      <c r="A890" s="4" t="s">
        <v>558</v>
      </c>
      <c r="B890" s="13" t="s">
        <v>2894</v>
      </c>
      <c r="C890" s="13" t="s">
        <v>1371</v>
      </c>
      <c r="D890" s="174" t="s">
        <v>2364</v>
      </c>
      <c r="E890" s="175"/>
      <c r="F890" s="13" t="s">
        <v>2852</v>
      </c>
      <c r="G890" s="82">
        <v>4</v>
      </c>
      <c r="H890" s="62">
        <v>0</v>
      </c>
      <c r="I890" s="5"/>
    </row>
    <row r="891" spans="1:9" ht="12.2" customHeight="1" x14ac:dyDescent="0.2">
      <c r="A891" s="5"/>
      <c r="D891" s="54" t="s">
        <v>10</v>
      </c>
      <c r="E891" s="196"/>
      <c r="F891" s="197"/>
      <c r="G891" s="57">
        <v>4</v>
      </c>
      <c r="H891" s="63"/>
      <c r="I891" s="5"/>
    </row>
    <row r="892" spans="1:9" x14ac:dyDescent="0.2">
      <c r="A892" s="4" t="s">
        <v>559</v>
      </c>
      <c r="B892" s="13" t="s">
        <v>2894</v>
      </c>
      <c r="C892" s="13" t="s">
        <v>1372</v>
      </c>
      <c r="D892" s="174" t="s">
        <v>2365</v>
      </c>
      <c r="E892" s="175"/>
      <c r="F892" s="13" t="s">
        <v>2855</v>
      </c>
      <c r="G892" s="82">
        <v>90.7</v>
      </c>
      <c r="H892" s="62">
        <v>0</v>
      </c>
      <c r="I892" s="5"/>
    </row>
    <row r="893" spans="1:9" ht="12.2" customHeight="1" x14ac:dyDescent="0.2">
      <c r="A893" s="5"/>
      <c r="D893" s="54" t="s">
        <v>3220</v>
      </c>
      <c r="E893" s="196"/>
      <c r="F893" s="197"/>
      <c r="G893" s="57">
        <v>90.7</v>
      </c>
      <c r="H893" s="63"/>
      <c r="I893" s="5"/>
    </row>
    <row r="894" spans="1:9" x14ac:dyDescent="0.2">
      <c r="A894" s="4" t="s">
        <v>560</v>
      </c>
      <c r="B894" s="13" t="s">
        <v>2894</v>
      </c>
      <c r="C894" s="13" t="s">
        <v>1373</v>
      </c>
      <c r="D894" s="174" t="s">
        <v>2366</v>
      </c>
      <c r="E894" s="175"/>
      <c r="F894" s="13" t="s">
        <v>2852</v>
      </c>
      <c r="G894" s="82">
        <v>2</v>
      </c>
      <c r="H894" s="62">
        <v>0</v>
      </c>
      <c r="I894" s="5"/>
    </row>
    <row r="895" spans="1:9" x14ac:dyDescent="0.2">
      <c r="A895" s="4" t="s">
        <v>561</v>
      </c>
      <c r="B895" s="13" t="s">
        <v>2894</v>
      </c>
      <c r="C895" s="13" t="s">
        <v>1374</v>
      </c>
      <c r="D895" s="174" t="s">
        <v>2367</v>
      </c>
      <c r="E895" s="175"/>
      <c r="F895" s="13" t="s">
        <v>2855</v>
      </c>
      <c r="G895" s="82">
        <v>12</v>
      </c>
      <c r="H895" s="62">
        <v>0</v>
      </c>
      <c r="I895" s="5"/>
    </row>
    <row r="896" spans="1:9" ht="12.2" customHeight="1" x14ac:dyDescent="0.2">
      <c r="A896" s="5"/>
      <c r="D896" s="54" t="s">
        <v>18</v>
      </c>
      <c r="E896" s="196"/>
      <c r="F896" s="197"/>
      <c r="G896" s="57">
        <v>12</v>
      </c>
      <c r="H896" s="63"/>
      <c r="I896" s="5"/>
    </row>
    <row r="897" spans="1:9" x14ac:dyDescent="0.2">
      <c r="A897" s="4" t="s">
        <v>562</v>
      </c>
      <c r="B897" s="13" t="s">
        <v>2894</v>
      </c>
      <c r="C897" s="13" t="s">
        <v>1375</v>
      </c>
      <c r="D897" s="174" t="s">
        <v>2368</v>
      </c>
      <c r="E897" s="175"/>
      <c r="F897" s="13" t="s">
        <v>2852</v>
      </c>
      <c r="G897" s="82">
        <v>18</v>
      </c>
      <c r="H897" s="62">
        <v>0</v>
      </c>
      <c r="I897" s="5"/>
    </row>
    <row r="898" spans="1:9" ht="12.2" customHeight="1" x14ac:dyDescent="0.2">
      <c r="A898" s="5"/>
      <c r="D898" s="54" t="s">
        <v>3221</v>
      </c>
      <c r="E898" s="196"/>
      <c r="F898" s="197"/>
      <c r="G898" s="57">
        <v>18</v>
      </c>
      <c r="H898" s="63"/>
      <c r="I898" s="5"/>
    </row>
    <row r="899" spans="1:9" x14ac:dyDescent="0.2">
      <c r="A899" s="4" t="s">
        <v>563</v>
      </c>
      <c r="B899" s="13" t="s">
        <v>2894</v>
      </c>
      <c r="C899" s="13" t="s">
        <v>1376</v>
      </c>
      <c r="D899" s="174" t="s">
        <v>2369</v>
      </c>
      <c r="E899" s="175"/>
      <c r="F899" s="13" t="s">
        <v>2852</v>
      </c>
      <c r="G899" s="82">
        <v>22</v>
      </c>
      <c r="H899" s="62">
        <v>0</v>
      </c>
      <c r="I899" s="5"/>
    </row>
    <row r="900" spans="1:9" ht="12.2" customHeight="1" x14ac:dyDescent="0.2">
      <c r="A900" s="5"/>
      <c r="D900" s="54" t="s">
        <v>3222</v>
      </c>
      <c r="E900" s="196"/>
      <c r="F900" s="197"/>
      <c r="G900" s="57">
        <v>22</v>
      </c>
      <c r="H900" s="63"/>
      <c r="I900" s="5"/>
    </row>
    <row r="901" spans="1:9" x14ac:dyDescent="0.2">
      <c r="A901" s="4" t="s">
        <v>564</v>
      </c>
      <c r="B901" s="13" t="s">
        <v>2894</v>
      </c>
      <c r="C901" s="13" t="s">
        <v>1377</v>
      </c>
      <c r="D901" s="174" t="s">
        <v>2370</v>
      </c>
      <c r="E901" s="175"/>
      <c r="F901" s="13" t="s">
        <v>2856</v>
      </c>
      <c r="G901" s="82">
        <v>7.157</v>
      </c>
      <c r="H901" s="62">
        <v>0</v>
      </c>
      <c r="I901" s="5"/>
    </row>
    <row r="902" spans="1:9" ht="12.2" customHeight="1" x14ac:dyDescent="0.2">
      <c r="A902" s="5"/>
      <c r="D902" s="54" t="s">
        <v>3223</v>
      </c>
      <c r="E902" s="196"/>
      <c r="F902" s="197"/>
      <c r="G902" s="57">
        <v>7.157</v>
      </c>
      <c r="H902" s="63"/>
      <c r="I902" s="5"/>
    </row>
    <row r="903" spans="1:9" x14ac:dyDescent="0.2">
      <c r="A903" s="4" t="s">
        <v>565</v>
      </c>
      <c r="B903" s="13" t="s">
        <v>2894</v>
      </c>
      <c r="C903" s="13" t="s">
        <v>1378</v>
      </c>
      <c r="D903" s="174" t="s">
        <v>2372</v>
      </c>
      <c r="E903" s="175"/>
      <c r="F903" s="13" t="s">
        <v>2852</v>
      </c>
      <c r="G903" s="82">
        <v>1</v>
      </c>
      <c r="H903" s="62">
        <v>0</v>
      </c>
      <c r="I903" s="5"/>
    </row>
    <row r="904" spans="1:9" x14ac:dyDescent="0.2">
      <c r="A904" s="4" t="s">
        <v>566</v>
      </c>
      <c r="B904" s="13" t="s">
        <v>2894</v>
      </c>
      <c r="C904" s="13" t="s">
        <v>1379</v>
      </c>
      <c r="D904" s="174" t="s">
        <v>2373</v>
      </c>
      <c r="E904" s="175"/>
      <c r="F904" s="13" t="s">
        <v>2852</v>
      </c>
      <c r="G904" s="82">
        <v>1</v>
      </c>
      <c r="H904" s="62">
        <v>0</v>
      </c>
      <c r="I904" s="5"/>
    </row>
    <row r="905" spans="1:9" ht="12.2" customHeight="1" x14ac:dyDescent="0.2">
      <c r="A905" s="5"/>
      <c r="D905" s="54" t="s">
        <v>7</v>
      </c>
      <c r="E905" s="196"/>
      <c r="F905" s="197"/>
      <c r="G905" s="57">
        <v>1</v>
      </c>
      <c r="H905" s="63"/>
      <c r="I905" s="5"/>
    </row>
    <row r="906" spans="1:9" x14ac:dyDescent="0.2">
      <c r="A906" s="4" t="s">
        <v>567</v>
      </c>
      <c r="B906" s="13" t="s">
        <v>2894</v>
      </c>
      <c r="C906" s="13" t="s">
        <v>1380</v>
      </c>
      <c r="D906" s="174" t="s">
        <v>2374</v>
      </c>
      <c r="E906" s="175"/>
      <c r="F906" s="13" t="s">
        <v>2852</v>
      </c>
      <c r="G906" s="82">
        <v>1</v>
      </c>
      <c r="H906" s="62">
        <v>0</v>
      </c>
      <c r="I906" s="5"/>
    </row>
    <row r="907" spans="1:9" x14ac:dyDescent="0.2">
      <c r="A907" s="4" t="s">
        <v>568</v>
      </c>
      <c r="B907" s="13" t="s">
        <v>2894</v>
      </c>
      <c r="C907" s="13" t="s">
        <v>1381</v>
      </c>
      <c r="D907" s="174" t="s">
        <v>2375</v>
      </c>
      <c r="E907" s="175"/>
      <c r="F907" s="13" t="s">
        <v>2858</v>
      </c>
      <c r="G907" s="82">
        <v>1470</v>
      </c>
      <c r="H907" s="62">
        <v>0</v>
      </c>
      <c r="I907" s="5"/>
    </row>
    <row r="908" spans="1:9" ht="12.2" customHeight="1" x14ac:dyDescent="0.2">
      <c r="A908" s="5"/>
      <c r="D908" s="54" t="s">
        <v>3224</v>
      </c>
      <c r="E908" s="196"/>
      <c r="F908" s="197"/>
      <c r="G908" s="57">
        <v>1470</v>
      </c>
      <c r="H908" s="63"/>
      <c r="I908" s="5"/>
    </row>
    <row r="909" spans="1:9" x14ac:dyDescent="0.2">
      <c r="A909" s="4" t="s">
        <v>569</v>
      </c>
      <c r="B909" s="13" t="s">
        <v>2894</v>
      </c>
      <c r="C909" s="13" t="s">
        <v>1382</v>
      </c>
      <c r="D909" s="174" t="s">
        <v>2376</v>
      </c>
      <c r="E909" s="175"/>
      <c r="F909" s="13" t="s">
        <v>2855</v>
      </c>
      <c r="G909" s="82">
        <v>8.6</v>
      </c>
      <c r="H909" s="62">
        <v>0</v>
      </c>
      <c r="I909" s="5"/>
    </row>
    <row r="910" spans="1:9" ht="12.2" customHeight="1" x14ac:dyDescent="0.2">
      <c r="A910" s="5"/>
      <c r="D910" s="54" t="s">
        <v>3225</v>
      </c>
      <c r="E910" s="196"/>
      <c r="F910" s="197"/>
      <c r="G910" s="57">
        <v>8.6</v>
      </c>
      <c r="H910" s="63"/>
      <c r="I910" s="5"/>
    </row>
    <row r="911" spans="1:9" x14ac:dyDescent="0.2">
      <c r="A911" s="4" t="s">
        <v>570</v>
      </c>
      <c r="B911" s="13" t="s">
        <v>2894</v>
      </c>
      <c r="C911" s="13" t="s">
        <v>1383</v>
      </c>
      <c r="D911" s="174" t="s">
        <v>2377</v>
      </c>
      <c r="E911" s="175"/>
      <c r="F911" s="13" t="s">
        <v>2852</v>
      </c>
      <c r="G911" s="82">
        <v>1</v>
      </c>
      <c r="H911" s="62">
        <v>0</v>
      </c>
      <c r="I911" s="5"/>
    </row>
    <row r="912" spans="1:9" x14ac:dyDescent="0.2">
      <c r="A912" s="4" t="s">
        <v>571</v>
      </c>
      <c r="B912" s="13" t="s">
        <v>2894</v>
      </c>
      <c r="C912" s="13" t="s">
        <v>1384</v>
      </c>
      <c r="D912" s="174" t="s">
        <v>2378</v>
      </c>
      <c r="E912" s="175"/>
      <c r="F912" s="13" t="s">
        <v>2852</v>
      </c>
      <c r="G912" s="82">
        <v>1</v>
      </c>
      <c r="H912" s="62">
        <v>0</v>
      </c>
      <c r="I912" s="5"/>
    </row>
    <row r="913" spans="1:9" x14ac:dyDescent="0.2">
      <c r="A913" s="4" t="s">
        <v>572</v>
      </c>
      <c r="B913" s="13" t="s">
        <v>2894</v>
      </c>
      <c r="C913" s="13" t="s">
        <v>1385</v>
      </c>
      <c r="D913" s="174" t="s">
        <v>2379</v>
      </c>
      <c r="E913" s="175"/>
      <c r="F913" s="13" t="s">
        <v>2852</v>
      </c>
      <c r="G913" s="82">
        <v>5</v>
      </c>
      <c r="H913" s="62">
        <v>0</v>
      </c>
      <c r="I913" s="5"/>
    </row>
    <row r="914" spans="1:9" ht="12.2" customHeight="1" x14ac:dyDescent="0.2">
      <c r="A914" s="5"/>
      <c r="D914" s="54" t="s">
        <v>11</v>
      </c>
      <c r="E914" s="196"/>
      <c r="F914" s="197"/>
      <c r="G914" s="57">
        <v>5</v>
      </c>
      <c r="H914" s="63"/>
      <c r="I914" s="5"/>
    </row>
    <row r="915" spans="1:9" x14ac:dyDescent="0.2">
      <c r="A915" s="4" t="s">
        <v>573</v>
      </c>
      <c r="B915" s="13" t="s">
        <v>2894</v>
      </c>
      <c r="C915" s="13" t="s">
        <v>1386</v>
      </c>
      <c r="D915" s="174" t="s">
        <v>2380</v>
      </c>
      <c r="E915" s="175"/>
      <c r="F915" s="13" t="s">
        <v>2852</v>
      </c>
      <c r="G915" s="82">
        <v>1</v>
      </c>
      <c r="H915" s="62">
        <v>0</v>
      </c>
      <c r="I915" s="5"/>
    </row>
    <row r="916" spans="1:9" x14ac:dyDescent="0.2">
      <c r="A916" s="4" t="s">
        <v>574</v>
      </c>
      <c r="B916" s="13" t="s">
        <v>2894</v>
      </c>
      <c r="C916" s="13" t="s">
        <v>1387</v>
      </c>
      <c r="D916" s="174" t="s">
        <v>2381</v>
      </c>
      <c r="E916" s="175"/>
      <c r="F916" s="13" t="s">
        <v>2852</v>
      </c>
      <c r="G916" s="82">
        <v>2</v>
      </c>
      <c r="H916" s="62">
        <v>0</v>
      </c>
      <c r="I916" s="5"/>
    </row>
    <row r="917" spans="1:9" ht="12.2" customHeight="1" x14ac:dyDescent="0.2">
      <c r="A917" s="5"/>
      <c r="D917" s="54" t="s">
        <v>8</v>
      </c>
      <c r="E917" s="196"/>
      <c r="F917" s="197"/>
      <c r="G917" s="57">
        <v>2</v>
      </c>
      <c r="H917" s="63"/>
      <c r="I917" s="5"/>
    </row>
    <row r="918" spans="1:9" x14ac:dyDescent="0.2">
      <c r="A918" s="4" t="s">
        <v>575</v>
      </c>
      <c r="B918" s="13" t="s">
        <v>2894</v>
      </c>
      <c r="C918" s="13" t="s">
        <v>1388</v>
      </c>
      <c r="D918" s="174" t="s">
        <v>2382</v>
      </c>
      <c r="E918" s="175"/>
      <c r="F918" s="13" t="s">
        <v>2859</v>
      </c>
      <c r="G918" s="82">
        <v>2</v>
      </c>
      <c r="H918" s="62">
        <v>0</v>
      </c>
      <c r="I918" s="5"/>
    </row>
    <row r="919" spans="1:9" ht="12.2" customHeight="1" x14ac:dyDescent="0.2">
      <c r="A919" s="5"/>
      <c r="D919" s="54" t="s">
        <v>8</v>
      </c>
      <c r="E919" s="196"/>
      <c r="F919" s="197"/>
      <c r="G919" s="57">
        <v>2</v>
      </c>
      <c r="H919" s="63"/>
      <c r="I919" s="5"/>
    </row>
    <row r="920" spans="1:9" x14ac:dyDescent="0.2">
      <c r="A920" s="4" t="s">
        <v>576</v>
      </c>
      <c r="B920" s="13" t="s">
        <v>2894</v>
      </c>
      <c r="C920" s="13" t="s">
        <v>1389</v>
      </c>
      <c r="D920" s="174" t="s">
        <v>2383</v>
      </c>
      <c r="E920" s="175"/>
      <c r="F920" s="13" t="s">
        <v>2859</v>
      </c>
      <c r="G920" s="82">
        <v>2</v>
      </c>
      <c r="H920" s="62">
        <v>0</v>
      </c>
      <c r="I920" s="5"/>
    </row>
    <row r="921" spans="1:9" ht="12.2" customHeight="1" x14ac:dyDescent="0.2">
      <c r="A921" s="5"/>
      <c r="D921" s="54" t="s">
        <v>8</v>
      </c>
      <c r="E921" s="196"/>
      <c r="F921" s="197"/>
      <c r="G921" s="57">
        <v>2</v>
      </c>
      <c r="H921" s="63"/>
      <c r="I921" s="5"/>
    </row>
    <row r="922" spans="1:9" x14ac:dyDescent="0.2">
      <c r="A922" s="4" t="s">
        <v>577</v>
      </c>
      <c r="B922" s="13" t="s">
        <v>2894</v>
      </c>
      <c r="C922" s="13" t="s">
        <v>1390</v>
      </c>
      <c r="D922" s="174" t="s">
        <v>2384</v>
      </c>
      <c r="E922" s="175"/>
      <c r="F922" s="13" t="s">
        <v>2852</v>
      </c>
      <c r="G922" s="82">
        <v>1</v>
      </c>
      <c r="H922" s="62">
        <v>0</v>
      </c>
      <c r="I922" s="5"/>
    </row>
    <row r="923" spans="1:9" ht="12.2" customHeight="1" x14ac:dyDescent="0.2">
      <c r="A923" s="5"/>
      <c r="D923" s="54" t="s">
        <v>7</v>
      </c>
      <c r="E923" s="196"/>
      <c r="F923" s="197"/>
      <c r="G923" s="57">
        <v>1</v>
      </c>
      <c r="H923" s="63"/>
      <c r="I923" s="5"/>
    </row>
    <row r="924" spans="1:9" x14ac:dyDescent="0.2">
      <c r="A924" s="4" t="s">
        <v>578</v>
      </c>
      <c r="B924" s="13" t="s">
        <v>2894</v>
      </c>
      <c r="C924" s="13" t="s">
        <v>1391</v>
      </c>
      <c r="D924" s="174" t="s">
        <v>2385</v>
      </c>
      <c r="E924" s="175"/>
      <c r="F924" s="13" t="s">
        <v>2852</v>
      </c>
      <c r="G924" s="82">
        <v>7</v>
      </c>
      <c r="H924" s="62">
        <v>0</v>
      </c>
      <c r="I924" s="5"/>
    </row>
    <row r="925" spans="1:9" ht="12.2" customHeight="1" x14ac:dyDescent="0.2">
      <c r="A925" s="5"/>
      <c r="D925" s="54" t="s">
        <v>13</v>
      </c>
      <c r="E925" s="196"/>
      <c r="F925" s="197"/>
      <c r="G925" s="57">
        <v>7</v>
      </c>
      <c r="H925" s="63"/>
      <c r="I925" s="5"/>
    </row>
    <row r="926" spans="1:9" x14ac:dyDescent="0.2">
      <c r="A926" s="4" t="s">
        <v>579</v>
      </c>
      <c r="B926" s="13" t="s">
        <v>2894</v>
      </c>
      <c r="C926" s="13" t="s">
        <v>1392</v>
      </c>
      <c r="D926" s="174" t="s">
        <v>2386</v>
      </c>
      <c r="E926" s="175"/>
      <c r="F926" s="13" t="s">
        <v>2852</v>
      </c>
      <c r="G926" s="82">
        <v>22</v>
      </c>
      <c r="H926" s="62">
        <v>0</v>
      </c>
      <c r="I926" s="5"/>
    </row>
    <row r="927" spans="1:9" ht="12.2" customHeight="1" x14ac:dyDescent="0.2">
      <c r="A927" s="5"/>
      <c r="D927" s="54" t="s">
        <v>28</v>
      </c>
      <c r="E927" s="196"/>
      <c r="F927" s="197"/>
      <c r="G927" s="57">
        <v>22</v>
      </c>
      <c r="H927" s="63"/>
      <c r="I927" s="5"/>
    </row>
    <row r="928" spans="1:9" x14ac:dyDescent="0.2">
      <c r="A928" s="4" t="s">
        <v>580</v>
      </c>
      <c r="B928" s="13" t="s">
        <v>2894</v>
      </c>
      <c r="C928" s="13" t="s">
        <v>1393</v>
      </c>
      <c r="D928" s="174" t="s">
        <v>2387</v>
      </c>
      <c r="E928" s="175"/>
      <c r="F928" s="13" t="s">
        <v>2852</v>
      </c>
      <c r="G928" s="82">
        <v>2</v>
      </c>
      <c r="H928" s="62">
        <v>0</v>
      </c>
      <c r="I928" s="5"/>
    </row>
    <row r="929" spans="1:9" ht="12.2" customHeight="1" x14ac:dyDescent="0.2">
      <c r="A929" s="5"/>
      <c r="D929" s="54" t="s">
        <v>3219</v>
      </c>
      <c r="E929" s="196"/>
      <c r="F929" s="197"/>
      <c r="G929" s="57">
        <v>2</v>
      </c>
      <c r="H929" s="63"/>
      <c r="I929" s="5"/>
    </row>
    <row r="930" spans="1:9" x14ac:dyDescent="0.2">
      <c r="A930" s="4" t="s">
        <v>581</v>
      </c>
      <c r="B930" s="13" t="s">
        <v>2894</v>
      </c>
      <c r="C930" s="13" t="s">
        <v>1394</v>
      </c>
      <c r="D930" s="174" t="s">
        <v>2388</v>
      </c>
      <c r="E930" s="175"/>
      <c r="F930" s="13" t="s">
        <v>2852</v>
      </c>
      <c r="G930" s="82">
        <v>3</v>
      </c>
      <c r="H930" s="62">
        <v>0</v>
      </c>
      <c r="I930" s="5"/>
    </row>
    <row r="931" spans="1:9" ht="12.2" customHeight="1" x14ac:dyDescent="0.2">
      <c r="A931" s="5"/>
      <c r="D931" s="54" t="s">
        <v>3226</v>
      </c>
      <c r="E931" s="196"/>
      <c r="F931" s="197"/>
      <c r="G931" s="57">
        <v>3</v>
      </c>
      <c r="H931" s="63"/>
      <c r="I931" s="5"/>
    </row>
    <row r="932" spans="1:9" x14ac:dyDescent="0.2">
      <c r="A932" s="4" t="s">
        <v>582</v>
      </c>
      <c r="B932" s="13" t="s">
        <v>2894</v>
      </c>
      <c r="C932" s="13" t="s">
        <v>1395</v>
      </c>
      <c r="D932" s="174" t="s">
        <v>2389</v>
      </c>
      <c r="E932" s="175"/>
      <c r="F932" s="13" t="s">
        <v>2856</v>
      </c>
      <c r="G932" s="82">
        <v>3.875</v>
      </c>
      <c r="H932" s="62">
        <v>0</v>
      </c>
      <c r="I932" s="5"/>
    </row>
    <row r="933" spans="1:9" ht="12.2" customHeight="1" x14ac:dyDescent="0.2">
      <c r="A933" s="5"/>
      <c r="D933" s="54" t="s">
        <v>3227</v>
      </c>
      <c r="E933" s="196"/>
      <c r="F933" s="197"/>
      <c r="G933" s="57">
        <v>3.875</v>
      </c>
      <c r="H933" s="63"/>
      <c r="I933" s="5"/>
    </row>
    <row r="934" spans="1:9" x14ac:dyDescent="0.2">
      <c r="A934" s="4" t="s">
        <v>583</v>
      </c>
      <c r="B934" s="13" t="s">
        <v>2894</v>
      </c>
      <c r="C934" s="13" t="s">
        <v>1396</v>
      </c>
      <c r="D934" s="174" t="s">
        <v>2391</v>
      </c>
      <c r="E934" s="175"/>
      <c r="F934" s="13" t="s">
        <v>2854</v>
      </c>
      <c r="G934" s="82">
        <v>177.5</v>
      </c>
      <c r="H934" s="62">
        <v>0</v>
      </c>
      <c r="I934" s="5"/>
    </row>
    <row r="935" spans="1:9" ht="12.2" customHeight="1" x14ac:dyDescent="0.2">
      <c r="A935" s="5"/>
      <c r="D935" s="54" t="s">
        <v>3228</v>
      </c>
      <c r="E935" s="196"/>
      <c r="F935" s="197"/>
      <c r="G935" s="57">
        <v>177.5</v>
      </c>
      <c r="H935" s="63"/>
      <c r="I935" s="5"/>
    </row>
    <row r="936" spans="1:9" x14ac:dyDescent="0.2">
      <c r="A936" s="4" t="s">
        <v>584</v>
      </c>
      <c r="B936" s="13" t="s">
        <v>2894</v>
      </c>
      <c r="C936" s="13" t="s">
        <v>1397</v>
      </c>
      <c r="D936" s="174" t="s">
        <v>2392</v>
      </c>
      <c r="E936" s="175"/>
      <c r="F936" s="13" t="s">
        <v>2854</v>
      </c>
      <c r="G936" s="82">
        <v>51.890999999999998</v>
      </c>
      <c r="H936" s="62">
        <v>0</v>
      </c>
      <c r="I936" s="5"/>
    </row>
    <row r="937" spans="1:9" ht="12.2" customHeight="1" x14ac:dyDescent="0.2">
      <c r="A937" s="5"/>
      <c r="D937" s="54" t="s">
        <v>3229</v>
      </c>
      <c r="E937" s="196"/>
      <c r="F937" s="197"/>
      <c r="G937" s="57">
        <v>15.768000000000001</v>
      </c>
      <c r="H937" s="63"/>
      <c r="I937" s="5"/>
    </row>
    <row r="938" spans="1:9" ht="12.2" customHeight="1" x14ac:dyDescent="0.2">
      <c r="A938" s="4"/>
      <c r="B938" s="13"/>
      <c r="C938" s="13"/>
      <c r="D938" s="54" t="s">
        <v>3230</v>
      </c>
      <c r="E938" s="196"/>
      <c r="F938" s="196"/>
      <c r="G938" s="83">
        <v>21.003</v>
      </c>
      <c r="H938" s="31"/>
      <c r="I938" s="5"/>
    </row>
    <row r="939" spans="1:9" ht="12.2" customHeight="1" x14ac:dyDescent="0.2">
      <c r="A939" s="4"/>
      <c r="B939" s="13"/>
      <c r="C939" s="13"/>
      <c r="D939" s="54" t="s">
        <v>3231</v>
      </c>
      <c r="E939" s="196"/>
      <c r="F939" s="196"/>
      <c r="G939" s="83">
        <v>15.12</v>
      </c>
      <c r="H939" s="31"/>
      <c r="I939" s="5"/>
    </row>
    <row r="940" spans="1:9" x14ac:dyDescent="0.2">
      <c r="A940" s="4" t="s">
        <v>585</v>
      </c>
      <c r="B940" s="13" t="s">
        <v>2894</v>
      </c>
      <c r="C940" s="13" t="s">
        <v>1398</v>
      </c>
      <c r="D940" s="174" t="s">
        <v>2393</v>
      </c>
      <c r="E940" s="175"/>
      <c r="F940" s="13" t="s">
        <v>2855</v>
      </c>
      <c r="G940" s="82">
        <v>15.3</v>
      </c>
      <c r="H940" s="62">
        <v>0</v>
      </c>
      <c r="I940" s="5"/>
    </row>
    <row r="941" spans="1:9" ht="12.2" customHeight="1" x14ac:dyDescent="0.2">
      <c r="A941" s="5"/>
      <c r="D941" s="54" t="s">
        <v>3232</v>
      </c>
      <c r="E941" s="196"/>
      <c r="F941" s="197"/>
      <c r="G941" s="57">
        <v>15.3</v>
      </c>
      <c r="H941" s="63"/>
      <c r="I941" s="5"/>
    </row>
    <row r="942" spans="1:9" x14ac:dyDescent="0.2">
      <c r="A942" s="6" t="s">
        <v>586</v>
      </c>
      <c r="B942" s="15" t="s">
        <v>2894</v>
      </c>
      <c r="C942" s="15" t="s">
        <v>1399</v>
      </c>
      <c r="D942" s="182" t="s">
        <v>2394</v>
      </c>
      <c r="E942" s="183"/>
      <c r="F942" s="15" t="s">
        <v>2855</v>
      </c>
      <c r="G942" s="84">
        <v>16.829999999999998</v>
      </c>
      <c r="H942" s="64">
        <v>0</v>
      </c>
      <c r="I942" s="5"/>
    </row>
    <row r="943" spans="1:9" ht="12.2" customHeight="1" x14ac:dyDescent="0.2">
      <c r="A943" s="5"/>
      <c r="D943" s="54" t="s">
        <v>3233</v>
      </c>
      <c r="E943" s="196"/>
      <c r="F943" s="197"/>
      <c r="G943" s="58">
        <v>15.3</v>
      </c>
      <c r="H943" s="63"/>
      <c r="I943" s="5"/>
    </row>
    <row r="944" spans="1:9" ht="12.2" customHeight="1" x14ac:dyDescent="0.2">
      <c r="A944" s="6"/>
      <c r="B944" s="15"/>
      <c r="C944" s="15"/>
      <c r="D944" s="54" t="s">
        <v>3234</v>
      </c>
      <c r="E944" s="196"/>
      <c r="F944" s="196"/>
      <c r="G944" s="85">
        <v>1.53</v>
      </c>
      <c r="H944" s="32"/>
      <c r="I944" s="5"/>
    </row>
    <row r="945" spans="1:9" x14ac:dyDescent="0.2">
      <c r="A945" s="4" t="s">
        <v>587</v>
      </c>
      <c r="B945" s="13" t="s">
        <v>2894</v>
      </c>
      <c r="C945" s="13" t="s">
        <v>1400</v>
      </c>
      <c r="D945" s="174" t="s">
        <v>2395</v>
      </c>
      <c r="E945" s="175"/>
      <c r="F945" s="13" t="s">
        <v>2855</v>
      </c>
      <c r="G945" s="82">
        <v>108.108</v>
      </c>
      <c r="H945" s="62">
        <v>0</v>
      </c>
      <c r="I945" s="5"/>
    </row>
    <row r="946" spans="1:9" ht="12.2" customHeight="1" x14ac:dyDescent="0.2">
      <c r="A946" s="5"/>
      <c r="D946" s="54" t="s">
        <v>3235</v>
      </c>
      <c r="E946" s="196"/>
      <c r="F946" s="197"/>
      <c r="G946" s="57">
        <v>102.96</v>
      </c>
      <c r="H946" s="63"/>
      <c r="I946" s="5"/>
    </row>
    <row r="947" spans="1:9" ht="12.2" customHeight="1" x14ac:dyDescent="0.2">
      <c r="A947" s="4"/>
      <c r="B947" s="13"/>
      <c r="C947" s="13"/>
      <c r="D947" s="54" t="s">
        <v>3236</v>
      </c>
      <c r="E947" s="196"/>
      <c r="F947" s="196"/>
      <c r="G947" s="83">
        <v>5.1479999999999997</v>
      </c>
      <c r="H947" s="31"/>
      <c r="I947" s="5"/>
    </row>
    <row r="948" spans="1:9" x14ac:dyDescent="0.2">
      <c r="A948" s="6" t="s">
        <v>588</v>
      </c>
      <c r="B948" s="15" t="s">
        <v>2894</v>
      </c>
      <c r="C948" s="15" t="s">
        <v>1401</v>
      </c>
      <c r="D948" s="182" t="s">
        <v>2396</v>
      </c>
      <c r="E948" s="183"/>
      <c r="F948" s="15" t="s">
        <v>2852</v>
      </c>
      <c r="G948" s="84">
        <v>378</v>
      </c>
      <c r="H948" s="64">
        <v>0</v>
      </c>
      <c r="I948" s="5"/>
    </row>
    <row r="949" spans="1:9" ht="12.2" customHeight="1" x14ac:dyDescent="0.2">
      <c r="A949" s="5"/>
      <c r="D949" s="54" t="s">
        <v>3237</v>
      </c>
      <c r="E949" s="196"/>
      <c r="F949" s="197"/>
      <c r="G949" s="58">
        <v>360</v>
      </c>
      <c r="H949" s="63"/>
      <c r="I949" s="5"/>
    </row>
    <row r="950" spans="1:9" ht="12.2" customHeight="1" x14ac:dyDescent="0.2">
      <c r="A950" s="6"/>
      <c r="B950" s="15"/>
      <c r="C950" s="15"/>
      <c r="D950" s="54" t="s">
        <v>3238</v>
      </c>
      <c r="E950" s="196"/>
      <c r="F950" s="196"/>
      <c r="G950" s="85">
        <v>18</v>
      </c>
      <c r="H950" s="32"/>
      <c r="I950" s="5"/>
    </row>
    <row r="951" spans="1:9" x14ac:dyDescent="0.2">
      <c r="A951" s="4" t="s">
        <v>589</v>
      </c>
      <c r="B951" s="13" t="s">
        <v>2894</v>
      </c>
      <c r="C951" s="13" t="s">
        <v>1402</v>
      </c>
      <c r="D951" s="174" t="s">
        <v>2397</v>
      </c>
      <c r="E951" s="175"/>
      <c r="F951" s="13" t="s">
        <v>2854</v>
      </c>
      <c r="G951" s="82">
        <v>50.7</v>
      </c>
      <c r="H951" s="62">
        <v>0</v>
      </c>
      <c r="I951" s="5"/>
    </row>
    <row r="952" spans="1:9" ht="12.2" customHeight="1" x14ac:dyDescent="0.2">
      <c r="A952" s="5"/>
      <c r="D952" s="54" t="s">
        <v>3239</v>
      </c>
      <c r="E952" s="196"/>
      <c r="F952" s="197"/>
      <c r="G952" s="57">
        <v>50.7</v>
      </c>
      <c r="H952" s="63"/>
      <c r="I952" s="5"/>
    </row>
    <row r="953" spans="1:9" x14ac:dyDescent="0.2">
      <c r="A953" s="6" t="s">
        <v>590</v>
      </c>
      <c r="B953" s="15" t="s">
        <v>2894</v>
      </c>
      <c r="C953" s="15" t="s">
        <v>1403</v>
      </c>
      <c r="D953" s="182" t="s">
        <v>2398</v>
      </c>
      <c r="E953" s="183"/>
      <c r="F953" s="15" t="s">
        <v>2854</v>
      </c>
      <c r="G953" s="84">
        <v>41.055</v>
      </c>
      <c r="H953" s="64">
        <v>0</v>
      </c>
      <c r="I953" s="5"/>
    </row>
    <row r="954" spans="1:9" ht="12.2" customHeight="1" x14ac:dyDescent="0.2">
      <c r="A954" s="5"/>
      <c r="D954" s="54" t="s">
        <v>3240</v>
      </c>
      <c r="E954" s="196"/>
      <c r="F954" s="197"/>
      <c r="G954" s="58">
        <v>39.1</v>
      </c>
      <c r="H954" s="63"/>
      <c r="I954" s="5"/>
    </row>
    <row r="955" spans="1:9" ht="12.2" customHeight="1" x14ac:dyDescent="0.2">
      <c r="A955" s="6"/>
      <c r="B955" s="15"/>
      <c r="C955" s="15"/>
      <c r="D955" s="54" t="s">
        <v>3241</v>
      </c>
      <c r="E955" s="196"/>
      <c r="F955" s="196"/>
      <c r="G955" s="85">
        <v>1.9550000000000001</v>
      </c>
      <c r="H955" s="32"/>
      <c r="I955" s="5"/>
    </row>
    <row r="956" spans="1:9" x14ac:dyDescent="0.2">
      <c r="A956" s="4" t="s">
        <v>591</v>
      </c>
      <c r="B956" s="13" t="s">
        <v>2894</v>
      </c>
      <c r="C956" s="13" t="s">
        <v>1402</v>
      </c>
      <c r="D956" s="174" t="s">
        <v>2399</v>
      </c>
      <c r="E956" s="175"/>
      <c r="F956" s="13" t="s">
        <v>2854</v>
      </c>
      <c r="G956" s="82">
        <v>126.8</v>
      </c>
      <c r="H956" s="62">
        <v>0</v>
      </c>
      <c r="I956" s="5"/>
    </row>
    <row r="957" spans="1:9" ht="12.2" customHeight="1" x14ac:dyDescent="0.2">
      <c r="A957" s="5"/>
      <c r="D957" s="54" t="s">
        <v>3242</v>
      </c>
      <c r="E957" s="196"/>
      <c r="F957" s="197"/>
      <c r="G957" s="57">
        <v>126.8</v>
      </c>
      <c r="H957" s="63"/>
      <c r="I957" s="5"/>
    </row>
    <row r="958" spans="1:9" x14ac:dyDescent="0.2">
      <c r="A958" s="6" t="s">
        <v>592</v>
      </c>
      <c r="B958" s="15" t="s">
        <v>2894</v>
      </c>
      <c r="C958" s="15" t="s">
        <v>1403</v>
      </c>
      <c r="D958" s="182" t="s">
        <v>2398</v>
      </c>
      <c r="E958" s="183"/>
      <c r="F958" s="15" t="s">
        <v>2854</v>
      </c>
      <c r="G958" s="84">
        <v>133.13999999999999</v>
      </c>
      <c r="H958" s="64">
        <v>0</v>
      </c>
      <c r="I958" s="5"/>
    </row>
    <row r="959" spans="1:9" ht="12.2" customHeight="1" x14ac:dyDescent="0.2">
      <c r="A959" s="5"/>
      <c r="D959" s="54" t="s">
        <v>3243</v>
      </c>
      <c r="E959" s="196"/>
      <c r="F959" s="197"/>
      <c r="G959" s="58">
        <v>126.8</v>
      </c>
      <c r="H959" s="63"/>
      <c r="I959" s="5"/>
    </row>
    <row r="960" spans="1:9" ht="12.2" customHeight="1" x14ac:dyDescent="0.2">
      <c r="A960" s="6"/>
      <c r="B960" s="15"/>
      <c r="C960" s="15"/>
      <c r="D960" s="54" t="s">
        <v>3244</v>
      </c>
      <c r="E960" s="196"/>
      <c r="F960" s="196"/>
      <c r="G960" s="85">
        <v>6.34</v>
      </c>
      <c r="H960" s="32"/>
      <c r="I960" s="5"/>
    </row>
    <row r="961" spans="1:9" x14ac:dyDescent="0.2">
      <c r="A961" s="4" t="s">
        <v>593</v>
      </c>
      <c r="B961" s="13" t="s">
        <v>2894</v>
      </c>
      <c r="C961" s="13" t="s">
        <v>1404</v>
      </c>
      <c r="D961" s="174" t="s">
        <v>2400</v>
      </c>
      <c r="E961" s="175"/>
      <c r="F961" s="13" t="s">
        <v>2854</v>
      </c>
      <c r="G961" s="82">
        <v>177.5</v>
      </c>
      <c r="H961" s="62">
        <v>0</v>
      </c>
      <c r="I961" s="5"/>
    </row>
    <row r="962" spans="1:9" ht="12.2" customHeight="1" x14ac:dyDescent="0.2">
      <c r="A962" s="5"/>
      <c r="D962" s="54" t="s">
        <v>3245</v>
      </c>
      <c r="E962" s="196"/>
      <c r="F962" s="197"/>
      <c r="G962" s="57">
        <v>177.5</v>
      </c>
      <c r="H962" s="63"/>
      <c r="I962" s="5"/>
    </row>
    <row r="963" spans="1:9" x14ac:dyDescent="0.2">
      <c r="A963" s="4" t="s">
        <v>594</v>
      </c>
      <c r="B963" s="13" t="s">
        <v>2894</v>
      </c>
      <c r="C963" s="13" t="s">
        <v>1405</v>
      </c>
      <c r="D963" s="174" t="s">
        <v>2401</v>
      </c>
      <c r="E963" s="175"/>
      <c r="F963" s="13" t="s">
        <v>2856</v>
      </c>
      <c r="G963" s="82">
        <v>5.149</v>
      </c>
      <c r="H963" s="62">
        <v>0</v>
      </c>
      <c r="I963" s="5"/>
    </row>
    <row r="964" spans="1:9" ht="12.2" customHeight="1" x14ac:dyDescent="0.2">
      <c r="A964" s="5"/>
      <c r="D964" s="54" t="s">
        <v>3246</v>
      </c>
      <c r="E964" s="196"/>
      <c r="F964" s="197"/>
      <c r="G964" s="57">
        <v>5.149</v>
      </c>
      <c r="H964" s="63"/>
      <c r="I964" s="5"/>
    </row>
    <row r="965" spans="1:9" x14ac:dyDescent="0.2">
      <c r="A965" s="4" t="s">
        <v>595</v>
      </c>
      <c r="B965" s="13" t="s">
        <v>2894</v>
      </c>
      <c r="C965" s="13" t="s">
        <v>1406</v>
      </c>
      <c r="D965" s="174" t="s">
        <v>2403</v>
      </c>
      <c r="E965" s="175"/>
      <c r="F965" s="13" t="s">
        <v>2854</v>
      </c>
      <c r="G965" s="82">
        <v>322.7</v>
      </c>
      <c r="H965" s="62">
        <v>0</v>
      </c>
      <c r="I965" s="5"/>
    </row>
    <row r="966" spans="1:9" ht="12.2" customHeight="1" x14ac:dyDescent="0.2">
      <c r="A966" s="5"/>
      <c r="D966" s="54" t="s">
        <v>3247</v>
      </c>
      <c r="E966" s="196"/>
      <c r="F966" s="197"/>
      <c r="G966" s="57">
        <v>322.7</v>
      </c>
      <c r="H966" s="63"/>
      <c r="I966" s="5"/>
    </row>
    <row r="967" spans="1:9" x14ac:dyDescent="0.2">
      <c r="A967" s="4" t="s">
        <v>596</v>
      </c>
      <c r="B967" s="13" t="s">
        <v>2894</v>
      </c>
      <c r="C967" s="13" t="s">
        <v>1407</v>
      </c>
      <c r="D967" s="174" t="s">
        <v>2404</v>
      </c>
      <c r="E967" s="175"/>
      <c r="F967" s="13" t="s">
        <v>2854</v>
      </c>
      <c r="G967" s="82">
        <v>322.7</v>
      </c>
      <c r="H967" s="62">
        <v>0</v>
      </c>
      <c r="I967" s="5"/>
    </row>
    <row r="968" spans="1:9" ht="12.2" customHeight="1" x14ac:dyDescent="0.2">
      <c r="A968" s="5"/>
      <c r="D968" s="54" t="s">
        <v>3248</v>
      </c>
      <c r="E968" s="196"/>
      <c r="F968" s="197"/>
      <c r="G968" s="57">
        <v>322.7</v>
      </c>
      <c r="H968" s="63"/>
      <c r="I968" s="5"/>
    </row>
    <row r="969" spans="1:9" x14ac:dyDescent="0.2">
      <c r="A969" s="4" t="s">
        <v>597</v>
      </c>
      <c r="B969" s="13" t="s">
        <v>2894</v>
      </c>
      <c r="C969" s="13" t="s">
        <v>1408</v>
      </c>
      <c r="D969" s="174" t="s">
        <v>2405</v>
      </c>
      <c r="E969" s="175"/>
      <c r="F969" s="13" t="s">
        <v>2855</v>
      </c>
      <c r="G969" s="82">
        <v>182.39</v>
      </c>
      <c r="H969" s="62">
        <v>0</v>
      </c>
      <c r="I969" s="5"/>
    </row>
    <row r="970" spans="1:9" ht="12.2" customHeight="1" x14ac:dyDescent="0.2">
      <c r="A970" s="5"/>
      <c r="D970" s="54" t="s">
        <v>3249</v>
      </c>
      <c r="E970" s="196"/>
      <c r="F970" s="197"/>
      <c r="G970" s="57">
        <v>182.39</v>
      </c>
      <c r="H970" s="63"/>
      <c r="I970" s="5"/>
    </row>
    <row r="971" spans="1:9" x14ac:dyDescent="0.2">
      <c r="A971" s="6" t="s">
        <v>598</v>
      </c>
      <c r="B971" s="15" t="s">
        <v>2894</v>
      </c>
      <c r="C971" s="15" t="s">
        <v>1409</v>
      </c>
      <c r="D971" s="182" t="s">
        <v>2406</v>
      </c>
      <c r="E971" s="183"/>
      <c r="F971" s="15" t="s">
        <v>2855</v>
      </c>
      <c r="G971" s="84">
        <v>191.51</v>
      </c>
      <c r="H971" s="64">
        <v>0</v>
      </c>
      <c r="I971" s="5"/>
    </row>
    <row r="972" spans="1:9" ht="12.2" customHeight="1" x14ac:dyDescent="0.2">
      <c r="A972" s="5"/>
      <c r="D972" s="54" t="s">
        <v>3250</v>
      </c>
      <c r="E972" s="196"/>
      <c r="F972" s="197"/>
      <c r="G972" s="58">
        <v>182.39</v>
      </c>
      <c r="H972" s="63"/>
      <c r="I972" s="5"/>
    </row>
    <row r="973" spans="1:9" ht="12.2" customHeight="1" x14ac:dyDescent="0.2">
      <c r="A973" s="6"/>
      <c r="B973" s="15"/>
      <c r="C973" s="15"/>
      <c r="D973" s="54" t="s">
        <v>3251</v>
      </c>
      <c r="E973" s="196"/>
      <c r="F973" s="196"/>
      <c r="G973" s="85">
        <v>9.1199999999999992</v>
      </c>
      <c r="H973" s="32"/>
      <c r="I973" s="5"/>
    </row>
    <row r="974" spans="1:9" x14ac:dyDescent="0.2">
      <c r="A974" s="4" t="s">
        <v>599</v>
      </c>
      <c r="B974" s="13" t="s">
        <v>2894</v>
      </c>
      <c r="C974" s="13" t="s">
        <v>1410</v>
      </c>
      <c r="D974" s="174" t="s">
        <v>2407</v>
      </c>
      <c r="E974" s="175"/>
      <c r="F974" s="13" t="s">
        <v>2854</v>
      </c>
      <c r="G974" s="82">
        <v>322.7</v>
      </c>
      <c r="H974" s="62">
        <v>0</v>
      </c>
      <c r="I974" s="5"/>
    </row>
    <row r="975" spans="1:9" ht="12.2" customHeight="1" x14ac:dyDescent="0.2">
      <c r="A975" s="5"/>
      <c r="D975" s="54" t="s">
        <v>3247</v>
      </c>
      <c r="E975" s="196"/>
      <c r="F975" s="197"/>
      <c r="G975" s="57">
        <v>322.7</v>
      </c>
      <c r="H975" s="63"/>
      <c r="I975" s="5"/>
    </row>
    <row r="976" spans="1:9" x14ac:dyDescent="0.2">
      <c r="A976" s="6" t="s">
        <v>600</v>
      </c>
      <c r="B976" s="15" t="s">
        <v>2894</v>
      </c>
      <c r="C976" s="15" t="s">
        <v>1411</v>
      </c>
      <c r="D976" s="182" t="s">
        <v>2408</v>
      </c>
      <c r="E976" s="183"/>
      <c r="F976" s="15" t="s">
        <v>2854</v>
      </c>
      <c r="G976" s="84">
        <v>354.97</v>
      </c>
      <c r="H976" s="64">
        <v>0</v>
      </c>
      <c r="I976" s="5"/>
    </row>
    <row r="977" spans="1:9" ht="12.2" customHeight="1" x14ac:dyDescent="0.2">
      <c r="A977" s="5"/>
      <c r="D977" s="54" t="s">
        <v>3248</v>
      </c>
      <c r="E977" s="196"/>
      <c r="F977" s="197"/>
      <c r="G977" s="58">
        <v>322.7</v>
      </c>
      <c r="H977" s="63"/>
      <c r="I977" s="5"/>
    </row>
    <row r="978" spans="1:9" ht="12.2" customHeight="1" x14ac:dyDescent="0.2">
      <c r="A978" s="6"/>
      <c r="B978" s="15"/>
      <c r="C978" s="15"/>
      <c r="D978" s="54" t="s">
        <v>3252</v>
      </c>
      <c r="E978" s="196"/>
      <c r="F978" s="196"/>
      <c r="G978" s="85">
        <v>32.270000000000003</v>
      </c>
      <c r="H978" s="32"/>
      <c r="I978" s="5"/>
    </row>
    <row r="979" spans="1:9" x14ac:dyDescent="0.2">
      <c r="A979" s="4" t="s">
        <v>601</v>
      </c>
      <c r="B979" s="13" t="s">
        <v>2894</v>
      </c>
      <c r="C979" s="13" t="s">
        <v>1412</v>
      </c>
      <c r="D979" s="174" t="s">
        <v>2409</v>
      </c>
      <c r="E979" s="175"/>
      <c r="F979" s="13" t="s">
        <v>2856</v>
      </c>
      <c r="G979" s="82">
        <v>1.3169999999999999</v>
      </c>
      <c r="H979" s="62">
        <v>0</v>
      </c>
      <c r="I979" s="5"/>
    </row>
    <row r="980" spans="1:9" ht="12.2" customHeight="1" x14ac:dyDescent="0.2">
      <c r="A980" s="5"/>
      <c r="D980" s="54" t="s">
        <v>3253</v>
      </c>
      <c r="E980" s="196"/>
      <c r="F980" s="197"/>
      <c r="G980" s="57">
        <v>1.3169999999999999</v>
      </c>
      <c r="H980" s="63"/>
      <c r="I980" s="5"/>
    </row>
    <row r="981" spans="1:9" x14ac:dyDescent="0.2">
      <c r="A981" s="4" t="s">
        <v>602</v>
      </c>
      <c r="B981" s="13" t="s">
        <v>2894</v>
      </c>
      <c r="C981" s="13" t="s">
        <v>1413</v>
      </c>
      <c r="D981" s="174" t="s">
        <v>2411</v>
      </c>
      <c r="E981" s="175"/>
      <c r="F981" s="13" t="s">
        <v>2854</v>
      </c>
      <c r="G981" s="82">
        <v>144.55600000000001</v>
      </c>
      <c r="H981" s="62">
        <v>0</v>
      </c>
      <c r="I981" s="5"/>
    </row>
    <row r="982" spans="1:9" ht="12.2" customHeight="1" x14ac:dyDescent="0.2">
      <c r="A982" s="5"/>
      <c r="D982" s="54" t="s">
        <v>3254</v>
      </c>
      <c r="E982" s="196"/>
      <c r="F982" s="197"/>
      <c r="G982" s="57">
        <v>144.55600000000001</v>
      </c>
      <c r="H982" s="63"/>
      <c r="I982" s="5"/>
    </row>
    <row r="983" spans="1:9" x14ac:dyDescent="0.2">
      <c r="A983" s="4" t="s">
        <v>603</v>
      </c>
      <c r="B983" s="13" t="s">
        <v>2894</v>
      </c>
      <c r="C983" s="13" t="s">
        <v>1414</v>
      </c>
      <c r="D983" s="174" t="s">
        <v>2412</v>
      </c>
      <c r="E983" s="175"/>
      <c r="F983" s="13" t="s">
        <v>2855</v>
      </c>
      <c r="G983" s="82">
        <v>67.06</v>
      </c>
      <c r="H983" s="62">
        <v>0</v>
      </c>
      <c r="I983" s="5"/>
    </row>
    <row r="984" spans="1:9" ht="12.2" customHeight="1" x14ac:dyDescent="0.2">
      <c r="A984" s="5"/>
      <c r="D984" s="54" t="s">
        <v>3255</v>
      </c>
      <c r="E984" s="196"/>
      <c r="F984" s="197"/>
      <c r="G984" s="57">
        <v>67.06</v>
      </c>
      <c r="H984" s="63"/>
      <c r="I984" s="5"/>
    </row>
    <row r="985" spans="1:9" x14ac:dyDescent="0.2">
      <c r="A985" s="4" t="s">
        <v>604</v>
      </c>
      <c r="B985" s="13" t="s">
        <v>2894</v>
      </c>
      <c r="C985" s="13" t="s">
        <v>1415</v>
      </c>
      <c r="D985" s="174" t="s">
        <v>2413</v>
      </c>
      <c r="E985" s="175"/>
      <c r="F985" s="13" t="s">
        <v>2855</v>
      </c>
      <c r="G985" s="82">
        <v>59.21</v>
      </c>
      <c r="H985" s="62">
        <v>0</v>
      </c>
      <c r="I985" s="5"/>
    </row>
    <row r="986" spans="1:9" ht="12.2" customHeight="1" x14ac:dyDescent="0.2">
      <c r="A986" s="5"/>
      <c r="D986" s="54" t="s">
        <v>3256</v>
      </c>
      <c r="E986" s="196"/>
      <c r="F986" s="197"/>
      <c r="G986" s="57">
        <v>59.21</v>
      </c>
      <c r="H986" s="63"/>
      <c r="I986" s="5"/>
    </row>
    <row r="987" spans="1:9" x14ac:dyDescent="0.2">
      <c r="A987" s="6" t="s">
        <v>605</v>
      </c>
      <c r="B987" s="15" t="s">
        <v>2894</v>
      </c>
      <c r="C987" s="15" t="s">
        <v>1416</v>
      </c>
      <c r="D987" s="182" t="s">
        <v>2414</v>
      </c>
      <c r="E987" s="183"/>
      <c r="F987" s="15" t="s">
        <v>2855</v>
      </c>
      <c r="G987" s="84">
        <v>62.170999999999999</v>
      </c>
      <c r="H987" s="64">
        <v>0</v>
      </c>
      <c r="I987" s="5"/>
    </row>
    <row r="988" spans="1:9" ht="12.2" customHeight="1" x14ac:dyDescent="0.2">
      <c r="A988" s="5"/>
      <c r="D988" s="54" t="s">
        <v>3257</v>
      </c>
      <c r="E988" s="196"/>
      <c r="F988" s="197"/>
      <c r="G988" s="58">
        <v>59.21</v>
      </c>
      <c r="H988" s="63"/>
      <c r="I988" s="5"/>
    </row>
    <row r="989" spans="1:9" ht="12.2" customHeight="1" x14ac:dyDescent="0.2">
      <c r="A989" s="6"/>
      <c r="B989" s="15"/>
      <c r="C989" s="15"/>
      <c r="D989" s="54" t="s">
        <v>3258</v>
      </c>
      <c r="E989" s="196"/>
      <c r="F989" s="196"/>
      <c r="G989" s="85">
        <v>2.9609999999999999</v>
      </c>
      <c r="H989" s="32"/>
      <c r="I989" s="5"/>
    </row>
    <row r="990" spans="1:9" x14ac:dyDescent="0.2">
      <c r="A990" s="4" t="s">
        <v>606</v>
      </c>
      <c r="B990" s="13" t="s">
        <v>2894</v>
      </c>
      <c r="C990" s="13" t="s">
        <v>1417</v>
      </c>
      <c r="D990" s="174" t="s">
        <v>2415</v>
      </c>
      <c r="E990" s="175"/>
      <c r="F990" s="13" t="s">
        <v>2854</v>
      </c>
      <c r="G990" s="82">
        <v>7.2</v>
      </c>
      <c r="H990" s="62">
        <v>0</v>
      </c>
      <c r="I990" s="5"/>
    </row>
    <row r="991" spans="1:9" ht="12.2" customHeight="1" x14ac:dyDescent="0.2">
      <c r="A991" s="5"/>
      <c r="D991" s="54" t="s">
        <v>3259</v>
      </c>
      <c r="E991" s="196"/>
      <c r="F991" s="197"/>
      <c r="G991" s="57">
        <v>7.2</v>
      </c>
      <c r="H991" s="63"/>
      <c r="I991" s="5"/>
    </row>
    <row r="992" spans="1:9" x14ac:dyDescent="0.2">
      <c r="A992" s="6" t="s">
        <v>607</v>
      </c>
      <c r="B992" s="15" t="s">
        <v>2894</v>
      </c>
      <c r="C992" s="15" t="s">
        <v>1418</v>
      </c>
      <c r="D992" s="182" t="s">
        <v>2416</v>
      </c>
      <c r="E992" s="183"/>
      <c r="F992" s="15" t="s">
        <v>2854</v>
      </c>
      <c r="G992" s="84">
        <v>8.19</v>
      </c>
      <c r="H992" s="64">
        <v>0</v>
      </c>
      <c r="I992" s="5"/>
    </row>
    <row r="993" spans="1:9" ht="12.2" customHeight="1" x14ac:dyDescent="0.2">
      <c r="A993" s="5"/>
      <c r="D993" s="54" t="s">
        <v>3260</v>
      </c>
      <c r="E993" s="196"/>
      <c r="F993" s="197"/>
      <c r="G993" s="58">
        <v>7.8</v>
      </c>
      <c r="H993" s="63"/>
      <c r="I993" s="5"/>
    </row>
    <row r="994" spans="1:9" ht="12.2" customHeight="1" x14ac:dyDescent="0.2">
      <c r="A994" s="6"/>
      <c r="B994" s="15"/>
      <c r="C994" s="15"/>
      <c r="D994" s="54" t="s">
        <v>3261</v>
      </c>
      <c r="E994" s="196"/>
      <c r="F994" s="196"/>
      <c r="G994" s="85">
        <v>0.39</v>
      </c>
      <c r="H994" s="32"/>
      <c r="I994" s="5"/>
    </row>
    <row r="995" spans="1:9" x14ac:dyDescent="0.2">
      <c r="A995" s="4" t="s">
        <v>608</v>
      </c>
      <c r="B995" s="13" t="s">
        <v>2894</v>
      </c>
      <c r="C995" s="13" t="s">
        <v>1419</v>
      </c>
      <c r="D995" s="174" t="s">
        <v>2417</v>
      </c>
      <c r="E995" s="175"/>
      <c r="F995" s="13" t="s">
        <v>2854</v>
      </c>
      <c r="G995" s="82">
        <v>1.2</v>
      </c>
      <c r="H995" s="62">
        <v>0</v>
      </c>
      <c r="I995" s="5"/>
    </row>
    <row r="996" spans="1:9" ht="12.2" customHeight="1" x14ac:dyDescent="0.2">
      <c r="A996" s="5"/>
      <c r="D996" s="54" t="s">
        <v>3262</v>
      </c>
      <c r="E996" s="196"/>
      <c r="F996" s="197"/>
      <c r="G996" s="57">
        <v>1.2</v>
      </c>
      <c r="H996" s="63"/>
      <c r="I996" s="5"/>
    </row>
    <row r="997" spans="1:9" x14ac:dyDescent="0.2">
      <c r="A997" s="6" t="s">
        <v>609</v>
      </c>
      <c r="B997" s="15" t="s">
        <v>2894</v>
      </c>
      <c r="C997" s="15" t="s">
        <v>1420</v>
      </c>
      <c r="D997" s="182" t="s">
        <v>2418</v>
      </c>
      <c r="E997" s="183"/>
      <c r="F997" s="15" t="s">
        <v>2854</v>
      </c>
      <c r="G997" s="84">
        <v>1.38</v>
      </c>
      <c r="H997" s="64">
        <v>0</v>
      </c>
      <c r="I997" s="5"/>
    </row>
    <row r="998" spans="1:9" ht="12.2" customHeight="1" x14ac:dyDescent="0.2">
      <c r="A998" s="5"/>
      <c r="D998" s="54" t="s">
        <v>3263</v>
      </c>
      <c r="E998" s="196"/>
      <c r="F998" s="197"/>
      <c r="G998" s="58">
        <v>1.2</v>
      </c>
      <c r="H998" s="63"/>
      <c r="I998" s="5"/>
    </row>
    <row r="999" spans="1:9" ht="12.2" customHeight="1" x14ac:dyDescent="0.2">
      <c r="A999" s="6"/>
      <c r="B999" s="15"/>
      <c r="C999" s="15"/>
      <c r="D999" s="54" t="s">
        <v>3264</v>
      </c>
      <c r="E999" s="196"/>
      <c r="F999" s="196"/>
      <c r="G999" s="85">
        <v>0.18</v>
      </c>
      <c r="H999" s="32"/>
      <c r="I999" s="5"/>
    </row>
    <row r="1000" spans="1:9" x14ac:dyDescent="0.2">
      <c r="A1000" s="4" t="s">
        <v>610</v>
      </c>
      <c r="B1000" s="13" t="s">
        <v>2894</v>
      </c>
      <c r="C1000" s="13" t="s">
        <v>1421</v>
      </c>
      <c r="D1000" s="174" t="s">
        <v>2419</v>
      </c>
      <c r="E1000" s="175"/>
      <c r="F1000" s="13" t="s">
        <v>2854</v>
      </c>
      <c r="G1000" s="82">
        <v>0.75</v>
      </c>
      <c r="H1000" s="62">
        <v>0</v>
      </c>
      <c r="I1000" s="5"/>
    </row>
    <row r="1001" spans="1:9" ht="12.2" customHeight="1" x14ac:dyDescent="0.2">
      <c r="A1001" s="5"/>
      <c r="D1001" s="54" t="s">
        <v>3265</v>
      </c>
      <c r="E1001" s="196"/>
      <c r="F1001" s="197"/>
      <c r="G1001" s="57">
        <v>0.75</v>
      </c>
      <c r="H1001" s="63"/>
      <c r="I1001" s="5"/>
    </row>
    <row r="1002" spans="1:9" x14ac:dyDescent="0.2">
      <c r="A1002" s="6" t="s">
        <v>611</v>
      </c>
      <c r="B1002" s="15" t="s">
        <v>2894</v>
      </c>
      <c r="C1002" s="15" t="s">
        <v>1420</v>
      </c>
      <c r="D1002" s="182" t="s">
        <v>2418</v>
      </c>
      <c r="E1002" s="183"/>
      <c r="F1002" s="15" t="s">
        <v>2854</v>
      </c>
      <c r="G1002" s="84">
        <v>0.86299999999999999</v>
      </c>
      <c r="H1002" s="64">
        <v>0</v>
      </c>
      <c r="I1002" s="5"/>
    </row>
    <row r="1003" spans="1:9" ht="12.2" customHeight="1" x14ac:dyDescent="0.2">
      <c r="A1003" s="5"/>
      <c r="D1003" s="54" t="s">
        <v>3266</v>
      </c>
      <c r="E1003" s="196"/>
      <c r="F1003" s="197"/>
      <c r="G1003" s="58">
        <v>0.75</v>
      </c>
      <c r="H1003" s="63"/>
      <c r="I1003" s="5"/>
    </row>
    <row r="1004" spans="1:9" ht="12.2" customHeight="1" x14ac:dyDescent="0.2">
      <c r="A1004" s="6"/>
      <c r="B1004" s="15"/>
      <c r="C1004" s="15"/>
      <c r="D1004" s="54" t="s">
        <v>3267</v>
      </c>
      <c r="E1004" s="196"/>
      <c r="F1004" s="196"/>
      <c r="G1004" s="85">
        <v>0.113</v>
      </c>
      <c r="H1004" s="32"/>
      <c r="I1004" s="5"/>
    </row>
    <row r="1005" spans="1:9" x14ac:dyDescent="0.2">
      <c r="A1005" s="4" t="s">
        <v>612</v>
      </c>
      <c r="B1005" s="13" t="s">
        <v>2894</v>
      </c>
      <c r="C1005" s="13" t="s">
        <v>1422</v>
      </c>
      <c r="D1005" s="174" t="s">
        <v>2420</v>
      </c>
      <c r="E1005" s="175"/>
      <c r="F1005" s="13" t="s">
        <v>2854</v>
      </c>
      <c r="G1005" s="82">
        <v>144.55600000000001</v>
      </c>
      <c r="H1005" s="62">
        <v>0</v>
      </c>
      <c r="I1005" s="5"/>
    </row>
    <row r="1006" spans="1:9" ht="12.2" customHeight="1" x14ac:dyDescent="0.2">
      <c r="A1006" s="5"/>
      <c r="D1006" s="54" t="s">
        <v>3254</v>
      </c>
      <c r="E1006" s="196"/>
      <c r="F1006" s="197"/>
      <c r="G1006" s="57">
        <v>144.55600000000001</v>
      </c>
      <c r="H1006" s="63"/>
      <c r="I1006" s="5"/>
    </row>
    <row r="1007" spans="1:9" x14ac:dyDescent="0.2">
      <c r="A1007" s="4" t="s">
        <v>613</v>
      </c>
      <c r="B1007" s="13" t="s">
        <v>2894</v>
      </c>
      <c r="C1007" s="13" t="s">
        <v>1423</v>
      </c>
      <c r="D1007" s="174" t="s">
        <v>2421</v>
      </c>
      <c r="E1007" s="175"/>
      <c r="F1007" s="13" t="s">
        <v>2854</v>
      </c>
      <c r="G1007" s="82">
        <v>135.40600000000001</v>
      </c>
      <c r="H1007" s="62">
        <v>0</v>
      </c>
      <c r="I1007" s="5"/>
    </row>
    <row r="1008" spans="1:9" ht="12.2" customHeight="1" x14ac:dyDescent="0.2">
      <c r="A1008" s="5"/>
      <c r="D1008" s="54" t="s">
        <v>3268</v>
      </c>
      <c r="E1008" s="196"/>
      <c r="F1008" s="197"/>
      <c r="G1008" s="57">
        <v>47.984000000000002</v>
      </c>
      <c r="H1008" s="63"/>
      <c r="I1008" s="5"/>
    </row>
    <row r="1009" spans="1:9" ht="12.2" customHeight="1" x14ac:dyDescent="0.2">
      <c r="A1009" s="4"/>
      <c r="B1009" s="13"/>
      <c r="C1009" s="13"/>
      <c r="D1009" s="54" t="s">
        <v>3269</v>
      </c>
      <c r="E1009" s="196"/>
      <c r="F1009" s="196"/>
      <c r="G1009" s="83">
        <v>26.611999999999998</v>
      </c>
      <c r="H1009" s="31"/>
      <c r="I1009" s="5"/>
    </row>
    <row r="1010" spans="1:9" ht="12.2" customHeight="1" x14ac:dyDescent="0.2">
      <c r="A1010" s="4"/>
      <c r="B1010" s="13"/>
      <c r="C1010" s="13"/>
      <c r="D1010" s="54" t="s">
        <v>3270</v>
      </c>
      <c r="E1010" s="196"/>
      <c r="F1010" s="196"/>
      <c r="G1010" s="83">
        <v>60.81</v>
      </c>
      <c r="H1010" s="31"/>
      <c r="I1010" s="5"/>
    </row>
    <row r="1011" spans="1:9" x14ac:dyDescent="0.2">
      <c r="A1011" s="6" t="s">
        <v>614</v>
      </c>
      <c r="B1011" s="15" t="s">
        <v>2894</v>
      </c>
      <c r="C1011" s="15" t="s">
        <v>1420</v>
      </c>
      <c r="D1011" s="182" t="s">
        <v>2418</v>
      </c>
      <c r="E1011" s="183"/>
      <c r="F1011" s="15" t="s">
        <v>2854</v>
      </c>
      <c r="G1011" s="84">
        <v>142.17599999999999</v>
      </c>
      <c r="H1011" s="64">
        <v>0</v>
      </c>
      <c r="I1011" s="5"/>
    </row>
    <row r="1012" spans="1:9" ht="12.2" customHeight="1" x14ac:dyDescent="0.2">
      <c r="A1012" s="5"/>
      <c r="D1012" s="54" t="s">
        <v>3271</v>
      </c>
      <c r="E1012" s="196"/>
      <c r="F1012" s="197"/>
      <c r="G1012" s="58">
        <v>135.40600000000001</v>
      </c>
      <c r="H1012" s="63"/>
      <c r="I1012" s="5"/>
    </row>
    <row r="1013" spans="1:9" ht="12.2" customHeight="1" x14ac:dyDescent="0.2">
      <c r="A1013" s="6"/>
      <c r="B1013" s="15"/>
      <c r="C1013" s="15"/>
      <c r="D1013" s="54" t="s">
        <v>3272</v>
      </c>
      <c r="E1013" s="196"/>
      <c r="F1013" s="196"/>
      <c r="G1013" s="85">
        <v>6.77</v>
      </c>
      <c r="H1013" s="32"/>
      <c r="I1013" s="5"/>
    </row>
    <row r="1014" spans="1:9" x14ac:dyDescent="0.2">
      <c r="A1014" s="4" t="s">
        <v>615</v>
      </c>
      <c r="B1014" s="13" t="s">
        <v>2894</v>
      </c>
      <c r="C1014" s="13" t="s">
        <v>1424</v>
      </c>
      <c r="D1014" s="174" t="s">
        <v>2422</v>
      </c>
      <c r="E1014" s="175"/>
      <c r="F1014" s="13" t="s">
        <v>2854</v>
      </c>
      <c r="G1014" s="82">
        <v>144.55600000000001</v>
      </c>
      <c r="H1014" s="62">
        <v>0</v>
      </c>
      <c r="I1014" s="5"/>
    </row>
    <row r="1015" spans="1:9" ht="12.2" customHeight="1" x14ac:dyDescent="0.2">
      <c r="A1015" s="5"/>
      <c r="D1015" s="54" t="s">
        <v>3254</v>
      </c>
      <c r="E1015" s="196"/>
      <c r="F1015" s="197"/>
      <c r="G1015" s="57">
        <v>144.55600000000001</v>
      </c>
      <c r="H1015" s="63"/>
      <c r="I1015" s="5"/>
    </row>
    <row r="1016" spans="1:9" x14ac:dyDescent="0.2">
      <c r="A1016" s="4" t="s">
        <v>616</v>
      </c>
      <c r="B1016" s="13" t="s">
        <v>2894</v>
      </c>
      <c r="C1016" s="13" t="s">
        <v>1425</v>
      </c>
      <c r="D1016" s="174" t="s">
        <v>2423</v>
      </c>
      <c r="E1016" s="175"/>
      <c r="F1016" s="13" t="s">
        <v>2855</v>
      </c>
      <c r="G1016" s="82">
        <v>67.06</v>
      </c>
      <c r="H1016" s="62">
        <v>0</v>
      </c>
      <c r="I1016" s="5"/>
    </row>
    <row r="1017" spans="1:9" ht="12.2" customHeight="1" x14ac:dyDescent="0.2">
      <c r="A1017" s="5"/>
      <c r="D1017" s="54" t="s">
        <v>3255</v>
      </c>
      <c r="E1017" s="196"/>
      <c r="F1017" s="197"/>
      <c r="G1017" s="57">
        <v>67.06</v>
      </c>
      <c r="H1017" s="63"/>
      <c r="I1017" s="5"/>
    </row>
    <row r="1018" spans="1:9" x14ac:dyDescent="0.2">
      <c r="A1018" s="4" t="s">
        <v>617</v>
      </c>
      <c r="B1018" s="13" t="s">
        <v>2894</v>
      </c>
      <c r="C1018" s="13" t="s">
        <v>1426</v>
      </c>
      <c r="D1018" s="174" t="s">
        <v>2424</v>
      </c>
      <c r="E1018" s="175"/>
      <c r="F1018" s="13" t="s">
        <v>2855</v>
      </c>
      <c r="G1018" s="82">
        <v>64.209999999999994</v>
      </c>
      <c r="H1018" s="62">
        <v>0</v>
      </c>
      <c r="I1018" s="5"/>
    </row>
    <row r="1019" spans="1:9" ht="12.2" customHeight="1" x14ac:dyDescent="0.2">
      <c r="A1019" s="5"/>
      <c r="D1019" s="54" t="s">
        <v>3273</v>
      </c>
      <c r="E1019" s="196"/>
      <c r="F1019" s="197"/>
      <c r="G1019" s="57">
        <v>64.209999999999994</v>
      </c>
      <c r="H1019" s="63"/>
      <c r="I1019" s="5"/>
    </row>
    <row r="1020" spans="1:9" x14ac:dyDescent="0.2">
      <c r="A1020" s="6" t="s">
        <v>618</v>
      </c>
      <c r="B1020" s="15" t="s">
        <v>2894</v>
      </c>
      <c r="C1020" s="15" t="s">
        <v>1427</v>
      </c>
      <c r="D1020" s="182" t="s">
        <v>2425</v>
      </c>
      <c r="E1020" s="183"/>
      <c r="F1020" s="15" t="s">
        <v>2855</v>
      </c>
      <c r="G1020" s="84">
        <v>67.421000000000006</v>
      </c>
      <c r="H1020" s="64">
        <v>0</v>
      </c>
      <c r="I1020" s="5"/>
    </row>
    <row r="1021" spans="1:9" ht="12.2" customHeight="1" x14ac:dyDescent="0.2">
      <c r="A1021" s="5"/>
      <c r="D1021" s="54" t="s">
        <v>3274</v>
      </c>
      <c r="E1021" s="196"/>
      <c r="F1021" s="197"/>
      <c r="G1021" s="58">
        <v>64.209999999999994</v>
      </c>
      <c r="H1021" s="63"/>
      <c r="I1021" s="5"/>
    </row>
    <row r="1022" spans="1:9" ht="12.2" customHeight="1" x14ac:dyDescent="0.2">
      <c r="A1022" s="6"/>
      <c r="B1022" s="15"/>
      <c r="C1022" s="15"/>
      <c r="D1022" s="54" t="s">
        <v>3275</v>
      </c>
      <c r="E1022" s="196"/>
      <c r="F1022" s="196"/>
      <c r="G1022" s="85">
        <v>3.2109999999999999</v>
      </c>
      <c r="H1022" s="32"/>
      <c r="I1022" s="5"/>
    </row>
    <row r="1023" spans="1:9" x14ac:dyDescent="0.2">
      <c r="A1023" s="4" t="s">
        <v>619</v>
      </c>
      <c r="B1023" s="13" t="s">
        <v>2894</v>
      </c>
      <c r="C1023" s="13" t="s">
        <v>1426</v>
      </c>
      <c r="D1023" s="174" t="s">
        <v>2426</v>
      </c>
      <c r="E1023" s="175"/>
      <c r="F1023" s="13" t="s">
        <v>2855</v>
      </c>
      <c r="G1023" s="82">
        <v>20.399999999999999</v>
      </c>
      <c r="H1023" s="62">
        <v>0</v>
      </c>
      <c r="I1023" s="5"/>
    </row>
    <row r="1024" spans="1:9" ht="12.2" customHeight="1" x14ac:dyDescent="0.2">
      <c r="A1024" s="5"/>
      <c r="D1024" s="54" t="s">
        <v>3276</v>
      </c>
      <c r="E1024" s="196"/>
      <c r="F1024" s="197"/>
      <c r="G1024" s="57">
        <v>20.399999999999999</v>
      </c>
      <c r="H1024" s="63"/>
      <c r="I1024" s="5"/>
    </row>
    <row r="1025" spans="1:9" x14ac:dyDescent="0.2">
      <c r="A1025" s="6" t="s">
        <v>620</v>
      </c>
      <c r="B1025" s="15" t="s">
        <v>2894</v>
      </c>
      <c r="C1025" s="15" t="s">
        <v>1428</v>
      </c>
      <c r="D1025" s="182" t="s">
        <v>2427</v>
      </c>
      <c r="E1025" s="183"/>
      <c r="F1025" s="15" t="s">
        <v>2855</v>
      </c>
      <c r="G1025" s="84">
        <v>21.42</v>
      </c>
      <c r="H1025" s="64">
        <v>0</v>
      </c>
      <c r="I1025" s="5"/>
    </row>
    <row r="1026" spans="1:9" ht="12.2" customHeight="1" x14ac:dyDescent="0.2">
      <c r="A1026" s="5"/>
      <c r="D1026" s="54" t="s">
        <v>3277</v>
      </c>
      <c r="E1026" s="196"/>
      <c r="F1026" s="197"/>
      <c r="G1026" s="58">
        <v>20.399999999999999</v>
      </c>
      <c r="H1026" s="63"/>
      <c r="I1026" s="5"/>
    </row>
    <row r="1027" spans="1:9" ht="12.2" customHeight="1" x14ac:dyDescent="0.2">
      <c r="A1027" s="6"/>
      <c r="B1027" s="15"/>
      <c r="C1027" s="15"/>
      <c r="D1027" s="54" t="s">
        <v>3278</v>
      </c>
      <c r="E1027" s="196"/>
      <c r="F1027" s="196"/>
      <c r="G1027" s="85">
        <v>1.02</v>
      </c>
      <c r="H1027" s="32"/>
      <c r="I1027" s="5"/>
    </row>
    <row r="1028" spans="1:9" x14ac:dyDescent="0.2">
      <c r="A1028" s="4" t="s">
        <v>621</v>
      </c>
      <c r="B1028" s="13" t="s">
        <v>2894</v>
      </c>
      <c r="C1028" s="13" t="s">
        <v>1426</v>
      </c>
      <c r="D1028" s="174" t="s">
        <v>2428</v>
      </c>
      <c r="E1028" s="175"/>
      <c r="F1028" s="13" t="s">
        <v>2855</v>
      </c>
      <c r="G1028" s="82">
        <v>82.8</v>
      </c>
      <c r="H1028" s="62">
        <v>0</v>
      </c>
      <c r="I1028" s="5"/>
    </row>
    <row r="1029" spans="1:9" ht="12.2" customHeight="1" x14ac:dyDescent="0.2">
      <c r="A1029" s="5"/>
      <c r="D1029" s="54" t="s">
        <v>3279</v>
      </c>
      <c r="E1029" s="196"/>
      <c r="F1029" s="197"/>
      <c r="G1029" s="57">
        <v>82.8</v>
      </c>
      <c r="H1029" s="63"/>
      <c r="I1029" s="5"/>
    </row>
    <row r="1030" spans="1:9" x14ac:dyDescent="0.2">
      <c r="A1030" s="6" t="s">
        <v>622</v>
      </c>
      <c r="B1030" s="15" t="s">
        <v>2894</v>
      </c>
      <c r="C1030" s="15" t="s">
        <v>1429</v>
      </c>
      <c r="D1030" s="182" t="s">
        <v>2429</v>
      </c>
      <c r="E1030" s="183"/>
      <c r="F1030" s="15" t="s">
        <v>2855</v>
      </c>
      <c r="G1030" s="84">
        <v>86.94</v>
      </c>
      <c r="H1030" s="64">
        <v>0</v>
      </c>
      <c r="I1030" s="5"/>
    </row>
    <row r="1031" spans="1:9" ht="12.2" customHeight="1" x14ac:dyDescent="0.2">
      <c r="A1031" s="5"/>
      <c r="D1031" s="54" t="s">
        <v>3280</v>
      </c>
      <c r="E1031" s="196"/>
      <c r="F1031" s="197"/>
      <c r="G1031" s="58">
        <v>82.8</v>
      </c>
      <c r="H1031" s="63"/>
      <c r="I1031" s="5"/>
    </row>
    <row r="1032" spans="1:9" ht="12.2" customHeight="1" x14ac:dyDescent="0.2">
      <c r="A1032" s="6"/>
      <c r="B1032" s="15"/>
      <c r="C1032" s="15"/>
      <c r="D1032" s="54" t="s">
        <v>3281</v>
      </c>
      <c r="E1032" s="196"/>
      <c r="F1032" s="196"/>
      <c r="G1032" s="85">
        <v>4.1399999999999997</v>
      </c>
      <c r="H1032" s="32"/>
      <c r="I1032" s="5"/>
    </row>
    <row r="1033" spans="1:9" x14ac:dyDescent="0.2">
      <c r="A1033" s="4" t="s">
        <v>623</v>
      </c>
      <c r="B1033" s="13" t="s">
        <v>2894</v>
      </c>
      <c r="C1033" s="13" t="s">
        <v>1430</v>
      </c>
      <c r="D1033" s="174" t="s">
        <v>2430</v>
      </c>
      <c r="E1033" s="175"/>
      <c r="F1033" s="13" t="s">
        <v>2856</v>
      </c>
      <c r="G1033" s="82">
        <v>2.996</v>
      </c>
      <c r="H1033" s="62">
        <v>0</v>
      </c>
      <c r="I1033" s="5"/>
    </row>
    <row r="1034" spans="1:9" ht="12.2" customHeight="1" x14ac:dyDescent="0.2">
      <c r="A1034" s="5"/>
      <c r="D1034" s="54" t="s">
        <v>3282</v>
      </c>
      <c r="E1034" s="196"/>
      <c r="F1034" s="197"/>
      <c r="G1034" s="57">
        <v>2.996</v>
      </c>
      <c r="H1034" s="63"/>
      <c r="I1034" s="5"/>
    </row>
    <row r="1035" spans="1:9" x14ac:dyDescent="0.2">
      <c r="A1035" s="4" t="s">
        <v>624</v>
      </c>
      <c r="B1035" s="13" t="s">
        <v>2894</v>
      </c>
      <c r="C1035" s="13" t="s">
        <v>1431</v>
      </c>
      <c r="D1035" s="174" t="s">
        <v>2432</v>
      </c>
      <c r="E1035" s="175"/>
      <c r="F1035" s="13" t="s">
        <v>2854</v>
      </c>
      <c r="G1035" s="82">
        <v>823.71199999999999</v>
      </c>
      <c r="H1035" s="62">
        <v>0</v>
      </c>
      <c r="I1035" s="5"/>
    </row>
    <row r="1036" spans="1:9" ht="12.2" customHeight="1" x14ac:dyDescent="0.2">
      <c r="A1036" s="5"/>
      <c r="D1036" s="54" t="s">
        <v>3283</v>
      </c>
      <c r="E1036" s="196"/>
      <c r="F1036" s="197"/>
      <c r="G1036" s="57">
        <v>823.71199999999999</v>
      </c>
      <c r="H1036" s="63"/>
      <c r="I1036" s="5"/>
    </row>
    <row r="1037" spans="1:9" x14ac:dyDescent="0.2">
      <c r="A1037" s="4" t="s">
        <v>625</v>
      </c>
      <c r="B1037" s="13" t="s">
        <v>2894</v>
      </c>
      <c r="C1037" s="13" t="s">
        <v>1432</v>
      </c>
      <c r="D1037" s="174" t="s">
        <v>2433</v>
      </c>
      <c r="E1037" s="175"/>
      <c r="F1037" s="13" t="s">
        <v>2854</v>
      </c>
      <c r="G1037" s="82">
        <v>823.71199999999999</v>
      </c>
      <c r="H1037" s="62">
        <v>0</v>
      </c>
      <c r="I1037" s="5"/>
    </row>
    <row r="1038" spans="1:9" ht="12.2" customHeight="1" x14ac:dyDescent="0.2">
      <c r="A1038" s="5"/>
      <c r="D1038" s="54" t="s">
        <v>3283</v>
      </c>
      <c r="E1038" s="196"/>
      <c r="F1038" s="197"/>
      <c r="G1038" s="57">
        <v>823.71199999999999</v>
      </c>
      <c r="H1038" s="63"/>
      <c r="I1038" s="5"/>
    </row>
    <row r="1039" spans="1:9" x14ac:dyDescent="0.2">
      <c r="A1039" s="4" t="s">
        <v>626</v>
      </c>
      <c r="B1039" s="13" t="s">
        <v>2894</v>
      </c>
      <c r="C1039" s="13" t="s">
        <v>1433</v>
      </c>
      <c r="D1039" s="174" t="s">
        <v>2434</v>
      </c>
      <c r="E1039" s="175"/>
      <c r="F1039" s="13" t="s">
        <v>2854</v>
      </c>
      <c r="G1039" s="82">
        <v>432.2</v>
      </c>
      <c r="H1039" s="62">
        <v>0</v>
      </c>
      <c r="I1039" s="5"/>
    </row>
    <row r="1040" spans="1:9" ht="12.2" customHeight="1" x14ac:dyDescent="0.2">
      <c r="A1040" s="5"/>
      <c r="D1040" s="54" t="s">
        <v>3191</v>
      </c>
      <c r="E1040" s="196"/>
      <c r="F1040" s="197"/>
      <c r="G1040" s="57">
        <v>432.2</v>
      </c>
      <c r="H1040" s="63"/>
      <c r="I1040" s="5"/>
    </row>
    <row r="1041" spans="1:9" x14ac:dyDescent="0.2">
      <c r="A1041" s="4" t="s">
        <v>627</v>
      </c>
      <c r="B1041" s="13" t="s">
        <v>2894</v>
      </c>
      <c r="C1041" s="13" t="s">
        <v>1434</v>
      </c>
      <c r="D1041" s="174" t="s">
        <v>2435</v>
      </c>
      <c r="E1041" s="175"/>
      <c r="F1041" s="13" t="s">
        <v>2854</v>
      </c>
      <c r="G1041" s="82">
        <v>823.71199999999999</v>
      </c>
      <c r="H1041" s="62">
        <v>0</v>
      </c>
      <c r="I1041" s="5"/>
    </row>
    <row r="1042" spans="1:9" ht="12.2" customHeight="1" x14ac:dyDescent="0.2">
      <c r="A1042" s="5"/>
      <c r="D1042" s="54" t="s">
        <v>3283</v>
      </c>
      <c r="E1042" s="196"/>
      <c r="F1042" s="197"/>
      <c r="G1042" s="57">
        <v>823.71199999999999</v>
      </c>
      <c r="H1042" s="63"/>
      <c r="I1042" s="5"/>
    </row>
    <row r="1043" spans="1:9" x14ac:dyDescent="0.2">
      <c r="A1043" s="4" t="s">
        <v>628</v>
      </c>
      <c r="B1043" s="13" t="s">
        <v>2894</v>
      </c>
      <c r="C1043" s="13" t="s">
        <v>1435</v>
      </c>
      <c r="D1043" s="174" t="s">
        <v>2436</v>
      </c>
      <c r="E1043" s="175"/>
      <c r="F1043" s="13" t="s">
        <v>2854</v>
      </c>
      <c r="G1043" s="82">
        <v>823.71199999999999</v>
      </c>
      <c r="H1043" s="62">
        <v>0</v>
      </c>
      <c r="I1043" s="5"/>
    </row>
    <row r="1044" spans="1:9" ht="12.2" customHeight="1" x14ac:dyDescent="0.2">
      <c r="A1044" s="5"/>
      <c r="D1044" s="54" t="s">
        <v>3284</v>
      </c>
      <c r="E1044" s="196"/>
      <c r="F1044" s="197"/>
      <c r="G1044" s="57">
        <v>118.33199999999999</v>
      </c>
      <c r="H1044" s="63"/>
      <c r="I1044" s="5"/>
    </row>
    <row r="1045" spans="1:9" ht="12.2" customHeight="1" x14ac:dyDescent="0.2">
      <c r="A1045" s="4"/>
      <c r="B1045" s="13"/>
      <c r="C1045" s="13"/>
      <c r="D1045" s="54" t="s">
        <v>3285</v>
      </c>
      <c r="E1045" s="196"/>
      <c r="F1045" s="196"/>
      <c r="G1045" s="83">
        <v>69.573999999999998</v>
      </c>
      <c r="H1045" s="31"/>
      <c r="I1045" s="5"/>
    </row>
    <row r="1046" spans="1:9" ht="12.2" customHeight="1" x14ac:dyDescent="0.2">
      <c r="A1046" s="4"/>
      <c r="B1046" s="13"/>
      <c r="C1046" s="13"/>
      <c r="D1046" s="54" t="s">
        <v>3286</v>
      </c>
      <c r="E1046" s="196"/>
      <c r="F1046" s="196"/>
      <c r="G1046" s="83">
        <v>108.063</v>
      </c>
      <c r="H1046" s="31"/>
      <c r="I1046" s="5"/>
    </row>
    <row r="1047" spans="1:9" ht="12.2" customHeight="1" x14ac:dyDescent="0.2">
      <c r="A1047" s="4"/>
      <c r="B1047" s="13"/>
      <c r="C1047" s="13"/>
      <c r="D1047" s="54" t="s">
        <v>3287</v>
      </c>
      <c r="E1047" s="196"/>
      <c r="F1047" s="196"/>
      <c r="G1047" s="83">
        <v>34.331000000000003</v>
      </c>
      <c r="H1047" s="31"/>
      <c r="I1047" s="5"/>
    </row>
    <row r="1048" spans="1:9" ht="12.2" customHeight="1" x14ac:dyDescent="0.2">
      <c r="A1048" s="4"/>
      <c r="B1048" s="13"/>
      <c r="C1048" s="13"/>
      <c r="D1048" s="54" t="s">
        <v>3288</v>
      </c>
      <c r="E1048" s="196"/>
      <c r="F1048" s="196"/>
      <c r="G1048" s="83">
        <v>107.461</v>
      </c>
      <c r="H1048" s="31"/>
      <c r="I1048" s="5"/>
    </row>
    <row r="1049" spans="1:9" ht="12.2" customHeight="1" x14ac:dyDescent="0.2">
      <c r="A1049" s="4"/>
      <c r="B1049" s="13"/>
      <c r="C1049" s="13"/>
      <c r="D1049" s="54" t="s">
        <v>3289</v>
      </c>
      <c r="E1049" s="196"/>
      <c r="F1049" s="196"/>
      <c r="G1049" s="83">
        <v>121.40600000000001</v>
      </c>
      <c r="H1049" s="31"/>
      <c r="I1049" s="5"/>
    </row>
    <row r="1050" spans="1:9" ht="12.2" customHeight="1" x14ac:dyDescent="0.2">
      <c r="A1050" s="4"/>
      <c r="B1050" s="13"/>
      <c r="C1050" s="13"/>
      <c r="D1050" s="54" t="s">
        <v>3290</v>
      </c>
      <c r="E1050" s="196"/>
      <c r="F1050" s="196"/>
      <c r="G1050" s="83">
        <v>93.998999999999995</v>
      </c>
      <c r="H1050" s="31"/>
      <c r="I1050" s="5"/>
    </row>
    <row r="1051" spans="1:9" ht="12.2" customHeight="1" x14ac:dyDescent="0.2">
      <c r="A1051" s="4"/>
      <c r="B1051" s="13"/>
      <c r="C1051" s="13"/>
      <c r="D1051" s="54" t="s">
        <v>3291</v>
      </c>
      <c r="E1051" s="196"/>
      <c r="F1051" s="196"/>
      <c r="G1051" s="83">
        <v>109.286</v>
      </c>
      <c r="H1051" s="31"/>
      <c r="I1051" s="5"/>
    </row>
    <row r="1052" spans="1:9" ht="12.2" customHeight="1" x14ac:dyDescent="0.2">
      <c r="A1052" s="4"/>
      <c r="B1052" s="13"/>
      <c r="C1052" s="13"/>
      <c r="D1052" s="54" t="s">
        <v>3292</v>
      </c>
      <c r="E1052" s="196"/>
      <c r="F1052" s="196"/>
      <c r="G1052" s="83">
        <v>61.26</v>
      </c>
      <c r="H1052" s="31"/>
      <c r="I1052" s="5"/>
    </row>
    <row r="1053" spans="1:9" x14ac:dyDescent="0.2">
      <c r="A1053" s="4" t="s">
        <v>629</v>
      </c>
      <c r="B1053" s="13" t="s">
        <v>2894</v>
      </c>
      <c r="C1053" s="13" t="s">
        <v>1436</v>
      </c>
      <c r="D1053" s="174" t="s">
        <v>2438</v>
      </c>
      <c r="E1053" s="175"/>
      <c r="F1053" s="13" t="s">
        <v>2854</v>
      </c>
      <c r="G1053" s="82">
        <v>90.25</v>
      </c>
      <c r="H1053" s="62">
        <v>0</v>
      </c>
      <c r="I1053" s="5"/>
    </row>
    <row r="1054" spans="1:9" ht="12.2" customHeight="1" x14ac:dyDescent="0.2">
      <c r="A1054" s="5"/>
      <c r="D1054" s="54" t="s">
        <v>3293</v>
      </c>
      <c r="E1054" s="196"/>
      <c r="F1054" s="197"/>
      <c r="G1054" s="57">
        <v>90.25</v>
      </c>
      <c r="H1054" s="63"/>
      <c r="I1054" s="5"/>
    </row>
    <row r="1055" spans="1:9" x14ac:dyDescent="0.2">
      <c r="A1055" s="4" t="s">
        <v>630</v>
      </c>
      <c r="B1055" s="13" t="s">
        <v>2894</v>
      </c>
      <c r="C1055" s="13" t="s">
        <v>1437</v>
      </c>
      <c r="D1055" s="174" t="s">
        <v>2439</v>
      </c>
      <c r="E1055" s="175"/>
      <c r="F1055" s="13" t="s">
        <v>2856</v>
      </c>
      <c r="G1055" s="82">
        <v>0.34499999999999997</v>
      </c>
      <c r="H1055" s="62">
        <v>0</v>
      </c>
      <c r="I1055" s="5"/>
    </row>
    <row r="1056" spans="1:9" ht="12.2" customHeight="1" x14ac:dyDescent="0.2">
      <c r="A1056" s="5"/>
      <c r="D1056" s="54" t="s">
        <v>3294</v>
      </c>
      <c r="E1056" s="196"/>
      <c r="F1056" s="197"/>
      <c r="G1056" s="57">
        <v>0.34499999999999997</v>
      </c>
      <c r="H1056" s="63"/>
      <c r="I1056" s="5"/>
    </row>
    <row r="1057" spans="1:9" x14ac:dyDescent="0.2">
      <c r="A1057" s="4" t="s">
        <v>631</v>
      </c>
      <c r="B1057" s="13" t="s">
        <v>2894</v>
      </c>
      <c r="C1057" s="13" t="s">
        <v>1438</v>
      </c>
      <c r="D1057" s="174" t="s">
        <v>2441</v>
      </c>
      <c r="E1057" s="175"/>
      <c r="F1057" s="13" t="s">
        <v>2852</v>
      </c>
      <c r="G1057" s="82">
        <v>1</v>
      </c>
      <c r="H1057" s="62">
        <v>0</v>
      </c>
      <c r="I1057" s="5"/>
    </row>
    <row r="1058" spans="1:9" x14ac:dyDescent="0.2">
      <c r="A1058" s="4" t="s">
        <v>632</v>
      </c>
      <c r="B1058" s="13" t="s">
        <v>2894</v>
      </c>
      <c r="C1058" s="13" t="s">
        <v>1439</v>
      </c>
      <c r="D1058" s="174" t="s">
        <v>2442</v>
      </c>
      <c r="E1058" s="175"/>
      <c r="F1058" s="13" t="s">
        <v>2852</v>
      </c>
      <c r="G1058" s="82">
        <v>1</v>
      </c>
      <c r="H1058" s="62">
        <v>0</v>
      </c>
      <c r="I1058" s="5"/>
    </row>
    <row r="1059" spans="1:9" x14ac:dyDescent="0.2">
      <c r="A1059" s="4" t="s">
        <v>633</v>
      </c>
      <c r="B1059" s="13" t="s">
        <v>2894</v>
      </c>
      <c r="C1059" s="13" t="s">
        <v>1440</v>
      </c>
      <c r="D1059" s="174" t="s">
        <v>2443</v>
      </c>
      <c r="E1059" s="175"/>
      <c r="F1059" s="13" t="s">
        <v>2852</v>
      </c>
      <c r="G1059" s="82">
        <v>1</v>
      </c>
      <c r="H1059" s="62">
        <v>0</v>
      </c>
      <c r="I1059" s="5"/>
    </row>
    <row r="1060" spans="1:9" x14ac:dyDescent="0.2">
      <c r="A1060" s="4" t="s">
        <v>634</v>
      </c>
      <c r="B1060" s="13" t="s">
        <v>2894</v>
      </c>
      <c r="C1060" s="13" t="s">
        <v>1441</v>
      </c>
      <c r="D1060" s="174" t="s">
        <v>2444</v>
      </c>
      <c r="E1060" s="175"/>
      <c r="F1060" s="13" t="s">
        <v>2852</v>
      </c>
      <c r="G1060" s="82">
        <v>1</v>
      </c>
      <c r="H1060" s="62">
        <v>0</v>
      </c>
      <c r="I1060" s="5"/>
    </row>
    <row r="1061" spans="1:9" x14ac:dyDescent="0.2">
      <c r="A1061" s="4" t="s">
        <v>635</v>
      </c>
      <c r="B1061" s="13" t="s">
        <v>2894</v>
      </c>
      <c r="C1061" s="13" t="s">
        <v>1442</v>
      </c>
      <c r="D1061" s="174" t="s">
        <v>2445</v>
      </c>
      <c r="E1061" s="175"/>
      <c r="F1061" s="13" t="s">
        <v>2852</v>
      </c>
      <c r="G1061" s="82">
        <v>1</v>
      </c>
      <c r="H1061" s="62">
        <v>0</v>
      </c>
      <c r="I1061" s="5"/>
    </row>
    <row r="1062" spans="1:9" x14ac:dyDescent="0.2">
      <c r="A1062" s="4" t="s">
        <v>636</v>
      </c>
      <c r="B1062" s="13" t="s">
        <v>2894</v>
      </c>
      <c r="C1062" s="13" t="s">
        <v>1443</v>
      </c>
      <c r="D1062" s="174" t="s">
        <v>2446</v>
      </c>
      <c r="E1062" s="175"/>
      <c r="F1062" s="13" t="s">
        <v>2852</v>
      </c>
      <c r="G1062" s="82">
        <v>1</v>
      </c>
      <c r="H1062" s="62">
        <v>0</v>
      </c>
      <c r="I1062" s="5"/>
    </row>
    <row r="1063" spans="1:9" x14ac:dyDescent="0.2">
      <c r="A1063" s="4" t="s">
        <v>637</v>
      </c>
      <c r="B1063" s="13" t="s">
        <v>2894</v>
      </c>
      <c r="C1063" s="13" t="s">
        <v>1444</v>
      </c>
      <c r="D1063" s="174" t="s">
        <v>2448</v>
      </c>
      <c r="E1063" s="175"/>
      <c r="F1063" s="13" t="s">
        <v>2852</v>
      </c>
      <c r="G1063" s="82">
        <v>1</v>
      </c>
      <c r="H1063" s="62">
        <v>0</v>
      </c>
      <c r="I1063" s="5"/>
    </row>
    <row r="1064" spans="1:9" x14ac:dyDescent="0.2">
      <c r="A1064" s="4" t="s">
        <v>638</v>
      </c>
      <c r="B1064" s="13" t="s">
        <v>2894</v>
      </c>
      <c r="C1064" s="13" t="s">
        <v>1445</v>
      </c>
      <c r="D1064" s="174" t="s">
        <v>2449</v>
      </c>
      <c r="E1064" s="175"/>
      <c r="F1064" s="13" t="s">
        <v>2852</v>
      </c>
      <c r="G1064" s="82">
        <v>1</v>
      </c>
      <c r="H1064" s="62">
        <v>0</v>
      </c>
      <c r="I1064" s="5"/>
    </row>
    <row r="1065" spans="1:9" x14ac:dyDescent="0.2">
      <c r="A1065" s="4" t="s">
        <v>639</v>
      </c>
      <c r="B1065" s="13" t="s">
        <v>2894</v>
      </c>
      <c r="C1065" s="13" t="s">
        <v>1446</v>
      </c>
      <c r="D1065" s="174" t="s">
        <v>2450</v>
      </c>
      <c r="E1065" s="175"/>
      <c r="F1065" s="13" t="s">
        <v>2852</v>
      </c>
      <c r="G1065" s="82">
        <v>1</v>
      </c>
      <c r="H1065" s="62">
        <v>0</v>
      </c>
      <c r="I1065" s="5"/>
    </row>
    <row r="1066" spans="1:9" x14ac:dyDescent="0.2">
      <c r="A1066" s="4" t="s">
        <v>640</v>
      </c>
      <c r="B1066" s="13" t="s">
        <v>2894</v>
      </c>
      <c r="C1066" s="13" t="s">
        <v>1447</v>
      </c>
      <c r="D1066" s="174" t="s">
        <v>2451</v>
      </c>
      <c r="E1066" s="175"/>
      <c r="F1066" s="13" t="s">
        <v>2852</v>
      </c>
      <c r="G1066" s="82">
        <v>1</v>
      </c>
      <c r="H1066" s="62">
        <v>0</v>
      </c>
      <c r="I1066" s="5"/>
    </row>
    <row r="1067" spans="1:9" x14ac:dyDescent="0.2">
      <c r="A1067" s="4" t="s">
        <v>641</v>
      </c>
      <c r="B1067" s="13" t="s">
        <v>2894</v>
      </c>
      <c r="C1067" s="13" t="s">
        <v>1449</v>
      </c>
      <c r="D1067" s="174" t="s">
        <v>2453</v>
      </c>
      <c r="E1067" s="175"/>
      <c r="F1067" s="13" t="s">
        <v>2852</v>
      </c>
      <c r="G1067" s="82">
        <v>54</v>
      </c>
      <c r="H1067" s="62">
        <v>0</v>
      </c>
      <c r="I1067" s="5"/>
    </row>
    <row r="1068" spans="1:9" x14ac:dyDescent="0.2">
      <c r="A1068" s="4" t="s">
        <v>642</v>
      </c>
      <c r="B1068" s="13" t="s">
        <v>2894</v>
      </c>
      <c r="C1068" s="13" t="s">
        <v>1450</v>
      </c>
      <c r="D1068" s="174" t="s">
        <v>2454</v>
      </c>
      <c r="E1068" s="175"/>
      <c r="F1068" s="13" t="s">
        <v>2852</v>
      </c>
      <c r="G1068" s="82">
        <v>38</v>
      </c>
      <c r="H1068" s="62">
        <v>0</v>
      </c>
      <c r="I1068" s="5"/>
    </row>
    <row r="1069" spans="1:9" x14ac:dyDescent="0.2">
      <c r="A1069" s="4" t="s">
        <v>643</v>
      </c>
      <c r="B1069" s="13" t="s">
        <v>2894</v>
      </c>
      <c r="C1069" s="13" t="s">
        <v>1451</v>
      </c>
      <c r="D1069" s="174" t="s">
        <v>2455</v>
      </c>
      <c r="E1069" s="175"/>
      <c r="F1069" s="13" t="s">
        <v>2852</v>
      </c>
      <c r="G1069" s="82">
        <v>86</v>
      </c>
      <c r="H1069" s="62">
        <v>0</v>
      </c>
      <c r="I1069" s="5"/>
    </row>
    <row r="1070" spans="1:9" x14ac:dyDescent="0.2">
      <c r="A1070" s="4" t="s">
        <v>644</v>
      </c>
      <c r="B1070" s="13" t="s">
        <v>2894</v>
      </c>
      <c r="C1070" s="13" t="s">
        <v>1452</v>
      </c>
      <c r="D1070" s="174" t="s">
        <v>2456</v>
      </c>
      <c r="E1070" s="175"/>
      <c r="F1070" s="13" t="s">
        <v>2855</v>
      </c>
      <c r="G1070" s="82">
        <v>980</v>
      </c>
      <c r="H1070" s="62">
        <v>0</v>
      </c>
      <c r="I1070" s="5"/>
    </row>
    <row r="1071" spans="1:9" x14ac:dyDescent="0.2">
      <c r="A1071" s="4" t="s">
        <v>645</v>
      </c>
      <c r="B1071" s="13" t="s">
        <v>2894</v>
      </c>
      <c r="C1071" s="13" t="s">
        <v>1453</v>
      </c>
      <c r="D1071" s="174" t="s">
        <v>2457</v>
      </c>
      <c r="E1071" s="175"/>
      <c r="F1071" s="13" t="s">
        <v>2855</v>
      </c>
      <c r="G1071" s="82">
        <v>68</v>
      </c>
      <c r="H1071" s="62">
        <v>0</v>
      </c>
      <c r="I1071" s="5"/>
    </row>
    <row r="1072" spans="1:9" x14ac:dyDescent="0.2">
      <c r="A1072" s="4" t="s">
        <v>646</v>
      </c>
      <c r="B1072" s="13" t="s">
        <v>2894</v>
      </c>
      <c r="C1072" s="13" t="s">
        <v>1454</v>
      </c>
      <c r="D1072" s="174" t="s">
        <v>2458</v>
      </c>
      <c r="E1072" s="175"/>
      <c r="F1072" s="13" t="s">
        <v>2852</v>
      </c>
      <c r="G1072" s="82">
        <v>1</v>
      </c>
      <c r="H1072" s="62">
        <v>0</v>
      </c>
      <c r="I1072" s="5"/>
    </row>
    <row r="1073" spans="1:9" x14ac:dyDescent="0.2">
      <c r="A1073" s="4" t="s">
        <v>647</v>
      </c>
      <c r="B1073" s="13" t="s">
        <v>2894</v>
      </c>
      <c r="C1073" s="13" t="s">
        <v>1455</v>
      </c>
      <c r="D1073" s="174" t="s">
        <v>2459</v>
      </c>
      <c r="E1073" s="175"/>
      <c r="F1073" s="13" t="s">
        <v>2860</v>
      </c>
      <c r="G1073" s="82">
        <v>3</v>
      </c>
      <c r="H1073" s="62">
        <v>0</v>
      </c>
      <c r="I1073" s="5"/>
    </row>
    <row r="1074" spans="1:9" x14ac:dyDescent="0.2">
      <c r="A1074" s="4" t="s">
        <v>648</v>
      </c>
      <c r="B1074" s="13" t="s">
        <v>2894</v>
      </c>
      <c r="C1074" s="13" t="s">
        <v>1456</v>
      </c>
      <c r="D1074" s="174" t="s">
        <v>2460</v>
      </c>
      <c r="E1074" s="175"/>
      <c r="F1074" s="13" t="s">
        <v>2860</v>
      </c>
      <c r="G1074" s="82">
        <v>3</v>
      </c>
      <c r="H1074" s="62">
        <v>0</v>
      </c>
      <c r="I1074" s="5"/>
    </row>
    <row r="1075" spans="1:9" x14ac:dyDescent="0.2">
      <c r="A1075" s="86" t="s">
        <v>649</v>
      </c>
      <c r="B1075" s="87" t="s">
        <v>2894</v>
      </c>
      <c r="C1075" s="87" t="s">
        <v>1457</v>
      </c>
      <c r="D1075" s="184" t="s">
        <v>2461</v>
      </c>
      <c r="E1075" s="175"/>
      <c r="F1075" s="87" t="s">
        <v>2860</v>
      </c>
      <c r="G1075" s="88">
        <v>1</v>
      </c>
      <c r="H1075" s="89">
        <v>0</v>
      </c>
      <c r="I1075" s="5"/>
    </row>
    <row r="1076" spans="1:9" x14ac:dyDescent="0.2">
      <c r="A1076" s="4" t="s">
        <v>650</v>
      </c>
      <c r="B1076" s="13" t="s">
        <v>2894</v>
      </c>
      <c r="C1076" s="13" t="s">
        <v>1458</v>
      </c>
      <c r="D1076" s="174" t="s">
        <v>2462</v>
      </c>
      <c r="E1076" s="175"/>
      <c r="F1076" s="13" t="s">
        <v>2855</v>
      </c>
      <c r="G1076" s="82">
        <v>480</v>
      </c>
      <c r="H1076" s="62">
        <v>0</v>
      </c>
      <c r="I1076" s="5"/>
    </row>
    <row r="1077" spans="1:9" x14ac:dyDescent="0.2">
      <c r="A1077" s="86" t="s">
        <v>651</v>
      </c>
      <c r="B1077" s="87" t="s">
        <v>2894</v>
      </c>
      <c r="C1077" s="87" t="s">
        <v>1459</v>
      </c>
      <c r="D1077" s="184" t="s">
        <v>2463</v>
      </c>
      <c r="E1077" s="175"/>
      <c r="F1077" s="87" t="s">
        <v>2855</v>
      </c>
      <c r="G1077" s="88">
        <v>480</v>
      </c>
      <c r="H1077" s="89">
        <v>0</v>
      </c>
      <c r="I1077" s="5"/>
    </row>
    <row r="1078" spans="1:9" x14ac:dyDescent="0.2">
      <c r="A1078" s="4" t="s">
        <v>652</v>
      </c>
      <c r="B1078" s="13" t="s">
        <v>2894</v>
      </c>
      <c r="C1078" s="13" t="s">
        <v>1460</v>
      </c>
      <c r="D1078" s="174" t="s">
        <v>2464</v>
      </c>
      <c r="E1078" s="175"/>
      <c r="F1078" s="13" t="s">
        <v>2855</v>
      </c>
      <c r="G1078" s="82">
        <v>90</v>
      </c>
      <c r="H1078" s="62">
        <v>0</v>
      </c>
      <c r="I1078" s="5"/>
    </row>
    <row r="1079" spans="1:9" x14ac:dyDescent="0.2">
      <c r="A1079" s="86" t="s">
        <v>653</v>
      </c>
      <c r="B1079" s="87" t="s">
        <v>2894</v>
      </c>
      <c r="C1079" s="87" t="s">
        <v>1461</v>
      </c>
      <c r="D1079" s="184" t="s">
        <v>2465</v>
      </c>
      <c r="E1079" s="175"/>
      <c r="F1079" s="87" t="s">
        <v>2855</v>
      </c>
      <c r="G1079" s="88">
        <v>90</v>
      </c>
      <c r="H1079" s="89">
        <v>0</v>
      </c>
      <c r="I1079" s="5"/>
    </row>
    <row r="1080" spans="1:9" x14ac:dyDescent="0.2">
      <c r="A1080" s="4" t="s">
        <v>654</v>
      </c>
      <c r="B1080" s="13" t="s">
        <v>2894</v>
      </c>
      <c r="C1080" s="13" t="s">
        <v>1462</v>
      </c>
      <c r="D1080" s="174" t="s">
        <v>2466</v>
      </c>
      <c r="E1080" s="175"/>
      <c r="F1080" s="13" t="s">
        <v>2855</v>
      </c>
      <c r="G1080" s="82">
        <v>720</v>
      </c>
      <c r="H1080" s="62">
        <v>0</v>
      </c>
      <c r="I1080" s="5"/>
    </row>
    <row r="1081" spans="1:9" x14ac:dyDescent="0.2">
      <c r="A1081" s="86" t="s">
        <v>655</v>
      </c>
      <c r="B1081" s="87" t="s">
        <v>2894</v>
      </c>
      <c r="C1081" s="87" t="s">
        <v>1463</v>
      </c>
      <c r="D1081" s="184" t="s">
        <v>2467</v>
      </c>
      <c r="E1081" s="175"/>
      <c r="F1081" s="87" t="s">
        <v>2855</v>
      </c>
      <c r="G1081" s="88">
        <v>720</v>
      </c>
      <c r="H1081" s="89">
        <v>0</v>
      </c>
      <c r="I1081" s="5"/>
    </row>
    <row r="1082" spans="1:9" x14ac:dyDescent="0.2">
      <c r="A1082" s="4" t="s">
        <v>656</v>
      </c>
      <c r="B1082" s="13" t="s">
        <v>2894</v>
      </c>
      <c r="C1082" s="13" t="s">
        <v>1464</v>
      </c>
      <c r="D1082" s="174" t="s">
        <v>2468</v>
      </c>
      <c r="E1082" s="175"/>
      <c r="F1082" s="13" t="s">
        <v>2860</v>
      </c>
      <c r="G1082" s="82">
        <v>168</v>
      </c>
      <c r="H1082" s="62">
        <v>0</v>
      </c>
      <c r="I1082" s="5"/>
    </row>
    <row r="1083" spans="1:9" x14ac:dyDescent="0.2">
      <c r="A1083" s="86" t="s">
        <v>657</v>
      </c>
      <c r="B1083" s="87" t="s">
        <v>2894</v>
      </c>
      <c r="C1083" s="87" t="s">
        <v>1465</v>
      </c>
      <c r="D1083" s="184" t="s">
        <v>2469</v>
      </c>
      <c r="E1083" s="175"/>
      <c r="F1083" s="87" t="s">
        <v>2852</v>
      </c>
      <c r="G1083" s="88">
        <v>51</v>
      </c>
      <c r="H1083" s="89">
        <v>0</v>
      </c>
      <c r="I1083" s="5"/>
    </row>
    <row r="1084" spans="1:9" x14ac:dyDescent="0.2">
      <c r="A1084" s="86" t="s">
        <v>658</v>
      </c>
      <c r="B1084" s="87" t="s">
        <v>2894</v>
      </c>
      <c r="C1084" s="87" t="s">
        <v>1466</v>
      </c>
      <c r="D1084" s="184" t="s">
        <v>2470</v>
      </c>
      <c r="E1084" s="183"/>
      <c r="F1084" s="87" t="s">
        <v>2852</v>
      </c>
      <c r="G1084" s="88">
        <v>105</v>
      </c>
      <c r="H1084" s="89">
        <v>0</v>
      </c>
      <c r="I1084" s="5"/>
    </row>
    <row r="1085" spans="1:9" x14ac:dyDescent="0.2">
      <c r="A1085" s="86" t="s">
        <v>659</v>
      </c>
      <c r="B1085" s="87" t="s">
        <v>2894</v>
      </c>
      <c r="C1085" s="87" t="s">
        <v>1467</v>
      </c>
      <c r="D1085" s="184" t="s">
        <v>2471</v>
      </c>
      <c r="E1085" s="175"/>
      <c r="F1085" s="87" t="s">
        <v>2852</v>
      </c>
      <c r="G1085" s="88">
        <v>6</v>
      </c>
      <c r="H1085" s="89">
        <v>0</v>
      </c>
      <c r="I1085" s="5"/>
    </row>
    <row r="1086" spans="1:9" x14ac:dyDescent="0.2">
      <c r="A1086" s="86" t="s">
        <v>660</v>
      </c>
      <c r="B1086" s="87" t="s">
        <v>2894</v>
      </c>
      <c r="C1086" s="87" t="s">
        <v>1468</v>
      </c>
      <c r="D1086" s="184" t="s">
        <v>2472</v>
      </c>
      <c r="E1086" s="175"/>
      <c r="F1086" s="87" t="s">
        <v>2852</v>
      </c>
      <c r="G1086" s="88">
        <v>6</v>
      </c>
      <c r="H1086" s="89">
        <v>0</v>
      </c>
      <c r="I1086" s="5"/>
    </row>
    <row r="1087" spans="1:9" x14ac:dyDescent="0.2">
      <c r="A1087" s="4" t="s">
        <v>661</v>
      </c>
      <c r="B1087" s="13" t="s">
        <v>2894</v>
      </c>
      <c r="C1087" s="13" t="s">
        <v>1469</v>
      </c>
      <c r="D1087" s="174" t="s">
        <v>2473</v>
      </c>
      <c r="E1087" s="175"/>
      <c r="F1087" s="13" t="s">
        <v>2852</v>
      </c>
      <c r="G1087" s="82">
        <v>4</v>
      </c>
      <c r="H1087" s="62">
        <v>0</v>
      </c>
      <c r="I1087" s="5"/>
    </row>
    <row r="1088" spans="1:9" x14ac:dyDescent="0.2">
      <c r="A1088" s="86" t="s">
        <v>662</v>
      </c>
      <c r="B1088" s="87" t="s">
        <v>2894</v>
      </c>
      <c r="C1088" s="87" t="s">
        <v>1470</v>
      </c>
      <c r="D1088" s="184" t="s">
        <v>2474</v>
      </c>
      <c r="E1088" s="175"/>
      <c r="F1088" s="87" t="s">
        <v>2852</v>
      </c>
      <c r="G1088" s="88">
        <v>4</v>
      </c>
      <c r="H1088" s="89">
        <v>0</v>
      </c>
      <c r="I1088" s="5"/>
    </row>
    <row r="1089" spans="1:9" x14ac:dyDescent="0.2">
      <c r="A1089" s="4" t="s">
        <v>663</v>
      </c>
      <c r="B1089" s="13" t="s">
        <v>2894</v>
      </c>
      <c r="C1089" s="13" t="s">
        <v>1471</v>
      </c>
      <c r="D1089" s="174" t="s">
        <v>2475</v>
      </c>
      <c r="E1089" s="175"/>
      <c r="F1089" s="13" t="s">
        <v>2855</v>
      </c>
      <c r="G1089" s="82">
        <v>30</v>
      </c>
      <c r="H1089" s="62">
        <v>0</v>
      </c>
      <c r="I1089" s="5"/>
    </row>
    <row r="1090" spans="1:9" x14ac:dyDescent="0.2">
      <c r="A1090" s="86" t="s">
        <v>664</v>
      </c>
      <c r="B1090" s="87" t="s">
        <v>2894</v>
      </c>
      <c r="C1090" s="87" t="s">
        <v>1472</v>
      </c>
      <c r="D1090" s="184" t="s">
        <v>2476</v>
      </c>
      <c r="E1090" s="175"/>
      <c r="F1090" s="87" t="s">
        <v>2855</v>
      </c>
      <c r="G1090" s="88">
        <v>30</v>
      </c>
      <c r="H1090" s="89">
        <v>0</v>
      </c>
      <c r="I1090" s="5"/>
    </row>
    <row r="1091" spans="1:9" x14ac:dyDescent="0.2">
      <c r="A1091" s="4" t="s">
        <v>665</v>
      </c>
      <c r="B1091" s="13" t="s">
        <v>2894</v>
      </c>
      <c r="C1091" s="13" t="s">
        <v>1473</v>
      </c>
      <c r="D1091" s="174" t="s">
        <v>2477</v>
      </c>
      <c r="E1091" s="175"/>
      <c r="F1091" s="13" t="s">
        <v>2855</v>
      </c>
      <c r="G1091" s="82">
        <v>4</v>
      </c>
      <c r="H1091" s="62">
        <v>0</v>
      </c>
      <c r="I1091" s="5"/>
    </row>
    <row r="1092" spans="1:9" x14ac:dyDescent="0.2">
      <c r="A1092" s="86" t="s">
        <v>666</v>
      </c>
      <c r="B1092" s="87" t="s">
        <v>2894</v>
      </c>
      <c r="C1092" s="87" t="s">
        <v>1474</v>
      </c>
      <c r="D1092" s="184" t="s">
        <v>2478</v>
      </c>
      <c r="E1092" s="175"/>
      <c r="F1092" s="87" t="s">
        <v>2855</v>
      </c>
      <c r="G1092" s="88">
        <v>4</v>
      </c>
      <c r="H1092" s="89">
        <v>0</v>
      </c>
      <c r="I1092" s="5"/>
    </row>
    <row r="1093" spans="1:9" x14ac:dyDescent="0.2">
      <c r="A1093" s="4" t="s">
        <v>667</v>
      </c>
      <c r="B1093" s="13" t="s">
        <v>2894</v>
      </c>
      <c r="C1093" s="13" t="s">
        <v>1475</v>
      </c>
      <c r="D1093" s="174" t="s">
        <v>2479</v>
      </c>
      <c r="E1093" s="175"/>
      <c r="F1093" s="13" t="s">
        <v>2855</v>
      </c>
      <c r="G1093" s="82">
        <v>20</v>
      </c>
      <c r="H1093" s="62">
        <v>0</v>
      </c>
      <c r="I1093" s="5"/>
    </row>
    <row r="1094" spans="1:9" x14ac:dyDescent="0.2">
      <c r="A1094" s="86" t="s">
        <v>668</v>
      </c>
      <c r="B1094" s="87" t="s">
        <v>2894</v>
      </c>
      <c r="C1094" s="87" t="s">
        <v>1474</v>
      </c>
      <c r="D1094" s="184" t="s">
        <v>2479</v>
      </c>
      <c r="E1094" s="175"/>
      <c r="F1094" s="87" t="s">
        <v>2855</v>
      </c>
      <c r="G1094" s="88">
        <v>20</v>
      </c>
      <c r="H1094" s="89">
        <v>0</v>
      </c>
      <c r="I1094" s="5"/>
    </row>
    <row r="1095" spans="1:9" x14ac:dyDescent="0.2">
      <c r="A1095" s="4" t="s">
        <v>669</v>
      </c>
      <c r="B1095" s="13" t="s">
        <v>2894</v>
      </c>
      <c r="C1095" s="13" t="s">
        <v>1476</v>
      </c>
      <c r="D1095" s="174" t="s">
        <v>2480</v>
      </c>
      <c r="E1095" s="175"/>
      <c r="F1095" s="13" t="s">
        <v>2862</v>
      </c>
      <c r="G1095" s="82">
        <v>86</v>
      </c>
      <c r="H1095" s="62">
        <v>0</v>
      </c>
      <c r="I1095" s="5"/>
    </row>
    <row r="1096" spans="1:9" x14ac:dyDescent="0.2">
      <c r="A1096" s="4" t="s">
        <v>670</v>
      </c>
      <c r="B1096" s="13" t="s">
        <v>2894</v>
      </c>
      <c r="C1096" s="13" t="s">
        <v>1477</v>
      </c>
      <c r="D1096" s="174" t="s">
        <v>2481</v>
      </c>
      <c r="E1096" s="175"/>
      <c r="F1096" s="13" t="s">
        <v>2855</v>
      </c>
      <c r="G1096" s="82">
        <v>30</v>
      </c>
      <c r="H1096" s="62">
        <v>0</v>
      </c>
      <c r="I1096" s="5"/>
    </row>
    <row r="1097" spans="1:9" x14ac:dyDescent="0.2">
      <c r="A1097" s="86" t="s">
        <v>671</v>
      </c>
      <c r="B1097" s="87" t="s">
        <v>2894</v>
      </c>
      <c r="C1097" s="87" t="s">
        <v>1478</v>
      </c>
      <c r="D1097" s="184" t="s">
        <v>2481</v>
      </c>
      <c r="E1097" s="175"/>
      <c r="F1097" s="87" t="s">
        <v>2855</v>
      </c>
      <c r="G1097" s="88">
        <v>30</v>
      </c>
      <c r="H1097" s="89">
        <v>0</v>
      </c>
      <c r="I1097" s="5"/>
    </row>
    <row r="1098" spans="1:9" x14ac:dyDescent="0.2">
      <c r="A1098" s="4" t="s">
        <v>672</v>
      </c>
      <c r="B1098" s="13" t="s">
        <v>2894</v>
      </c>
      <c r="C1098" s="13" t="s">
        <v>1479</v>
      </c>
      <c r="D1098" s="174" t="s">
        <v>2482</v>
      </c>
      <c r="E1098" s="175"/>
      <c r="F1098" s="13" t="s">
        <v>2855</v>
      </c>
      <c r="G1098" s="82">
        <v>20</v>
      </c>
      <c r="H1098" s="62">
        <v>0</v>
      </c>
      <c r="I1098" s="5"/>
    </row>
    <row r="1099" spans="1:9" x14ac:dyDescent="0.2">
      <c r="A1099" s="86" t="s">
        <v>673</v>
      </c>
      <c r="B1099" s="87" t="s">
        <v>2894</v>
      </c>
      <c r="C1099" s="87" t="s">
        <v>1480</v>
      </c>
      <c r="D1099" s="184" t="s">
        <v>2482</v>
      </c>
      <c r="E1099" s="175"/>
      <c r="F1099" s="87" t="s">
        <v>2855</v>
      </c>
      <c r="G1099" s="88">
        <v>20</v>
      </c>
      <c r="H1099" s="89">
        <v>0</v>
      </c>
      <c r="I1099" s="5"/>
    </row>
    <row r="1100" spans="1:9" x14ac:dyDescent="0.2">
      <c r="A1100" s="4" t="s">
        <v>674</v>
      </c>
      <c r="B1100" s="13" t="s">
        <v>2894</v>
      </c>
      <c r="C1100" s="13" t="s">
        <v>1481</v>
      </c>
      <c r="D1100" s="174" t="s">
        <v>2483</v>
      </c>
      <c r="E1100" s="175"/>
      <c r="F1100" s="13" t="s">
        <v>2855</v>
      </c>
      <c r="G1100" s="82">
        <v>240</v>
      </c>
      <c r="H1100" s="62">
        <v>0</v>
      </c>
      <c r="I1100" s="5"/>
    </row>
    <row r="1101" spans="1:9" x14ac:dyDescent="0.2">
      <c r="A1101" s="86" t="s">
        <v>675</v>
      </c>
      <c r="B1101" s="87" t="s">
        <v>2894</v>
      </c>
      <c r="C1101" s="87" t="s">
        <v>1482</v>
      </c>
      <c r="D1101" s="184" t="s">
        <v>2484</v>
      </c>
      <c r="E1101" s="175"/>
      <c r="F1101" s="87" t="s">
        <v>2855</v>
      </c>
      <c r="G1101" s="88">
        <v>80</v>
      </c>
      <c r="H1101" s="89">
        <v>0</v>
      </c>
      <c r="I1101" s="5"/>
    </row>
    <row r="1102" spans="1:9" x14ac:dyDescent="0.2">
      <c r="A1102" s="86" t="s">
        <v>676</v>
      </c>
      <c r="B1102" s="87" t="s">
        <v>2894</v>
      </c>
      <c r="C1102" s="87" t="s">
        <v>1483</v>
      </c>
      <c r="D1102" s="184" t="s">
        <v>2485</v>
      </c>
      <c r="E1102" s="175"/>
      <c r="F1102" s="87" t="s">
        <v>2855</v>
      </c>
      <c r="G1102" s="88">
        <v>120</v>
      </c>
      <c r="H1102" s="89">
        <v>0</v>
      </c>
      <c r="I1102" s="5"/>
    </row>
    <row r="1103" spans="1:9" x14ac:dyDescent="0.2">
      <c r="A1103" s="86" t="s">
        <v>677</v>
      </c>
      <c r="B1103" s="87" t="s">
        <v>2894</v>
      </c>
      <c r="C1103" s="87" t="s">
        <v>1484</v>
      </c>
      <c r="D1103" s="184" t="s">
        <v>2486</v>
      </c>
      <c r="E1103" s="175"/>
      <c r="F1103" s="87" t="s">
        <v>2855</v>
      </c>
      <c r="G1103" s="88">
        <v>40</v>
      </c>
      <c r="H1103" s="89">
        <v>0</v>
      </c>
      <c r="I1103" s="5"/>
    </row>
    <row r="1104" spans="1:9" x14ac:dyDescent="0.2">
      <c r="A1104" s="4" t="s">
        <v>678</v>
      </c>
      <c r="B1104" s="13" t="s">
        <v>2894</v>
      </c>
      <c r="C1104" s="13" t="s">
        <v>1485</v>
      </c>
      <c r="D1104" s="174" t="s">
        <v>2487</v>
      </c>
      <c r="E1104" s="175"/>
      <c r="F1104" s="13" t="s">
        <v>2855</v>
      </c>
      <c r="G1104" s="82">
        <v>80</v>
      </c>
      <c r="H1104" s="62">
        <v>0</v>
      </c>
      <c r="I1104" s="5"/>
    </row>
    <row r="1105" spans="1:9" x14ac:dyDescent="0.2">
      <c r="A1105" s="86" t="s">
        <v>679</v>
      </c>
      <c r="B1105" s="87" t="s">
        <v>2894</v>
      </c>
      <c r="C1105" s="87" t="s">
        <v>1486</v>
      </c>
      <c r="D1105" s="184" t="s">
        <v>2488</v>
      </c>
      <c r="E1105" s="175"/>
      <c r="F1105" s="87" t="s">
        <v>2855</v>
      </c>
      <c r="G1105" s="88">
        <v>80</v>
      </c>
      <c r="H1105" s="89">
        <v>0</v>
      </c>
      <c r="I1105" s="5"/>
    </row>
    <row r="1106" spans="1:9" x14ac:dyDescent="0.2">
      <c r="A1106" s="86" t="s">
        <v>680</v>
      </c>
      <c r="B1106" s="87" t="s">
        <v>2894</v>
      </c>
      <c r="C1106" s="87" t="s">
        <v>1487</v>
      </c>
      <c r="D1106" s="184" t="s">
        <v>2489</v>
      </c>
      <c r="E1106" s="175"/>
      <c r="F1106" s="87" t="s">
        <v>2860</v>
      </c>
      <c r="G1106" s="88">
        <v>10</v>
      </c>
      <c r="H1106" s="89">
        <v>0</v>
      </c>
      <c r="I1106" s="5"/>
    </row>
    <row r="1107" spans="1:9" x14ac:dyDescent="0.2">
      <c r="A1107" s="4" t="s">
        <v>681</v>
      </c>
      <c r="B1107" s="13" t="s">
        <v>2894</v>
      </c>
      <c r="C1107" s="13" t="s">
        <v>1488</v>
      </c>
      <c r="D1107" s="174" t="s">
        <v>2490</v>
      </c>
      <c r="E1107" s="175"/>
      <c r="F1107" s="13" t="s">
        <v>2855</v>
      </c>
      <c r="G1107" s="82">
        <v>2240</v>
      </c>
      <c r="H1107" s="62">
        <v>0</v>
      </c>
      <c r="I1107" s="5"/>
    </row>
    <row r="1108" spans="1:9" x14ac:dyDescent="0.2">
      <c r="A1108" s="86" t="s">
        <v>682</v>
      </c>
      <c r="B1108" s="87" t="s">
        <v>2894</v>
      </c>
      <c r="C1108" s="87" t="s">
        <v>1489</v>
      </c>
      <c r="D1108" s="184" t="s">
        <v>2491</v>
      </c>
      <c r="E1108" s="175"/>
      <c r="F1108" s="87" t="s">
        <v>2855</v>
      </c>
      <c r="G1108" s="88">
        <v>1140</v>
      </c>
      <c r="H1108" s="89">
        <v>0</v>
      </c>
      <c r="I1108" s="5"/>
    </row>
    <row r="1109" spans="1:9" x14ac:dyDescent="0.2">
      <c r="A1109" s="86" t="s">
        <v>683</v>
      </c>
      <c r="B1109" s="87" t="s">
        <v>2894</v>
      </c>
      <c r="C1109" s="87" t="s">
        <v>1490</v>
      </c>
      <c r="D1109" s="184" t="s">
        <v>2492</v>
      </c>
      <c r="E1109" s="175"/>
      <c r="F1109" s="87" t="s">
        <v>2855</v>
      </c>
      <c r="G1109" s="88">
        <v>80</v>
      </c>
      <c r="H1109" s="89">
        <v>0</v>
      </c>
      <c r="I1109" s="5"/>
    </row>
    <row r="1110" spans="1:9" x14ac:dyDescent="0.2">
      <c r="A1110" s="86" t="s">
        <v>684</v>
      </c>
      <c r="B1110" s="87" t="s">
        <v>2894</v>
      </c>
      <c r="C1110" s="87" t="s">
        <v>1491</v>
      </c>
      <c r="D1110" s="184" t="s">
        <v>2493</v>
      </c>
      <c r="E1110" s="175"/>
      <c r="F1110" s="87" t="s">
        <v>2855</v>
      </c>
      <c r="G1110" s="88">
        <v>160</v>
      </c>
      <c r="H1110" s="89">
        <v>0</v>
      </c>
      <c r="I1110" s="5"/>
    </row>
    <row r="1111" spans="1:9" x14ac:dyDescent="0.2">
      <c r="A1111" s="86" t="s">
        <v>685</v>
      </c>
      <c r="B1111" s="87" t="s">
        <v>2894</v>
      </c>
      <c r="C1111" s="87" t="s">
        <v>1492</v>
      </c>
      <c r="D1111" s="184" t="s">
        <v>2494</v>
      </c>
      <c r="E1111" s="175"/>
      <c r="F1111" s="87" t="s">
        <v>2855</v>
      </c>
      <c r="G1111" s="88">
        <v>120</v>
      </c>
      <c r="H1111" s="89">
        <v>0</v>
      </c>
      <c r="I1111" s="5"/>
    </row>
    <row r="1112" spans="1:9" x14ac:dyDescent="0.2">
      <c r="A1112" s="86" t="s">
        <v>686</v>
      </c>
      <c r="B1112" s="87" t="s">
        <v>2894</v>
      </c>
      <c r="C1112" s="87" t="s">
        <v>1493</v>
      </c>
      <c r="D1112" s="184" t="s">
        <v>2495</v>
      </c>
      <c r="E1112" s="175"/>
      <c r="F1112" s="87" t="s">
        <v>2855</v>
      </c>
      <c r="G1112" s="88">
        <v>740</v>
      </c>
      <c r="H1112" s="89">
        <v>0</v>
      </c>
      <c r="I1112" s="5"/>
    </row>
    <row r="1113" spans="1:9" x14ac:dyDescent="0.2">
      <c r="A1113" s="4" t="s">
        <v>687</v>
      </c>
      <c r="B1113" s="13" t="s">
        <v>2894</v>
      </c>
      <c r="C1113" s="13" t="s">
        <v>1494</v>
      </c>
      <c r="D1113" s="174" t="s">
        <v>2496</v>
      </c>
      <c r="E1113" s="175"/>
      <c r="F1113" s="13" t="s">
        <v>2855</v>
      </c>
      <c r="G1113" s="82">
        <v>3050</v>
      </c>
      <c r="H1113" s="62">
        <v>0</v>
      </c>
      <c r="I1113" s="5"/>
    </row>
    <row r="1114" spans="1:9" x14ac:dyDescent="0.2">
      <c r="A1114" s="86" t="s">
        <v>688</v>
      </c>
      <c r="B1114" s="87" t="s">
        <v>2894</v>
      </c>
      <c r="C1114" s="87" t="s">
        <v>1495</v>
      </c>
      <c r="D1114" s="184" t="s">
        <v>2497</v>
      </c>
      <c r="E1114" s="175"/>
      <c r="F1114" s="87" t="s">
        <v>2855</v>
      </c>
      <c r="G1114" s="88">
        <v>950</v>
      </c>
      <c r="H1114" s="89">
        <v>0</v>
      </c>
      <c r="I1114" s="5"/>
    </row>
    <row r="1115" spans="1:9" x14ac:dyDescent="0.2">
      <c r="A1115" s="86" t="s">
        <v>689</v>
      </c>
      <c r="B1115" s="87" t="s">
        <v>2894</v>
      </c>
      <c r="C1115" s="87" t="s">
        <v>1496</v>
      </c>
      <c r="D1115" s="184" t="s">
        <v>2498</v>
      </c>
      <c r="E1115" s="175"/>
      <c r="F1115" s="87" t="s">
        <v>2855</v>
      </c>
      <c r="G1115" s="88">
        <v>60</v>
      </c>
      <c r="H1115" s="89">
        <v>0</v>
      </c>
      <c r="I1115" s="5"/>
    </row>
    <row r="1116" spans="1:9" x14ac:dyDescent="0.2">
      <c r="A1116" s="86" t="s">
        <v>690</v>
      </c>
      <c r="B1116" s="87" t="s">
        <v>2894</v>
      </c>
      <c r="C1116" s="87" t="s">
        <v>1497</v>
      </c>
      <c r="D1116" s="184" t="s">
        <v>2499</v>
      </c>
      <c r="E1116" s="175"/>
      <c r="F1116" s="87" t="s">
        <v>2855</v>
      </c>
      <c r="G1116" s="88">
        <v>110</v>
      </c>
      <c r="H1116" s="89">
        <v>0</v>
      </c>
      <c r="I1116" s="5"/>
    </row>
    <row r="1117" spans="1:9" x14ac:dyDescent="0.2">
      <c r="A1117" s="86" t="s">
        <v>691</v>
      </c>
      <c r="B1117" s="87" t="s">
        <v>2894</v>
      </c>
      <c r="C1117" s="87" t="s">
        <v>1498</v>
      </c>
      <c r="D1117" s="184" t="s">
        <v>2500</v>
      </c>
      <c r="E1117" s="175"/>
      <c r="F1117" s="87" t="s">
        <v>2855</v>
      </c>
      <c r="G1117" s="88">
        <v>1930</v>
      </c>
      <c r="H1117" s="89">
        <v>0</v>
      </c>
      <c r="I1117" s="5"/>
    </row>
    <row r="1118" spans="1:9" x14ac:dyDescent="0.2">
      <c r="A1118" s="4" t="s">
        <v>692</v>
      </c>
      <c r="B1118" s="13" t="s">
        <v>2894</v>
      </c>
      <c r="C1118" s="13" t="s">
        <v>1499</v>
      </c>
      <c r="D1118" s="174" t="s">
        <v>2501</v>
      </c>
      <c r="E1118" s="175"/>
      <c r="F1118" s="13" t="s">
        <v>2855</v>
      </c>
      <c r="G1118" s="82">
        <v>200</v>
      </c>
      <c r="H1118" s="62">
        <v>0</v>
      </c>
      <c r="I1118" s="5"/>
    </row>
    <row r="1119" spans="1:9" x14ac:dyDescent="0.2">
      <c r="A1119" s="86" t="s">
        <v>693</v>
      </c>
      <c r="B1119" s="87" t="s">
        <v>2894</v>
      </c>
      <c r="C1119" s="87" t="s">
        <v>1500</v>
      </c>
      <c r="D1119" s="184" t="s">
        <v>2502</v>
      </c>
      <c r="E1119" s="175"/>
      <c r="F1119" s="87" t="s">
        <v>2855</v>
      </c>
      <c r="G1119" s="88">
        <v>60</v>
      </c>
      <c r="H1119" s="89">
        <v>0</v>
      </c>
      <c r="I1119" s="5"/>
    </row>
    <row r="1120" spans="1:9" x14ac:dyDescent="0.2">
      <c r="A1120" s="86" t="s">
        <v>694</v>
      </c>
      <c r="B1120" s="87" t="s">
        <v>2894</v>
      </c>
      <c r="C1120" s="87" t="s">
        <v>1501</v>
      </c>
      <c r="D1120" s="184" t="s">
        <v>2503</v>
      </c>
      <c r="E1120" s="175"/>
      <c r="F1120" s="87" t="s">
        <v>2855</v>
      </c>
      <c r="G1120" s="88">
        <v>60</v>
      </c>
      <c r="H1120" s="89">
        <v>0</v>
      </c>
      <c r="I1120" s="5"/>
    </row>
    <row r="1121" spans="1:9" x14ac:dyDescent="0.2">
      <c r="A1121" s="86" t="s">
        <v>695</v>
      </c>
      <c r="B1121" s="87" t="s">
        <v>2894</v>
      </c>
      <c r="C1121" s="87" t="s">
        <v>1502</v>
      </c>
      <c r="D1121" s="184" t="s">
        <v>2504</v>
      </c>
      <c r="E1121" s="175"/>
      <c r="F1121" s="87" t="s">
        <v>2855</v>
      </c>
      <c r="G1121" s="88">
        <v>80</v>
      </c>
      <c r="H1121" s="89">
        <v>0</v>
      </c>
      <c r="I1121" s="5"/>
    </row>
    <row r="1122" spans="1:9" x14ac:dyDescent="0.2">
      <c r="A1122" s="4" t="s">
        <v>696</v>
      </c>
      <c r="B1122" s="13" t="s">
        <v>2894</v>
      </c>
      <c r="C1122" s="13" t="s">
        <v>1503</v>
      </c>
      <c r="D1122" s="174" t="s">
        <v>2505</v>
      </c>
      <c r="E1122" s="175"/>
      <c r="F1122" s="13" t="s">
        <v>2852</v>
      </c>
      <c r="G1122" s="82">
        <v>298</v>
      </c>
      <c r="H1122" s="62">
        <v>0</v>
      </c>
      <c r="I1122" s="5"/>
    </row>
    <row r="1123" spans="1:9" x14ac:dyDescent="0.2">
      <c r="A1123" s="86" t="s">
        <v>697</v>
      </c>
      <c r="B1123" s="87" t="s">
        <v>2894</v>
      </c>
      <c r="C1123" s="87" t="s">
        <v>1504</v>
      </c>
      <c r="D1123" s="184" t="s">
        <v>2506</v>
      </c>
      <c r="E1123" s="175"/>
      <c r="F1123" s="87" t="s">
        <v>2860</v>
      </c>
      <c r="G1123" s="88">
        <v>65</v>
      </c>
      <c r="H1123" s="89">
        <v>0</v>
      </c>
      <c r="I1123" s="5"/>
    </row>
    <row r="1124" spans="1:9" x14ac:dyDescent="0.2">
      <c r="A1124" s="86" t="s">
        <v>698</v>
      </c>
      <c r="B1124" s="87" t="s">
        <v>2894</v>
      </c>
      <c r="C1124" s="87" t="s">
        <v>1505</v>
      </c>
      <c r="D1124" s="184" t="s">
        <v>2507</v>
      </c>
      <c r="E1124" s="175"/>
      <c r="F1124" s="87" t="s">
        <v>2860</v>
      </c>
      <c r="G1124" s="88">
        <v>3</v>
      </c>
      <c r="H1124" s="89">
        <v>0</v>
      </c>
      <c r="I1124" s="5"/>
    </row>
    <row r="1125" spans="1:9" x14ac:dyDescent="0.2">
      <c r="A1125" s="86" t="s">
        <v>699</v>
      </c>
      <c r="B1125" s="87" t="s">
        <v>2894</v>
      </c>
      <c r="C1125" s="87" t="s">
        <v>1506</v>
      </c>
      <c r="D1125" s="184" t="s">
        <v>2508</v>
      </c>
      <c r="E1125" s="175"/>
      <c r="F1125" s="87" t="s">
        <v>2860</v>
      </c>
      <c r="G1125" s="88">
        <v>72</v>
      </c>
      <c r="H1125" s="89">
        <v>0</v>
      </c>
      <c r="I1125" s="5"/>
    </row>
    <row r="1126" spans="1:9" x14ac:dyDescent="0.2">
      <c r="A1126" s="86" t="s">
        <v>700</v>
      </c>
      <c r="B1126" s="87" t="s">
        <v>2894</v>
      </c>
      <c r="C1126" s="87" t="s">
        <v>1507</v>
      </c>
      <c r="D1126" s="184" t="s">
        <v>2509</v>
      </c>
      <c r="E1126" s="175"/>
      <c r="F1126" s="87" t="s">
        <v>2864</v>
      </c>
      <c r="G1126" s="88">
        <v>50</v>
      </c>
      <c r="H1126" s="89">
        <v>0</v>
      </c>
      <c r="I1126" s="5"/>
    </row>
    <row r="1127" spans="1:9" x14ac:dyDescent="0.2">
      <c r="A1127" s="4" t="s">
        <v>701</v>
      </c>
      <c r="B1127" s="13" t="s">
        <v>2894</v>
      </c>
      <c r="C1127" s="13" t="s">
        <v>1508</v>
      </c>
      <c r="D1127" s="174" t="s">
        <v>2510</v>
      </c>
      <c r="E1127" s="175"/>
      <c r="F1127" s="13" t="s">
        <v>2852</v>
      </c>
      <c r="G1127" s="82">
        <v>10</v>
      </c>
      <c r="H1127" s="62">
        <v>0</v>
      </c>
      <c r="I1127" s="5"/>
    </row>
    <row r="1128" spans="1:9" x14ac:dyDescent="0.2">
      <c r="A1128" s="4" t="s">
        <v>702</v>
      </c>
      <c r="B1128" s="13" t="s">
        <v>2894</v>
      </c>
      <c r="C1128" s="13" t="s">
        <v>1509</v>
      </c>
      <c r="D1128" s="174" t="s">
        <v>2511</v>
      </c>
      <c r="E1128" s="175"/>
      <c r="F1128" s="13" t="s">
        <v>2852</v>
      </c>
      <c r="G1128" s="82">
        <v>1</v>
      </c>
      <c r="H1128" s="62">
        <v>0</v>
      </c>
      <c r="I1128" s="5"/>
    </row>
    <row r="1129" spans="1:9" x14ac:dyDescent="0.2">
      <c r="A1129" s="86" t="s">
        <v>703</v>
      </c>
      <c r="B1129" s="87" t="s">
        <v>2894</v>
      </c>
      <c r="C1129" s="87" t="s">
        <v>1510</v>
      </c>
      <c r="D1129" s="184" t="s">
        <v>2512</v>
      </c>
      <c r="E1129" s="175"/>
      <c r="F1129" s="87" t="s">
        <v>2865</v>
      </c>
      <c r="G1129" s="88">
        <v>1</v>
      </c>
      <c r="H1129" s="89">
        <v>0</v>
      </c>
      <c r="I1129" s="5"/>
    </row>
    <row r="1130" spans="1:9" x14ac:dyDescent="0.2">
      <c r="A1130" s="4" t="s">
        <v>704</v>
      </c>
      <c r="B1130" s="13" t="s">
        <v>2894</v>
      </c>
      <c r="C1130" s="13" t="s">
        <v>1511</v>
      </c>
      <c r="D1130" s="174" t="s">
        <v>2513</v>
      </c>
      <c r="E1130" s="175"/>
      <c r="F1130" s="13" t="s">
        <v>2852</v>
      </c>
      <c r="G1130" s="82">
        <v>22</v>
      </c>
      <c r="H1130" s="62">
        <v>0</v>
      </c>
      <c r="I1130" s="5"/>
    </row>
    <row r="1131" spans="1:9" x14ac:dyDescent="0.2">
      <c r="A1131" s="86" t="s">
        <v>705</v>
      </c>
      <c r="B1131" s="87" t="s">
        <v>2894</v>
      </c>
      <c r="C1131" s="87" t="s">
        <v>1512</v>
      </c>
      <c r="D1131" s="184" t="s">
        <v>2514</v>
      </c>
      <c r="E1131" s="175"/>
      <c r="F1131" s="87" t="s">
        <v>2852</v>
      </c>
      <c r="G1131" s="88">
        <v>17</v>
      </c>
      <c r="H1131" s="89">
        <v>0</v>
      </c>
      <c r="I1131" s="5"/>
    </row>
    <row r="1132" spans="1:9" x14ac:dyDescent="0.2">
      <c r="A1132" s="86" t="s">
        <v>706</v>
      </c>
      <c r="B1132" s="87" t="s">
        <v>2894</v>
      </c>
      <c r="C1132" s="87" t="s">
        <v>1513</v>
      </c>
      <c r="D1132" s="184" t="s">
        <v>2515</v>
      </c>
      <c r="E1132" s="175"/>
      <c r="F1132" s="87" t="s">
        <v>2852</v>
      </c>
      <c r="G1132" s="88">
        <v>3</v>
      </c>
      <c r="H1132" s="89">
        <v>0</v>
      </c>
      <c r="I1132" s="5"/>
    </row>
    <row r="1133" spans="1:9" x14ac:dyDescent="0.2">
      <c r="A1133" s="86" t="s">
        <v>707</v>
      </c>
      <c r="B1133" s="87" t="s">
        <v>2894</v>
      </c>
      <c r="C1133" s="87" t="s">
        <v>1514</v>
      </c>
      <c r="D1133" s="184" t="s">
        <v>2516</v>
      </c>
      <c r="E1133" s="175"/>
      <c r="F1133" s="87" t="s">
        <v>2852</v>
      </c>
      <c r="G1133" s="88">
        <v>2</v>
      </c>
      <c r="H1133" s="89">
        <v>0</v>
      </c>
      <c r="I1133" s="5"/>
    </row>
    <row r="1134" spans="1:9" x14ac:dyDescent="0.2">
      <c r="A1134" s="4" t="s">
        <v>708</v>
      </c>
      <c r="B1134" s="13" t="s">
        <v>2894</v>
      </c>
      <c r="C1134" s="13" t="s">
        <v>1515</v>
      </c>
      <c r="D1134" s="174" t="s">
        <v>2517</v>
      </c>
      <c r="E1134" s="175"/>
      <c r="F1134" s="13" t="s">
        <v>2852</v>
      </c>
      <c r="G1134" s="82">
        <v>1</v>
      </c>
      <c r="H1134" s="62">
        <v>0</v>
      </c>
      <c r="I1134" s="5"/>
    </row>
    <row r="1135" spans="1:9" x14ac:dyDescent="0.2">
      <c r="A1135" s="86" t="s">
        <v>709</v>
      </c>
      <c r="B1135" s="87" t="s">
        <v>2894</v>
      </c>
      <c r="C1135" s="87" t="s">
        <v>1516</v>
      </c>
      <c r="D1135" s="184" t="s">
        <v>2517</v>
      </c>
      <c r="E1135" s="175"/>
      <c r="F1135" s="87" t="s">
        <v>2852</v>
      </c>
      <c r="G1135" s="88">
        <v>1</v>
      </c>
      <c r="H1135" s="89">
        <v>0</v>
      </c>
      <c r="I1135" s="5"/>
    </row>
    <row r="1136" spans="1:9" x14ac:dyDescent="0.2">
      <c r="A1136" s="4" t="s">
        <v>710</v>
      </c>
      <c r="B1136" s="13" t="s">
        <v>2894</v>
      </c>
      <c r="C1136" s="13" t="s">
        <v>1517</v>
      </c>
      <c r="D1136" s="174" t="s">
        <v>2518</v>
      </c>
      <c r="E1136" s="175"/>
      <c r="F1136" s="13" t="s">
        <v>2852</v>
      </c>
      <c r="G1136" s="82">
        <v>32</v>
      </c>
      <c r="H1136" s="62">
        <v>0</v>
      </c>
      <c r="I1136" s="5"/>
    </row>
    <row r="1137" spans="1:9" x14ac:dyDescent="0.2">
      <c r="A1137" s="86" t="s">
        <v>711</v>
      </c>
      <c r="B1137" s="87" t="s">
        <v>2894</v>
      </c>
      <c r="C1137" s="87" t="s">
        <v>1518</v>
      </c>
      <c r="D1137" s="184" t="s">
        <v>2519</v>
      </c>
      <c r="E1137" s="175"/>
      <c r="F1137" s="87" t="s">
        <v>2852</v>
      </c>
      <c r="G1137" s="88">
        <v>14</v>
      </c>
      <c r="H1137" s="89">
        <v>0</v>
      </c>
      <c r="I1137" s="5"/>
    </row>
    <row r="1138" spans="1:9" x14ac:dyDescent="0.2">
      <c r="A1138" s="86" t="s">
        <v>712</v>
      </c>
      <c r="B1138" s="87" t="s">
        <v>2894</v>
      </c>
      <c r="C1138" s="87" t="s">
        <v>1519</v>
      </c>
      <c r="D1138" s="184" t="s">
        <v>2520</v>
      </c>
      <c r="E1138" s="175"/>
      <c r="F1138" s="87" t="s">
        <v>2852</v>
      </c>
      <c r="G1138" s="88">
        <v>18</v>
      </c>
      <c r="H1138" s="89">
        <v>0</v>
      </c>
      <c r="I1138" s="5"/>
    </row>
    <row r="1139" spans="1:9" x14ac:dyDescent="0.2">
      <c r="A1139" s="4" t="s">
        <v>713</v>
      </c>
      <c r="B1139" s="13" t="s">
        <v>2894</v>
      </c>
      <c r="C1139" s="13" t="s">
        <v>1520</v>
      </c>
      <c r="D1139" s="174" t="s">
        <v>2521</v>
      </c>
      <c r="E1139" s="175"/>
      <c r="F1139" s="13" t="s">
        <v>2852</v>
      </c>
      <c r="G1139" s="82">
        <v>11</v>
      </c>
      <c r="H1139" s="62">
        <v>0</v>
      </c>
      <c r="I1139" s="5"/>
    </row>
    <row r="1140" spans="1:9" x14ac:dyDescent="0.2">
      <c r="A1140" s="86" t="s">
        <v>714</v>
      </c>
      <c r="B1140" s="87" t="s">
        <v>2894</v>
      </c>
      <c r="C1140" s="87" t="s">
        <v>1521</v>
      </c>
      <c r="D1140" s="184" t="s">
        <v>2522</v>
      </c>
      <c r="E1140" s="175"/>
      <c r="F1140" s="87" t="s">
        <v>2852</v>
      </c>
      <c r="G1140" s="88">
        <v>11</v>
      </c>
      <c r="H1140" s="89">
        <v>0</v>
      </c>
      <c r="I1140" s="5"/>
    </row>
    <row r="1141" spans="1:9" x14ac:dyDescent="0.2">
      <c r="A1141" s="4" t="s">
        <v>715</v>
      </c>
      <c r="B1141" s="13" t="s">
        <v>2894</v>
      </c>
      <c r="C1141" s="13" t="s">
        <v>1520</v>
      </c>
      <c r="D1141" s="174" t="s">
        <v>2523</v>
      </c>
      <c r="E1141" s="175"/>
      <c r="F1141" s="13" t="s">
        <v>2852</v>
      </c>
      <c r="G1141" s="82">
        <v>8</v>
      </c>
      <c r="H1141" s="62">
        <v>0</v>
      </c>
      <c r="I1141" s="5"/>
    </row>
    <row r="1142" spans="1:9" x14ac:dyDescent="0.2">
      <c r="A1142" s="86" t="s">
        <v>716</v>
      </c>
      <c r="B1142" s="87" t="s">
        <v>2894</v>
      </c>
      <c r="C1142" s="87" t="s">
        <v>1521</v>
      </c>
      <c r="D1142" s="184" t="s">
        <v>2523</v>
      </c>
      <c r="E1142" s="175"/>
      <c r="F1142" s="87" t="s">
        <v>2852</v>
      </c>
      <c r="G1142" s="88">
        <v>8</v>
      </c>
      <c r="H1142" s="89">
        <v>0</v>
      </c>
      <c r="I1142" s="5"/>
    </row>
    <row r="1143" spans="1:9" x14ac:dyDescent="0.2">
      <c r="A1143" s="4" t="s">
        <v>717</v>
      </c>
      <c r="B1143" s="13" t="s">
        <v>2894</v>
      </c>
      <c r="C1143" s="13" t="s">
        <v>1522</v>
      </c>
      <c r="D1143" s="174" t="s">
        <v>2524</v>
      </c>
      <c r="E1143" s="175"/>
      <c r="F1143" s="13" t="s">
        <v>2852</v>
      </c>
      <c r="G1143" s="82">
        <v>54</v>
      </c>
      <c r="H1143" s="62">
        <v>0</v>
      </c>
      <c r="I1143" s="5"/>
    </row>
    <row r="1144" spans="1:9" x14ac:dyDescent="0.2">
      <c r="A1144" s="86" t="s">
        <v>718</v>
      </c>
      <c r="B1144" s="87" t="s">
        <v>2894</v>
      </c>
      <c r="C1144" s="87" t="s">
        <v>1523</v>
      </c>
      <c r="D1144" s="184" t="s">
        <v>2525</v>
      </c>
      <c r="E1144" s="175"/>
      <c r="F1144" s="87" t="s">
        <v>2852</v>
      </c>
      <c r="G1144" s="88">
        <v>9</v>
      </c>
      <c r="H1144" s="89">
        <v>0</v>
      </c>
      <c r="I1144" s="5"/>
    </row>
    <row r="1145" spans="1:9" x14ac:dyDescent="0.2">
      <c r="A1145" s="86" t="s">
        <v>719</v>
      </c>
      <c r="B1145" s="87" t="s">
        <v>2894</v>
      </c>
      <c r="C1145" s="87" t="s">
        <v>1524</v>
      </c>
      <c r="D1145" s="184" t="s">
        <v>2526</v>
      </c>
      <c r="E1145" s="175"/>
      <c r="F1145" s="87" t="s">
        <v>2852</v>
      </c>
      <c r="G1145" s="88">
        <v>39</v>
      </c>
      <c r="H1145" s="89">
        <v>0</v>
      </c>
      <c r="I1145" s="5"/>
    </row>
    <row r="1146" spans="1:9" x14ac:dyDescent="0.2">
      <c r="A1146" s="86" t="s">
        <v>720</v>
      </c>
      <c r="B1146" s="87" t="s">
        <v>2894</v>
      </c>
      <c r="C1146" s="87" t="s">
        <v>1525</v>
      </c>
      <c r="D1146" s="184" t="s">
        <v>2527</v>
      </c>
      <c r="E1146" s="175"/>
      <c r="F1146" s="87" t="s">
        <v>2852</v>
      </c>
      <c r="G1146" s="88">
        <v>6</v>
      </c>
      <c r="H1146" s="89">
        <v>0</v>
      </c>
      <c r="I1146" s="5"/>
    </row>
    <row r="1147" spans="1:9" x14ac:dyDescent="0.2">
      <c r="A1147" s="4" t="s">
        <v>721</v>
      </c>
      <c r="B1147" s="13" t="s">
        <v>2894</v>
      </c>
      <c r="C1147" s="13" t="s">
        <v>1526</v>
      </c>
      <c r="D1147" s="174" t="s">
        <v>2528</v>
      </c>
      <c r="E1147" s="175"/>
      <c r="F1147" s="13" t="s">
        <v>2852</v>
      </c>
      <c r="G1147" s="82">
        <v>16</v>
      </c>
      <c r="H1147" s="62">
        <v>0</v>
      </c>
      <c r="I1147" s="5"/>
    </row>
    <row r="1148" spans="1:9" x14ac:dyDescent="0.2">
      <c r="A1148" s="86" t="s">
        <v>722</v>
      </c>
      <c r="B1148" s="87" t="s">
        <v>2894</v>
      </c>
      <c r="C1148" s="87" t="s">
        <v>1527</v>
      </c>
      <c r="D1148" s="184" t="s">
        <v>2529</v>
      </c>
      <c r="E1148" s="175"/>
      <c r="F1148" s="87" t="s">
        <v>2852</v>
      </c>
      <c r="G1148" s="88">
        <v>10</v>
      </c>
      <c r="H1148" s="89">
        <v>0</v>
      </c>
      <c r="I1148" s="5"/>
    </row>
    <row r="1149" spans="1:9" x14ac:dyDescent="0.2">
      <c r="A1149" s="86" t="s">
        <v>723</v>
      </c>
      <c r="B1149" s="87" t="s">
        <v>2894</v>
      </c>
      <c r="C1149" s="87" t="s">
        <v>1528</v>
      </c>
      <c r="D1149" s="184" t="s">
        <v>2530</v>
      </c>
      <c r="E1149" s="175"/>
      <c r="F1149" s="87" t="s">
        <v>2852</v>
      </c>
      <c r="G1149" s="88">
        <v>6</v>
      </c>
      <c r="H1149" s="89">
        <v>0</v>
      </c>
      <c r="I1149" s="5"/>
    </row>
    <row r="1150" spans="1:9" x14ac:dyDescent="0.2">
      <c r="A1150" s="4" t="s">
        <v>724</v>
      </c>
      <c r="B1150" s="13" t="s">
        <v>2894</v>
      </c>
      <c r="C1150" s="13" t="s">
        <v>1529</v>
      </c>
      <c r="D1150" s="174" t="s">
        <v>2531</v>
      </c>
      <c r="E1150" s="175"/>
      <c r="F1150" s="13" t="s">
        <v>2852</v>
      </c>
      <c r="G1150" s="82">
        <v>6</v>
      </c>
      <c r="H1150" s="62">
        <v>0</v>
      </c>
      <c r="I1150" s="5"/>
    </row>
    <row r="1151" spans="1:9" x14ac:dyDescent="0.2">
      <c r="A1151" s="86" t="s">
        <v>725</v>
      </c>
      <c r="B1151" s="87" t="s">
        <v>2894</v>
      </c>
      <c r="C1151" s="87" t="s">
        <v>1530</v>
      </c>
      <c r="D1151" s="184" t="s">
        <v>2532</v>
      </c>
      <c r="E1151" s="175"/>
      <c r="F1151" s="87" t="s">
        <v>2852</v>
      </c>
      <c r="G1151" s="88">
        <v>1</v>
      </c>
      <c r="H1151" s="89">
        <v>0</v>
      </c>
      <c r="I1151" s="5"/>
    </row>
    <row r="1152" spans="1:9" x14ac:dyDescent="0.2">
      <c r="A1152" s="4" t="s">
        <v>726</v>
      </c>
      <c r="B1152" s="13" t="s">
        <v>2894</v>
      </c>
      <c r="C1152" s="13" t="s">
        <v>1531</v>
      </c>
      <c r="D1152" s="174" t="s">
        <v>2533</v>
      </c>
      <c r="E1152" s="175"/>
      <c r="F1152" s="13" t="s">
        <v>2852</v>
      </c>
      <c r="G1152" s="82">
        <v>1</v>
      </c>
      <c r="H1152" s="62">
        <v>0</v>
      </c>
      <c r="I1152" s="5"/>
    </row>
    <row r="1153" spans="1:9" x14ac:dyDescent="0.2">
      <c r="A1153" s="86" t="s">
        <v>727</v>
      </c>
      <c r="B1153" s="87" t="s">
        <v>2894</v>
      </c>
      <c r="C1153" s="87" t="s">
        <v>1532</v>
      </c>
      <c r="D1153" s="184" t="s">
        <v>2533</v>
      </c>
      <c r="E1153" s="175"/>
      <c r="F1153" s="87" t="s">
        <v>2852</v>
      </c>
      <c r="G1153" s="88">
        <v>1</v>
      </c>
      <c r="H1153" s="89">
        <v>0</v>
      </c>
      <c r="I1153" s="5"/>
    </row>
    <row r="1154" spans="1:9" x14ac:dyDescent="0.2">
      <c r="A1154" s="4" t="s">
        <v>728</v>
      </c>
      <c r="B1154" s="13" t="s">
        <v>2894</v>
      </c>
      <c r="C1154" s="13" t="s">
        <v>1529</v>
      </c>
      <c r="D1154" s="174" t="s">
        <v>2534</v>
      </c>
      <c r="E1154" s="175"/>
      <c r="F1154" s="13" t="s">
        <v>2852</v>
      </c>
      <c r="G1154" s="82">
        <v>1</v>
      </c>
      <c r="H1154" s="62">
        <v>0</v>
      </c>
      <c r="I1154" s="5"/>
    </row>
    <row r="1155" spans="1:9" x14ac:dyDescent="0.2">
      <c r="A1155" s="86" t="s">
        <v>729</v>
      </c>
      <c r="B1155" s="87" t="s">
        <v>2894</v>
      </c>
      <c r="C1155" s="87" t="s">
        <v>1533</v>
      </c>
      <c r="D1155" s="184" t="s">
        <v>2535</v>
      </c>
      <c r="E1155" s="175"/>
      <c r="F1155" s="87" t="s">
        <v>2852</v>
      </c>
      <c r="G1155" s="88">
        <v>1</v>
      </c>
      <c r="H1155" s="89">
        <v>0</v>
      </c>
      <c r="I1155" s="5"/>
    </row>
    <row r="1156" spans="1:9" x14ac:dyDescent="0.2">
      <c r="A1156" s="4" t="s">
        <v>730</v>
      </c>
      <c r="B1156" s="13" t="s">
        <v>2894</v>
      </c>
      <c r="C1156" s="13" t="s">
        <v>1529</v>
      </c>
      <c r="D1156" s="174" t="s">
        <v>2536</v>
      </c>
      <c r="E1156" s="175"/>
      <c r="F1156" s="13" t="s">
        <v>2852</v>
      </c>
      <c r="G1156" s="82">
        <v>11</v>
      </c>
      <c r="H1156" s="62">
        <v>0</v>
      </c>
      <c r="I1156" s="5"/>
    </row>
    <row r="1157" spans="1:9" x14ac:dyDescent="0.2">
      <c r="A1157" s="86" t="s">
        <v>731</v>
      </c>
      <c r="B1157" s="87" t="s">
        <v>2894</v>
      </c>
      <c r="C1157" s="87" t="s">
        <v>1534</v>
      </c>
      <c r="D1157" s="184" t="s">
        <v>2537</v>
      </c>
      <c r="E1157" s="175"/>
      <c r="F1157" s="87" t="s">
        <v>2852</v>
      </c>
      <c r="G1157" s="88">
        <v>11</v>
      </c>
      <c r="H1157" s="89">
        <v>0</v>
      </c>
      <c r="I1157" s="5"/>
    </row>
    <row r="1158" spans="1:9" x14ac:dyDescent="0.2">
      <c r="A1158" s="4" t="s">
        <v>732</v>
      </c>
      <c r="B1158" s="13" t="s">
        <v>2894</v>
      </c>
      <c r="C1158" s="13" t="s">
        <v>1535</v>
      </c>
      <c r="D1158" s="174" t="s">
        <v>2538</v>
      </c>
      <c r="E1158" s="175"/>
      <c r="F1158" s="13" t="s">
        <v>2852</v>
      </c>
      <c r="G1158" s="82">
        <v>1</v>
      </c>
      <c r="H1158" s="62">
        <v>0</v>
      </c>
      <c r="I1158" s="5"/>
    </row>
    <row r="1159" spans="1:9" x14ac:dyDescent="0.2">
      <c r="A1159" s="86" t="s">
        <v>733</v>
      </c>
      <c r="B1159" s="87" t="s">
        <v>2894</v>
      </c>
      <c r="C1159" s="87" t="s">
        <v>1536</v>
      </c>
      <c r="D1159" s="184" t="s">
        <v>2538</v>
      </c>
      <c r="E1159" s="175"/>
      <c r="F1159" s="87" t="s">
        <v>2852</v>
      </c>
      <c r="G1159" s="88">
        <v>1</v>
      </c>
      <c r="H1159" s="89">
        <v>0</v>
      </c>
      <c r="I1159" s="5"/>
    </row>
    <row r="1160" spans="1:9" x14ac:dyDescent="0.2">
      <c r="A1160" s="4" t="s">
        <v>734</v>
      </c>
      <c r="B1160" s="13" t="s">
        <v>2894</v>
      </c>
      <c r="C1160" s="13" t="s">
        <v>1537</v>
      </c>
      <c r="D1160" s="174" t="s">
        <v>2539</v>
      </c>
      <c r="E1160" s="175"/>
      <c r="F1160" s="13" t="s">
        <v>2852</v>
      </c>
      <c r="G1160" s="82">
        <v>1</v>
      </c>
      <c r="H1160" s="62">
        <v>0</v>
      </c>
      <c r="I1160" s="5"/>
    </row>
    <row r="1161" spans="1:9" x14ac:dyDescent="0.2">
      <c r="A1161" s="86" t="s">
        <v>735</v>
      </c>
      <c r="B1161" s="87" t="s">
        <v>2894</v>
      </c>
      <c r="C1161" s="87" t="s">
        <v>1538</v>
      </c>
      <c r="D1161" s="184" t="s">
        <v>2539</v>
      </c>
      <c r="E1161" s="175"/>
      <c r="F1161" s="87" t="s">
        <v>2852</v>
      </c>
      <c r="G1161" s="88">
        <v>1</v>
      </c>
      <c r="H1161" s="89">
        <v>0</v>
      </c>
      <c r="I1161" s="5"/>
    </row>
    <row r="1162" spans="1:9" x14ac:dyDescent="0.2">
      <c r="A1162" s="4" t="s">
        <v>736</v>
      </c>
      <c r="B1162" s="13" t="s">
        <v>2894</v>
      </c>
      <c r="C1162" s="13" t="s">
        <v>1539</v>
      </c>
      <c r="D1162" s="174" t="s">
        <v>2540</v>
      </c>
      <c r="E1162" s="175"/>
      <c r="F1162" s="13" t="s">
        <v>2852</v>
      </c>
      <c r="G1162" s="82">
        <v>4</v>
      </c>
      <c r="H1162" s="62">
        <v>0</v>
      </c>
      <c r="I1162" s="5"/>
    </row>
    <row r="1163" spans="1:9" x14ac:dyDescent="0.2">
      <c r="A1163" s="86" t="s">
        <v>737</v>
      </c>
      <c r="B1163" s="87" t="s">
        <v>2894</v>
      </c>
      <c r="C1163" s="87" t="s">
        <v>1540</v>
      </c>
      <c r="D1163" s="184" t="s">
        <v>2540</v>
      </c>
      <c r="E1163" s="175"/>
      <c r="F1163" s="87" t="s">
        <v>2852</v>
      </c>
      <c r="G1163" s="88">
        <v>4</v>
      </c>
      <c r="H1163" s="89">
        <v>0</v>
      </c>
      <c r="I1163" s="5"/>
    </row>
    <row r="1164" spans="1:9" x14ac:dyDescent="0.2">
      <c r="A1164" s="4" t="s">
        <v>738</v>
      </c>
      <c r="B1164" s="13" t="s">
        <v>2894</v>
      </c>
      <c r="C1164" s="13" t="s">
        <v>1541</v>
      </c>
      <c r="D1164" s="174" t="s">
        <v>2541</v>
      </c>
      <c r="E1164" s="175"/>
      <c r="F1164" s="13" t="s">
        <v>2852</v>
      </c>
      <c r="G1164" s="82">
        <v>1</v>
      </c>
      <c r="H1164" s="62">
        <v>0</v>
      </c>
      <c r="I1164" s="5"/>
    </row>
    <row r="1165" spans="1:9" x14ac:dyDescent="0.2">
      <c r="A1165" s="86" t="s">
        <v>739</v>
      </c>
      <c r="B1165" s="87" t="s">
        <v>2894</v>
      </c>
      <c r="C1165" s="87" t="s">
        <v>1542</v>
      </c>
      <c r="D1165" s="184" t="s">
        <v>2541</v>
      </c>
      <c r="E1165" s="175"/>
      <c r="F1165" s="87" t="s">
        <v>2852</v>
      </c>
      <c r="G1165" s="88">
        <v>1</v>
      </c>
      <c r="H1165" s="89">
        <v>0</v>
      </c>
      <c r="I1165" s="5"/>
    </row>
    <row r="1166" spans="1:9" x14ac:dyDescent="0.2">
      <c r="A1166" s="4" t="s">
        <v>740</v>
      </c>
      <c r="B1166" s="13" t="s">
        <v>2894</v>
      </c>
      <c r="C1166" s="13" t="s">
        <v>1543</v>
      </c>
      <c r="D1166" s="174" t="s">
        <v>2542</v>
      </c>
      <c r="E1166" s="175"/>
      <c r="F1166" s="13" t="s">
        <v>2852</v>
      </c>
      <c r="G1166" s="82">
        <v>1</v>
      </c>
      <c r="H1166" s="62">
        <v>0</v>
      </c>
      <c r="I1166" s="5"/>
    </row>
    <row r="1167" spans="1:9" x14ac:dyDescent="0.2">
      <c r="A1167" s="86" t="s">
        <v>741</v>
      </c>
      <c r="B1167" s="87" t="s">
        <v>2894</v>
      </c>
      <c r="C1167" s="87" t="s">
        <v>1544</v>
      </c>
      <c r="D1167" s="184" t="s">
        <v>2542</v>
      </c>
      <c r="E1167" s="175"/>
      <c r="F1167" s="87" t="s">
        <v>2852</v>
      </c>
      <c r="G1167" s="88">
        <v>1</v>
      </c>
      <c r="H1167" s="89">
        <v>0</v>
      </c>
      <c r="I1167" s="5"/>
    </row>
    <row r="1168" spans="1:9" x14ac:dyDescent="0.2">
      <c r="A1168" s="4" t="s">
        <v>742</v>
      </c>
      <c r="B1168" s="13" t="s">
        <v>2894</v>
      </c>
      <c r="C1168" s="13" t="s">
        <v>1545</v>
      </c>
      <c r="D1168" s="174" t="s">
        <v>2543</v>
      </c>
      <c r="E1168" s="175"/>
      <c r="F1168" s="13" t="s">
        <v>2852</v>
      </c>
      <c r="G1168" s="82">
        <v>9</v>
      </c>
      <c r="H1168" s="62">
        <v>0</v>
      </c>
      <c r="I1168" s="5"/>
    </row>
    <row r="1169" spans="1:9" x14ac:dyDescent="0.2">
      <c r="A1169" s="86" t="s">
        <v>743</v>
      </c>
      <c r="B1169" s="87" t="s">
        <v>2894</v>
      </c>
      <c r="C1169" s="87" t="s">
        <v>1546</v>
      </c>
      <c r="D1169" s="184" t="s">
        <v>2543</v>
      </c>
      <c r="E1169" s="175"/>
      <c r="F1169" s="87" t="s">
        <v>2852</v>
      </c>
      <c r="G1169" s="88">
        <v>9</v>
      </c>
      <c r="H1169" s="89">
        <v>0</v>
      </c>
      <c r="I1169" s="5"/>
    </row>
    <row r="1170" spans="1:9" x14ac:dyDescent="0.2">
      <c r="A1170" s="4" t="s">
        <v>744</v>
      </c>
      <c r="B1170" s="13" t="s">
        <v>2894</v>
      </c>
      <c r="C1170" s="13" t="s">
        <v>1547</v>
      </c>
      <c r="D1170" s="174" t="s">
        <v>2544</v>
      </c>
      <c r="E1170" s="175"/>
      <c r="F1170" s="13" t="s">
        <v>2852</v>
      </c>
      <c r="G1170" s="82">
        <v>1</v>
      </c>
      <c r="H1170" s="62">
        <v>0</v>
      </c>
      <c r="I1170" s="5"/>
    </row>
    <row r="1171" spans="1:9" x14ac:dyDescent="0.2">
      <c r="A1171" s="86" t="s">
        <v>745</v>
      </c>
      <c r="B1171" s="87" t="s">
        <v>2894</v>
      </c>
      <c r="C1171" s="87" t="s">
        <v>1548</v>
      </c>
      <c r="D1171" s="184" t="s">
        <v>2545</v>
      </c>
      <c r="E1171" s="175"/>
      <c r="F1171" s="87" t="s">
        <v>2852</v>
      </c>
      <c r="G1171" s="88">
        <v>1</v>
      </c>
      <c r="H1171" s="89">
        <v>0</v>
      </c>
      <c r="I1171" s="5"/>
    </row>
    <row r="1172" spans="1:9" x14ac:dyDescent="0.2">
      <c r="A1172" s="4" t="s">
        <v>746</v>
      </c>
      <c r="B1172" s="13" t="s">
        <v>2894</v>
      </c>
      <c r="C1172" s="13" t="s">
        <v>1549</v>
      </c>
      <c r="D1172" s="174" t="s">
        <v>2546</v>
      </c>
      <c r="E1172" s="175"/>
      <c r="F1172" s="13" t="s">
        <v>2852</v>
      </c>
      <c r="G1172" s="82">
        <v>3</v>
      </c>
      <c r="H1172" s="62">
        <v>0</v>
      </c>
      <c r="I1172" s="5"/>
    </row>
    <row r="1173" spans="1:9" x14ac:dyDescent="0.2">
      <c r="A1173" s="86" t="s">
        <v>747</v>
      </c>
      <c r="B1173" s="87" t="s">
        <v>2894</v>
      </c>
      <c r="C1173" s="87" t="s">
        <v>1550</v>
      </c>
      <c r="D1173" s="184" t="s">
        <v>2546</v>
      </c>
      <c r="E1173" s="175"/>
      <c r="F1173" s="87" t="s">
        <v>2852</v>
      </c>
      <c r="G1173" s="88">
        <v>3</v>
      </c>
      <c r="H1173" s="89">
        <v>0</v>
      </c>
      <c r="I1173" s="5"/>
    </row>
    <row r="1174" spans="1:9" x14ac:dyDescent="0.2">
      <c r="A1174" s="4" t="s">
        <v>748</v>
      </c>
      <c r="B1174" s="13" t="s">
        <v>2894</v>
      </c>
      <c r="C1174" s="13" t="s">
        <v>1551</v>
      </c>
      <c r="D1174" s="174" t="s">
        <v>2547</v>
      </c>
      <c r="E1174" s="175"/>
      <c r="F1174" s="13" t="s">
        <v>2852</v>
      </c>
      <c r="G1174" s="82">
        <v>1</v>
      </c>
      <c r="H1174" s="62">
        <v>0</v>
      </c>
      <c r="I1174" s="5"/>
    </row>
    <row r="1175" spans="1:9" x14ac:dyDescent="0.2">
      <c r="A1175" s="86" t="s">
        <v>749</v>
      </c>
      <c r="B1175" s="87" t="s">
        <v>2894</v>
      </c>
      <c r="C1175" s="87" t="s">
        <v>1552</v>
      </c>
      <c r="D1175" s="184" t="s">
        <v>2547</v>
      </c>
      <c r="E1175" s="175"/>
      <c r="F1175" s="87" t="s">
        <v>2852</v>
      </c>
      <c r="G1175" s="88">
        <v>1</v>
      </c>
      <c r="H1175" s="89">
        <v>0</v>
      </c>
      <c r="I1175" s="5"/>
    </row>
    <row r="1176" spans="1:9" x14ac:dyDescent="0.2">
      <c r="A1176" s="4" t="s">
        <v>750</v>
      </c>
      <c r="B1176" s="13" t="s">
        <v>2894</v>
      </c>
      <c r="C1176" s="13" t="s">
        <v>1553</v>
      </c>
      <c r="D1176" s="174" t="s">
        <v>2548</v>
      </c>
      <c r="E1176" s="175"/>
      <c r="F1176" s="13" t="s">
        <v>2852</v>
      </c>
      <c r="G1176" s="82">
        <v>1</v>
      </c>
      <c r="H1176" s="62">
        <v>0</v>
      </c>
      <c r="I1176" s="5"/>
    </row>
    <row r="1177" spans="1:9" x14ac:dyDescent="0.2">
      <c r="A1177" s="86" t="s">
        <v>751</v>
      </c>
      <c r="B1177" s="87" t="s">
        <v>2894</v>
      </c>
      <c r="C1177" s="87" t="s">
        <v>1554</v>
      </c>
      <c r="D1177" s="184" t="s">
        <v>2548</v>
      </c>
      <c r="E1177" s="175"/>
      <c r="F1177" s="87" t="s">
        <v>2852</v>
      </c>
      <c r="G1177" s="88">
        <v>1</v>
      </c>
      <c r="H1177" s="89">
        <v>0</v>
      </c>
      <c r="I1177" s="5"/>
    </row>
    <row r="1178" spans="1:9" x14ac:dyDescent="0.2">
      <c r="A1178" s="4" t="s">
        <v>752</v>
      </c>
      <c r="B1178" s="13" t="s">
        <v>2894</v>
      </c>
      <c r="C1178" s="13" t="s">
        <v>1529</v>
      </c>
      <c r="D1178" s="174" t="s">
        <v>2549</v>
      </c>
      <c r="E1178" s="175"/>
      <c r="F1178" s="13" t="s">
        <v>2852</v>
      </c>
      <c r="G1178" s="82">
        <v>65</v>
      </c>
      <c r="H1178" s="62">
        <v>0</v>
      </c>
      <c r="I1178" s="5"/>
    </row>
    <row r="1179" spans="1:9" x14ac:dyDescent="0.2">
      <c r="A1179" s="86" t="s">
        <v>753</v>
      </c>
      <c r="B1179" s="87" t="s">
        <v>2894</v>
      </c>
      <c r="C1179" s="87" t="s">
        <v>1532</v>
      </c>
      <c r="D1179" s="184" t="s">
        <v>2549</v>
      </c>
      <c r="E1179" s="175"/>
      <c r="F1179" s="87" t="s">
        <v>2852</v>
      </c>
      <c r="G1179" s="88">
        <v>65</v>
      </c>
      <c r="H1179" s="89">
        <v>0</v>
      </c>
      <c r="I1179" s="5"/>
    </row>
    <row r="1180" spans="1:9" x14ac:dyDescent="0.2">
      <c r="A1180" s="4" t="s">
        <v>754</v>
      </c>
      <c r="B1180" s="13" t="s">
        <v>2894</v>
      </c>
      <c r="C1180" s="13" t="s">
        <v>1529</v>
      </c>
      <c r="D1180" s="174" t="s">
        <v>2550</v>
      </c>
      <c r="E1180" s="175"/>
      <c r="F1180" s="13" t="s">
        <v>2852</v>
      </c>
      <c r="G1180" s="82">
        <v>11</v>
      </c>
      <c r="H1180" s="62">
        <v>0</v>
      </c>
      <c r="I1180" s="5"/>
    </row>
    <row r="1181" spans="1:9" x14ac:dyDescent="0.2">
      <c r="A1181" s="86" t="s">
        <v>755</v>
      </c>
      <c r="B1181" s="87" t="s">
        <v>2894</v>
      </c>
      <c r="C1181" s="87" t="s">
        <v>1532</v>
      </c>
      <c r="D1181" s="184" t="s">
        <v>2550</v>
      </c>
      <c r="E1181" s="175"/>
      <c r="F1181" s="87" t="s">
        <v>2852</v>
      </c>
      <c r="G1181" s="88">
        <v>11</v>
      </c>
      <c r="H1181" s="89">
        <v>0</v>
      </c>
      <c r="I1181" s="5"/>
    </row>
    <row r="1182" spans="1:9" x14ac:dyDescent="0.2">
      <c r="A1182" s="4" t="s">
        <v>756</v>
      </c>
      <c r="B1182" s="13" t="s">
        <v>2894</v>
      </c>
      <c r="C1182" s="13" t="s">
        <v>1529</v>
      </c>
      <c r="D1182" s="174" t="s">
        <v>2551</v>
      </c>
      <c r="E1182" s="175"/>
      <c r="F1182" s="13" t="s">
        <v>2852</v>
      </c>
      <c r="G1182" s="82">
        <v>13</v>
      </c>
      <c r="H1182" s="62">
        <v>0</v>
      </c>
      <c r="I1182" s="5"/>
    </row>
    <row r="1183" spans="1:9" x14ac:dyDescent="0.2">
      <c r="A1183" s="86" t="s">
        <v>757</v>
      </c>
      <c r="B1183" s="87" t="s">
        <v>2894</v>
      </c>
      <c r="C1183" s="87" t="s">
        <v>1532</v>
      </c>
      <c r="D1183" s="184" t="s">
        <v>2551</v>
      </c>
      <c r="E1183" s="175"/>
      <c r="F1183" s="87" t="s">
        <v>2852</v>
      </c>
      <c r="G1183" s="88">
        <v>13</v>
      </c>
      <c r="H1183" s="89">
        <v>0</v>
      </c>
      <c r="I1183" s="5"/>
    </row>
    <row r="1184" spans="1:9" x14ac:dyDescent="0.2">
      <c r="A1184" s="4" t="s">
        <v>758</v>
      </c>
      <c r="B1184" s="13" t="s">
        <v>2894</v>
      </c>
      <c r="C1184" s="13" t="s">
        <v>1529</v>
      </c>
      <c r="D1184" s="174" t="s">
        <v>2552</v>
      </c>
      <c r="E1184" s="175"/>
      <c r="F1184" s="13" t="s">
        <v>2852</v>
      </c>
      <c r="G1184" s="82">
        <v>5</v>
      </c>
      <c r="H1184" s="62">
        <v>0</v>
      </c>
      <c r="I1184" s="5"/>
    </row>
    <row r="1185" spans="1:9" x14ac:dyDescent="0.2">
      <c r="A1185" s="86" t="s">
        <v>759</v>
      </c>
      <c r="B1185" s="87" t="s">
        <v>2894</v>
      </c>
      <c r="C1185" s="87" t="s">
        <v>1532</v>
      </c>
      <c r="D1185" s="184" t="s">
        <v>2552</v>
      </c>
      <c r="E1185" s="175"/>
      <c r="F1185" s="87" t="s">
        <v>2852</v>
      </c>
      <c r="G1185" s="88">
        <v>5</v>
      </c>
      <c r="H1185" s="89">
        <v>0</v>
      </c>
      <c r="I1185" s="5"/>
    </row>
    <row r="1186" spans="1:9" x14ac:dyDescent="0.2">
      <c r="A1186" s="4" t="s">
        <v>760</v>
      </c>
      <c r="B1186" s="13" t="s">
        <v>2894</v>
      </c>
      <c r="C1186" s="13" t="s">
        <v>1555</v>
      </c>
      <c r="D1186" s="174" t="s">
        <v>2553</v>
      </c>
      <c r="E1186" s="175"/>
      <c r="F1186" s="13" t="s">
        <v>2852</v>
      </c>
      <c r="G1186" s="82">
        <v>1</v>
      </c>
      <c r="H1186" s="62">
        <v>0</v>
      </c>
      <c r="I1186" s="5"/>
    </row>
    <row r="1187" spans="1:9" x14ac:dyDescent="0.2">
      <c r="A1187" s="4" t="s">
        <v>761</v>
      </c>
      <c r="B1187" s="13" t="s">
        <v>2894</v>
      </c>
      <c r="C1187" s="13" t="s">
        <v>1556</v>
      </c>
      <c r="D1187" s="174" t="s">
        <v>2554</v>
      </c>
      <c r="E1187" s="175"/>
      <c r="F1187" s="13" t="s">
        <v>2852</v>
      </c>
      <c r="G1187" s="82">
        <v>128</v>
      </c>
      <c r="H1187" s="62">
        <v>0</v>
      </c>
      <c r="I1187" s="5"/>
    </row>
    <row r="1188" spans="1:9" x14ac:dyDescent="0.2">
      <c r="A1188" s="86" t="s">
        <v>762</v>
      </c>
      <c r="B1188" s="87" t="s">
        <v>2894</v>
      </c>
      <c r="C1188" s="87" t="s">
        <v>1557</v>
      </c>
      <c r="D1188" s="184" t="s">
        <v>2555</v>
      </c>
      <c r="E1188" s="175"/>
      <c r="F1188" s="87" t="s">
        <v>2852</v>
      </c>
      <c r="G1188" s="88">
        <v>4</v>
      </c>
      <c r="H1188" s="89">
        <v>0</v>
      </c>
      <c r="I1188" s="5"/>
    </row>
    <row r="1189" spans="1:9" x14ac:dyDescent="0.2">
      <c r="A1189" s="86" t="s">
        <v>763</v>
      </c>
      <c r="B1189" s="87" t="s">
        <v>2894</v>
      </c>
      <c r="C1189" s="87" t="s">
        <v>1558</v>
      </c>
      <c r="D1189" s="184" t="s">
        <v>2556</v>
      </c>
      <c r="E1189" s="175"/>
      <c r="F1189" s="87" t="s">
        <v>2852</v>
      </c>
      <c r="G1189" s="88">
        <v>4</v>
      </c>
      <c r="H1189" s="89">
        <v>0</v>
      </c>
      <c r="I1189" s="5"/>
    </row>
    <row r="1190" spans="1:9" x14ac:dyDescent="0.2">
      <c r="A1190" s="86" t="s">
        <v>764</v>
      </c>
      <c r="B1190" s="87" t="s">
        <v>2894</v>
      </c>
      <c r="C1190" s="87" t="s">
        <v>1559</v>
      </c>
      <c r="D1190" s="184" t="s">
        <v>2557</v>
      </c>
      <c r="E1190" s="175"/>
      <c r="F1190" s="87" t="s">
        <v>2852</v>
      </c>
      <c r="G1190" s="88">
        <v>14</v>
      </c>
      <c r="H1190" s="89">
        <v>0</v>
      </c>
      <c r="I1190" s="5"/>
    </row>
    <row r="1191" spans="1:9" x14ac:dyDescent="0.2">
      <c r="A1191" s="86" t="s">
        <v>765</v>
      </c>
      <c r="B1191" s="87" t="s">
        <v>2894</v>
      </c>
      <c r="C1191" s="87" t="s">
        <v>1560</v>
      </c>
      <c r="D1191" s="184" t="s">
        <v>2558</v>
      </c>
      <c r="E1191" s="175"/>
      <c r="F1191" s="87" t="s">
        <v>2852</v>
      </c>
      <c r="G1191" s="88">
        <v>6</v>
      </c>
      <c r="H1191" s="89">
        <v>0</v>
      </c>
      <c r="I1191" s="5"/>
    </row>
    <row r="1192" spans="1:9" x14ac:dyDescent="0.2">
      <c r="A1192" s="86" t="s">
        <v>766</v>
      </c>
      <c r="B1192" s="87" t="s">
        <v>2894</v>
      </c>
      <c r="C1192" s="87" t="s">
        <v>1561</v>
      </c>
      <c r="D1192" s="184" t="s">
        <v>2559</v>
      </c>
      <c r="E1192" s="175"/>
      <c r="F1192" s="87" t="s">
        <v>2852</v>
      </c>
      <c r="G1192" s="88">
        <v>2</v>
      </c>
      <c r="H1192" s="89">
        <v>0</v>
      </c>
      <c r="I1192" s="5"/>
    </row>
    <row r="1193" spans="1:9" x14ac:dyDescent="0.2">
      <c r="A1193" s="86" t="s">
        <v>767</v>
      </c>
      <c r="B1193" s="87" t="s">
        <v>2894</v>
      </c>
      <c r="C1193" s="87" t="s">
        <v>1562</v>
      </c>
      <c r="D1193" s="184" t="s">
        <v>2560</v>
      </c>
      <c r="E1193" s="175"/>
      <c r="F1193" s="87" t="s">
        <v>2860</v>
      </c>
      <c r="G1193" s="88">
        <v>2</v>
      </c>
      <c r="H1193" s="89">
        <v>0</v>
      </c>
      <c r="I1193" s="5"/>
    </row>
    <row r="1194" spans="1:9" x14ac:dyDescent="0.2">
      <c r="A1194" s="86" t="s">
        <v>768</v>
      </c>
      <c r="B1194" s="87" t="s">
        <v>2894</v>
      </c>
      <c r="C1194" s="87" t="s">
        <v>1563</v>
      </c>
      <c r="D1194" s="184" t="s">
        <v>2561</v>
      </c>
      <c r="E1194" s="175"/>
      <c r="F1194" s="87" t="s">
        <v>2860</v>
      </c>
      <c r="G1194" s="88">
        <v>2</v>
      </c>
      <c r="H1194" s="89">
        <v>0</v>
      </c>
      <c r="I1194" s="5"/>
    </row>
    <row r="1195" spans="1:9" x14ac:dyDescent="0.2">
      <c r="A1195" s="86" t="s">
        <v>769</v>
      </c>
      <c r="B1195" s="87" t="s">
        <v>2894</v>
      </c>
      <c r="C1195" s="87" t="s">
        <v>1564</v>
      </c>
      <c r="D1195" s="184" t="s">
        <v>2562</v>
      </c>
      <c r="E1195" s="175"/>
      <c r="F1195" s="87" t="s">
        <v>2860</v>
      </c>
      <c r="G1195" s="88">
        <v>4</v>
      </c>
      <c r="H1195" s="89">
        <v>0</v>
      </c>
      <c r="I1195" s="5"/>
    </row>
    <row r="1196" spans="1:9" x14ac:dyDescent="0.2">
      <c r="A1196" s="86" t="s">
        <v>770</v>
      </c>
      <c r="B1196" s="87" t="s">
        <v>2894</v>
      </c>
      <c r="C1196" s="87" t="s">
        <v>1565</v>
      </c>
      <c r="D1196" s="184" t="s">
        <v>2563</v>
      </c>
      <c r="E1196" s="175"/>
      <c r="F1196" s="87" t="s">
        <v>2860</v>
      </c>
      <c r="G1196" s="88">
        <v>1</v>
      </c>
      <c r="H1196" s="89">
        <v>0</v>
      </c>
      <c r="I1196" s="5"/>
    </row>
    <row r="1197" spans="1:9" x14ac:dyDescent="0.2">
      <c r="A1197" s="86" t="s">
        <v>771</v>
      </c>
      <c r="B1197" s="87" t="s">
        <v>2894</v>
      </c>
      <c r="C1197" s="87" t="s">
        <v>1566</v>
      </c>
      <c r="D1197" s="184" t="s">
        <v>2564</v>
      </c>
      <c r="E1197" s="175"/>
      <c r="F1197" s="87" t="s">
        <v>2860</v>
      </c>
      <c r="G1197" s="88">
        <v>8</v>
      </c>
      <c r="H1197" s="89">
        <v>0</v>
      </c>
      <c r="I1197" s="5"/>
    </row>
    <row r="1198" spans="1:9" x14ac:dyDescent="0.2">
      <c r="A1198" s="86" t="s">
        <v>772</v>
      </c>
      <c r="B1198" s="87" t="s">
        <v>2894</v>
      </c>
      <c r="C1198" s="87" t="s">
        <v>1567</v>
      </c>
      <c r="D1198" s="184" t="s">
        <v>2565</v>
      </c>
      <c r="E1198" s="175"/>
      <c r="F1198" s="87" t="s">
        <v>2860</v>
      </c>
      <c r="G1198" s="88">
        <v>47</v>
      </c>
      <c r="H1198" s="89">
        <v>0</v>
      </c>
      <c r="I1198" s="5"/>
    </row>
    <row r="1199" spans="1:9" x14ac:dyDescent="0.2">
      <c r="A1199" s="86" t="s">
        <v>773</v>
      </c>
      <c r="B1199" s="87" t="s">
        <v>2894</v>
      </c>
      <c r="C1199" s="87" t="s">
        <v>1568</v>
      </c>
      <c r="D1199" s="184" t="s">
        <v>2566</v>
      </c>
      <c r="E1199" s="175"/>
      <c r="F1199" s="87" t="s">
        <v>2860</v>
      </c>
      <c r="G1199" s="88">
        <v>4</v>
      </c>
      <c r="H1199" s="89">
        <v>0</v>
      </c>
      <c r="I1199" s="5"/>
    </row>
    <row r="1200" spans="1:9" x14ac:dyDescent="0.2">
      <c r="A1200" s="86" t="s">
        <v>774</v>
      </c>
      <c r="B1200" s="87" t="s">
        <v>2894</v>
      </c>
      <c r="C1200" s="87" t="s">
        <v>1569</v>
      </c>
      <c r="D1200" s="184" t="s">
        <v>2567</v>
      </c>
      <c r="E1200" s="175"/>
      <c r="F1200" s="87" t="s">
        <v>2860</v>
      </c>
      <c r="G1200" s="88">
        <v>30</v>
      </c>
      <c r="H1200" s="89">
        <v>0</v>
      </c>
      <c r="I1200" s="5"/>
    </row>
    <row r="1201" spans="1:9" x14ac:dyDescent="0.2">
      <c r="A1201" s="4" t="s">
        <v>775</v>
      </c>
      <c r="B1201" s="13" t="s">
        <v>2894</v>
      </c>
      <c r="C1201" s="13" t="s">
        <v>1570</v>
      </c>
      <c r="D1201" s="174" t="s">
        <v>2568</v>
      </c>
      <c r="E1201" s="175"/>
      <c r="F1201" s="13" t="s">
        <v>2852</v>
      </c>
      <c r="G1201" s="82">
        <v>4</v>
      </c>
      <c r="H1201" s="62">
        <v>0</v>
      </c>
      <c r="I1201" s="5"/>
    </row>
    <row r="1202" spans="1:9" x14ac:dyDescent="0.2">
      <c r="A1202" s="86" t="s">
        <v>776</v>
      </c>
      <c r="B1202" s="87" t="s">
        <v>2894</v>
      </c>
      <c r="C1202" s="87" t="s">
        <v>1571</v>
      </c>
      <c r="D1202" s="184" t="s">
        <v>2569</v>
      </c>
      <c r="E1202" s="175"/>
      <c r="F1202" s="87" t="s">
        <v>2860</v>
      </c>
      <c r="G1202" s="88">
        <v>3</v>
      </c>
      <c r="H1202" s="89">
        <v>0</v>
      </c>
      <c r="I1202" s="5"/>
    </row>
    <row r="1203" spans="1:9" x14ac:dyDescent="0.2">
      <c r="A1203" s="86" t="s">
        <v>777</v>
      </c>
      <c r="B1203" s="87" t="s">
        <v>2894</v>
      </c>
      <c r="C1203" s="87" t="s">
        <v>1572</v>
      </c>
      <c r="D1203" s="184" t="s">
        <v>2570</v>
      </c>
      <c r="E1203" s="175"/>
      <c r="F1203" s="87" t="s">
        <v>2866</v>
      </c>
      <c r="G1203" s="88">
        <v>1</v>
      </c>
      <c r="H1203" s="89">
        <v>0</v>
      </c>
      <c r="I1203" s="5"/>
    </row>
    <row r="1204" spans="1:9" x14ac:dyDescent="0.2">
      <c r="A1204" s="4" t="s">
        <v>778</v>
      </c>
      <c r="B1204" s="13" t="s">
        <v>2894</v>
      </c>
      <c r="C1204" s="13" t="s">
        <v>1573</v>
      </c>
      <c r="D1204" s="174" t="s">
        <v>2571</v>
      </c>
      <c r="E1204" s="175"/>
      <c r="F1204" s="13" t="s">
        <v>2852</v>
      </c>
      <c r="G1204" s="82">
        <v>6</v>
      </c>
      <c r="H1204" s="62">
        <v>0</v>
      </c>
      <c r="I1204" s="5"/>
    </row>
    <row r="1205" spans="1:9" x14ac:dyDescent="0.2">
      <c r="A1205" s="86" t="s">
        <v>779</v>
      </c>
      <c r="B1205" s="87" t="s">
        <v>2894</v>
      </c>
      <c r="C1205" s="87" t="s">
        <v>1574</v>
      </c>
      <c r="D1205" s="184" t="s">
        <v>2572</v>
      </c>
      <c r="E1205" s="175"/>
      <c r="F1205" s="87" t="s">
        <v>2852</v>
      </c>
      <c r="G1205" s="88">
        <v>6</v>
      </c>
      <c r="H1205" s="89">
        <v>0</v>
      </c>
      <c r="I1205" s="5"/>
    </row>
    <row r="1206" spans="1:9" x14ac:dyDescent="0.2">
      <c r="A1206" s="4" t="s">
        <v>780</v>
      </c>
      <c r="B1206" s="13" t="s">
        <v>2894</v>
      </c>
      <c r="C1206" s="13" t="s">
        <v>1575</v>
      </c>
      <c r="D1206" s="174" t="s">
        <v>2573</v>
      </c>
      <c r="E1206" s="175"/>
      <c r="F1206" s="13" t="s">
        <v>2866</v>
      </c>
      <c r="G1206" s="82">
        <v>1</v>
      </c>
      <c r="H1206" s="62">
        <v>0</v>
      </c>
      <c r="I1206" s="5"/>
    </row>
    <row r="1207" spans="1:9" x14ac:dyDescent="0.2">
      <c r="A1207" s="4" t="s">
        <v>781</v>
      </c>
      <c r="B1207" s="13" t="s">
        <v>2894</v>
      </c>
      <c r="C1207" s="13" t="s">
        <v>1576</v>
      </c>
      <c r="D1207" s="174" t="s">
        <v>2574</v>
      </c>
      <c r="E1207" s="175"/>
      <c r="F1207" s="13" t="s">
        <v>2866</v>
      </c>
      <c r="G1207" s="82">
        <v>1</v>
      </c>
      <c r="H1207" s="62">
        <v>0</v>
      </c>
      <c r="I1207" s="5"/>
    </row>
    <row r="1208" spans="1:9" x14ac:dyDescent="0.2">
      <c r="A1208" s="4" t="s">
        <v>782</v>
      </c>
      <c r="B1208" s="13" t="s">
        <v>2894</v>
      </c>
      <c r="C1208" s="13" t="s">
        <v>1577</v>
      </c>
      <c r="D1208" s="174" t="s">
        <v>2575</v>
      </c>
      <c r="E1208" s="175"/>
      <c r="F1208" s="13" t="s">
        <v>2855</v>
      </c>
      <c r="G1208" s="82">
        <v>30</v>
      </c>
      <c r="H1208" s="62">
        <v>0</v>
      </c>
      <c r="I1208" s="5"/>
    </row>
    <row r="1209" spans="1:9" x14ac:dyDescent="0.2">
      <c r="A1209" s="86" t="s">
        <v>783</v>
      </c>
      <c r="B1209" s="87" t="s">
        <v>2894</v>
      </c>
      <c r="C1209" s="87" t="s">
        <v>1578</v>
      </c>
      <c r="D1209" s="184" t="s">
        <v>2575</v>
      </c>
      <c r="E1209" s="175"/>
      <c r="F1209" s="87" t="s">
        <v>2855</v>
      </c>
      <c r="G1209" s="88">
        <v>30</v>
      </c>
      <c r="H1209" s="89">
        <v>0</v>
      </c>
      <c r="I1209" s="5"/>
    </row>
    <row r="1210" spans="1:9" x14ac:dyDescent="0.2">
      <c r="A1210" s="4" t="s">
        <v>784</v>
      </c>
      <c r="B1210" s="13" t="s">
        <v>2894</v>
      </c>
      <c r="C1210" s="13" t="s">
        <v>1579</v>
      </c>
      <c r="D1210" s="174" t="s">
        <v>2576</v>
      </c>
      <c r="E1210" s="175"/>
      <c r="F1210" s="13" t="s">
        <v>2860</v>
      </c>
      <c r="G1210" s="82">
        <v>36</v>
      </c>
      <c r="H1210" s="62">
        <v>0</v>
      </c>
      <c r="I1210" s="5"/>
    </row>
    <row r="1211" spans="1:9" x14ac:dyDescent="0.2">
      <c r="A1211" s="86" t="s">
        <v>785</v>
      </c>
      <c r="B1211" s="87" t="s">
        <v>2894</v>
      </c>
      <c r="C1211" s="87" t="s">
        <v>1580</v>
      </c>
      <c r="D1211" s="184" t="s">
        <v>2576</v>
      </c>
      <c r="E1211" s="175"/>
      <c r="F1211" s="87" t="s">
        <v>2860</v>
      </c>
      <c r="G1211" s="88">
        <v>36</v>
      </c>
      <c r="H1211" s="89">
        <v>0</v>
      </c>
      <c r="I1211" s="5"/>
    </row>
    <row r="1212" spans="1:9" x14ac:dyDescent="0.2">
      <c r="A1212" s="4" t="s">
        <v>786</v>
      </c>
      <c r="B1212" s="13" t="s">
        <v>2894</v>
      </c>
      <c r="C1212" s="13" t="s">
        <v>1581</v>
      </c>
      <c r="D1212" s="174" t="s">
        <v>2577</v>
      </c>
      <c r="E1212" s="175"/>
      <c r="F1212" s="13" t="s">
        <v>2860</v>
      </c>
      <c r="G1212" s="82">
        <v>6</v>
      </c>
      <c r="H1212" s="62">
        <v>0</v>
      </c>
      <c r="I1212" s="5"/>
    </row>
    <row r="1213" spans="1:9" x14ac:dyDescent="0.2">
      <c r="A1213" s="86" t="s">
        <v>787</v>
      </c>
      <c r="B1213" s="87" t="s">
        <v>2894</v>
      </c>
      <c r="C1213" s="87" t="s">
        <v>1582</v>
      </c>
      <c r="D1213" s="184" t="s">
        <v>2577</v>
      </c>
      <c r="E1213" s="175"/>
      <c r="F1213" s="87" t="s">
        <v>2860</v>
      </c>
      <c r="G1213" s="88">
        <v>6</v>
      </c>
      <c r="H1213" s="89">
        <v>0</v>
      </c>
      <c r="I1213" s="5"/>
    </row>
    <row r="1214" spans="1:9" x14ac:dyDescent="0.2">
      <c r="A1214" s="4" t="s">
        <v>788</v>
      </c>
      <c r="B1214" s="13" t="s">
        <v>2894</v>
      </c>
      <c r="C1214" s="13" t="s">
        <v>1583</v>
      </c>
      <c r="D1214" s="174" t="s">
        <v>2578</v>
      </c>
      <c r="E1214" s="175"/>
      <c r="F1214" s="13" t="s">
        <v>2855</v>
      </c>
      <c r="G1214" s="82">
        <v>320</v>
      </c>
      <c r="H1214" s="62">
        <v>0</v>
      </c>
      <c r="I1214" s="5"/>
    </row>
    <row r="1215" spans="1:9" x14ac:dyDescent="0.2">
      <c r="A1215" s="86" t="s">
        <v>789</v>
      </c>
      <c r="B1215" s="87" t="s">
        <v>2894</v>
      </c>
      <c r="C1215" s="87" t="s">
        <v>1584</v>
      </c>
      <c r="D1215" s="184" t="s">
        <v>2578</v>
      </c>
      <c r="E1215" s="175"/>
      <c r="F1215" s="87" t="s">
        <v>2855</v>
      </c>
      <c r="G1215" s="88">
        <v>320</v>
      </c>
      <c r="H1215" s="89">
        <v>0</v>
      </c>
      <c r="I1215" s="5"/>
    </row>
    <row r="1216" spans="1:9" x14ac:dyDescent="0.2">
      <c r="A1216" s="4" t="s">
        <v>790</v>
      </c>
      <c r="B1216" s="13" t="s">
        <v>2894</v>
      </c>
      <c r="C1216" s="13" t="s">
        <v>1585</v>
      </c>
      <c r="D1216" s="174" t="s">
        <v>2579</v>
      </c>
      <c r="E1216" s="175"/>
      <c r="F1216" s="13" t="s">
        <v>2855</v>
      </c>
      <c r="G1216" s="82">
        <v>30</v>
      </c>
      <c r="H1216" s="62">
        <v>0</v>
      </c>
      <c r="I1216" s="5"/>
    </row>
    <row r="1217" spans="1:9" x14ac:dyDescent="0.2">
      <c r="A1217" s="86" t="s">
        <v>791</v>
      </c>
      <c r="B1217" s="87" t="s">
        <v>2894</v>
      </c>
      <c r="C1217" s="87" t="s">
        <v>1586</v>
      </c>
      <c r="D1217" s="184" t="s">
        <v>2580</v>
      </c>
      <c r="E1217" s="175"/>
      <c r="F1217" s="87" t="s">
        <v>2855</v>
      </c>
      <c r="G1217" s="88">
        <v>30</v>
      </c>
      <c r="H1217" s="89">
        <v>0</v>
      </c>
      <c r="I1217" s="5"/>
    </row>
    <row r="1218" spans="1:9" x14ac:dyDescent="0.2">
      <c r="A1218" s="4" t="s">
        <v>792</v>
      </c>
      <c r="B1218" s="13" t="s">
        <v>2894</v>
      </c>
      <c r="C1218" s="13" t="s">
        <v>1587</v>
      </c>
      <c r="D1218" s="174" t="s">
        <v>2581</v>
      </c>
      <c r="E1218" s="175"/>
      <c r="F1218" s="13" t="s">
        <v>2860</v>
      </c>
      <c r="G1218" s="82">
        <v>6</v>
      </c>
      <c r="H1218" s="62">
        <v>0</v>
      </c>
      <c r="I1218" s="5"/>
    </row>
    <row r="1219" spans="1:9" x14ac:dyDescent="0.2">
      <c r="A1219" s="86" t="s">
        <v>793</v>
      </c>
      <c r="B1219" s="87" t="s">
        <v>2894</v>
      </c>
      <c r="C1219" s="87" t="s">
        <v>1588</v>
      </c>
      <c r="D1219" s="184" t="s">
        <v>2581</v>
      </c>
      <c r="E1219" s="175"/>
      <c r="F1219" s="87" t="s">
        <v>2860</v>
      </c>
      <c r="G1219" s="88">
        <v>6</v>
      </c>
      <c r="H1219" s="89">
        <v>0</v>
      </c>
      <c r="I1219" s="5"/>
    </row>
    <row r="1220" spans="1:9" x14ac:dyDescent="0.2">
      <c r="A1220" s="4" t="s">
        <v>794</v>
      </c>
      <c r="B1220" s="13" t="s">
        <v>2894</v>
      </c>
      <c r="C1220" s="13" t="s">
        <v>1589</v>
      </c>
      <c r="D1220" s="174" t="s">
        <v>2582</v>
      </c>
      <c r="E1220" s="175"/>
      <c r="F1220" s="13" t="s">
        <v>2860</v>
      </c>
      <c r="G1220" s="82">
        <v>1</v>
      </c>
      <c r="H1220" s="62">
        <v>0</v>
      </c>
      <c r="I1220" s="5"/>
    </row>
    <row r="1221" spans="1:9" x14ac:dyDescent="0.2">
      <c r="A1221" s="86" t="s">
        <v>795</v>
      </c>
      <c r="B1221" s="87" t="s">
        <v>2894</v>
      </c>
      <c r="C1221" s="87" t="s">
        <v>1590</v>
      </c>
      <c r="D1221" s="184" t="s">
        <v>2582</v>
      </c>
      <c r="E1221" s="175"/>
      <c r="F1221" s="87" t="s">
        <v>2860</v>
      </c>
      <c r="G1221" s="88">
        <v>1</v>
      </c>
      <c r="H1221" s="89">
        <v>0</v>
      </c>
      <c r="I1221" s="5"/>
    </row>
    <row r="1222" spans="1:9" x14ac:dyDescent="0.2">
      <c r="A1222" s="4" t="s">
        <v>796</v>
      </c>
      <c r="B1222" s="13" t="s">
        <v>2894</v>
      </c>
      <c r="C1222" s="13" t="s">
        <v>1587</v>
      </c>
      <c r="D1222" s="174" t="s">
        <v>2583</v>
      </c>
      <c r="E1222" s="175"/>
      <c r="F1222" s="13" t="s">
        <v>2860</v>
      </c>
      <c r="G1222" s="82">
        <v>114</v>
      </c>
      <c r="H1222" s="62">
        <v>0</v>
      </c>
      <c r="I1222" s="5"/>
    </row>
    <row r="1223" spans="1:9" x14ac:dyDescent="0.2">
      <c r="A1223" s="86" t="s">
        <v>797</v>
      </c>
      <c r="B1223" s="87" t="s">
        <v>2894</v>
      </c>
      <c r="C1223" s="87" t="s">
        <v>1591</v>
      </c>
      <c r="D1223" s="184" t="s">
        <v>2583</v>
      </c>
      <c r="E1223" s="175"/>
      <c r="F1223" s="87" t="s">
        <v>2860</v>
      </c>
      <c r="G1223" s="88">
        <v>114</v>
      </c>
      <c r="H1223" s="89">
        <v>0</v>
      </c>
      <c r="I1223" s="5"/>
    </row>
    <row r="1224" spans="1:9" x14ac:dyDescent="0.2">
      <c r="A1224" s="4" t="s">
        <v>798</v>
      </c>
      <c r="B1224" s="13" t="s">
        <v>2894</v>
      </c>
      <c r="C1224" s="13" t="s">
        <v>1589</v>
      </c>
      <c r="D1224" s="174" t="s">
        <v>2584</v>
      </c>
      <c r="E1224" s="175"/>
      <c r="F1224" s="13" t="s">
        <v>2860</v>
      </c>
      <c r="G1224" s="82">
        <v>18</v>
      </c>
      <c r="H1224" s="62">
        <v>0</v>
      </c>
      <c r="I1224" s="5"/>
    </row>
    <row r="1225" spans="1:9" x14ac:dyDescent="0.2">
      <c r="A1225" s="86" t="s">
        <v>799</v>
      </c>
      <c r="B1225" s="87" t="s">
        <v>2894</v>
      </c>
      <c r="C1225" s="87" t="s">
        <v>1592</v>
      </c>
      <c r="D1225" s="184" t="s">
        <v>2584</v>
      </c>
      <c r="E1225" s="175"/>
      <c r="F1225" s="87" t="s">
        <v>2860</v>
      </c>
      <c r="G1225" s="88">
        <v>18</v>
      </c>
      <c r="H1225" s="89">
        <v>0</v>
      </c>
      <c r="I1225" s="5"/>
    </row>
    <row r="1226" spans="1:9" x14ac:dyDescent="0.2">
      <c r="A1226" s="4" t="s">
        <v>800</v>
      </c>
      <c r="B1226" s="13" t="s">
        <v>2894</v>
      </c>
      <c r="C1226" s="13" t="s">
        <v>1589</v>
      </c>
      <c r="D1226" s="174" t="s">
        <v>2585</v>
      </c>
      <c r="E1226" s="175"/>
      <c r="F1226" s="13" t="s">
        <v>2860</v>
      </c>
      <c r="G1226" s="82">
        <v>6</v>
      </c>
      <c r="H1226" s="62">
        <v>0</v>
      </c>
      <c r="I1226" s="5"/>
    </row>
    <row r="1227" spans="1:9" x14ac:dyDescent="0.2">
      <c r="A1227" s="4" t="s">
        <v>801</v>
      </c>
      <c r="B1227" s="13" t="s">
        <v>2894</v>
      </c>
      <c r="C1227" s="13" t="s">
        <v>1593</v>
      </c>
      <c r="D1227" s="174" t="s">
        <v>2586</v>
      </c>
      <c r="E1227" s="175"/>
      <c r="F1227" s="13" t="s">
        <v>2852</v>
      </c>
      <c r="G1227" s="82">
        <v>1</v>
      </c>
      <c r="H1227" s="62">
        <v>0</v>
      </c>
      <c r="I1227" s="5"/>
    </row>
    <row r="1228" spans="1:9" x14ac:dyDescent="0.2">
      <c r="A1228" s="86" t="s">
        <v>802</v>
      </c>
      <c r="B1228" s="87" t="s">
        <v>2894</v>
      </c>
      <c r="C1228" s="87" t="s">
        <v>1594</v>
      </c>
      <c r="D1228" s="184" t="s">
        <v>2586</v>
      </c>
      <c r="E1228" s="175"/>
      <c r="F1228" s="87" t="s">
        <v>2860</v>
      </c>
      <c r="G1228" s="88">
        <v>1</v>
      </c>
      <c r="H1228" s="89">
        <v>0</v>
      </c>
      <c r="I1228" s="5"/>
    </row>
    <row r="1229" spans="1:9" x14ac:dyDescent="0.2">
      <c r="A1229" s="4" t="s">
        <v>803</v>
      </c>
      <c r="B1229" s="13" t="s">
        <v>2894</v>
      </c>
      <c r="C1229" s="13" t="s">
        <v>1595</v>
      </c>
      <c r="D1229" s="174" t="s">
        <v>2587</v>
      </c>
      <c r="E1229" s="175"/>
      <c r="F1229" s="13" t="s">
        <v>2866</v>
      </c>
      <c r="G1229" s="82">
        <v>1</v>
      </c>
      <c r="H1229" s="62">
        <v>0</v>
      </c>
      <c r="I1229" s="5"/>
    </row>
    <row r="1230" spans="1:9" x14ac:dyDescent="0.2">
      <c r="A1230" s="4" t="s">
        <v>804</v>
      </c>
      <c r="B1230" s="13" t="s">
        <v>2894</v>
      </c>
      <c r="C1230" s="13" t="s">
        <v>1596</v>
      </c>
      <c r="D1230" s="174" t="s">
        <v>2588</v>
      </c>
      <c r="E1230" s="175"/>
      <c r="F1230" s="13" t="s">
        <v>2866</v>
      </c>
      <c r="G1230" s="82">
        <v>1</v>
      </c>
      <c r="H1230" s="62">
        <v>0</v>
      </c>
      <c r="I1230" s="5"/>
    </row>
    <row r="1231" spans="1:9" x14ac:dyDescent="0.2">
      <c r="A1231" s="4" t="s">
        <v>805</v>
      </c>
      <c r="B1231" s="13" t="s">
        <v>2894</v>
      </c>
      <c r="C1231" s="13" t="s">
        <v>1597</v>
      </c>
      <c r="D1231" s="174" t="s">
        <v>2589</v>
      </c>
      <c r="E1231" s="175"/>
      <c r="F1231" s="13" t="s">
        <v>2866</v>
      </c>
      <c r="G1231" s="82">
        <v>1</v>
      </c>
      <c r="H1231" s="62">
        <v>0</v>
      </c>
      <c r="I1231" s="5"/>
    </row>
    <row r="1232" spans="1:9" x14ac:dyDescent="0.2">
      <c r="A1232" s="4" t="s">
        <v>806</v>
      </c>
      <c r="B1232" s="13" t="s">
        <v>2894</v>
      </c>
      <c r="C1232" s="13" t="s">
        <v>1598</v>
      </c>
      <c r="D1232" s="174" t="s">
        <v>2590</v>
      </c>
      <c r="E1232" s="175"/>
      <c r="F1232" s="13" t="s">
        <v>2866</v>
      </c>
      <c r="G1232" s="82">
        <v>1</v>
      </c>
      <c r="H1232" s="62">
        <v>0</v>
      </c>
      <c r="I1232" s="5"/>
    </row>
    <row r="1233" spans="1:9" x14ac:dyDescent="0.2">
      <c r="A1233" s="4" t="s">
        <v>807</v>
      </c>
      <c r="B1233" s="13" t="s">
        <v>2894</v>
      </c>
      <c r="C1233" s="13" t="s">
        <v>1599</v>
      </c>
      <c r="D1233" s="174" t="s">
        <v>2591</v>
      </c>
      <c r="E1233" s="175"/>
      <c r="F1233" s="13" t="s">
        <v>2862</v>
      </c>
      <c r="G1233" s="82">
        <v>90</v>
      </c>
      <c r="H1233" s="62">
        <v>0</v>
      </c>
      <c r="I1233" s="5"/>
    </row>
    <row r="1234" spans="1:9" x14ac:dyDescent="0.2">
      <c r="A1234" s="86" t="s">
        <v>808</v>
      </c>
      <c r="B1234" s="87" t="s">
        <v>2894</v>
      </c>
      <c r="C1234" s="87" t="s">
        <v>1600</v>
      </c>
      <c r="D1234" s="184" t="s">
        <v>2592</v>
      </c>
      <c r="E1234" s="175"/>
      <c r="F1234" s="87" t="s">
        <v>2854</v>
      </c>
      <c r="G1234" s="88">
        <v>420</v>
      </c>
      <c r="H1234" s="89">
        <v>0</v>
      </c>
      <c r="I1234" s="5"/>
    </row>
    <row r="1235" spans="1:9" x14ac:dyDescent="0.2">
      <c r="A1235" s="4" t="s">
        <v>809</v>
      </c>
      <c r="B1235" s="13" t="s">
        <v>2894</v>
      </c>
      <c r="C1235" s="13" t="s">
        <v>1599</v>
      </c>
      <c r="D1235" s="174" t="s">
        <v>2593</v>
      </c>
      <c r="E1235" s="175"/>
      <c r="F1235" s="13" t="s">
        <v>2862</v>
      </c>
      <c r="G1235" s="82">
        <v>40</v>
      </c>
      <c r="H1235" s="62">
        <v>0</v>
      </c>
      <c r="I1235" s="5"/>
    </row>
    <row r="1236" spans="1:9" x14ac:dyDescent="0.2">
      <c r="A1236" s="86" t="s">
        <v>810</v>
      </c>
      <c r="B1236" s="87" t="s">
        <v>2894</v>
      </c>
      <c r="C1236" s="87" t="s">
        <v>1600</v>
      </c>
      <c r="D1236" s="184" t="s">
        <v>2593</v>
      </c>
      <c r="E1236" s="175"/>
      <c r="F1236" s="87" t="s">
        <v>2860</v>
      </c>
      <c r="G1236" s="88">
        <v>1</v>
      </c>
      <c r="H1236" s="89">
        <v>0</v>
      </c>
      <c r="I1236" s="5"/>
    </row>
    <row r="1237" spans="1:9" x14ac:dyDescent="0.2">
      <c r="A1237" s="4" t="s">
        <v>811</v>
      </c>
      <c r="B1237" s="13" t="s">
        <v>2894</v>
      </c>
      <c r="C1237" s="13" t="s">
        <v>1601</v>
      </c>
      <c r="D1237" s="174" t="s">
        <v>2594</v>
      </c>
      <c r="E1237" s="175"/>
      <c r="F1237" s="13" t="s">
        <v>2866</v>
      </c>
      <c r="G1237" s="82">
        <v>2</v>
      </c>
      <c r="H1237" s="62">
        <v>0</v>
      </c>
      <c r="I1237" s="5"/>
    </row>
    <row r="1238" spans="1:9" x14ac:dyDescent="0.2">
      <c r="A1238" s="4" t="s">
        <v>812</v>
      </c>
      <c r="B1238" s="13" t="s">
        <v>2894</v>
      </c>
      <c r="C1238" s="13" t="s">
        <v>1602</v>
      </c>
      <c r="D1238" s="174" t="s">
        <v>2595</v>
      </c>
      <c r="E1238" s="175"/>
      <c r="F1238" s="13" t="s">
        <v>2866</v>
      </c>
      <c r="G1238" s="82">
        <v>1</v>
      </c>
      <c r="H1238" s="62">
        <v>0</v>
      </c>
      <c r="I1238" s="5"/>
    </row>
    <row r="1239" spans="1:9" x14ac:dyDescent="0.2">
      <c r="A1239" s="4" t="s">
        <v>813</v>
      </c>
      <c r="B1239" s="13" t="s">
        <v>2897</v>
      </c>
      <c r="C1239" s="13" t="s">
        <v>1713</v>
      </c>
      <c r="D1239" s="174" t="s">
        <v>2719</v>
      </c>
      <c r="E1239" s="175"/>
      <c r="F1239" s="13" t="s">
        <v>2855</v>
      </c>
      <c r="G1239" s="82">
        <v>22</v>
      </c>
      <c r="H1239" s="62">
        <v>0</v>
      </c>
      <c r="I1239" s="5"/>
    </row>
    <row r="1240" spans="1:9" x14ac:dyDescent="0.2">
      <c r="A1240" s="4" t="s">
        <v>814</v>
      </c>
      <c r="B1240" s="13" t="s">
        <v>2897</v>
      </c>
      <c r="C1240" s="13" t="s">
        <v>1714</v>
      </c>
      <c r="D1240" s="174" t="s">
        <v>2720</v>
      </c>
      <c r="E1240" s="175"/>
      <c r="F1240" s="13" t="s">
        <v>2861</v>
      </c>
      <c r="G1240" s="82">
        <v>1</v>
      </c>
      <c r="H1240" s="62">
        <v>0</v>
      </c>
      <c r="I1240" s="5"/>
    </row>
    <row r="1241" spans="1:9" x14ac:dyDescent="0.2">
      <c r="A1241" s="4" t="s">
        <v>815</v>
      </c>
      <c r="B1241" s="13" t="s">
        <v>2897</v>
      </c>
      <c r="C1241" s="13" t="s">
        <v>1715</v>
      </c>
      <c r="D1241" s="174" t="s">
        <v>2721</v>
      </c>
      <c r="E1241" s="175"/>
      <c r="F1241" s="13" t="s">
        <v>2860</v>
      </c>
      <c r="G1241" s="82">
        <v>1</v>
      </c>
      <c r="H1241" s="62">
        <v>0</v>
      </c>
      <c r="I1241" s="5"/>
    </row>
    <row r="1242" spans="1:9" x14ac:dyDescent="0.2">
      <c r="A1242" s="4" t="s">
        <v>816</v>
      </c>
      <c r="B1242" s="13" t="s">
        <v>2897</v>
      </c>
      <c r="C1242" s="13" t="s">
        <v>1716</v>
      </c>
      <c r="D1242" s="174" t="s">
        <v>2722</v>
      </c>
      <c r="E1242" s="175"/>
      <c r="F1242" s="13" t="s">
        <v>2855</v>
      </c>
      <c r="G1242" s="82">
        <v>7</v>
      </c>
      <c r="H1242" s="62">
        <v>0</v>
      </c>
      <c r="I1242" s="5"/>
    </row>
    <row r="1243" spans="1:9" x14ac:dyDescent="0.2">
      <c r="A1243" s="4" t="s">
        <v>817</v>
      </c>
      <c r="B1243" s="13" t="s">
        <v>2897</v>
      </c>
      <c r="C1243" s="13" t="s">
        <v>1717</v>
      </c>
      <c r="D1243" s="174" t="s">
        <v>2724</v>
      </c>
      <c r="E1243" s="175"/>
      <c r="F1243" s="13" t="s">
        <v>2855</v>
      </c>
      <c r="G1243" s="82">
        <v>36</v>
      </c>
      <c r="H1243" s="62">
        <v>0</v>
      </c>
      <c r="I1243" s="5"/>
    </row>
    <row r="1244" spans="1:9" x14ac:dyDescent="0.2">
      <c r="A1244" s="4" t="s">
        <v>818</v>
      </c>
      <c r="B1244" s="13" t="s">
        <v>2897</v>
      </c>
      <c r="C1244" s="13" t="s">
        <v>1718</v>
      </c>
      <c r="D1244" s="174" t="s">
        <v>2725</v>
      </c>
      <c r="E1244" s="175"/>
      <c r="F1244" s="13" t="s">
        <v>2860</v>
      </c>
      <c r="G1244" s="82">
        <v>1</v>
      </c>
      <c r="H1244" s="62">
        <v>0</v>
      </c>
      <c r="I1244" s="5"/>
    </row>
    <row r="1245" spans="1:9" x14ac:dyDescent="0.2">
      <c r="A1245" s="4" t="s">
        <v>819</v>
      </c>
      <c r="B1245" s="13" t="s">
        <v>2897</v>
      </c>
      <c r="C1245" s="13" t="s">
        <v>1718</v>
      </c>
      <c r="D1245" s="174" t="s">
        <v>2726</v>
      </c>
      <c r="E1245" s="175"/>
      <c r="F1245" s="13" t="s">
        <v>2860</v>
      </c>
      <c r="G1245" s="82">
        <v>1</v>
      </c>
      <c r="H1245" s="62">
        <v>0</v>
      </c>
      <c r="I1245" s="5"/>
    </row>
    <row r="1246" spans="1:9" x14ac:dyDescent="0.2">
      <c r="A1246" s="4" t="s">
        <v>820</v>
      </c>
      <c r="B1246" s="13" t="s">
        <v>2897</v>
      </c>
      <c r="C1246" s="13" t="s">
        <v>1719</v>
      </c>
      <c r="D1246" s="174" t="s">
        <v>2727</v>
      </c>
      <c r="E1246" s="175"/>
      <c r="F1246" s="13" t="s">
        <v>2855</v>
      </c>
      <c r="G1246" s="82">
        <v>72</v>
      </c>
      <c r="H1246" s="62">
        <v>0</v>
      </c>
      <c r="I1246" s="5"/>
    </row>
    <row r="1247" spans="1:9" x14ac:dyDescent="0.2">
      <c r="A1247" s="4" t="s">
        <v>821</v>
      </c>
      <c r="B1247" s="13" t="s">
        <v>2897</v>
      </c>
      <c r="C1247" s="13" t="s">
        <v>1720</v>
      </c>
      <c r="D1247" s="174" t="s">
        <v>2728</v>
      </c>
      <c r="E1247" s="175"/>
      <c r="F1247" s="13" t="s">
        <v>2855</v>
      </c>
      <c r="G1247" s="82">
        <v>36</v>
      </c>
      <c r="H1247" s="62">
        <v>0</v>
      </c>
      <c r="I1247" s="5"/>
    </row>
    <row r="1248" spans="1:9" x14ac:dyDescent="0.2">
      <c r="A1248" s="4" t="s">
        <v>822</v>
      </c>
      <c r="B1248" s="13" t="s">
        <v>2897</v>
      </c>
      <c r="C1248" s="13" t="s">
        <v>1721</v>
      </c>
      <c r="D1248" s="174" t="s">
        <v>2729</v>
      </c>
      <c r="E1248" s="175"/>
      <c r="F1248" s="13" t="s">
        <v>2853</v>
      </c>
      <c r="G1248" s="82">
        <v>3.5</v>
      </c>
      <c r="H1248" s="62">
        <v>0</v>
      </c>
      <c r="I1248" s="5"/>
    </row>
    <row r="1249" spans="1:9" x14ac:dyDescent="0.2">
      <c r="A1249" s="4" t="s">
        <v>823</v>
      </c>
      <c r="B1249" s="13" t="s">
        <v>2897</v>
      </c>
      <c r="C1249" s="13" t="s">
        <v>1722</v>
      </c>
      <c r="D1249" s="174" t="s">
        <v>2730</v>
      </c>
      <c r="E1249" s="175"/>
      <c r="F1249" s="13" t="s">
        <v>2853</v>
      </c>
      <c r="G1249" s="82">
        <v>1</v>
      </c>
      <c r="H1249" s="62">
        <v>0</v>
      </c>
      <c r="I1249" s="5"/>
    </row>
    <row r="1250" spans="1:9" x14ac:dyDescent="0.2">
      <c r="A1250" s="4" t="s">
        <v>824</v>
      </c>
      <c r="B1250" s="13" t="s">
        <v>2897</v>
      </c>
      <c r="C1250" s="13" t="s">
        <v>1723</v>
      </c>
      <c r="D1250" s="174" t="s">
        <v>2731</v>
      </c>
      <c r="E1250" s="175"/>
      <c r="F1250" s="13" t="s">
        <v>2853</v>
      </c>
      <c r="G1250" s="82">
        <v>61</v>
      </c>
      <c r="H1250" s="62">
        <v>0</v>
      </c>
      <c r="I1250" s="5"/>
    </row>
    <row r="1251" spans="1:9" x14ac:dyDescent="0.2">
      <c r="A1251" s="4" t="s">
        <v>825</v>
      </c>
      <c r="B1251" s="13" t="s">
        <v>2897</v>
      </c>
      <c r="C1251" s="13" t="s">
        <v>1724</v>
      </c>
      <c r="D1251" s="174" t="s">
        <v>2732</v>
      </c>
      <c r="E1251" s="175"/>
      <c r="F1251" s="13" t="s">
        <v>2855</v>
      </c>
      <c r="G1251" s="82">
        <v>72</v>
      </c>
      <c r="H1251" s="62">
        <v>0</v>
      </c>
      <c r="I1251" s="5"/>
    </row>
    <row r="1252" spans="1:9" x14ac:dyDescent="0.2">
      <c r="A1252" s="4" t="s">
        <v>826</v>
      </c>
      <c r="B1252" s="13" t="s">
        <v>2897</v>
      </c>
      <c r="C1252" s="13" t="s">
        <v>1725</v>
      </c>
      <c r="D1252" s="174" t="s">
        <v>2734</v>
      </c>
      <c r="E1252" s="175"/>
      <c r="F1252" s="13" t="s">
        <v>2855</v>
      </c>
      <c r="G1252" s="82">
        <v>1.5</v>
      </c>
      <c r="H1252" s="62">
        <v>0</v>
      </c>
      <c r="I1252" s="5"/>
    </row>
    <row r="1253" spans="1:9" x14ac:dyDescent="0.2">
      <c r="A1253" s="4" t="s">
        <v>827</v>
      </c>
      <c r="B1253" s="13" t="s">
        <v>2897</v>
      </c>
      <c r="C1253" s="13" t="s">
        <v>1726</v>
      </c>
      <c r="D1253" s="174" t="s">
        <v>2736</v>
      </c>
      <c r="E1253" s="175"/>
      <c r="F1253" s="13" t="s">
        <v>2860</v>
      </c>
      <c r="G1253" s="82">
        <v>4</v>
      </c>
      <c r="H1253" s="62">
        <v>0</v>
      </c>
      <c r="I1253" s="5"/>
    </row>
    <row r="1254" spans="1:9" x14ac:dyDescent="0.2">
      <c r="A1254" s="4" t="s">
        <v>828</v>
      </c>
      <c r="B1254" s="13" t="s">
        <v>2897</v>
      </c>
      <c r="C1254" s="13" t="s">
        <v>1727</v>
      </c>
      <c r="D1254" s="174" t="s">
        <v>2738</v>
      </c>
      <c r="E1254" s="175"/>
      <c r="F1254" s="13" t="s">
        <v>2860</v>
      </c>
      <c r="G1254" s="82">
        <v>2</v>
      </c>
      <c r="H1254" s="62">
        <v>0</v>
      </c>
      <c r="I1254" s="5"/>
    </row>
    <row r="1255" spans="1:9" x14ac:dyDescent="0.2">
      <c r="A1255" s="4" t="s">
        <v>829</v>
      </c>
      <c r="B1255" s="13" t="s">
        <v>2897</v>
      </c>
      <c r="C1255" s="13" t="s">
        <v>1728</v>
      </c>
      <c r="D1255" s="174" t="s">
        <v>2739</v>
      </c>
      <c r="E1255" s="175"/>
      <c r="F1255" s="13" t="s">
        <v>2860</v>
      </c>
      <c r="G1255" s="82">
        <v>12</v>
      </c>
      <c r="H1255" s="62">
        <v>0</v>
      </c>
      <c r="I1255" s="5"/>
    </row>
    <row r="1256" spans="1:9" x14ac:dyDescent="0.2">
      <c r="A1256" s="4" t="s">
        <v>830</v>
      </c>
      <c r="B1256" s="13" t="s">
        <v>2897</v>
      </c>
      <c r="C1256" s="13" t="s">
        <v>1729</v>
      </c>
      <c r="D1256" s="174" t="s">
        <v>2740</v>
      </c>
      <c r="E1256" s="175"/>
      <c r="F1256" s="13" t="s">
        <v>2860</v>
      </c>
      <c r="G1256" s="82">
        <v>12</v>
      </c>
      <c r="H1256" s="62">
        <v>0</v>
      </c>
      <c r="I1256" s="5"/>
    </row>
    <row r="1257" spans="1:9" x14ac:dyDescent="0.2">
      <c r="A1257" s="4" t="s">
        <v>831</v>
      </c>
      <c r="B1257" s="13" t="s">
        <v>2897</v>
      </c>
      <c r="C1257" s="13" t="s">
        <v>1730</v>
      </c>
      <c r="D1257" s="174" t="s">
        <v>2741</v>
      </c>
      <c r="E1257" s="175"/>
      <c r="F1257" s="13" t="s">
        <v>2860</v>
      </c>
      <c r="G1257" s="82">
        <v>4</v>
      </c>
      <c r="H1257" s="62">
        <v>0</v>
      </c>
      <c r="I1257" s="5"/>
    </row>
    <row r="1258" spans="1:9" x14ac:dyDescent="0.2">
      <c r="A1258" s="4" t="s">
        <v>832</v>
      </c>
      <c r="B1258" s="13" t="s">
        <v>2897</v>
      </c>
      <c r="C1258" s="13" t="s">
        <v>1731</v>
      </c>
      <c r="D1258" s="174" t="s">
        <v>2742</v>
      </c>
      <c r="E1258" s="175"/>
      <c r="F1258" s="13" t="s">
        <v>2860</v>
      </c>
      <c r="G1258" s="82">
        <v>2</v>
      </c>
      <c r="H1258" s="62">
        <v>0</v>
      </c>
      <c r="I1258" s="5"/>
    </row>
    <row r="1259" spans="1:9" x14ac:dyDescent="0.2">
      <c r="A1259" s="4" t="s">
        <v>833</v>
      </c>
      <c r="B1259" s="13" t="s">
        <v>2897</v>
      </c>
      <c r="C1259" s="13" t="s">
        <v>1732</v>
      </c>
      <c r="D1259" s="174" t="s">
        <v>2743</v>
      </c>
      <c r="E1259" s="175"/>
      <c r="F1259" s="13" t="s">
        <v>2860</v>
      </c>
      <c r="G1259" s="82">
        <v>2</v>
      </c>
      <c r="H1259" s="62">
        <v>0</v>
      </c>
      <c r="I1259" s="5"/>
    </row>
    <row r="1260" spans="1:9" x14ac:dyDescent="0.2">
      <c r="A1260" s="4" t="s">
        <v>834</v>
      </c>
      <c r="B1260" s="13" t="s">
        <v>2897</v>
      </c>
      <c r="C1260" s="13" t="s">
        <v>1733</v>
      </c>
      <c r="D1260" s="174" t="s">
        <v>2744</v>
      </c>
      <c r="E1260" s="175"/>
      <c r="F1260" s="13" t="s">
        <v>2861</v>
      </c>
      <c r="G1260" s="82">
        <v>1</v>
      </c>
      <c r="H1260" s="62">
        <v>0</v>
      </c>
      <c r="I1260" s="5"/>
    </row>
    <row r="1261" spans="1:9" x14ac:dyDescent="0.2">
      <c r="A1261" s="4" t="s">
        <v>835</v>
      </c>
      <c r="B1261" s="13" t="s">
        <v>2897</v>
      </c>
      <c r="C1261" s="13" t="s">
        <v>1734</v>
      </c>
      <c r="D1261" s="174" t="s">
        <v>2745</v>
      </c>
      <c r="E1261" s="175"/>
      <c r="F1261" s="13" t="s">
        <v>2861</v>
      </c>
      <c r="G1261" s="82">
        <v>1</v>
      </c>
      <c r="H1261" s="62">
        <v>0</v>
      </c>
      <c r="I1261" s="5"/>
    </row>
    <row r="1262" spans="1:9" x14ac:dyDescent="0.2">
      <c r="A1262" s="4" t="s">
        <v>836</v>
      </c>
      <c r="B1262" s="13" t="s">
        <v>2897</v>
      </c>
      <c r="C1262" s="13" t="s">
        <v>1735</v>
      </c>
      <c r="D1262" s="174" t="s">
        <v>2746</v>
      </c>
      <c r="E1262" s="175"/>
      <c r="F1262" s="13" t="s">
        <v>2861</v>
      </c>
      <c r="G1262" s="82">
        <v>1</v>
      </c>
      <c r="H1262" s="62">
        <v>0</v>
      </c>
      <c r="I1262" s="5"/>
    </row>
    <row r="1263" spans="1:9" x14ac:dyDescent="0.2">
      <c r="A1263" s="4" t="s">
        <v>837</v>
      </c>
      <c r="B1263" s="13" t="s">
        <v>2897</v>
      </c>
      <c r="C1263" s="13" t="s">
        <v>1736</v>
      </c>
      <c r="D1263" s="174" t="s">
        <v>2747</v>
      </c>
      <c r="E1263" s="175"/>
      <c r="F1263" s="13" t="s">
        <v>2860</v>
      </c>
      <c r="G1263" s="82">
        <v>3</v>
      </c>
      <c r="H1263" s="62">
        <v>0</v>
      </c>
      <c r="I1263" s="5"/>
    </row>
    <row r="1264" spans="1:9" x14ac:dyDescent="0.2">
      <c r="A1264" s="4" t="s">
        <v>838</v>
      </c>
      <c r="B1264" s="13" t="s">
        <v>2897</v>
      </c>
      <c r="C1264" s="13" t="s">
        <v>1737</v>
      </c>
      <c r="D1264" s="174" t="s">
        <v>2748</v>
      </c>
      <c r="E1264" s="175"/>
      <c r="F1264" s="13" t="s">
        <v>2860</v>
      </c>
      <c r="G1264" s="82">
        <v>3</v>
      </c>
      <c r="H1264" s="62">
        <v>0</v>
      </c>
      <c r="I1264" s="5"/>
    </row>
    <row r="1265" spans="1:9" x14ac:dyDescent="0.2">
      <c r="A1265" s="4" t="s">
        <v>839</v>
      </c>
      <c r="B1265" s="13" t="s">
        <v>2897</v>
      </c>
      <c r="C1265" s="13" t="s">
        <v>1738</v>
      </c>
      <c r="D1265" s="174" t="s">
        <v>2749</v>
      </c>
      <c r="E1265" s="175"/>
      <c r="F1265" s="13" t="s">
        <v>2860</v>
      </c>
      <c r="G1265" s="82">
        <v>2</v>
      </c>
      <c r="H1265" s="62">
        <v>0</v>
      </c>
      <c r="I1265" s="5"/>
    </row>
    <row r="1266" spans="1:9" x14ac:dyDescent="0.2">
      <c r="A1266" s="4" t="s">
        <v>840</v>
      </c>
      <c r="B1266" s="13" t="s">
        <v>2897</v>
      </c>
      <c r="C1266" s="13" t="s">
        <v>1739</v>
      </c>
      <c r="D1266" s="174" t="s">
        <v>2750</v>
      </c>
      <c r="E1266" s="175"/>
      <c r="F1266" s="13" t="s">
        <v>2855</v>
      </c>
      <c r="G1266" s="82">
        <v>3</v>
      </c>
      <c r="H1266" s="62">
        <v>0</v>
      </c>
      <c r="I1266" s="5"/>
    </row>
    <row r="1267" spans="1:9" x14ac:dyDescent="0.2">
      <c r="A1267" s="4" t="s">
        <v>841</v>
      </c>
      <c r="B1267" s="13" t="s">
        <v>2897</v>
      </c>
      <c r="C1267" s="13" t="s">
        <v>1740</v>
      </c>
      <c r="D1267" s="174" t="s">
        <v>2751</v>
      </c>
      <c r="E1267" s="175"/>
      <c r="F1267" s="13" t="s">
        <v>2855</v>
      </c>
      <c r="G1267" s="82">
        <v>6</v>
      </c>
      <c r="H1267" s="62">
        <v>0</v>
      </c>
      <c r="I1267" s="5"/>
    </row>
    <row r="1268" spans="1:9" x14ac:dyDescent="0.2">
      <c r="A1268" s="4" t="s">
        <v>842</v>
      </c>
      <c r="B1268" s="13" t="s">
        <v>2897</v>
      </c>
      <c r="C1268" s="13" t="s">
        <v>1741</v>
      </c>
      <c r="D1268" s="174" t="s">
        <v>2752</v>
      </c>
      <c r="E1268" s="175"/>
      <c r="F1268" s="13" t="s">
        <v>2860</v>
      </c>
      <c r="G1268" s="82">
        <v>1</v>
      </c>
      <c r="H1268" s="62">
        <v>0</v>
      </c>
      <c r="I1268" s="5"/>
    </row>
    <row r="1269" spans="1:9" x14ac:dyDescent="0.2">
      <c r="A1269" s="4" t="s">
        <v>843</v>
      </c>
      <c r="B1269" s="13" t="s">
        <v>2897</v>
      </c>
      <c r="C1269" s="13" t="s">
        <v>1742</v>
      </c>
      <c r="D1269" s="174" t="s">
        <v>2753</v>
      </c>
      <c r="E1269" s="175"/>
      <c r="F1269" s="13" t="s">
        <v>2860</v>
      </c>
      <c r="G1269" s="82">
        <v>1</v>
      </c>
      <c r="H1269" s="62">
        <v>0</v>
      </c>
      <c r="I1269" s="5"/>
    </row>
    <row r="1270" spans="1:9" x14ac:dyDescent="0.2">
      <c r="A1270" s="4" t="s">
        <v>844</v>
      </c>
      <c r="B1270" s="13" t="s">
        <v>2897</v>
      </c>
      <c r="C1270" s="13" t="s">
        <v>1743</v>
      </c>
      <c r="D1270" s="174" t="s">
        <v>2114</v>
      </c>
      <c r="E1270" s="175"/>
      <c r="F1270" s="13" t="s">
        <v>2862</v>
      </c>
      <c r="G1270" s="82">
        <v>30</v>
      </c>
      <c r="H1270" s="62">
        <v>0</v>
      </c>
      <c r="I1270" s="5"/>
    </row>
    <row r="1271" spans="1:9" x14ac:dyDescent="0.2">
      <c r="A1271" s="4" t="s">
        <v>845</v>
      </c>
      <c r="B1271" s="13" t="s">
        <v>2897</v>
      </c>
      <c r="C1271" s="13" t="s">
        <v>1744</v>
      </c>
      <c r="D1271" s="174" t="s">
        <v>2754</v>
      </c>
      <c r="E1271" s="175"/>
      <c r="F1271" s="13" t="s">
        <v>2860</v>
      </c>
      <c r="G1271" s="82">
        <v>1</v>
      </c>
      <c r="H1271" s="62">
        <v>0</v>
      </c>
      <c r="I1271" s="5"/>
    </row>
    <row r="1272" spans="1:9" x14ac:dyDescent="0.2">
      <c r="A1272" s="4" t="s">
        <v>846</v>
      </c>
      <c r="B1272" s="13" t="s">
        <v>2897</v>
      </c>
      <c r="C1272" s="13" t="s">
        <v>1745</v>
      </c>
      <c r="D1272" s="174" t="s">
        <v>2755</v>
      </c>
      <c r="E1272" s="175"/>
      <c r="F1272" s="13" t="s">
        <v>2855</v>
      </c>
      <c r="G1272" s="82">
        <v>72</v>
      </c>
      <c r="H1272" s="62">
        <v>0</v>
      </c>
      <c r="I1272" s="5"/>
    </row>
    <row r="1273" spans="1:9" x14ac:dyDescent="0.2">
      <c r="A1273" s="4" t="s">
        <v>847</v>
      </c>
      <c r="B1273" s="13" t="s">
        <v>2897</v>
      </c>
      <c r="C1273" s="13" t="s">
        <v>1746</v>
      </c>
      <c r="D1273" s="174" t="s">
        <v>2756</v>
      </c>
      <c r="E1273" s="175"/>
      <c r="F1273" s="13" t="s">
        <v>2855</v>
      </c>
      <c r="G1273" s="82">
        <v>72</v>
      </c>
      <c r="H1273" s="62">
        <v>0</v>
      </c>
      <c r="I1273" s="5"/>
    </row>
    <row r="1274" spans="1:9" x14ac:dyDescent="0.2">
      <c r="A1274" s="4" t="s">
        <v>848</v>
      </c>
      <c r="B1274" s="13" t="s">
        <v>2897</v>
      </c>
      <c r="C1274" s="13" t="s">
        <v>1747</v>
      </c>
      <c r="D1274" s="174" t="s">
        <v>2757</v>
      </c>
      <c r="E1274" s="175"/>
      <c r="F1274" s="13" t="s">
        <v>2860</v>
      </c>
      <c r="G1274" s="82">
        <v>1</v>
      </c>
      <c r="H1274" s="62">
        <v>0</v>
      </c>
      <c r="I1274" s="5"/>
    </row>
    <row r="1275" spans="1:9" x14ac:dyDescent="0.2">
      <c r="A1275" s="4" t="s">
        <v>849</v>
      </c>
      <c r="B1275" s="13" t="s">
        <v>2897</v>
      </c>
      <c r="C1275" s="13" t="s">
        <v>1748</v>
      </c>
      <c r="D1275" s="174" t="s">
        <v>2758</v>
      </c>
      <c r="E1275" s="175"/>
      <c r="F1275" s="13" t="s">
        <v>2860</v>
      </c>
      <c r="G1275" s="82">
        <v>16</v>
      </c>
      <c r="H1275" s="62">
        <v>0</v>
      </c>
      <c r="I1275" s="5"/>
    </row>
    <row r="1276" spans="1:9" x14ac:dyDescent="0.2">
      <c r="A1276" s="4" t="s">
        <v>850</v>
      </c>
      <c r="B1276" s="13" t="s">
        <v>2897</v>
      </c>
      <c r="C1276" s="13" t="s">
        <v>1749</v>
      </c>
      <c r="D1276" s="174" t="s">
        <v>2759</v>
      </c>
      <c r="E1276" s="175"/>
      <c r="F1276" s="13" t="s">
        <v>2860</v>
      </c>
      <c r="G1276" s="82">
        <v>1</v>
      </c>
      <c r="H1276" s="62">
        <v>0</v>
      </c>
      <c r="I1276" s="5"/>
    </row>
    <row r="1277" spans="1:9" x14ac:dyDescent="0.2">
      <c r="A1277" s="4" t="s">
        <v>851</v>
      </c>
      <c r="B1277" s="13" t="s">
        <v>2897</v>
      </c>
      <c r="C1277" s="13" t="s">
        <v>1750</v>
      </c>
      <c r="D1277" s="174" t="s">
        <v>2760</v>
      </c>
      <c r="E1277" s="175"/>
      <c r="F1277" s="13" t="s">
        <v>2860</v>
      </c>
      <c r="G1277" s="82">
        <v>4</v>
      </c>
      <c r="H1277" s="62">
        <v>0</v>
      </c>
      <c r="I1277" s="5"/>
    </row>
    <row r="1278" spans="1:9" x14ac:dyDescent="0.2">
      <c r="A1278" s="4" t="s">
        <v>852</v>
      </c>
      <c r="B1278" s="13" t="s">
        <v>2897</v>
      </c>
      <c r="C1278" s="13" t="s">
        <v>1751</v>
      </c>
      <c r="D1278" s="174" t="s">
        <v>2761</v>
      </c>
      <c r="E1278" s="175"/>
      <c r="F1278" s="13" t="s">
        <v>2861</v>
      </c>
      <c r="G1278" s="82">
        <v>1</v>
      </c>
      <c r="H1278" s="62">
        <v>0</v>
      </c>
      <c r="I1278" s="5"/>
    </row>
    <row r="1279" spans="1:9" x14ac:dyDescent="0.2">
      <c r="A1279" s="4" t="s">
        <v>853</v>
      </c>
      <c r="B1279" s="13" t="s">
        <v>2897</v>
      </c>
      <c r="C1279" s="13" t="s">
        <v>1752</v>
      </c>
      <c r="D1279" s="174" t="s">
        <v>2121</v>
      </c>
      <c r="E1279" s="175"/>
      <c r="F1279" s="13" t="s">
        <v>2860</v>
      </c>
      <c r="G1279" s="82">
        <v>1</v>
      </c>
      <c r="H1279" s="62">
        <v>0</v>
      </c>
      <c r="I1279" s="5"/>
    </row>
    <row r="1280" spans="1:9" x14ac:dyDescent="0.2">
      <c r="A1280" s="4" t="s">
        <v>854</v>
      </c>
      <c r="B1280" s="13" t="s">
        <v>2897</v>
      </c>
      <c r="C1280" s="13" t="s">
        <v>1753</v>
      </c>
      <c r="D1280" s="174" t="s">
        <v>2122</v>
      </c>
      <c r="E1280" s="175"/>
      <c r="F1280" s="13" t="s">
        <v>2860</v>
      </c>
      <c r="G1280" s="82">
        <v>1</v>
      </c>
      <c r="H1280" s="62">
        <v>0</v>
      </c>
      <c r="I1280" s="5"/>
    </row>
    <row r="1281" spans="1:9" x14ac:dyDescent="0.2">
      <c r="A1281" s="4" t="s">
        <v>855</v>
      </c>
      <c r="B1281" s="13" t="s">
        <v>2897</v>
      </c>
      <c r="C1281" s="13" t="s">
        <v>1754</v>
      </c>
      <c r="D1281" s="174" t="s">
        <v>2123</v>
      </c>
      <c r="E1281" s="175"/>
      <c r="F1281" s="13" t="s">
        <v>2860</v>
      </c>
      <c r="G1281" s="82">
        <v>1</v>
      </c>
      <c r="H1281" s="62">
        <v>0</v>
      </c>
      <c r="I1281" s="5"/>
    </row>
    <row r="1282" spans="1:9" x14ac:dyDescent="0.2">
      <c r="A1282" s="4" t="s">
        <v>856</v>
      </c>
      <c r="B1282" s="13" t="s">
        <v>2898</v>
      </c>
      <c r="C1282" s="13" t="s">
        <v>1755</v>
      </c>
      <c r="D1282" s="174" t="s">
        <v>2763</v>
      </c>
      <c r="E1282" s="175"/>
      <c r="F1282" s="13" t="s">
        <v>2855</v>
      </c>
      <c r="G1282" s="82">
        <v>114</v>
      </c>
      <c r="H1282" s="62">
        <v>0</v>
      </c>
      <c r="I1282" s="5"/>
    </row>
    <row r="1283" spans="1:9" x14ac:dyDescent="0.2">
      <c r="A1283" s="4" t="s">
        <v>857</v>
      </c>
      <c r="B1283" s="13" t="s">
        <v>2898</v>
      </c>
      <c r="C1283" s="13" t="s">
        <v>1756</v>
      </c>
      <c r="D1283" s="174" t="s">
        <v>2765</v>
      </c>
      <c r="E1283" s="175"/>
      <c r="F1283" s="13" t="s">
        <v>2860</v>
      </c>
      <c r="G1283" s="82">
        <v>2</v>
      </c>
      <c r="H1283" s="62">
        <v>0</v>
      </c>
      <c r="I1283" s="5"/>
    </row>
    <row r="1284" spans="1:9" x14ac:dyDescent="0.2">
      <c r="A1284" s="4" t="s">
        <v>858</v>
      </c>
      <c r="B1284" s="13" t="s">
        <v>2898</v>
      </c>
      <c r="C1284" s="13" t="s">
        <v>1757</v>
      </c>
      <c r="D1284" s="174" t="s">
        <v>2766</v>
      </c>
      <c r="E1284" s="175"/>
      <c r="F1284" s="13" t="s">
        <v>2860</v>
      </c>
      <c r="G1284" s="82">
        <v>4</v>
      </c>
      <c r="H1284" s="62">
        <v>0</v>
      </c>
      <c r="I1284" s="5"/>
    </row>
    <row r="1285" spans="1:9" x14ac:dyDescent="0.2">
      <c r="A1285" s="4" t="s">
        <v>859</v>
      </c>
      <c r="B1285" s="13" t="s">
        <v>2898</v>
      </c>
      <c r="C1285" s="13" t="s">
        <v>1758</v>
      </c>
      <c r="D1285" s="174" t="s">
        <v>2767</v>
      </c>
      <c r="E1285" s="175"/>
      <c r="F1285" s="13" t="s">
        <v>2861</v>
      </c>
      <c r="G1285" s="82">
        <v>4</v>
      </c>
      <c r="H1285" s="62">
        <v>0</v>
      </c>
      <c r="I1285" s="5"/>
    </row>
    <row r="1286" spans="1:9" x14ac:dyDescent="0.2">
      <c r="A1286" s="4" t="s">
        <v>860</v>
      </c>
      <c r="B1286" s="13" t="s">
        <v>2898</v>
      </c>
      <c r="C1286" s="13" t="s">
        <v>1759</v>
      </c>
      <c r="D1286" s="174" t="s">
        <v>2768</v>
      </c>
      <c r="E1286" s="175"/>
      <c r="F1286" s="13" t="s">
        <v>2855</v>
      </c>
      <c r="G1286" s="82">
        <v>114</v>
      </c>
      <c r="H1286" s="62">
        <v>0</v>
      </c>
      <c r="I1286" s="5"/>
    </row>
    <row r="1287" spans="1:9" x14ac:dyDescent="0.2">
      <c r="A1287" s="4" t="s">
        <v>861</v>
      </c>
      <c r="B1287" s="13" t="s">
        <v>2898</v>
      </c>
      <c r="C1287" s="13" t="s">
        <v>1760</v>
      </c>
      <c r="D1287" s="174" t="s">
        <v>2770</v>
      </c>
      <c r="E1287" s="175"/>
      <c r="F1287" s="13" t="s">
        <v>2855</v>
      </c>
      <c r="G1287" s="82">
        <v>80</v>
      </c>
      <c r="H1287" s="62">
        <v>0</v>
      </c>
      <c r="I1287" s="5"/>
    </row>
    <row r="1288" spans="1:9" x14ac:dyDescent="0.2">
      <c r="A1288" s="4" t="s">
        <v>862</v>
      </c>
      <c r="B1288" s="13" t="s">
        <v>2898</v>
      </c>
      <c r="C1288" s="13" t="s">
        <v>1761</v>
      </c>
      <c r="D1288" s="174" t="s">
        <v>2771</v>
      </c>
      <c r="E1288" s="175"/>
      <c r="F1288" s="13" t="s">
        <v>2860</v>
      </c>
      <c r="G1288" s="82">
        <v>3</v>
      </c>
      <c r="H1288" s="62">
        <v>0</v>
      </c>
      <c r="I1288" s="5"/>
    </row>
    <row r="1289" spans="1:9" x14ac:dyDescent="0.2">
      <c r="A1289" s="4" t="s">
        <v>863</v>
      </c>
      <c r="B1289" s="13" t="s">
        <v>2898</v>
      </c>
      <c r="C1289" s="13" t="s">
        <v>1762</v>
      </c>
      <c r="D1289" s="174" t="s">
        <v>2772</v>
      </c>
      <c r="E1289" s="175"/>
      <c r="F1289" s="13" t="s">
        <v>2860</v>
      </c>
      <c r="G1289" s="82">
        <v>2</v>
      </c>
      <c r="H1289" s="62">
        <v>0</v>
      </c>
      <c r="I1289" s="5"/>
    </row>
    <row r="1290" spans="1:9" x14ac:dyDescent="0.2">
      <c r="A1290" s="4" t="s">
        <v>864</v>
      </c>
      <c r="B1290" s="13" t="s">
        <v>2898</v>
      </c>
      <c r="C1290" s="13" t="s">
        <v>1763</v>
      </c>
      <c r="D1290" s="174" t="s">
        <v>2773</v>
      </c>
      <c r="E1290" s="175"/>
      <c r="F1290" s="13" t="s">
        <v>2860</v>
      </c>
      <c r="G1290" s="82">
        <v>1</v>
      </c>
      <c r="H1290" s="62">
        <v>0</v>
      </c>
      <c r="I1290" s="5"/>
    </row>
    <row r="1291" spans="1:9" x14ac:dyDescent="0.2">
      <c r="A1291" s="4" t="s">
        <v>865</v>
      </c>
      <c r="B1291" s="13" t="s">
        <v>2898</v>
      </c>
      <c r="C1291" s="13" t="s">
        <v>1764</v>
      </c>
      <c r="D1291" s="174" t="s">
        <v>2774</v>
      </c>
      <c r="E1291" s="175"/>
      <c r="F1291" s="13" t="s">
        <v>2860</v>
      </c>
      <c r="G1291" s="82">
        <v>1</v>
      </c>
      <c r="H1291" s="62">
        <v>0</v>
      </c>
      <c r="I1291" s="5"/>
    </row>
    <row r="1292" spans="1:9" x14ac:dyDescent="0.2">
      <c r="A1292" s="4" t="s">
        <v>866</v>
      </c>
      <c r="B1292" s="13" t="s">
        <v>2898</v>
      </c>
      <c r="C1292" s="13" t="s">
        <v>1765</v>
      </c>
      <c r="D1292" s="174" t="s">
        <v>2775</v>
      </c>
      <c r="E1292" s="175"/>
      <c r="F1292" s="13" t="s">
        <v>2860</v>
      </c>
      <c r="G1292" s="82">
        <v>1</v>
      </c>
      <c r="H1292" s="62">
        <v>0</v>
      </c>
      <c r="I1292" s="5"/>
    </row>
    <row r="1293" spans="1:9" x14ac:dyDescent="0.2">
      <c r="A1293" s="4" t="s">
        <v>867</v>
      </c>
      <c r="B1293" s="13" t="s">
        <v>2898</v>
      </c>
      <c r="C1293" s="13" t="s">
        <v>1766</v>
      </c>
      <c r="D1293" s="174" t="s">
        <v>2727</v>
      </c>
      <c r="E1293" s="175"/>
      <c r="F1293" s="13" t="s">
        <v>2855</v>
      </c>
      <c r="G1293" s="82">
        <v>80</v>
      </c>
      <c r="H1293" s="62">
        <v>0</v>
      </c>
      <c r="I1293" s="5"/>
    </row>
    <row r="1294" spans="1:9" x14ac:dyDescent="0.2">
      <c r="A1294" s="4" t="s">
        <v>868</v>
      </c>
      <c r="B1294" s="13" t="s">
        <v>2898</v>
      </c>
      <c r="C1294" s="13" t="s">
        <v>1767</v>
      </c>
      <c r="D1294" s="174" t="s">
        <v>2728</v>
      </c>
      <c r="E1294" s="175"/>
      <c r="F1294" s="13" t="s">
        <v>2855</v>
      </c>
      <c r="G1294" s="82">
        <v>80</v>
      </c>
      <c r="H1294" s="62">
        <v>0</v>
      </c>
      <c r="I1294" s="5"/>
    </row>
    <row r="1295" spans="1:9" x14ac:dyDescent="0.2">
      <c r="A1295" s="4" t="s">
        <v>869</v>
      </c>
      <c r="B1295" s="13" t="s">
        <v>2898</v>
      </c>
      <c r="C1295" s="13" t="s">
        <v>1768</v>
      </c>
      <c r="D1295" s="174" t="s">
        <v>2776</v>
      </c>
      <c r="E1295" s="175"/>
      <c r="F1295" s="13" t="s">
        <v>2853</v>
      </c>
      <c r="G1295" s="82">
        <v>6.5</v>
      </c>
      <c r="H1295" s="62">
        <v>0</v>
      </c>
      <c r="I1295" s="5"/>
    </row>
    <row r="1296" spans="1:9" x14ac:dyDescent="0.2">
      <c r="A1296" s="4" t="s">
        <v>870</v>
      </c>
      <c r="B1296" s="13" t="s">
        <v>2898</v>
      </c>
      <c r="C1296" s="13" t="s">
        <v>1769</v>
      </c>
      <c r="D1296" s="174" t="s">
        <v>2777</v>
      </c>
      <c r="E1296" s="175"/>
      <c r="F1296" s="13" t="s">
        <v>2853</v>
      </c>
      <c r="G1296" s="82">
        <v>26</v>
      </c>
      <c r="H1296" s="62">
        <v>0</v>
      </c>
      <c r="I1296" s="5"/>
    </row>
    <row r="1297" spans="1:9" x14ac:dyDescent="0.2">
      <c r="A1297" s="4" t="s">
        <v>871</v>
      </c>
      <c r="B1297" s="13" t="s">
        <v>2898</v>
      </c>
      <c r="C1297" s="13" t="s">
        <v>1770</v>
      </c>
      <c r="D1297" s="174" t="s">
        <v>2731</v>
      </c>
      <c r="E1297" s="175"/>
      <c r="F1297" s="13" t="s">
        <v>2853</v>
      </c>
      <c r="G1297" s="82">
        <v>460</v>
      </c>
      <c r="H1297" s="62">
        <v>0</v>
      </c>
      <c r="I1297" s="5"/>
    </row>
    <row r="1298" spans="1:9" x14ac:dyDescent="0.2">
      <c r="A1298" s="4" t="s">
        <v>872</v>
      </c>
      <c r="B1298" s="13" t="s">
        <v>2898</v>
      </c>
      <c r="C1298" s="13" t="s">
        <v>1771</v>
      </c>
      <c r="D1298" s="174" t="s">
        <v>2778</v>
      </c>
      <c r="E1298" s="175"/>
      <c r="F1298" s="13" t="s">
        <v>2855</v>
      </c>
      <c r="G1298" s="82">
        <v>44</v>
      </c>
      <c r="H1298" s="62">
        <v>0</v>
      </c>
      <c r="I1298" s="5"/>
    </row>
    <row r="1299" spans="1:9" x14ac:dyDescent="0.2">
      <c r="A1299" s="4" t="s">
        <v>873</v>
      </c>
      <c r="B1299" s="13" t="s">
        <v>2898</v>
      </c>
      <c r="C1299" s="13" t="s">
        <v>1772</v>
      </c>
      <c r="D1299" s="174" t="s">
        <v>2780</v>
      </c>
      <c r="E1299" s="175"/>
      <c r="F1299" s="13" t="s">
        <v>2855</v>
      </c>
      <c r="G1299" s="82">
        <v>17</v>
      </c>
      <c r="H1299" s="62">
        <v>0</v>
      </c>
      <c r="I1299" s="5"/>
    </row>
    <row r="1300" spans="1:9" x14ac:dyDescent="0.2">
      <c r="A1300" s="4" t="s">
        <v>874</v>
      </c>
      <c r="B1300" s="13" t="s">
        <v>2898</v>
      </c>
      <c r="C1300" s="13" t="s">
        <v>1773</v>
      </c>
      <c r="D1300" s="174" t="s">
        <v>2781</v>
      </c>
      <c r="E1300" s="175"/>
      <c r="F1300" s="13" t="s">
        <v>2855</v>
      </c>
      <c r="G1300" s="82">
        <v>19</v>
      </c>
      <c r="H1300" s="62">
        <v>0</v>
      </c>
      <c r="I1300" s="5"/>
    </row>
    <row r="1301" spans="1:9" x14ac:dyDescent="0.2">
      <c r="A1301" s="4" t="s">
        <v>875</v>
      </c>
      <c r="B1301" s="13" t="s">
        <v>2898</v>
      </c>
      <c r="C1301" s="13" t="s">
        <v>1774</v>
      </c>
      <c r="D1301" s="174" t="s">
        <v>2115</v>
      </c>
      <c r="E1301" s="175"/>
      <c r="F1301" s="13" t="s">
        <v>2855</v>
      </c>
      <c r="G1301" s="82">
        <v>13.5</v>
      </c>
      <c r="H1301" s="62">
        <v>0</v>
      </c>
      <c r="I1301" s="5"/>
    </row>
    <row r="1302" spans="1:9" x14ac:dyDescent="0.2">
      <c r="A1302" s="4" t="s">
        <v>876</v>
      </c>
      <c r="B1302" s="13" t="s">
        <v>2898</v>
      </c>
      <c r="C1302" s="13" t="s">
        <v>1775</v>
      </c>
      <c r="D1302" s="174" t="s">
        <v>2783</v>
      </c>
      <c r="E1302" s="175"/>
      <c r="F1302" s="13" t="s">
        <v>2860</v>
      </c>
      <c r="G1302" s="82">
        <v>2</v>
      </c>
      <c r="H1302" s="62">
        <v>0</v>
      </c>
      <c r="I1302" s="5"/>
    </row>
    <row r="1303" spans="1:9" x14ac:dyDescent="0.2">
      <c r="A1303" s="4" t="s">
        <v>877</v>
      </c>
      <c r="B1303" s="13" t="s">
        <v>2898</v>
      </c>
      <c r="C1303" s="13" t="s">
        <v>1776</v>
      </c>
      <c r="D1303" s="174" t="s">
        <v>2785</v>
      </c>
      <c r="E1303" s="175"/>
      <c r="F1303" s="13" t="s">
        <v>2860</v>
      </c>
      <c r="G1303" s="82">
        <v>1</v>
      </c>
      <c r="H1303" s="62">
        <v>0</v>
      </c>
      <c r="I1303" s="5"/>
    </row>
    <row r="1304" spans="1:9" x14ac:dyDescent="0.2">
      <c r="A1304" s="4" t="s">
        <v>878</v>
      </c>
      <c r="B1304" s="13" t="s">
        <v>2898</v>
      </c>
      <c r="C1304" s="13" t="s">
        <v>1777</v>
      </c>
      <c r="D1304" s="174" t="s">
        <v>2786</v>
      </c>
      <c r="E1304" s="175"/>
      <c r="F1304" s="13" t="s">
        <v>2860</v>
      </c>
      <c r="G1304" s="82">
        <v>1</v>
      </c>
      <c r="H1304" s="62">
        <v>0</v>
      </c>
      <c r="I1304" s="5"/>
    </row>
    <row r="1305" spans="1:9" x14ac:dyDescent="0.2">
      <c r="A1305" s="4" t="s">
        <v>879</v>
      </c>
      <c r="B1305" s="13" t="s">
        <v>2898</v>
      </c>
      <c r="C1305" s="13" t="s">
        <v>1778</v>
      </c>
      <c r="D1305" s="174" t="s">
        <v>2787</v>
      </c>
      <c r="E1305" s="175"/>
      <c r="F1305" s="13" t="s">
        <v>2860</v>
      </c>
      <c r="G1305" s="82">
        <v>1</v>
      </c>
      <c r="H1305" s="62">
        <v>0</v>
      </c>
      <c r="I1305" s="5"/>
    </row>
    <row r="1306" spans="1:9" x14ac:dyDescent="0.2">
      <c r="A1306" s="4" t="s">
        <v>880</v>
      </c>
      <c r="B1306" s="13" t="s">
        <v>2898</v>
      </c>
      <c r="C1306" s="13" t="s">
        <v>1779</v>
      </c>
      <c r="D1306" s="174" t="s">
        <v>2788</v>
      </c>
      <c r="E1306" s="175"/>
      <c r="F1306" s="13" t="s">
        <v>2860</v>
      </c>
      <c r="G1306" s="82">
        <v>1</v>
      </c>
      <c r="H1306" s="62">
        <v>0</v>
      </c>
      <c r="I1306" s="5"/>
    </row>
    <row r="1307" spans="1:9" x14ac:dyDescent="0.2">
      <c r="A1307" s="4" t="s">
        <v>881</v>
      </c>
      <c r="B1307" s="13" t="s">
        <v>2898</v>
      </c>
      <c r="C1307" s="13" t="s">
        <v>1780</v>
      </c>
      <c r="D1307" s="174" t="s">
        <v>2790</v>
      </c>
      <c r="E1307" s="175"/>
      <c r="F1307" s="13" t="s">
        <v>2860</v>
      </c>
      <c r="G1307" s="82">
        <v>1</v>
      </c>
      <c r="H1307" s="62">
        <v>0</v>
      </c>
      <c r="I1307" s="5"/>
    </row>
    <row r="1308" spans="1:9" x14ac:dyDescent="0.2">
      <c r="A1308" s="4" t="s">
        <v>882</v>
      </c>
      <c r="B1308" s="13" t="s">
        <v>2898</v>
      </c>
      <c r="C1308" s="13" t="s">
        <v>1781</v>
      </c>
      <c r="D1308" s="174" t="s">
        <v>2792</v>
      </c>
      <c r="E1308" s="175"/>
      <c r="F1308" s="13" t="s">
        <v>2860</v>
      </c>
      <c r="G1308" s="82">
        <v>1</v>
      </c>
      <c r="H1308" s="62">
        <v>0</v>
      </c>
      <c r="I1308" s="5"/>
    </row>
    <row r="1309" spans="1:9" x14ac:dyDescent="0.2">
      <c r="A1309" s="4" t="s">
        <v>883</v>
      </c>
      <c r="B1309" s="13" t="s">
        <v>2898</v>
      </c>
      <c r="C1309" s="13" t="s">
        <v>1782</v>
      </c>
      <c r="D1309" s="174" t="s">
        <v>2793</v>
      </c>
      <c r="E1309" s="175"/>
      <c r="F1309" s="13" t="s">
        <v>2860</v>
      </c>
      <c r="G1309" s="82">
        <v>1</v>
      </c>
      <c r="H1309" s="62">
        <v>0</v>
      </c>
      <c r="I1309" s="5"/>
    </row>
    <row r="1310" spans="1:9" x14ac:dyDescent="0.2">
      <c r="A1310" s="4" t="s">
        <v>884</v>
      </c>
      <c r="B1310" s="13" t="s">
        <v>2898</v>
      </c>
      <c r="C1310" s="13" t="s">
        <v>1783</v>
      </c>
      <c r="D1310" s="174" t="s">
        <v>2794</v>
      </c>
      <c r="E1310" s="175"/>
      <c r="F1310" s="13" t="s">
        <v>2860</v>
      </c>
      <c r="G1310" s="82">
        <v>1</v>
      </c>
      <c r="H1310" s="62">
        <v>0</v>
      </c>
      <c r="I1310" s="5"/>
    </row>
    <row r="1311" spans="1:9" x14ac:dyDescent="0.2">
      <c r="A1311" s="4" t="s">
        <v>885</v>
      </c>
      <c r="B1311" s="13" t="s">
        <v>2898</v>
      </c>
      <c r="C1311" s="13" t="s">
        <v>1784</v>
      </c>
      <c r="D1311" s="174" t="s">
        <v>2795</v>
      </c>
      <c r="E1311" s="175"/>
      <c r="F1311" s="13" t="s">
        <v>2860</v>
      </c>
      <c r="G1311" s="82">
        <v>1</v>
      </c>
      <c r="H1311" s="62">
        <v>0</v>
      </c>
      <c r="I1311" s="5"/>
    </row>
    <row r="1312" spans="1:9" x14ac:dyDescent="0.2">
      <c r="A1312" s="4" t="s">
        <v>886</v>
      </c>
      <c r="B1312" s="13" t="s">
        <v>2898</v>
      </c>
      <c r="C1312" s="13" t="s">
        <v>1785</v>
      </c>
      <c r="D1312" s="174" t="s">
        <v>2796</v>
      </c>
      <c r="E1312" s="175"/>
      <c r="F1312" s="13" t="s">
        <v>2860</v>
      </c>
      <c r="G1312" s="82">
        <v>1</v>
      </c>
      <c r="H1312" s="62">
        <v>0</v>
      </c>
      <c r="I1312" s="5"/>
    </row>
    <row r="1313" spans="1:9" x14ac:dyDescent="0.2">
      <c r="A1313" s="4" t="s">
        <v>887</v>
      </c>
      <c r="B1313" s="13" t="s">
        <v>2898</v>
      </c>
      <c r="C1313" s="13" t="s">
        <v>1786</v>
      </c>
      <c r="D1313" s="174" t="s">
        <v>2797</v>
      </c>
      <c r="E1313" s="175"/>
      <c r="F1313" s="13" t="s">
        <v>2860</v>
      </c>
      <c r="G1313" s="82">
        <v>1</v>
      </c>
      <c r="H1313" s="62">
        <v>0</v>
      </c>
      <c r="I1313" s="5"/>
    </row>
    <row r="1314" spans="1:9" x14ac:dyDescent="0.2">
      <c r="A1314" s="4" t="s">
        <v>888</v>
      </c>
      <c r="B1314" s="13" t="s">
        <v>2898</v>
      </c>
      <c r="C1314" s="13" t="s">
        <v>1787</v>
      </c>
      <c r="D1314" s="174" t="s">
        <v>2798</v>
      </c>
      <c r="E1314" s="175"/>
      <c r="F1314" s="13" t="s">
        <v>2860</v>
      </c>
      <c r="G1314" s="82">
        <v>1</v>
      </c>
      <c r="H1314" s="62">
        <v>0</v>
      </c>
      <c r="I1314" s="5"/>
    </row>
    <row r="1315" spans="1:9" x14ac:dyDescent="0.2">
      <c r="A1315" s="4" t="s">
        <v>889</v>
      </c>
      <c r="B1315" s="13" t="s">
        <v>2898</v>
      </c>
      <c r="C1315" s="13" t="s">
        <v>1788</v>
      </c>
      <c r="D1315" s="174" t="s">
        <v>2799</v>
      </c>
      <c r="E1315" s="175"/>
      <c r="F1315" s="13" t="s">
        <v>2860</v>
      </c>
      <c r="G1315" s="82">
        <v>1</v>
      </c>
      <c r="H1315" s="62">
        <v>0</v>
      </c>
      <c r="I1315" s="5"/>
    </row>
    <row r="1316" spans="1:9" x14ac:dyDescent="0.2">
      <c r="A1316" s="4" t="s">
        <v>890</v>
      </c>
      <c r="B1316" s="13" t="s">
        <v>2898</v>
      </c>
      <c r="C1316" s="13" t="s">
        <v>1789</v>
      </c>
      <c r="D1316" s="174" t="s">
        <v>2800</v>
      </c>
      <c r="E1316" s="175"/>
      <c r="F1316" s="13" t="s">
        <v>2861</v>
      </c>
      <c r="G1316" s="82">
        <v>1</v>
      </c>
      <c r="H1316" s="62">
        <v>0</v>
      </c>
      <c r="I1316" s="5"/>
    </row>
    <row r="1317" spans="1:9" x14ac:dyDescent="0.2">
      <c r="A1317" s="4" t="s">
        <v>891</v>
      </c>
      <c r="B1317" s="13" t="s">
        <v>2898</v>
      </c>
      <c r="C1317" s="13" t="s">
        <v>1790</v>
      </c>
      <c r="D1317" s="174" t="s">
        <v>2802</v>
      </c>
      <c r="E1317" s="175"/>
      <c r="F1317" s="13" t="s">
        <v>2861</v>
      </c>
      <c r="G1317" s="82">
        <v>1</v>
      </c>
      <c r="H1317" s="62">
        <v>0</v>
      </c>
      <c r="I1317" s="5"/>
    </row>
    <row r="1318" spans="1:9" x14ac:dyDescent="0.2">
      <c r="A1318" s="4" t="s">
        <v>892</v>
      </c>
      <c r="B1318" s="13" t="s">
        <v>2898</v>
      </c>
      <c r="C1318" s="13" t="s">
        <v>1791</v>
      </c>
      <c r="D1318" s="174" t="s">
        <v>2803</v>
      </c>
      <c r="E1318" s="175"/>
      <c r="F1318" s="13" t="s">
        <v>2860</v>
      </c>
      <c r="G1318" s="82">
        <v>1</v>
      </c>
      <c r="H1318" s="62">
        <v>0</v>
      </c>
      <c r="I1318" s="5"/>
    </row>
    <row r="1319" spans="1:9" x14ac:dyDescent="0.2">
      <c r="A1319" s="4" t="s">
        <v>893</v>
      </c>
      <c r="B1319" s="13" t="s">
        <v>2898</v>
      </c>
      <c r="C1319" s="13" t="s">
        <v>1792</v>
      </c>
      <c r="D1319" s="174" t="s">
        <v>2804</v>
      </c>
      <c r="E1319" s="175"/>
      <c r="F1319" s="13" t="s">
        <v>2860</v>
      </c>
      <c r="G1319" s="82">
        <v>1</v>
      </c>
      <c r="H1319" s="62">
        <v>0</v>
      </c>
      <c r="I1319" s="5"/>
    </row>
    <row r="1320" spans="1:9" x14ac:dyDescent="0.2">
      <c r="A1320" s="4" t="s">
        <v>894</v>
      </c>
      <c r="B1320" s="13" t="s">
        <v>2898</v>
      </c>
      <c r="C1320" s="13" t="s">
        <v>1793</v>
      </c>
      <c r="D1320" s="174" t="s">
        <v>2805</v>
      </c>
      <c r="E1320" s="175"/>
      <c r="F1320" s="13" t="s">
        <v>2861</v>
      </c>
      <c r="G1320" s="82">
        <v>1</v>
      </c>
      <c r="H1320" s="62">
        <v>0</v>
      </c>
      <c r="I1320" s="5"/>
    </row>
    <row r="1321" spans="1:9" x14ac:dyDescent="0.2">
      <c r="A1321" s="4" t="s">
        <v>895</v>
      </c>
      <c r="B1321" s="13" t="s">
        <v>2898</v>
      </c>
      <c r="C1321" s="13" t="s">
        <v>1794</v>
      </c>
      <c r="D1321" s="174" t="s">
        <v>2114</v>
      </c>
      <c r="E1321" s="175"/>
      <c r="F1321" s="13" t="s">
        <v>2862</v>
      </c>
      <c r="G1321" s="82">
        <v>30</v>
      </c>
      <c r="H1321" s="62">
        <v>0</v>
      </c>
      <c r="I1321" s="5"/>
    </row>
    <row r="1322" spans="1:9" x14ac:dyDescent="0.2">
      <c r="A1322" s="4" t="s">
        <v>896</v>
      </c>
      <c r="B1322" s="13" t="s">
        <v>2898</v>
      </c>
      <c r="C1322" s="13" t="s">
        <v>1795</v>
      </c>
      <c r="D1322" s="174" t="s">
        <v>2806</v>
      </c>
      <c r="E1322" s="175"/>
      <c r="F1322" s="13" t="s">
        <v>2855</v>
      </c>
      <c r="G1322" s="82">
        <v>80</v>
      </c>
      <c r="H1322" s="62">
        <v>0</v>
      </c>
      <c r="I1322" s="5"/>
    </row>
    <row r="1323" spans="1:9" x14ac:dyDescent="0.2">
      <c r="A1323" s="4" t="s">
        <v>897</v>
      </c>
      <c r="B1323" s="13" t="s">
        <v>2898</v>
      </c>
      <c r="C1323" s="13" t="s">
        <v>1796</v>
      </c>
      <c r="D1323" s="174" t="s">
        <v>2807</v>
      </c>
      <c r="E1323" s="175"/>
      <c r="F1323" s="13" t="s">
        <v>2855</v>
      </c>
      <c r="G1323" s="82">
        <v>80</v>
      </c>
      <c r="H1323" s="62">
        <v>0</v>
      </c>
      <c r="I1323" s="5"/>
    </row>
    <row r="1324" spans="1:9" x14ac:dyDescent="0.2">
      <c r="A1324" s="4" t="s">
        <v>898</v>
      </c>
      <c r="B1324" s="13" t="s">
        <v>2898</v>
      </c>
      <c r="C1324" s="13" t="s">
        <v>1797</v>
      </c>
      <c r="D1324" s="174" t="s">
        <v>2808</v>
      </c>
      <c r="E1324" s="175"/>
      <c r="F1324" s="13" t="s">
        <v>2855</v>
      </c>
      <c r="G1324" s="82">
        <v>80</v>
      </c>
      <c r="H1324" s="62">
        <v>0</v>
      </c>
      <c r="I1324" s="5"/>
    </row>
    <row r="1325" spans="1:9" x14ac:dyDescent="0.2">
      <c r="A1325" s="4" t="s">
        <v>899</v>
      </c>
      <c r="B1325" s="13" t="s">
        <v>2898</v>
      </c>
      <c r="C1325" s="13" t="s">
        <v>1798</v>
      </c>
      <c r="D1325" s="174" t="s">
        <v>2809</v>
      </c>
      <c r="E1325" s="175"/>
      <c r="F1325" s="13" t="s">
        <v>2855</v>
      </c>
      <c r="G1325" s="82">
        <v>16</v>
      </c>
      <c r="H1325" s="62">
        <v>0</v>
      </c>
      <c r="I1325" s="5"/>
    </row>
    <row r="1326" spans="1:9" x14ac:dyDescent="0.2">
      <c r="A1326" s="4" t="s">
        <v>900</v>
      </c>
      <c r="B1326" s="13" t="s">
        <v>2898</v>
      </c>
      <c r="C1326" s="13" t="s">
        <v>1799</v>
      </c>
      <c r="D1326" s="174" t="s">
        <v>2227</v>
      </c>
      <c r="E1326" s="175"/>
      <c r="F1326" s="13" t="s">
        <v>2855</v>
      </c>
      <c r="G1326" s="82">
        <v>16</v>
      </c>
      <c r="H1326" s="62">
        <v>0</v>
      </c>
      <c r="I1326" s="5"/>
    </row>
    <row r="1327" spans="1:9" x14ac:dyDescent="0.2">
      <c r="A1327" s="4" t="s">
        <v>901</v>
      </c>
      <c r="B1327" s="13" t="s">
        <v>2898</v>
      </c>
      <c r="C1327" s="13" t="s">
        <v>1800</v>
      </c>
      <c r="D1327" s="174" t="s">
        <v>2810</v>
      </c>
      <c r="E1327" s="175"/>
      <c r="F1327" s="13" t="s">
        <v>2855</v>
      </c>
      <c r="G1327" s="82">
        <v>16</v>
      </c>
      <c r="H1327" s="62">
        <v>0</v>
      </c>
      <c r="I1327" s="5"/>
    </row>
    <row r="1328" spans="1:9" x14ac:dyDescent="0.2">
      <c r="A1328" s="4" t="s">
        <v>902</v>
      </c>
      <c r="B1328" s="13" t="s">
        <v>2898</v>
      </c>
      <c r="C1328" s="13" t="s">
        <v>1801</v>
      </c>
      <c r="D1328" s="174" t="s">
        <v>2760</v>
      </c>
      <c r="E1328" s="175"/>
      <c r="F1328" s="13" t="s">
        <v>2860</v>
      </c>
      <c r="G1328" s="82">
        <v>4</v>
      </c>
      <c r="H1328" s="62">
        <v>0</v>
      </c>
      <c r="I1328" s="5"/>
    </row>
    <row r="1329" spans="1:9" x14ac:dyDescent="0.2">
      <c r="A1329" s="4" t="s">
        <v>903</v>
      </c>
      <c r="B1329" s="13" t="s">
        <v>2898</v>
      </c>
      <c r="C1329" s="13" t="s">
        <v>1802</v>
      </c>
      <c r="D1329" s="174" t="s">
        <v>2811</v>
      </c>
      <c r="E1329" s="175"/>
      <c r="F1329" s="13" t="s">
        <v>2861</v>
      </c>
      <c r="G1329" s="82">
        <v>1</v>
      </c>
      <c r="H1329" s="62">
        <v>0</v>
      </c>
      <c r="I1329" s="5"/>
    </row>
    <row r="1330" spans="1:9" x14ac:dyDescent="0.2">
      <c r="A1330" s="4" t="s">
        <v>904</v>
      </c>
      <c r="B1330" s="13" t="s">
        <v>2898</v>
      </c>
      <c r="C1330" s="13" t="s">
        <v>1803</v>
      </c>
      <c r="D1330" s="174" t="s">
        <v>2812</v>
      </c>
      <c r="E1330" s="175"/>
      <c r="F1330" s="13" t="s">
        <v>2861</v>
      </c>
      <c r="G1330" s="82">
        <v>1</v>
      </c>
      <c r="H1330" s="62">
        <v>0</v>
      </c>
      <c r="I1330" s="5"/>
    </row>
    <row r="1331" spans="1:9" x14ac:dyDescent="0.2">
      <c r="A1331" s="4" t="s">
        <v>905</v>
      </c>
      <c r="B1331" s="13" t="s">
        <v>2898</v>
      </c>
      <c r="C1331" s="13" t="s">
        <v>1804</v>
      </c>
      <c r="D1331" s="174" t="s">
        <v>2761</v>
      </c>
      <c r="E1331" s="175"/>
      <c r="F1331" s="13" t="s">
        <v>2860</v>
      </c>
      <c r="G1331" s="82">
        <v>1</v>
      </c>
      <c r="H1331" s="62">
        <v>0</v>
      </c>
      <c r="I1331" s="5"/>
    </row>
    <row r="1332" spans="1:9" x14ac:dyDescent="0.2">
      <c r="A1332" s="4" t="s">
        <v>906</v>
      </c>
      <c r="B1332" s="13" t="s">
        <v>2898</v>
      </c>
      <c r="C1332" s="13" t="s">
        <v>1805</v>
      </c>
      <c r="D1332" s="174" t="s">
        <v>2121</v>
      </c>
      <c r="E1332" s="175"/>
      <c r="F1332" s="13" t="s">
        <v>2860</v>
      </c>
      <c r="G1332" s="82">
        <v>1</v>
      </c>
      <c r="H1332" s="62">
        <v>0</v>
      </c>
      <c r="I1332" s="5"/>
    </row>
    <row r="1333" spans="1:9" x14ac:dyDescent="0.2">
      <c r="A1333" s="4" t="s">
        <v>907</v>
      </c>
      <c r="B1333" s="13" t="s">
        <v>2898</v>
      </c>
      <c r="C1333" s="13" t="s">
        <v>1806</v>
      </c>
      <c r="D1333" s="174" t="s">
        <v>2122</v>
      </c>
      <c r="E1333" s="175"/>
      <c r="F1333" s="13" t="s">
        <v>2860</v>
      </c>
      <c r="G1333" s="82">
        <v>1</v>
      </c>
      <c r="H1333" s="62">
        <v>0</v>
      </c>
      <c r="I1333" s="5"/>
    </row>
    <row r="1334" spans="1:9" x14ac:dyDescent="0.2">
      <c r="A1334" s="4" t="s">
        <v>908</v>
      </c>
      <c r="B1334" s="13" t="s">
        <v>2898</v>
      </c>
      <c r="C1334" s="13" t="s">
        <v>1807</v>
      </c>
      <c r="D1334" s="174" t="s">
        <v>2123</v>
      </c>
      <c r="E1334" s="175"/>
      <c r="F1334" s="13" t="s">
        <v>2860</v>
      </c>
      <c r="G1334" s="82">
        <v>1</v>
      </c>
      <c r="H1334" s="62">
        <v>0</v>
      </c>
      <c r="I1334" s="5"/>
    </row>
    <row r="1335" spans="1:9" x14ac:dyDescent="0.2">
      <c r="A1335" s="4" t="s">
        <v>909</v>
      </c>
      <c r="B1335" s="13" t="s">
        <v>2899</v>
      </c>
      <c r="C1335" s="13" t="s">
        <v>1808</v>
      </c>
      <c r="D1335" s="174" t="s">
        <v>2814</v>
      </c>
      <c r="E1335" s="175"/>
      <c r="F1335" s="13" t="s">
        <v>2855</v>
      </c>
      <c r="G1335" s="82">
        <v>21.5</v>
      </c>
      <c r="H1335" s="62">
        <v>0</v>
      </c>
      <c r="I1335" s="5"/>
    </row>
    <row r="1336" spans="1:9" x14ac:dyDescent="0.2">
      <c r="A1336" s="4" t="s">
        <v>910</v>
      </c>
      <c r="B1336" s="13" t="s">
        <v>2899</v>
      </c>
      <c r="C1336" s="13" t="s">
        <v>1809</v>
      </c>
      <c r="D1336" s="174" t="s">
        <v>2815</v>
      </c>
      <c r="E1336" s="175"/>
      <c r="F1336" s="13" t="s">
        <v>2861</v>
      </c>
      <c r="G1336" s="82">
        <v>1</v>
      </c>
      <c r="H1336" s="62">
        <v>0</v>
      </c>
      <c r="I1336" s="5"/>
    </row>
    <row r="1337" spans="1:9" x14ac:dyDescent="0.2">
      <c r="A1337" s="4" t="s">
        <v>911</v>
      </c>
      <c r="B1337" s="13" t="s">
        <v>2899</v>
      </c>
      <c r="C1337" s="13" t="s">
        <v>1810</v>
      </c>
      <c r="D1337" s="174" t="s">
        <v>2816</v>
      </c>
      <c r="E1337" s="175"/>
      <c r="F1337" s="13" t="s">
        <v>2855</v>
      </c>
      <c r="G1337" s="82">
        <v>19.5</v>
      </c>
      <c r="H1337" s="62">
        <v>0</v>
      </c>
      <c r="I1337" s="5"/>
    </row>
    <row r="1338" spans="1:9" x14ac:dyDescent="0.2">
      <c r="A1338" s="4" t="s">
        <v>912</v>
      </c>
      <c r="B1338" s="13" t="s">
        <v>2899</v>
      </c>
      <c r="C1338" s="13" t="s">
        <v>1811</v>
      </c>
      <c r="D1338" s="174" t="s">
        <v>2817</v>
      </c>
      <c r="E1338" s="175"/>
      <c r="F1338" s="13" t="s">
        <v>2855</v>
      </c>
      <c r="G1338" s="82">
        <v>35.9</v>
      </c>
      <c r="H1338" s="62">
        <v>0</v>
      </c>
      <c r="I1338" s="5"/>
    </row>
    <row r="1339" spans="1:9" x14ac:dyDescent="0.2">
      <c r="A1339" s="4" t="s">
        <v>913</v>
      </c>
      <c r="B1339" s="13" t="s">
        <v>2899</v>
      </c>
      <c r="C1339" s="13" t="s">
        <v>1812</v>
      </c>
      <c r="D1339" s="174" t="s">
        <v>2818</v>
      </c>
      <c r="E1339" s="175"/>
      <c r="F1339" s="13" t="s">
        <v>2860</v>
      </c>
      <c r="G1339" s="82">
        <v>1</v>
      </c>
      <c r="H1339" s="62">
        <v>0</v>
      </c>
      <c r="I1339" s="5"/>
    </row>
    <row r="1340" spans="1:9" x14ac:dyDescent="0.2">
      <c r="A1340" s="4" t="s">
        <v>914</v>
      </c>
      <c r="B1340" s="13" t="s">
        <v>2899</v>
      </c>
      <c r="C1340" s="13" t="s">
        <v>1813</v>
      </c>
      <c r="D1340" s="174" t="s">
        <v>2727</v>
      </c>
      <c r="E1340" s="175"/>
      <c r="F1340" s="13" t="s">
        <v>2855</v>
      </c>
      <c r="G1340" s="82">
        <v>35.9</v>
      </c>
      <c r="H1340" s="62">
        <v>0</v>
      </c>
      <c r="I1340" s="5"/>
    </row>
    <row r="1341" spans="1:9" x14ac:dyDescent="0.2">
      <c r="A1341" s="4" t="s">
        <v>915</v>
      </c>
      <c r="B1341" s="13" t="s">
        <v>2899</v>
      </c>
      <c r="C1341" s="13" t="s">
        <v>1814</v>
      </c>
      <c r="D1341" s="174" t="s">
        <v>2819</v>
      </c>
      <c r="E1341" s="175"/>
      <c r="F1341" s="13" t="s">
        <v>2855</v>
      </c>
      <c r="G1341" s="82">
        <v>35.9</v>
      </c>
      <c r="H1341" s="62">
        <v>0</v>
      </c>
      <c r="I1341" s="5"/>
    </row>
    <row r="1342" spans="1:9" x14ac:dyDescent="0.2">
      <c r="A1342" s="4" t="s">
        <v>916</v>
      </c>
      <c r="B1342" s="13" t="s">
        <v>2899</v>
      </c>
      <c r="C1342" s="13" t="s">
        <v>1815</v>
      </c>
      <c r="D1342" s="174" t="s">
        <v>2728</v>
      </c>
      <c r="E1342" s="175"/>
      <c r="F1342" s="13" t="s">
        <v>2855</v>
      </c>
      <c r="G1342" s="82">
        <v>35.9</v>
      </c>
      <c r="H1342" s="62">
        <v>0</v>
      </c>
      <c r="I1342" s="5"/>
    </row>
    <row r="1343" spans="1:9" x14ac:dyDescent="0.2">
      <c r="A1343" s="4" t="s">
        <v>917</v>
      </c>
      <c r="B1343" s="13" t="s">
        <v>2899</v>
      </c>
      <c r="C1343" s="13" t="s">
        <v>1816</v>
      </c>
      <c r="D1343" s="174" t="s">
        <v>2776</v>
      </c>
      <c r="E1343" s="175"/>
      <c r="F1343" s="13" t="s">
        <v>2853</v>
      </c>
      <c r="G1343" s="82">
        <v>1.2</v>
      </c>
      <c r="H1343" s="62">
        <v>0</v>
      </c>
      <c r="I1343" s="5"/>
    </row>
    <row r="1344" spans="1:9" x14ac:dyDescent="0.2">
      <c r="A1344" s="4" t="s">
        <v>918</v>
      </c>
      <c r="B1344" s="13" t="s">
        <v>2899</v>
      </c>
      <c r="C1344" s="13" t="s">
        <v>1817</v>
      </c>
      <c r="D1344" s="174" t="s">
        <v>2730</v>
      </c>
      <c r="E1344" s="175"/>
      <c r="F1344" s="13" t="s">
        <v>2853</v>
      </c>
      <c r="G1344" s="82">
        <v>6.5</v>
      </c>
      <c r="H1344" s="62">
        <v>0</v>
      </c>
      <c r="I1344" s="5"/>
    </row>
    <row r="1345" spans="1:9" x14ac:dyDescent="0.2">
      <c r="A1345" s="4" t="s">
        <v>919</v>
      </c>
      <c r="B1345" s="13" t="s">
        <v>2899</v>
      </c>
      <c r="C1345" s="13" t="s">
        <v>1818</v>
      </c>
      <c r="D1345" s="174" t="s">
        <v>2731</v>
      </c>
      <c r="E1345" s="175"/>
      <c r="F1345" s="13" t="s">
        <v>2853</v>
      </c>
      <c r="G1345" s="82">
        <v>54.4</v>
      </c>
      <c r="H1345" s="62">
        <v>0</v>
      </c>
      <c r="I1345" s="5"/>
    </row>
    <row r="1346" spans="1:9" x14ac:dyDescent="0.2">
      <c r="A1346" s="4" t="s">
        <v>920</v>
      </c>
      <c r="B1346" s="13" t="s">
        <v>2899</v>
      </c>
      <c r="C1346" s="13" t="s">
        <v>1819</v>
      </c>
      <c r="D1346" s="174" t="s">
        <v>2820</v>
      </c>
      <c r="E1346" s="175"/>
      <c r="F1346" s="13" t="s">
        <v>2855</v>
      </c>
      <c r="G1346" s="82">
        <v>37.299999999999997</v>
      </c>
      <c r="H1346" s="62">
        <v>0</v>
      </c>
      <c r="I1346" s="5"/>
    </row>
    <row r="1347" spans="1:9" x14ac:dyDescent="0.2">
      <c r="A1347" s="4" t="s">
        <v>921</v>
      </c>
      <c r="B1347" s="13" t="s">
        <v>2899</v>
      </c>
      <c r="C1347" s="13" t="s">
        <v>1820</v>
      </c>
      <c r="D1347" s="174" t="s">
        <v>2821</v>
      </c>
      <c r="E1347" s="175"/>
      <c r="F1347" s="13" t="s">
        <v>2855</v>
      </c>
      <c r="G1347" s="82">
        <v>1</v>
      </c>
      <c r="H1347" s="62">
        <v>0</v>
      </c>
      <c r="I1347" s="5"/>
    </row>
    <row r="1348" spans="1:9" x14ac:dyDescent="0.2">
      <c r="A1348" s="4" t="s">
        <v>922</v>
      </c>
      <c r="B1348" s="13" t="s">
        <v>2899</v>
      </c>
      <c r="C1348" s="13" t="s">
        <v>1821</v>
      </c>
      <c r="D1348" s="174" t="s">
        <v>2823</v>
      </c>
      <c r="E1348" s="175"/>
      <c r="F1348" s="13" t="s">
        <v>2860</v>
      </c>
      <c r="G1348" s="82">
        <v>1</v>
      </c>
      <c r="H1348" s="62">
        <v>0</v>
      </c>
      <c r="I1348" s="5"/>
    </row>
    <row r="1349" spans="1:9" x14ac:dyDescent="0.2">
      <c r="A1349" s="4" t="s">
        <v>923</v>
      </c>
      <c r="B1349" s="13" t="s">
        <v>2899</v>
      </c>
      <c r="C1349" s="13" t="s">
        <v>1822</v>
      </c>
      <c r="D1349" s="174" t="s">
        <v>2824</v>
      </c>
      <c r="E1349" s="175"/>
      <c r="F1349" s="13" t="s">
        <v>2860</v>
      </c>
      <c r="G1349" s="82">
        <v>1</v>
      </c>
      <c r="H1349" s="62">
        <v>0</v>
      </c>
      <c r="I1349" s="5"/>
    </row>
    <row r="1350" spans="1:9" x14ac:dyDescent="0.2">
      <c r="A1350" s="4" t="s">
        <v>924</v>
      </c>
      <c r="B1350" s="13" t="s">
        <v>2899</v>
      </c>
      <c r="C1350" s="13" t="s">
        <v>1823</v>
      </c>
      <c r="D1350" s="174" t="s">
        <v>2825</v>
      </c>
      <c r="E1350" s="175"/>
      <c r="F1350" s="13" t="s">
        <v>2860</v>
      </c>
      <c r="G1350" s="82">
        <v>1</v>
      </c>
      <c r="H1350" s="62">
        <v>0</v>
      </c>
      <c r="I1350" s="5"/>
    </row>
    <row r="1351" spans="1:9" x14ac:dyDescent="0.2">
      <c r="A1351" s="4" t="s">
        <v>925</v>
      </c>
      <c r="B1351" s="13" t="s">
        <v>2899</v>
      </c>
      <c r="C1351" s="13" t="s">
        <v>1824</v>
      </c>
      <c r="D1351" s="174" t="s">
        <v>2826</v>
      </c>
      <c r="E1351" s="175"/>
      <c r="F1351" s="13" t="s">
        <v>2860</v>
      </c>
      <c r="G1351" s="82">
        <v>1</v>
      </c>
      <c r="H1351" s="62">
        <v>0</v>
      </c>
      <c r="I1351" s="5"/>
    </row>
    <row r="1352" spans="1:9" x14ac:dyDescent="0.2">
      <c r="A1352" s="4" t="s">
        <v>926</v>
      </c>
      <c r="B1352" s="13" t="s">
        <v>2899</v>
      </c>
      <c r="C1352" s="13" t="s">
        <v>1825</v>
      </c>
      <c r="D1352" s="174" t="s">
        <v>2827</v>
      </c>
      <c r="E1352" s="175"/>
      <c r="F1352" s="13" t="s">
        <v>2860</v>
      </c>
      <c r="G1352" s="82">
        <v>1</v>
      </c>
      <c r="H1352" s="62">
        <v>0</v>
      </c>
      <c r="I1352" s="5"/>
    </row>
    <row r="1353" spans="1:9" x14ac:dyDescent="0.2">
      <c r="A1353" s="4" t="s">
        <v>927</v>
      </c>
      <c r="B1353" s="13" t="s">
        <v>2899</v>
      </c>
      <c r="C1353" s="13" t="s">
        <v>1826</v>
      </c>
      <c r="D1353" s="174" t="s">
        <v>2828</v>
      </c>
      <c r="E1353" s="175"/>
      <c r="F1353" s="13" t="s">
        <v>2860</v>
      </c>
      <c r="G1353" s="82">
        <v>1</v>
      </c>
      <c r="H1353" s="62">
        <v>0</v>
      </c>
      <c r="I1353" s="5"/>
    </row>
    <row r="1354" spans="1:9" x14ac:dyDescent="0.2">
      <c r="A1354" s="4" t="s">
        <v>928</v>
      </c>
      <c r="B1354" s="13" t="s">
        <v>2899</v>
      </c>
      <c r="C1354" s="13" t="s">
        <v>1827</v>
      </c>
      <c r="D1354" s="174" t="s">
        <v>2829</v>
      </c>
      <c r="E1354" s="175"/>
      <c r="F1354" s="13" t="s">
        <v>2860</v>
      </c>
      <c r="G1354" s="82">
        <v>1</v>
      </c>
      <c r="H1354" s="62">
        <v>0</v>
      </c>
      <c r="I1354" s="5"/>
    </row>
    <row r="1355" spans="1:9" x14ac:dyDescent="0.2">
      <c r="A1355" s="4" t="s">
        <v>929</v>
      </c>
      <c r="B1355" s="13" t="s">
        <v>2899</v>
      </c>
      <c r="C1355" s="13" t="s">
        <v>1828</v>
      </c>
      <c r="D1355" s="174" t="s">
        <v>2830</v>
      </c>
      <c r="E1355" s="175"/>
      <c r="F1355" s="13" t="s">
        <v>2860</v>
      </c>
      <c r="G1355" s="82">
        <v>1</v>
      </c>
      <c r="H1355" s="62">
        <v>0</v>
      </c>
      <c r="I1355" s="5"/>
    </row>
    <row r="1356" spans="1:9" x14ac:dyDescent="0.2">
      <c r="A1356" s="4" t="s">
        <v>930</v>
      </c>
      <c r="B1356" s="13" t="s">
        <v>2899</v>
      </c>
      <c r="C1356" s="13" t="s">
        <v>1829</v>
      </c>
      <c r="D1356" s="174" t="s">
        <v>2752</v>
      </c>
      <c r="E1356" s="175"/>
      <c r="F1356" s="13" t="s">
        <v>2860</v>
      </c>
      <c r="G1356" s="82">
        <v>1</v>
      </c>
      <c r="H1356" s="62">
        <v>0</v>
      </c>
      <c r="I1356" s="5"/>
    </row>
    <row r="1357" spans="1:9" x14ac:dyDescent="0.2">
      <c r="A1357" s="4" t="s">
        <v>931</v>
      </c>
      <c r="B1357" s="13" t="s">
        <v>2899</v>
      </c>
      <c r="C1357" s="13" t="s">
        <v>1830</v>
      </c>
      <c r="D1357" s="174" t="s">
        <v>2114</v>
      </c>
      <c r="E1357" s="175"/>
      <c r="F1357" s="13" t="s">
        <v>2862</v>
      </c>
      <c r="G1357" s="82">
        <v>20</v>
      </c>
      <c r="H1357" s="62">
        <v>0</v>
      </c>
      <c r="I1357" s="5"/>
    </row>
    <row r="1358" spans="1:9" x14ac:dyDescent="0.2">
      <c r="A1358" s="4" t="s">
        <v>932</v>
      </c>
      <c r="B1358" s="13" t="s">
        <v>2899</v>
      </c>
      <c r="C1358" s="13" t="s">
        <v>1831</v>
      </c>
      <c r="D1358" s="174" t="s">
        <v>2809</v>
      </c>
      <c r="E1358" s="175"/>
      <c r="F1358" s="13" t="s">
        <v>2855</v>
      </c>
      <c r="G1358" s="82">
        <v>37.299999999999997</v>
      </c>
      <c r="H1358" s="62">
        <v>0</v>
      </c>
      <c r="I1358" s="5"/>
    </row>
    <row r="1359" spans="1:9" x14ac:dyDescent="0.2">
      <c r="A1359" s="4" t="s">
        <v>933</v>
      </c>
      <c r="B1359" s="13" t="s">
        <v>2899</v>
      </c>
      <c r="C1359" s="13" t="s">
        <v>1832</v>
      </c>
      <c r="D1359" s="174" t="s">
        <v>2227</v>
      </c>
      <c r="E1359" s="175"/>
      <c r="F1359" s="13" t="s">
        <v>2855</v>
      </c>
      <c r="G1359" s="82">
        <v>37.299999999999997</v>
      </c>
      <c r="H1359" s="62">
        <v>0</v>
      </c>
      <c r="I1359" s="5"/>
    </row>
    <row r="1360" spans="1:9" x14ac:dyDescent="0.2">
      <c r="A1360" s="4" t="s">
        <v>934</v>
      </c>
      <c r="B1360" s="13" t="s">
        <v>2899</v>
      </c>
      <c r="C1360" s="13" t="s">
        <v>1833</v>
      </c>
      <c r="D1360" s="174" t="s">
        <v>2810</v>
      </c>
      <c r="E1360" s="175"/>
      <c r="F1360" s="13" t="s">
        <v>2855</v>
      </c>
      <c r="G1360" s="82">
        <v>37.299999999999997</v>
      </c>
      <c r="H1360" s="62">
        <v>0</v>
      </c>
      <c r="I1360" s="5"/>
    </row>
    <row r="1361" spans="1:9" x14ac:dyDescent="0.2">
      <c r="A1361" s="4" t="s">
        <v>935</v>
      </c>
      <c r="B1361" s="13" t="s">
        <v>2899</v>
      </c>
      <c r="C1361" s="13" t="s">
        <v>1834</v>
      </c>
      <c r="D1361" s="174" t="s">
        <v>2831</v>
      </c>
      <c r="E1361" s="175"/>
      <c r="F1361" s="13" t="s">
        <v>2860</v>
      </c>
      <c r="G1361" s="82">
        <v>1</v>
      </c>
      <c r="H1361" s="62">
        <v>0</v>
      </c>
      <c r="I1361" s="5"/>
    </row>
    <row r="1362" spans="1:9" x14ac:dyDescent="0.2">
      <c r="A1362" s="4" t="s">
        <v>936</v>
      </c>
      <c r="B1362" s="13" t="s">
        <v>2899</v>
      </c>
      <c r="C1362" s="13" t="s">
        <v>1835</v>
      </c>
      <c r="D1362" s="174" t="s">
        <v>2761</v>
      </c>
      <c r="E1362" s="175"/>
      <c r="F1362" s="13" t="s">
        <v>2860</v>
      </c>
      <c r="G1362" s="82">
        <v>1</v>
      </c>
      <c r="H1362" s="62">
        <v>0</v>
      </c>
      <c r="I1362" s="5"/>
    </row>
    <row r="1363" spans="1:9" x14ac:dyDescent="0.2">
      <c r="A1363" s="4" t="s">
        <v>937</v>
      </c>
      <c r="B1363" s="13" t="s">
        <v>2899</v>
      </c>
      <c r="C1363" s="13" t="s">
        <v>1836</v>
      </c>
      <c r="D1363" s="174" t="s">
        <v>2121</v>
      </c>
      <c r="E1363" s="175"/>
      <c r="F1363" s="13" t="s">
        <v>2860</v>
      </c>
      <c r="G1363" s="82">
        <v>1</v>
      </c>
      <c r="H1363" s="62">
        <v>0</v>
      </c>
      <c r="I1363" s="5"/>
    </row>
    <row r="1364" spans="1:9" x14ac:dyDescent="0.2">
      <c r="A1364" s="4" t="s">
        <v>938</v>
      </c>
      <c r="B1364" s="13" t="s">
        <v>2899</v>
      </c>
      <c r="C1364" s="13" t="s">
        <v>1837</v>
      </c>
      <c r="D1364" s="174" t="s">
        <v>2122</v>
      </c>
      <c r="E1364" s="175"/>
      <c r="F1364" s="13" t="s">
        <v>2860</v>
      </c>
      <c r="G1364" s="82">
        <v>1</v>
      </c>
      <c r="H1364" s="62">
        <v>0</v>
      </c>
      <c r="I1364" s="5"/>
    </row>
    <row r="1365" spans="1:9" x14ac:dyDescent="0.2">
      <c r="A1365" s="4" t="s">
        <v>939</v>
      </c>
      <c r="B1365" s="13" t="s">
        <v>2899</v>
      </c>
      <c r="C1365" s="13" t="s">
        <v>1838</v>
      </c>
      <c r="D1365" s="174" t="s">
        <v>2123</v>
      </c>
      <c r="E1365" s="175"/>
      <c r="F1365" s="13" t="s">
        <v>2860</v>
      </c>
      <c r="G1365" s="82">
        <v>1</v>
      </c>
      <c r="H1365" s="62">
        <v>0</v>
      </c>
      <c r="I1365" s="5"/>
    </row>
    <row r="1366" spans="1:9" x14ac:dyDescent="0.2">
      <c r="A1366" s="4" t="s">
        <v>940</v>
      </c>
      <c r="B1366" s="13" t="s">
        <v>2895</v>
      </c>
      <c r="C1366" s="13" t="s">
        <v>1689</v>
      </c>
      <c r="D1366" s="174" t="s">
        <v>2694</v>
      </c>
      <c r="E1366" s="175"/>
      <c r="F1366" s="13" t="s">
        <v>2856</v>
      </c>
      <c r="G1366" s="82">
        <v>579.62</v>
      </c>
      <c r="H1366" s="62">
        <v>0</v>
      </c>
      <c r="I1366" s="5"/>
    </row>
    <row r="1367" spans="1:9" ht="12.2" customHeight="1" x14ac:dyDescent="0.2">
      <c r="A1367" s="5"/>
      <c r="D1367" s="54" t="s">
        <v>3295</v>
      </c>
      <c r="E1367" s="196"/>
      <c r="F1367" s="197"/>
      <c r="G1367" s="57">
        <v>579.62</v>
      </c>
      <c r="H1367" s="63"/>
      <c r="I1367" s="5"/>
    </row>
    <row r="1368" spans="1:9" x14ac:dyDescent="0.2">
      <c r="A1368" s="4" t="s">
        <v>941</v>
      </c>
      <c r="B1368" s="13" t="s">
        <v>2895</v>
      </c>
      <c r="C1368" s="13" t="s">
        <v>1690</v>
      </c>
      <c r="D1368" s="174" t="s">
        <v>2695</v>
      </c>
      <c r="E1368" s="175"/>
      <c r="F1368" s="13" t="s">
        <v>2856</v>
      </c>
      <c r="G1368" s="82">
        <v>2318.48</v>
      </c>
      <c r="H1368" s="62">
        <v>0</v>
      </c>
      <c r="I1368" s="5"/>
    </row>
    <row r="1369" spans="1:9" ht="12.2" customHeight="1" x14ac:dyDescent="0.2">
      <c r="A1369" s="5"/>
      <c r="D1369" s="54" t="s">
        <v>3296</v>
      </c>
      <c r="E1369" s="196"/>
      <c r="F1369" s="197"/>
      <c r="G1369" s="57">
        <v>2318.48</v>
      </c>
      <c r="H1369" s="63"/>
      <c r="I1369" s="5"/>
    </row>
    <row r="1370" spans="1:9" x14ac:dyDescent="0.2">
      <c r="A1370" s="4" t="s">
        <v>942</v>
      </c>
      <c r="B1370" s="13" t="s">
        <v>2895</v>
      </c>
      <c r="C1370" s="13" t="s">
        <v>1691</v>
      </c>
      <c r="D1370" s="174" t="s">
        <v>2696</v>
      </c>
      <c r="E1370" s="175"/>
      <c r="F1370" s="13" t="s">
        <v>2856</v>
      </c>
      <c r="G1370" s="82">
        <v>579.62</v>
      </c>
      <c r="H1370" s="62">
        <v>0</v>
      </c>
      <c r="I1370" s="5"/>
    </row>
    <row r="1371" spans="1:9" ht="12.2" customHeight="1" x14ac:dyDescent="0.2">
      <c r="A1371" s="5"/>
      <c r="D1371" s="54" t="s">
        <v>3297</v>
      </c>
      <c r="E1371" s="196"/>
      <c r="F1371" s="197"/>
      <c r="G1371" s="57">
        <v>579.62</v>
      </c>
      <c r="H1371" s="63"/>
      <c r="I1371" s="5"/>
    </row>
    <row r="1372" spans="1:9" x14ac:dyDescent="0.2">
      <c r="A1372" s="4" t="s">
        <v>943</v>
      </c>
      <c r="B1372" s="13" t="s">
        <v>2895</v>
      </c>
      <c r="C1372" s="13" t="s">
        <v>1692</v>
      </c>
      <c r="D1372" s="174" t="s">
        <v>2697</v>
      </c>
      <c r="E1372" s="175"/>
      <c r="F1372" s="13" t="s">
        <v>2856</v>
      </c>
      <c r="G1372" s="82">
        <v>2318.48</v>
      </c>
      <c r="H1372" s="62">
        <v>0</v>
      </c>
      <c r="I1372" s="5"/>
    </row>
    <row r="1373" spans="1:9" ht="12.2" customHeight="1" x14ac:dyDescent="0.2">
      <c r="A1373" s="5"/>
      <c r="D1373" s="54" t="s">
        <v>3296</v>
      </c>
      <c r="E1373" s="196"/>
      <c r="F1373" s="197"/>
      <c r="G1373" s="57">
        <v>2318.48</v>
      </c>
      <c r="H1373" s="63"/>
      <c r="I1373" s="5"/>
    </row>
    <row r="1374" spans="1:9" x14ac:dyDescent="0.2">
      <c r="A1374" s="4" t="s">
        <v>944</v>
      </c>
      <c r="B1374" s="13" t="s">
        <v>2895</v>
      </c>
      <c r="C1374" s="13" t="s">
        <v>1693</v>
      </c>
      <c r="D1374" s="174" t="s">
        <v>2698</v>
      </c>
      <c r="E1374" s="175"/>
      <c r="F1374" s="13" t="s">
        <v>2856</v>
      </c>
      <c r="G1374" s="82">
        <v>579.62</v>
      </c>
      <c r="H1374" s="62">
        <v>0</v>
      </c>
      <c r="I1374" s="5"/>
    </row>
    <row r="1375" spans="1:9" ht="12.2" customHeight="1" x14ac:dyDescent="0.2">
      <c r="A1375" s="5"/>
      <c r="D1375" s="54" t="s">
        <v>3297</v>
      </c>
      <c r="E1375" s="196"/>
      <c r="F1375" s="197"/>
      <c r="G1375" s="57">
        <v>579.62</v>
      </c>
      <c r="H1375" s="63"/>
      <c r="I1375" s="5"/>
    </row>
    <row r="1376" spans="1:9" x14ac:dyDescent="0.2">
      <c r="A1376" s="4" t="s">
        <v>945</v>
      </c>
      <c r="B1376" s="13" t="s">
        <v>2895</v>
      </c>
      <c r="C1376" s="13" t="s">
        <v>1694</v>
      </c>
      <c r="D1376" s="174" t="s">
        <v>2699</v>
      </c>
      <c r="E1376" s="175"/>
      <c r="F1376" s="13" t="s">
        <v>2856</v>
      </c>
      <c r="G1376" s="82">
        <v>13.547000000000001</v>
      </c>
      <c r="H1376" s="62">
        <v>0</v>
      </c>
      <c r="I1376" s="5"/>
    </row>
    <row r="1377" spans="1:9" ht="12.2" customHeight="1" x14ac:dyDescent="0.2">
      <c r="A1377" s="5"/>
      <c r="D1377" s="54" t="s">
        <v>3298</v>
      </c>
      <c r="E1377" s="196"/>
      <c r="F1377" s="197"/>
      <c r="G1377" s="57">
        <v>13.547000000000001</v>
      </c>
      <c r="H1377" s="63"/>
      <c r="I1377" s="5"/>
    </row>
    <row r="1378" spans="1:9" x14ac:dyDescent="0.2">
      <c r="A1378" s="4" t="s">
        <v>946</v>
      </c>
      <c r="B1378" s="13" t="s">
        <v>2895</v>
      </c>
      <c r="C1378" s="13" t="s">
        <v>1695</v>
      </c>
      <c r="D1378" s="174" t="s">
        <v>2700</v>
      </c>
      <c r="E1378" s="175"/>
      <c r="F1378" s="13" t="s">
        <v>2856</v>
      </c>
      <c r="G1378" s="82">
        <v>81.281999999999996</v>
      </c>
      <c r="H1378" s="62">
        <v>0</v>
      </c>
      <c r="I1378" s="5"/>
    </row>
    <row r="1379" spans="1:9" ht="12.2" customHeight="1" x14ac:dyDescent="0.2">
      <c r="A1379" s="5"/>
      <c r="D1379" s="54" t="s">
        <v>3299</v>
      </c>
      <c r="E1379" s="196"/>
      <c r="F1379" s="197"/>
      <c r="G1379" s="57">
        <v>81.281999999999996</v>
      </c>
      <c r="H1379" s="63"/>
      <c r="I1379" s="5"/>
    </row>
    <row r="1380" spans="1:9" x14ac:dyDescent="0.2">
      <c r="A1380" s="4" t="s">
        <v>947</v>
      </c>
      <c r="B1380" s="13" t="s">
        <v>2895</v>
      </c>
      <c r="C1380" s="13" t="s">
        <v>1696</v>
      </c>
      <c r="D1380" s="174" t="s">
        <v>2701</v>
      </c>
      <c r="E1380" s="175"/>
      <c r="F1380" s="13" t="s">
        <v>2856</v>
      </c>
      <c r="G1380" s="82">
        <v>3.5129999999999999</v>
      </c>
      <c r="H1380" s="62">
        <v>0</v>
      </c>
      <c r="I1380" s="5"/>
    </row>
    <row r="1381" spans="1:9" ht="12.2" customHeight="1" x14ac:dyDescent="0.2">
      <c r="A1381" s="5"/>
      <c r="D1381" s="54" t="s">
        <v>3300</v>
      </c>
      <c r="E1381" s="196"/>
      <c r="F1381" s="197"/>
      <c r="G1381" s="57">
        <v>3.5129999999999999</v>
      </c>
      <c r="H1381" s="63"/>
      <c r="I1381" s="5"/>
    </row>
    <row r="1382" spans="1:9" x14ac:dyDescent="0.2">
      <c r="A1382" s="4" t="s">
        <v>948</v>
      </c>
      <c r="B1382" s="13" t="s">
        <v>2895</v>
      </c>
      <c r="C1382" s="13" t="s">
        <v>1697</v>
      </c>
      <c r="D1382" s="174" t="s">
        <v>2702</v>
      </c>
      <c r="E1382" s="175"/>
      <c r="F1382" s="13" t="s">
        <v>2856</v>
      </c>
      <c r="G1382" s="82">
        <v>73.805999999999997</v>
      </c>
      <c r="H1382" s="62">
        <v>0</v>
      </c>
      <c r="I1382" s="5"/>
    </row>
    <row r="1383" spans="1:9" ht="12.2" customHeight="1" x14ac:dyDescent="0.2">
      <c r="A1383" s="5"/>
      <c r="D1383" s="54" t="s">
        <v>3301</v>
      </c>
      <c r="E1383" s="196"/>
      <c r="F1383" s="197"/>
      <c r="G1383" s="57">
        <v>73.805999999999997</v>
      </c>
      <c r="H1383" s="63"/>
      <c r="I1383" s="5"/>
    </row>
    <row r="1384" spans="1:9" x14ac:dyDescent="0.2">
      <c r="A1384" s="4" t="s">
        <v>949</v>
      </c>
      <c r="B1384" s="13" t="s">
        <v>2895</v>
      </c>
      <c r="C1384" s="13" t="s">
        <v>1698</v>
      </c>
      <c r="D1384" s="174" t="s">
        <v>2703</v>
      </c>
      <c r="E1384" s="175"/>
      <c r="F1384" s="13" t="s">
        <v>2856</v>
      </c>
      <c r="G1384" s="82">
        <v>295.85899999999998</v>
      </c>
      <c r="H1384" s="62">
        <v>0</v>
      </c>
      <c r="I1384" s="5"/>
    </row>
    <row r="1385" spans="1:9" ht="12.2" customHeight="1" x14ac:dyDescent="0.2">
      <c r="A1385" s="5"/>
      <c r="D1385" s="54" t="s">
        <v>3302</v>
      </c>
      <c r="E1385" s="196"/>
      <c r="F1385" s="197"/>
      <c r="G1385" s="57">
        <v>295.85899999999998</v>
      </c>
      <c r="H1385" s="63"/>
      <c r="I1385" s="5"/>
    </row>
    <row r="1386" spans="1:9" x14ac:dyDescent="0.2">
      <c r="A1386" s="4" t="s">
        <v>950</v>
      </c>
      <c r="B1386" s="13" t="s">
        <v>2895</v>
      </c>
      <c r="C1386" s="13" t="s">
        <v>1699</v>
      </c>
      <c r="D1386" s="174" t="s">
        <v>2704</v>
      </c>
      <c r="E1386" s="175"/>
      <c r="F1386" s="13" t="s">
        <v>2856</v>
      </c>
      <c r="G1386" s="82">
        <v>192.39</v>
      </c>
      <c r="H1386" s="62">
        <v>0</v>
      </c>
      <c r="I1386" s="5"/>
    </row>
    <row r="1387" spans="1:9" ht="12.2" customHeight="1" x14ac:dyDescent="0.2">
      <c r="A1387" s="5"/>
      <c r="D1387" s="54" t="s">
        <v>3303</v>
      </c>
      <c r="E1387" s="196"/>
      <c r="F1387" s="197"/>
      <c r="G1387" s="57">
        <v>192.39</v>
      </c>
      <c r="H1387" s="63"/>
      <c r="I1387" s="5"/>
    </row>
    <row r="1388" spans="1:9" x14ac:dyDescent="0.2">
      <c r="A1388" s="4" t="s">
        <v>951</v>
      </c>
      <c r="B1388" s="13" t="s">
        <v>2895</v>
      </c>
      <c r="C1388" s="13" t="s">
        <v>1700</v>
      </c>
      <c r="D1388" s="174" t="s">
        <v>2705</v>
      </c>
      <c r="E1388" s="175"/>
      <c r="F1388" s="13" t="s">
        <v>2856</v>
      </c>
      <c r="G1388" s="82">
        <v>3.8370000000000002</v>
      </c>
      <c r="H1388" s="62">
        <v>0</v>
      </c>
      <c r="I1388" s="5"/>
    </row>
    <row r="1389" spans="1:9" ht="12.2" customHeight="1" x14ac:dyDescent="0.2">
      <c r="A1389" s="5"/>
      <c r="D1389" s="54" t="s">
        <v>3304</v>
      </c>
      <c r="E1389" s="196"/>
      <c r="F1389" s="197"/>
      <c r="G1389" s="57">
        <v>3.8370000000000002</v>
      </c>
      <c r="H1389" s="63"/>
      <c r="I1389" s="5"/>
    </row>
    <row r="1390" spans="1:9" x14ac:dyDescent="0.2">
      <c r="A1390" s="4" t="s">
        <v>952</v>
      </c>
      <c r="B1390" s="13" t="s">
        <v>2895</v>
      </c>
      <c r="C1390" s="13" t="s">
        <v>1701</v>
      </c>
      <c r="D1390" s="174" t="s">
        <v>2706</v>
      </c>
      <c r="E1390" s="175"/>
      <c r="F1390" s="13" t="s">
        <v>2856</v>
      </c>
      <c r="G1390" s="82">
        <v>8.1110000000000007</v>
      </c>
      <c r="H1390" s="62">
        <v>0</v>
      </c>
      <c r="I1390" s="5"/>
    </row>
    <row r="1391" spans="1:9" ht="12.2" customHeight="1" x14ac:dyDescent="0.2">
      <c r="A1391" s="5"/>
      <c r="D1391" s="54" t="s">
        <v>3305</v>
      </c>
      <c r="E1391" s="196"/>
      <c r="F1391" s="197"/>
      <c r="G1391" s="57">
        <v>8.1110000000000007</v>
      </c>
      <c r="H1391" s="63"/>
      <c r="I1391" s="5"/>
    </row>
    <row r="1392" spans="1:9" x14ac:dyDescent="0.2">
      <c r="A1392" s="4" t="s">
        <v>953</v>
      </c>
      <c r="B1392" s="13" t="s">
        <v>2895</v>
      </c>
      <c r="C1392" s="13" t="s">
        <v>1702</v>
      </c>
      <c r="D1392" s="174" t="s">
        <v>2707</v>
      </c>
      <c r="E1392" s="175"/>
      <c r="F1392" s="13" t="s">
        <v>2856</v>
      </c>
      <c r="G1392" s="82">
        <v>0.30599999999999999</v>
      </c>
      <c r="H1392" s="62">
        <v>0</v>
      </c>
      <c r="I1392" s="5"/>
    </row>
    <row r="1393" spans="1:9" ht="12.2" customHeight="1" x14ac:dyDescent="0.2">
      <c r="A1393" s="5"/>
      <c r="D1393" s="54" t="s">
        <v>3306</v>
      </c>
      <c r="E1393" s="196"/>
      <c r="F1393" s="197"/>
      <c r="G1393" s="57">
        <v>0.30599999999999999</v>
      </c>
      <c r="H1393" s="63"/>
      <c r="I1393" s="5"/>
    </row>
    <row r="1394" spans="1:9" x14ac:dyDescent="0.2">
      <c r="A1394" s="4" t="s">
        <v>954</v>
      </c>
      <c r="B1394" s="13" t="s">
        <v>2895</v>
      </c>
      <c r="C1394" s="13" t="s">
        <v>1703</v>
      </c>
      <c r="D1394" s="174" t="s">
        <v>2708</v>
      </c>
      <c r="E1394" s="175"/>
      <c r="F1394" s="13" t="s">
        <v>2856</v>
      </c>
      <c r="G1394" s="82">
        <v>0.372</v>
      </c>
      <c r="H1394" s="62">
        <v>0</v>
      </c>
      <c r="I1394" s="5"/>
    </row>
    <row r="1395" spans="1:9" ht="12.2" customHeight="1" x14ac:dyDescent="0.2">
      <c r="A1395" s="5"/>
      <c r="D1395" s="54" t="s">
        <v>3307</v>
      </c>
      <c r="E1395" s="196"/>
      <c r="F1395" s="197"/>
      <c r="G1395" s="57">
        <v>0.372</v>
      </c>
      <c r="H1395" s="63"/>
      <c r="I1395" s="5"/>
    </row>
    <row r="1396" spans="1:9" x14ac:dyDescent="0.2">
      <c r="A1396" s="4" t="s">
        <v>955</v>
      </c>
      <c r="B1396" s="13" t="s">
        <v>2895</v>
      </c>
      <c r="C1396" s="13" t="s">
        <v>1704</v>
      </c>
      <c r="D1396" s="174" t="s">
        <v>2709</v>
      </c>
      <c r="E1396" s="175"/>
      <c r="F1396" s="13" t="s">
        <v>2856</v>
      </c>
      <c r="G1396" s="82">
        <v>4.9390000000000001</v>
      </c>
      <c r="H1396" s="62">
        <v>0</v>
      </c>
      <c r="I1396" s="5"/>
    </row>
    <row r="1397" spans="1:9" ht="12.2" customHeight="1" x14ac:dyDescent="0.2">
      <c r="A1397" s="5"/>
      <c r="D1397" s="54" t="s">
        <v>3308</v>
      </c>
      <c r="E1397" s="196"/>
      <c r="F1397" s="197"/>
      <c r="G1397" s="57">
        <v>4.9390000000000001</v>
      </c>
      <c r="H1397" s="63"/>
      <c r="I1397" s="5"/>
    </row>
    <row r="1398" spans="1:9" x14ac:dyDescent="0.2">
      <c r="A1398" s="4" t="s">
        <v>956</v>
      </c>
      <c r="B1398" s="13" t="s">
        <v>2895</v>
      </c>
      <c r="C1398" s="13" t="s">
        <v>1705</v>
      </c>
      <c r="D1398" s="174" t="s">
        <v>2710</v>
      </c>
      <c r="E1398" s="175"/>
      <c r="F1398" s="13" t="s">
        <v>2856</v>
      </c>
      <c r="G1398" s="82">
        <v>13.547000000000001</v>
      </c>
      <c r="H1398" s="62">
        <v>0</v>
      </c>
      <c r="I1398" s="5"/>
    </row>
    <row r="1399" spans="1:9" ht="12.2" customHeight="1" x14ac:dyDescent="0.2">
      <c r="A1399" s="51"/>
      <c r="B1399" s="53"/>
      <c r="C1399" s="53"/>
      <c r="D1399" s="55" t="s">
        <v>3298</v>
      </c>
      <c r="E1399" s="198"/>
      <c r="F1399" s="199"/>
      <c r="G1399" s="59">
        <v>13.547000000000001</v>
      </c>
      <c r="H1399" s="65"/>
      <c r="I1399" s="5"/>
    </row>
    <row r="1400" spans="1:9" x14ac:dyDescent="0.2">
      <c r="A1400" s="8"/>
      <c r="B1400" s="8"/>
      <c r="C1400" s="8"/>
      <c r="D1400" s="8"/>
      <c r="E1400" s="8"/>
      <c r="F1400" s="8"/>
      <c r="G1400" s="8"/>
      <c r="H1400" s="8"/>
    </row>
    <row r="1401" spans="1:9" ht="11.25" customHeight="1" x14ac:dyDescent="0.2">
      <c r="A1401" s="9" t="s">
        <v>957</v>
      </c>
    </row>
    <row r="1402" spans="1:9" x14ac:dyDescent="0.2">
      <c r="A1402" s="130"/>
      <c r="B1402" s="121"/>
      <c r="C1402" s="121"/>
      <c r="D1402" s="121"/>
      <c r="E1402" s="121"/>
      <c r="F1402" s="121"/>
      <c r="G1402" s="121"/>
    </row>
  </sheetData>
  <mergeCells count="1408">
    <mergeCell ref="D1396:E1396"/>
    <mergeCell ref="E1397:F1397"/>
    <mergeCell ref="D1398:E1398"/>
    <mergeCell ref="E1399:F1399"/>
    <mergeCell ref="A1402:G1402"/>
    <mergeCell ref="D1390:E1390"/>
    <mergeCell ref="E1391:F1391"/>
    <mergeCell ref="D1392:E1392"/>
    <mergeCell ref="E1393:F1393"/>
    <mergeCell ref="D1394:E1394"/>
    <mergeCell ref="E1395:F1395"/>
    <mergeCell ref="D1384:E1384"/>
    <mergeCell ref="E1385:F1385"/>
    <mergeCell ref="D1386:E1386"/>
    <mergeCell ref="E1387:F1387"/>
    <mergeCell ref="D1388:E1388"/>
    <mergeCell ref="E1389:F1389"/>
    <mergeCell ref="D1378:E1378"/>
    <mergeCell ref="E1379:F1379"/>
    <mergeCell ref="D1380:E1380"/>
    <mergeCell ref="E1381:F1381"/>
    <mergeCell ref="D1382:E1382"/>
    <mergeCell ref="E1383:F1383"/>
    <mergeCell ref="D1372:E1372"/>
    <mergeCell ref="E1373:F1373"/>
    <mergeCell ref="D1374:E1374"/>
    <mergeCell ref="E1375:F1375"/>
    <mergeCell ref="D1376:E1376"/>
    <mergeCell ref="E1377:F1377"/>
    <mergeCell ref="D1366:E1366"/>
    <mergeCell ref="E1367:F1367"/>
    <mergeCell ref="D1368:E1368"/>
    <mergeCell ref="E1369:F1369"/>
    <mergeCell ref="D1370:E1370"/>
    <mergeCell ref="E1371:F1371"/>
    <mergeCell ref="D1360:E1360"/>
    <mergeCell ref="D1361:E1361"/>
    <mergeCell ref="D1362:E1362"/>
    <mergeCell ref="D1363:E1363"/>
    <mergeCell ref="D1364:E1364"/>
    <mergeCell ref="D1365:E1365"/>
    <mergeCell ref="D1354:E1354"/>
    <mergeCell ref="D1355:E1355"/>
    <mergeCell ref="D1356:E1356"/>
    <mergeCell ref="D1357:E1357"/>
    <mergeCell ref="D1358:E1358"/>
    <mergeCell ref="D1359:E1359"/>
    <mergeCell ref="D1348:E1348"/>
    <mergeCell ref="D1349:E1349"/>
    <mergeCell ref="D1350:E1350"/>
    <mergeCell ref="D1351:E1351"/>
    <mergeCell ref="D1352:E1352"/>
    <mergeCell ref="D1353:E1353"/>
    <mergeCell ref="D1342:E1342"/>
    <mergeCell ref="D1343:E1343"/>
    <mergeCell ref="D1344:E1344"/>
    <mergeCell ref="D1345:E1345"/>
    <mergeCell ref="D1346:E1346"/>
    <mergeCell ref="D1347:E1347"/>
    <mergeCell ref="D1336:E1336"/>
    <mergeCell ref="D1337:E1337"/>
    <mergeCell ref="D1338:E1338"/>
    <mergeCell ref="D1339:E1339"/>
    <mergeCell ref="D1340:E1340"/>
    <mergeCell ref="D1341:E1341"/>
    <mergeCell ref="D1330:E1330"/>
    <mergeCell ref="D1331:E1331"/>
    <mergeCell ref="D1332:E1332"/>
    <mergeCell ref="D1333:E1333"/>
    <mergeCell ref="D1334:E1334"/>
    <mergeCell ref="D1335:E1335"/>
    <mergeCell ref="D1324:E1324"/>
    <mergeCell ref="D1325:E1325"/>
    <mergeCell ref="D1326:E1326"/>
    <mergeCell ref="D1327:E1327"/>
    <mergeCell ref="D1328:E1328"/>
    <mergeCell ref="D1329:E1329"/>
    <mergeCell ref="D1318:E1318"/>
    <mergeCell ref="D1319:E1319"/>
    <mergeCell ref="D1320:E1320"/>
    <mergeCell ref="D1321:E1321"/>
    <mergeCell ref="D1322:E1322"/>
    <mergeCell ref="D1323:E1323"/>
    <mergeCell ref="D1312:E1312"/>
    <mergeCell ref="D1313:E1313"/>
    <mergeCell ref="D1314:E1314"/>
    <mergeCell ref="D1315:E1315"/>
    <mergeCell ref="D1316:E1316"/>
    <mergeCell ref="D1317:E1317"/>
    <mergeCell ref="D1306:E1306"/>
    <mergeCell ref="D1307:E1307"/>
    <mergeCell ref="D1308:E1308"/>
    <mergeCell ref="D1309:E1309"/>
    <mergeCell ref="D1310:E1310"/>
    <mergeCell ref="D1311:E1311"/>
    <mergeCell ref="D1300:E1300"/>
    <mergeCell ref="D1301:E1301"/>
    <mergeCell ref="D1302:E1302"/>
    <mergeCell ref="D1303:E1303"/>
    <mergeCell ref="D1304:E1304"/>
    <mergeCell ref="D1305:E1305"/>
    <mergeCell ref="D1294:E1294"/>
    <mergeCell ref="D1295:E1295"/>
    <mergeCell ref="D1296:E1296"/>
    <mergeCell ref="D1297:E1297"/>
    <mergeCell ref="D1298:E1298"/>
    <mergeCell ref="D1299:E1299"/>
    <mergeCell ref="D1288:E1288"/>
    <mergeCell ref="D1289:E1289"/>
    <mergeCell ref="D1290:E1290"/>
    <mergeCell ref="D1291:E1291"/>
    <mergeCell ref="D1292:E1292"/>
    <mergeCell ref="D1293:E1293"/>
    <mergeCell ref="D1282:E1282"/>
    <mergeCell ref="D1283:E1283"/>
    <mergeCell ref="D1284:E1284"/>
    <mergeCell ref="D1285:E1285"/>
    <mergeCell ref="D1286:E1286"/>
    <mergeCell ref="D1287:E1287"/>
    <mergeCell ref="D1276:E1276"/>
    <mergeCell ref="D1277:E1277"/>
    <mergeCell ref="D1278:E1278"/>
    <mergeCell ref="D1279:E1279"/>
    <mergeCell ref="D1280:E1280"/>
    <mergeCell ref="D1281:E1281"/>
    <mergeCell ref="D1270:E1270"/>
    <mergeCell ref="D1271:E1271"/>
    <mergeCell ref="D1272:E1272"/>
    <mergeCell ref="D1273:E1273"/>
    <mergeCell ref="D1274:E1274"/>
    <mergeCell ref="D1275:E1275"/>
    <mergeCell ref="D1264:E1264"/>
    <mergeCell ref="D1265:E1265"/>
    <mergeCell ref="D1266:E1266"/>
    <mergeCell ref="D1267:E1267"/>
    <mergeCell ref="D1268:E1268"/>
    <mergeCell ref="D1269:E1269"/>
    <mergeCell ref="D1258:E1258"/>
    <mergeCell ref="D1259:E1259"/>
    <mergeCell ref="D1260:E1260"/>
    <mergeCell ref="D1261:E1261"/>
    <mergeCell ref="D1262:E1262"/>
    <mergeCell ref="D1263:E1263"/>
    <mergeCell ref="D1252:E1252"/>
    <mergeCell ref="D1253:E1253"/>
    <mergeCell ref="D1254:E1254"/>
    <mergeCell ref="D1255:E1255"/>
    <mergeCell ref="D1256:E1256"/>
    <mergeCell ref="D1257:E1257"/>
    <mergeCell ref="D1246:E1246"/>
    <mergeCell ref="D1247:E1247"/>
    <mergeCell ref="D1248:E1248"/>
    <mergeCell ref="D1249:E1249"/>
    <mergeCell ref="D1250:E1250"/>
    <mergeCell ref="D1251:E1251"/>
    <mergeCell ref="D1240:E1240"/>
    <mergeCell ref="D1241:E1241"/>
    <mergeCell ref="D1242:E1242"/>
    <mergeCell ref="D1243:E1243"/>
    <mergeCell ref="D1244:E1244"/>
    <mergeCell ref="D1245:E1245"/>
    <mergeCell ref="D1234:E1234"/>
    <mergeCell ref="D1235:E1235"/>
    <mergeCell ref="D1236:E1236"/>
    <mergeCell ref="D1237:E1237"/>
    <mergeCell ref="D1238:E1238"/>
    <mergeCell ref="D1239:E1239"/>
    <mergeCell ref="D1228:E1228"/>
    <mergeCell ref="D1229:E1229"/>
    <mergeCell ref="D1230:E1230"/>
    <mergeCell ref="D1231:E1231"/>
    <mergeCell ref="D1232:E1232"/>
    <mergeCell ref="D1233:E1233"/>
    <mergeCell ref="D1222:E1222"/>
    <mergeCell ref="D1223:E1223"/>
    <mergeCell ref="D1224:E1224"/>
    <mergeCell ref="D1225:E1225"/>
    <mergeCell ref="D1226:E1226"/>
    <mergeCell ref="D1227:E1227"/>
    <mergeCell ref="D1216:E1216"/>
    <mergeCell ref="D1217:E1217"/>
    <mergeCell ref="D1218:E1218"/>
    <mergeCell ref="D1219:E1219"/>
    <mergeCell ref="D1220:E1220"/>
    <mergeCell ref="D1221:E1221"/>
    <mergeCell ref="D1210:E1210"/>
    <mergeCell ref="D1211:E1211"/>
    <mergeCell ref="D1212:E1212"/>
    <mergeCell ref="D1213:E1213"/>
    <mergeCell ref="D1214:E1214"/>
    <mergeCell ref="D1215:E1215"/>
    <mergeCell ref="D1204:E1204"/>
    <mergeCell ref="D1205:E1205"/>
    <mergeCell ref="D1206:E1206"/>
    <mergeCell ref="D1207:E1207"/>
    <mergeCell ref="D1208:E1208"/>
    <mergeCell ref="D1209:E1209"/>
    <mergeCell ref="D1198:E1198"/>
    <mergeCell ref="D1199:E1199"/>
    <mergeCell ref="D1200:E1200"/>
    <mergeCell ref="D1201:E1201"/>
    <mergeCell ref="D1202:E1202"/>
    <mergeCell ref="D1203:E1203"/>
    <mergeCell ref="D1192:E1192"/>
    <mergeCell ref="D1193:E1193"/>
    <mergeCell ref="D1194:E1194"/>
    <mergeCell ref="D1195:E1195"/>
    <mergeCell ref="D1196:E1196"/>
    <mergeCell ref="D1197:E1197"/>
    <mergeCell ref="D1186:E1186"/>
    <mergeCell ref="D1187:E1187"/>
    <mergeCell ref="D1188:E1188"/>
    <mergeCell ref="D1189:E1189"/>
    <mergeCell ref="D1190:E1190"/>
    <mergeCell ref="D1191:E1191"/>
    <mergeCell ref="D1180:E1180"/>
    <mergeCell ref="D1181:E1181"/>
    <mergeCell ref="D1182:E1182"/>
    <mergeCell ref="D1183:E1183"/>
    <mergeCell ref="D1184:E1184"/>
    <mergeCell ref="D1185:E1185"/>
    <mergeCell ref="D1174:E1174"/>
    <mergeCell ref="D1175:E1175"/>
    <mergeCell ref="D1176:E1176"/>
    <mergeCell ref="D1177:E1177"/>
    <mergeCell ref="D1178:E1178"/>
    <mergeCell ref="D1179:E1179"/>
    <mergeCell ref="D1168:E1168"/>
    <mergeCell ref="D1169:E1169"/>
    <mergeCell ref="D1170:E1170"/>
    <mergeCell ref="D1171:E1171"/>
    <mergeCell ref="D1172:E1172"/>
    <mergeCell ref="D1173:E1173"/>
    <mergeCell ref="D1162:E1162"/>
    <mergeCell ref="D1163:E1163"/>
    <mergeCell ref="D1164:E1164"/>
    <mergeCell ref="D1165:E1165"/>
    <mergeCell ref="D1166:E1166"/>
    <mergeCell ref="D1167:E1167"/>
    <mergeCell ref="D1156:E1156"/>
    <mergeCell ref="D1157:E1157"/>
    <mergeCell ref="D1158:E1158"/>
    <mergeCell ref="D1159:E1159"/>
    <mergeCell ref="D1160:E1160"/>
    <mergeCell ref="D1161:E1161"/>
    <mergeCell ref="D1150:E1150"/>
    <mergeCell ref="D1151:E1151"/>
    <mergeCell ref="D1152:E1152"/>
    <mergeCell ref="D1153:E1153"/>
    <mergeCell ref="D1154:E1154"/>
    <mergeCell ref="D1155:E1155"/>
    <mergeCell ref="D1144:E1144"/>
    <mergeCell ref="D1145:E1145"/>
    <mergeCell ref="D1146:E1146"/>
    <mergeCell ref="D1147:E1147"/>
    <mergeCell ref="D1148:E1148"/>
    <mergeCell ref="D1149:E1149"/>
    <mergeCell ref="D1138:E1138"/>
    <mergeCell ref="D1139:E1139"/>
    <mergeCell ref="D1140:E1140"/>
    <mergeCell ref="D1141:E1141"/>
    <mergeCell ref="D1142:E1142"/>
    <mergeCell ref="D1143:E1143"/>
    <mergeCell ref="D1132:E1132"/>
    <mergeCell ref="D1133:E1133"/>
    <mergeCell ref="D1134:E1134"/>
    <mergeCell ref="D1135:E1135"/>
    <mergeCell ref="D1136:E1136"/>
    <mergeCell ref="D1137:E1137"/>
    <mergeCell ref="D1126:E1126"/>
    <mergeCell ref="D1127:E1127"/>
    <mergeCell ref="D1128:E1128"/>
    <mergeCell ref="D1129:E1129"/>
    <mergeCell ref="D1130:E1130"/>
    <mergeCell ref="D1131:E1131"/>
    <mergeCell ref="D1120:E1120"/>
    <mergeCell ref="D1121:E1121"/>
    <mergeCell ref="D1122:E1122"/>
    <mergeCell ref="D1123:E1123"/>
    <mergeCell ref="D1124:E1124"/>
    <mergeCell ref="D1125:E1125"/>
    <mergeCell ref="D1114:E1114"/>
    <mergeCell ref="D1115:E1115"/>
    <mergeCell ref="D1116:E1116"/>
    <mergeCell ref="D1117:E1117"/>
    <mergeCell ref="D1118:E1118"/>
    <mergeCell ref="D1119:E1119"/>
    <mergeCell ref="D1108:E1108"/>
    <mergeCell ref="D1109:E1109"/>
    <mergeCell ref="D1110:E1110"/>
    <mergeCell ref="D1111:E1111"/>
    <mergeCell ref="D1112:E1112"/>
    <mergeCell ref="D1113:E1113"/>
    <mergeCell ref="D1102:E1102"/>
    <mergeCell ref="D1103:E1103"/>
    <mergeCell ref="D1104:E1104"/>
    <mergeCell ref="D1105:E1105"/>
    <mergeCell ref="D1106:E1106"/>
    <mergeCell ref="D1107:E1107"/>
    <mergeCell ref="D1096:E1096"/>
    <mergeCell ref="D1097:E1097"/>
    <mergeCell ref="D1098:E1098"/>
    <mergeCell ref="D1099:E1099"/>
    <mergeCell ref="D1100:E1100"/>
    <mergeCell ref="D1101:E1101"/>
    <mergeCell ref="D1090:E1090"/>
    <mergeCell ref="D1091:E1091"/>
    <mergeCell ref="D1092:E1092"/>
    <mergeCell ref="D1093:E1093"/>
    <mergeCell ref="D1094:E1094"/>
    <mergeCell ref="D1095:E1095"/>
    <mergeCell ref="D1084:E1084"/>
    <mergeCell ref="D1085:E1085"/>
    <mergeCell ref="D1086:E1086"/>
    <mergeCell ref="D1087:E1087"/>
    <mergeCell ref="D1088:E1088"/>
    <mergeCell ref="D1089:E1089"/>
    <mergeCell ref="D1078:E1078"/>
    <mergeCell ref="D1079:E1079"/>
    <mergeCell ref="D1080:E1080"/>
    <mergeCell ref="D1081:E1081"/>
    <mergeCell ref="D1082:E1082"/>
    <mergeCell ref="D1083:E1083"/>
    <mergeCell ref="D1072:E1072"/>
    <mergeCell ref="D1073:E1073"/>
    <mergeCell ref="D1074:E1074"/>
    <mergeCell ref="D1075:E1075"/>
    <mergeCell ref="D1076:E1076"/>
    <mergeCell ref="D1077:E1077"/>
    <mergeCell ref="D1066:E1066"/>
    <mergeCell ref="D1067:E1067"/>
    <mergeCell ref="D1068:E1068"/>
    <mergeCell ref="D1069:E1069"/>
    <mergeCell ref="D1070:E1070"/>
    <mergeCell ref="D1071:E1071"/>
    <mergeCell ref="D1060:E1060"/>
    <mergeCell ref="D1061:E1061"/>
    <mergeCell ref="D1062:E1062"/>
    <mergeCell ref="D1063:E1063"/>
    <mergeCell ref="D1064:E1064"/>
    <mergeCell ref="D1065:E1065"/>
    <mergeCell ref="E1054:F1054"/>
    <mergeCell ref="D1055:E1055"/>
    <mergeCell ref="E1056:F1056"/>
    <mergeCell ref="D1057:E1057"/>
    <mergeCell ref="D1058:E1058"/>
    <mergeCell ref="D1059:E1059"/>
    <mergeCell ref="E1048:F1048"/>
    <mergeCell ref="E1049:F1049"/>
    <mergeCell ref="E1050:F1050"/>
    <mergeCell ref="E1051:F1051"/>
    <mergeCell ref="E1052:F1052"/>
    <mergeCell ref="D1053:E1053"/>
    <mergeCell ref="E1042:F1042"/>
    <mergeCell ref="D1043:E1043"/>
    <mergeCell ref="E1044:F1044"/>
    <mergeCell ref="E1045:F1045"/>
    <mergeCell ref="E1046:F1046"/>
    <mergeCell ref="E1047:F1047"/>
    <mergeCell ref="E1036:F1036"/>
    <mergeCell ref="D1037:E1037"/>
    <mergeCell ref="E1038:F1038"/>
    <mergeCell ref="D1039:E1039"/>
    <mergeCell ref="E1040:F1040"/>
    <mergeCell ref="D1041:E1041"/>
    <mergeCell ref="D1030:E1030"/>
    <mergeCell ref="E1031:F1031"/>
    <mergeCell ref="E1032:F1032"/>
    <mergeCell ref="D1033:E1033"/>
    <mergeCell ref="E1034:F1034"/>
    <mergeCell ref="D1035:E1035"/>
    <mergeCell ref="E1024:F1024"/>
    <mergeCell ref="D1025:E1025"/>
    <mergeCell ref="E1026:F1026"/>
    <mergeCell ref="E1027:F1027"/>
    <mergeCell ref="D1028:E1028"/>
    <mergeCell ref="E1029:F1029"/>
    <mergeCell ref="D1018:E1018"/>
    <mergeCell ref="E1019:F1019"/>
    <mergeCell ref="D1020:E1020"/>
    <mergeCell ref="E1021:F1021"/>
    <mergeCell ref="E1022:F1022"/>
    <mergeCell ref="D1023:E1023"/>
    <mergeCell ref="E1012:F1012"/>
    <mergeCell ref="E1013:F1013"/>
    <mergeCell ref="D1014:E1014"/>
    <mergeCell ref="E1015:F1015"/>
    <mergeCell ref="D1016:E1016"/>
    <mergeCell ref="E1017:F1017"/>
    <mergeCell ref="E1006:F1006"/>
    <mergeCell ref="D1007:E1007"/>
    <mergeCell ref="E1008:F1008"/>
    <mergeCell ref="E1009:F1009"/>
    <mergeCell ref="E1010:F1010"/>
    <mergeCell ref="D1011:E1011"/>
    <mergeCell ref="D1000:E1000"/>
    <mergeCell ref="E1001:F1001"/>
    <mergeCell ref="D1002:E1002"/>
    <mergeCell ref="E1003:F1003"/>
    <mergeCell ref="E1004:F1004"/>
    <mergeCell ref="D1005:E1005"/>
    <mergeCell ref="E994:F994"/>
    <mergeCell ref="D995:E995"/>
    <mergeCell ref="E996:F996"/>
    <mergeCell ref="D997:E997"/>
    <mergeCell ref="E998:F998"/>
    <mergeCell ref="E999:F999"/>
    <mergeCell ref="E988:F988"/>
    <mergeCell ref="E989:F989"/>
    <mergeCell ref="D990:E990"/>
    <mergeCell ref="E991:F991"/>
    <mergeCell ref="D992:E992"/>
    <mergeCell ref="E993:F993"/>
    <mergeCell ref="E982:F982"/>
    <mergeCell ref="D983:E983"/>
    <mergeCell ref="E984:F984"/>
    <mergeCell ref="D985:E985"/>
    <mergeCell ref="E986:F986"/>
    <mergeCell ref="D987:E987"/>
    <mergeCell ref="D976:E976"/>
    <mergeCell ref="E977:F977"/>
    <mergeCell ref="E978:F978"/>
    <mergeCell ref="D979:E979"/>
    <mergeCell ref="E980:F980"/>
    <mergeCell ref="D981:E981"/>
    <mergeCell ref="E970:F970"/>
    <mergeCell ref="D971:E971"/>
    <mergeCell ref="E972:F972"/>
    <mergeCell ref="E973:F973"/>
    <mergeCell ref="D974:E974"/>
    <mergeCell ref="E975:F975"/>
    <mergeCell ref="E964:F964"/>
    <mergeCell ref="D965:E965"/>
    <mergeCell ref="E966:F966"/>
    <mergeCell ref="D967:E967"/>
    <mergeCell ref="E968:F968"/>
    <mergeCell ref="D969:E969"/>
    <mergeCell ref="D958:E958"/>
    <mergeCell ref="E959:F959"/>
    <mergeCell ref="E960:F960"/>
    <mergeCell ref="D961:E961"/>
    <mergeCell ref="E962:F962"/>
    <mergeCell ref="D963:E963"/>
    <mergeCell ref="E952:F952"/>
    <mergeCell ref="D953:E953"/>
    <mergeCell ref="E954:F954"/>
    <mergeCell ref="E955:F955"/>
    <mergeCell ref="D956:E956"/>
    <mergeCell ref="E957:F957"/>
    <mergeCell ref="E946:F946"/>
    <mergeCell ref="E947:F947"/>
    <mergeCell ref="D948:E948"/>
    <mergeCell ref="E949:F949"/>
    <mergeCell ref="E950:F950"/>
    <mergeCell ref="D951:E951"/>
    <mergeCell ref="D940:E940"/>
    <mergeCell ref="E941:F941"/>
    <mergeCell ref="D942:E942"/>
    <mergeCell ref="E943:F943"/>
    <mergeCell ref="E944:F944"/>
    <mergeCell ref="D945:E945"/>
    <mergeCell ref="D934:E934"/>
    <mergeCell ref="E935:F935"/>
    <mergeCell ref="D936:E936"/>
    <mergeCell ref="E937:F937"/>
    <mergeCell ref="E938:F938"/>
    <mergeCell ref="E939:F939"/>
    <mergeCell ref="D928:E928"/>
    <mergeCell ref="E929:F929"/>
    <mergeCell ref="D930:E930"/>
    <mergeCell ref="E931:F931"/>
    <mergeCell ref="D932:E932"/>
    <mergeCell ref="E933:F933"/>
    <mergeCell ref="D922:E922"/>
    <mergeCell ref="E923:F923"/>
    <mergeCell ref="D924:E924"/>
    <mergeCell ref="E925:F925"/>
    <mergeCell ref="D926:E926"/>
    <mergeCell ref="E927:F927"/>
    <mergeCell ref="D916:E916"/>
    <mergeCell ref="E917:F917"/>
    <mergeCell ref="D918:E918"/>
    <mergeCell ref="E919:F919"/>
    <mergeCell ref="D920:E920"/>
    <mergeCell ref="E921:F921"/>
    <mergeCell ref="E910:F910"/>
    <mergeCell ref="D911:E911"/>
    <mergeCell ref="D912:E912"/>
    <mergeCell ref="D913:E913"/>
    <mergeCell ref="E914:F914"/>
    <mergeCell ref="D915:E915"/>
    <mergeCell ref="D904:E904"/>
    <mergeCell ref="E905:F905"/>
    <mergeCell ref="D906:E906"/>
    <mergeCell ref="D907:E907"/>
    <mergeCell ref="E908:F908"/>
    <mergeCell ref="D909:E909"/>
    <mergeCell ref="E898:F898"/>
    <mergeCell ref="D899:E899"/>
    <mergeCell ref="E900:F900"/>
    <mergeCell ref="D901:E901"/>
    <mergeCell ref="E902:F902"/>
    <mergeCell ref="D903:E903"/>
    <mergeCell ref="D892:E892"/>
    <mergeCell ref="E893:F893"/>
    <mergeCell ref="D894:E894"/>
    <mergeCell ref="D895:E895"/>
    <mergeCell ref="E896:F896"/>
    <mergeCell ref="D897:E897"/>
    <mergeCell ref="D886:E886"/>
    <mergeCell ref="E887:F887"/>
    <mergeCell ref="D888:E888"/>
    <mergeCell ref="E889:F889"/>
    <mergeCell ref="D890:E890"/>
    <mergeCell ref="E891:F891"/>
    <mergeCell ref="D880:E880"/>
    <mergeCell ref="E881:F881"/>
    <mergeCell ref="D882:E882"/>
    <mergeCell ref="E883:F883"/>
    <mergeCell ref="D884:E884"/>
    <mergeCell ref="E885:F885"/>
    <mergeCell ref="D874:E874"/>
    <mergeCell ref="E875:F875"/>
    <mergeCell ref="D876:E876"/>
    <mergeCell ref="E877:F877"/>
    <mergeCell ref="D878:E878"/>
    <mergeCell ref="E879:F879"/>
    <mergeCell ref="D868:E868"/>
    <mergeCell ref="E869:F869"/>
    <mergeCell ref="D870:E870"/>
    <mergeCell ref="E871:F871"/>
    <mergeCell ref="D872:E872"/>
    <mergeCell ref="E873:F873"/>
    <mergeCell ref="D862:E862"/>
    <mergeCell ref="E863:F863"/>
    <mergeCell ref="D864:E864"/>
    <mergeCell ref="E865:F865"/>
    <mergeCell ref="D866:E866"/>
    <mergeCell ref="E867:F867"/>
    <mergeCell ref="D856:E856"/>
    <mergeCell ref="E857:F857"/>
    <mergeCell ref="D858:E858"/>
    <mergeCell ref="E859:F859"/>
    <mergeCell ref="D860:E860"/>
    <mergeCell ref="E861:F861"/>
    <mergeCell ref="D850:E850"/>
    <mergeCell ref="E851:F851"/>
    <mergeCell ref="D852:E852"/>
    <mergeCell ref="E853:F853"/>
    <mergeCell ref="D854:E854"/>
    <mergeCell ref="E855:F855"/>
    <mergeCell ref="D844:E844"/>
    <mergeCell ref="E845:F845"/>
    <mergeCell ref="D846:E846"/>
    <mergeCell ref="E847:F847"/>
    <mergeCell ref="D848:E848"/>
    <mergeCell ref="E849:F849"/>
    <mergeCell ref="D838:E838"/>
    <mergeCell ref="D839:E839"/>
    <mergeCell ref="D840:E840"/>
    <mergeCell ref="D841:E841"/>
    <mergeCell ref="D842:E842"/>
    <mergeCell ref="D843:E843"/>
    <mergeCell ref="D832:E832"/>
    <mergeCell ref="D833:E833"/>
    <mergeCell ref="D834:E834"/>
    <mergeCell ref="D835:E835"/>
    <mergeCell ref="D836:E836"/>
    <mergeCell ref="D837:E837"/>
    <mergeCell ref="D826:E826"/>
    <mergeCell ref="D827:E827"/>
    <mergeCell ref="D828:E828"/>
    <mergeCell ref="D829:E829"/>
    <mergeCell ref="D830:E830"/>
    <mergeCell ref="D831:E831"/>
    <mergeCell ref="D820:E820"/>
    <mergeCell ref="D821:E821"/>
    <mergeCell ref="D822:E822"/>
    <mergeCell ref="D823:E823"/>
    <mergeCell ref="D824:E824"/>
    <mergeCell ref="D825:E825"/>
    <mergeCell ref="D814:E814"/>
    <mergeCell ref="D815:E815"/>
    <mergeCell ref="D816:E816"/>
    <mergeCell ref="D817:E817"/>
    <mergeCell ref="D818:E818"/>
    <mergeCell ref="D819:E819"/>
    <mergeCell ref="D808:E808"/>
    <mergeCell ref="D809:E809"/>
    <mergeCell ref="D810:E810"/>
    <mergeCell ref="D811:E811"/>
    <mergeCell ref="D812:E812"/>
    <mergeCell ref="D813:E813"/>
    <mergeCell ref="D802:E802"/>
    <mergeCell ref="D803:E803"/>
    <mergeCell ref="D804:E804"/>
    <mergeCell ref="D805:E805"/>
    <mergeCell ref="D806:E806"/>
    <mergeCell ref="D807:E807"/>
    <mergeCell ref="D796:E796"/>
    <mergeCell ref="D797:E797"/>
    <mergeCell ref="D798:E798"/>
    <mergeCell ref="D799:E799"/>
    <mergeCell ref="D800:E800"/>
    <mergeCell ref="D801:E801"/>
    <mergeCell ref="D790:E790"/>
    <mergeCell ref="D791:E791"/>
    <mergeCell ref="D792:E792"/>
    <mergeCell ref="D793:E793"/>
    <mergeCell ref="D794:E794"/>
    <mergeCell ref="D795:E795"/>
    <mergeCell ref="D784:E784"/>
    <mergeCell ref="D785:E785"/>
    <mergeCell ref="D786:E786"/>
    <mergeCell ref="D787:E787"/>
    <mergeCell ref="D788:E788"/>
    <mergeCell ref="D789:E789"/>
    <mergeCell ref="D778:E778"/>
    <mergeCell ref="D779:E779"/>
    <mergeCell ref="D780:E780"/>
    <mergeCell ref="D781:E781"/>
    <mergeCell ref="D782:E782"/>
    <mergeCell ref="D783:E783"/>
    <mergeCell ref="D772:E772"/>
    <mergeCell ref="D773:E773"/>
    <mergeCell ref="D774:E774"/>
    <mergeCell ref="D775:E775"/>
    <mergeCell ref="D776:E776"/>
    <mergeCell ref="D777:E777"/>
    <mergeCell ref="D766:E766"/>
    <mergeCell ref="D767:E767"/>
    <mergeCell ref="D768:E768"/>
    <mergeCell ref="D769:E769"/>
    <mergeCell ref="D770:E770"/>
    <mergeCell ref="D771:E771"/>
    <mergeCell ref="D760:E760"/>
    <mergeCell ref="D761:E761"/>
    <mergeCell ref="D762:E762"/>
    <mergeCell ref="D763:E763"/>
    <mergeCell ref="D764:E764"/>
    <mergeCell ref="D765:E765"/>
    <mergeCell ref="D754:E754"/>
    <mergeCell ref="D755:E755"/>
    <mergeCell ref="D756:E756"/>
    <mergeCell ref="D757:E757"/>
    <mergeCell ref="D758:E758"/>
    <mergeCell ref="D759:E759"/>
    <mergeCell ref="D748:E748"/>
    <mergeCell ref="D749:E749"/>
    <mergeCell ref="D750:E750"/>
    <mergeCell ref="D751:E751"/>
    <mergeCell ref="D752:E752"/>
    <mergeCell ref="D753:E753"/>
    <mergeCell ref="D742:E742"/>
    <mergeCell ref="D743:E743"/>
    <mergeCell ref="D744:E744"/>
    <mergeCell ref="D745:E745"/>
    <mergeCell ref="D746:E746"/>
    <mergeCell ref="D747:E747"/>
    <mergeCell ref="D736:E736"/>
    <mergeCell ref="D737:E737"/>
    <mergeCell ref="D738:E738"/>
    <mergeCell ref="D739:E739"/>
    <mergeCell ref="D740:E740"/>
    <mergeCell ref="D741:E741"/>
    <mergeCell ref="D730:E730"/>
    <mergeCell ref="D731:E731"/>
    <mergeCell ref="D732:E732"/>
    <mergeCell ref="D733:E733"/>
    <mergeCell ref="D734:E734"/>
    <mergeCell ref="D735:E735"/>
    <mergeCell ref="D724:E724"/>
    <mergeCell ref="D725:E725"/>
    <mergeCell ref="D726:E726"/>
    <mergeCell ref="D727:E727"/>
    <mergeCell ref="D728:E728"/>
    <mergeCell ref="D729:E729"/>
    <mergeCell ref="D718:E718"/>
    <mergeCell ref="D719:E719"/>
    <mergeCell ref="D720:E720"/>
    <mergeCell ref="D721:E721"/>
    <mergeCell ref="D722:E722"/>
    <mergeCell ref="D723:E723"/>
    <mergeCell ref="D712:E712"/>
    <mergeCell ref="D713:E713"/>
    <mergeCell ref="D714:E714"/>
    <mergeCell ref="D715:E715"/>
    <mergeCell ref="D716:E716"/>
    <mergeCell ref="D717:E717"/>
    <mergeCell ref="D706:E706"/>
    <mergeCell ref="D707:E707"/>
    <mergeCell ref="D708:E708"/>
    <mergeCell ref="D709:E709"/>
    <mergeCell ref="D710:E710"/>
    <mergeCell ref="D711:E711"/>
    <mergeCell ref="D700:E700"/>
    <mergeCell ref="D701:E701"/>
    <mergeCell ref="D702:E702"/>
    <mergeCell ref="D703:E703"/>
    <mergeCell ref="D704:E704"/>
    <mergeCell ref="D705:E705"/>
    <mergeCell ref="D694:E694"/>
    <mergeCell ref="D695:E695"/>
    <mergeCell ref="D696:E696"/>
    <mergeCell ref="D697:E697"/>
    <mergeCell ref="D698:E698"/>
    <mergeCell ref="D699:E699"/>
    <mergeCell ref="D688:E688"/>
    <mergeCell ref="D689:E689"/>
    <mergeCell ref="D690:E690"/>
    <mergeCell ref="D691:E691"/>
    <mergeCell ref="D692:E692"/>
    <mergeCell ref="D693:E693"/>
    <mergeCell ref="D682:E682"/>
    <mergeCell ref="D683:E683"/>
    <mergeCell ref="D684:E684"/>
    <mergeCell ref="D685:E685"/>
    <mergeCell ref="D686:E686"/>
    <mergeCell ref="D687:E687"/>
    <mergeCell ref="D676:E676"/>
    <mergeCell ref="D677:E677"/>
    <mergeCell ref="D678:E678"/>
    <mergeCell ref="D679:E679"/>
    <mergeCell ref="D680:E680"/>
    <mergeCell ref="D681:E681"/>
    <mergeCell ref="D670:E670"/>
    <mergeCell ref="D671:E671"/>
    <mergeCell ref="D672:E672"/>
    <mergeCell ref="D673:E673"/>
    <mergeCell ref="D674:E674"/>
    <mergeCell ref="D675:E675"/>
    <mergeCell ref="D664:E664"/>
    <mergeCell ref="D665:E665"/>
    <mergeCell ref="D666:E666"/>
    <mergeCell ref="D667:E667"/>
    <mergeCell ref="D668:E668"/>
    <mergeCell ref="D669:E669"/>
    <mergeCell ref="D658:E658"/>
    <mergeCell ref="D659:E659"/>
    <mergeCell ref="D660:E660"/>
    <mergeCell ref="D661:E661"/>
    <mergeCell ref="D662:E662"/>
    <mergeCell ref="D663:E663"/>
    <mergeCell ref="D652:E652"/>
    <mergeCell ref="D653:E653"/>
    <mergeCell ref="D654:E654"/>
    <mergeCell ref="D655:E655"/>
    <mergeCell ref="D656:E656"/>
    <mergeCell ref="D657:E657"/>
    <mergeCell ref="D646:E646"/>
    <mergeCell ref="D647:E647"/>
    <mergeCell ref="D648:E648"/>
    <mergeCell ref="D649:E649"/>
    <mergeCell ref="D650:E650"/>
    <mergeCell ref="D651:E651"/>
    <mergeCell ref="D640:E640"/>
    <mergeCell ref="D641:E641"/>
    <mergeCell ref="D642:E642"/>
    <mergeCell ref="D643:E643"/>
    <mergeCell ref="D644:E644"/>
    <mergeCell ref="D645:E645"/>
    <mergeCell ref="D634:E634"/>
    <mergeCell ref="D635:E635"/>
    <mergeCell ref="D636:E636"/>
    <mergeCell ref="D637:E637"/>
    <mergeCell ref="D638:E638"/>
    <mergeCell ref="D639:E639"/>
    <mergeCell ref="D628:E628"/>
    <mergeCell ref="D629:E629"/>
    <mergeCell ref="D630:E630"/>
    <mergeCell ref="D631:E631"/>
    <mergeCell ref="D632:E632"/>
    <mergeCell ref="D633:E633"/>
    <mergeCell ref="D622:E622"/>
    <mergeCell ref="D623:E623"/>
    <mergeCell ref="D624:E624"/>
    <mergeCell ref="D625:E625"/>
    <mergeCell ref="D626:E626"/>
    <mergeCell ref="D627:E627"/>
    <mergeCell ref="D616:E616"/>
    <mergeCell ref="D617:E617"/>
    <mergeCell ref="D618:E618"/>
    <mergeCell ref="D619:E619"/>
    <mergeCell ref="D620:E620"/>
    <mergeCell ref="D621:E621"/>
    <mergeCell ref="D610:E610"/>
    <mergeCell ref="D611:E611"/>
    <mergeCell ref="D612:E612"/>
    <mergeCell ref="D613:E613"/>
    <mergeCell ref="D614:E614"/>
    <mergeCell ref="D615:E615"/>
    <mergeCell ref="D604:E604"/>
    <mergeCell ref="D605:E605"/>
    <mergeCell ref="D606:E606"/>
    <mergeCell ref="D607:E607"/>
    <mergeCell ref="D608:E608"/>
    <mergeCell ref="D609:E609"/>
    <mergeCell ref="E598:F598"/>
    <mergeCell ref="D599:E599"/>
    <mergeCell ref="E600:F600"/>
    <mergeCell ref="D601:E601"/>
    <mergeCell ref="D602:E602"/>
    <mergeCell ref="D603:E603"/>
    <mergeCell ref="D592:E592"/>
    <mergeCell ref="E593:F593"/>
    <mergeCell ref="D594:E594"/>
    <mergeCell ref="E595:F595"/>
    <mergeCell ref="D596:E596"/>
    <mergeCell ref="E597:F597"/>
    <mergeCell ref="E586:F586"/>
    <mergeCell ref="D587:E587"/>
    <mergeCell ref="E588:F588"/>
    <mergeCell ref="E589:F589"/>
    <mergeCell ref="D590:E590"/>
    <mergeCell ref="E591:F591"/>
    <mergeCell ref="D580:E580"/>
    <mergeCell ref="E581:F581"/>
    <mergeCell ref="E582:F582"/>
    <mergeCell ref="D583:E583"/>
    <mergeCell ref="E584:F584"/>
    <mergeCell ref="D585:E585"/>
    <mergeCell ref="D574:E574"/>
    <mergeCell ref="E575:F575"/>
    <mergeCell ref="D576:E576"/>
    <mergeCell ref="E577:F577"/>
    <mergeCell ref="D578:E578"/>
    <mergeCell ref="E579:F579"/>
    <mergeCell ref="E568:F568"/>
    <mergeCell ref="D569:E569"/>
    <mergeCell ref="E570:F570"/>
    <mergeCell ref="D571:E571"/>
    <mergeCell ref="E572:F572"/>
    <mergeCell ref="E573:F573"/>
    <mergeCell ref="D562:E562"/>
    <mergeCell ref="E563:F563"/>
    <mergeCell ref="E564:F564"/>
    <mergeCell ref="E565:F565"/>
    <mergeCell ref="D566:E566"/>
    <mergeCell ref="E567:F567"/>
    <mergeCell ref="D556:E556"/>
    <mergeCell ref="E557:F557"/>
    <mergeCell ref="E558:F558"/>
    <mergeCell ref="D559:E559"/>
    <mergeCell ref="E560:F560"/>
    <mergeCell ref="E561:F561"/>
    <mergeCell ref="E550:F550"/>
    <mergeCell ref="D551:E551"/>
    <mergeCell ref="E552:F552"/>
    <mergeCell ref="E553:F553"/>
    <mergeCell ref="D554:E554"/>
    <mergeCell ref="E555:F555"/>
    <mergeCell ref="D544:E544"/>
    <mergeCell ref="E545:F545"/>
    <mergeCell ref="D546:E546"/>
    <mergeCell ref="E547:F547"/>
    <mergeCell ref="E548:F548"/>
    <mergeCell ref="D549:E549"/>
    <mergeCell ref="E538:F538"/>
    <mergeCell ref="D539:E539"/>
    <mergeCell ref="E540:F540"/>
    <mergeCell ref="D541:E541"/>
    <mergeCell ref="E542:F542"/>
    <mergeCell ref="E543:F543"/>
    <mergeCell ref="E532:F532"/>
    <mergeCell ref="D533:E533"/>
    <mergeCell ref="E534:F534"/>
    <mergeCell ref="D535:E535"/>
    <mergeCell ref="E536:F536"/>
    <mergeCell ref="D537:E537"/>
    <mergeCell ref="E526:F526"/>
    <mergeCell ref="D527:E527"/>
    <mergeCell ref="E528:F528"/>
    <mergeCell ref="D529:E529"/>
    <mergeCell ref="E530:F530"/>
    <mergeCell ref="D531:E531"/>
    <mergeCell ref="E520:F520"/>
    <mergeCell ref="D521:E521"/>
    <mergeCell ref="E522:F522"/>
    <mergeCell ref="D523:E523"/>
    <mergeCell ref="E524:F524"/>
    <mergeCell ref="D525:E525"/>
    <mergeCell ref="D514:E514"/>
    <mergeCell ref="E515:F515"/>
    <mergeCell ref="D516:E516"/>
    <mergeCell ref="E517:F517"/>
    <mergeCell ref="E518:F518"/>
    <mergeCell ref="D519:E519"/>
    <mergeCell ref="E508:F508"/>
    <mergeCell ref="D509:E509"/>
    <mergeCell ref="E510:F510"/>
    <mergeCell ref="D511:E511"/>
    <mergeCell ref="E512:F512"/>
    <mergeCell ref="E513:F513"/>
    <mergeCell ref="E502:F502"/>
    <mergeCell ref="D503:E503"/>
    <mergeCell ref="E504:F504"/>
    <mergeCell ref="D505:E505"/>
    <mergeCell ref="E506:F506"/>
    <mergeCell ref="D507:E507"/>
    <mergeCell ref="D496:E496"/>
    <mergeCell ref="D497:E497"/>
    <mergeCell ref="D498:E498"/>
    <mergeCell ref="D499:E499"/>
    <mergeCell ref="D500:E500"/>
    <mergeCell ref="D501:E501"/>
    <mergeCell ref="E490:F490"/>
    <mergeCell ref="D491:E491"/>
    <mergeCell ref="D492:E492"/>
    <mergeCell ref="D493:E493"/>
    <mergeCell ref="E494:F494"/>
    <mergeCell ref="D495:E495"/>
    <mergeCell ref="D484:E484"/>
    <mergeCell ref="D485:E485"/>
    <mergeCell ref="D486:E486"/>
    <mergeCell ref="D487:E487"/>
    <mergeCell ref="D488:E488"/>
    <mergeCell ref="D489:E489"/>
    <mergeCell ref="D478:E478"/>
    <mergeCell ref="D479:E479"/>
    <mergeCell ref="D480:E480"/>
    <mergeCell ref="D481:E481"/>
    <mergeCell ref="D482:E482"/>
    <mergeCell ref="D483:E483"/>
    <mergeCell ref="D472:E472"/>
    <mergeCell ref="E473:F473"/>
    <mergeCell ref="D474:E474"/>
    <mergeCell ref="D475:E475"/>
    <mergeCell ref="D476:E476"/>
    <mergeCell ref="D477:E477"/>
    <mergeCell ref="D466:E466"/>
    <mergeCell ref="E467:F467"/>
    <mergeCell ref="D468:E468"/>
    <mergeCell ref="E469:F469"/>
    <mergeCell ref="D470:E470"/>
    <mergeCell ref="E471:F471"/>
    <mergeCell ref="D460:E460"/>
    <mergeCell ref="E461:F461"/>
    <mergeCell ref="D462:E462"/>
    <mergeCell ref="E463:F463"/>
    <mergeCell ref="D464:E464"/>
    <mergeCell ref="E465:F465"/>
    <mergeCell ref="E454:F454"/>
    <mergeCell ref="D455:E455"/>
    <mergeCell ref="E456:F456"/>
    <mergeCell ref="D457:E457"/>
    <mergeCell ref="D458:E458"/>
    <mergeCell ref="D459:E459"/>
    <mergeCell ref="E448:F448"/>
    <mergeCell ref="D449:E449"/>
    <mergeCell ref="E450:F450"/>
    <mergeCell ref="D451:E451"/>
    <mergeCell ref="E452:F452"/>
    <mergeCell ref="D453:E453"/>
    <mergeCell ref="E442:F442"/>
    <mergeCell ref="E443:F443"/>
    <mergeCell ref="E444:F444"/>
    <mergeCell ref="D445:E445"/>
    <mergeCell ref="E446:F446"/>
    <mergeCell ref="D447:E447"/>
    <mergeCell ref="E436:F436"/>
    <mergeCell ref="D437:E437"/>
    <mergeCell ref="E438:F438"/>
    <mergeCell ref="D439:E439"/>
    <mergeCell ref="E440:F440"/>
    <mergeCell ref="D441:E441"/>
    <mergeCell ref="E430:F430"/>
    <mergeCell ref="D431:E431"/>
    <mergeCell ref="E432:F432"/>
    <mergeCell ref="D433:E433"/>
    <mergeCell ref="E434:F434"/>
    <mergeCell ref="D435:E435"/>
    <mergeCell ref="E424:F424"/>
    <mergeCell ref="D425:E425"/>
    <mergeCell ref="E426:F426"/>
    <mergeCell ref="D427:E427"/>
    <mergeCell ref="E428:F428"/>
    <mergeCell ref="D429:E429"/>
    <mergeCell ref="E418:F418"/>
    <mergeCell ref="D419:E419"/>
    <mergeCell ref="E420:F420"/>
    <mergeCell ref="D421:E421"/>
    <mergeCell ref="E422:F422"/>
    <mergeCell ref="D423:E423"/>
    <mergeCell ref="E412:F412"/>
    <mergeCell ref="D413:E413"/>
    <mergeCell ref="E414:F414"/>
    <mergeCell ref="D415:E415"/>
    <mergeCell ref="E416:F416"/>
    <mergeCell ref="D417:E417"/>
    <mergeCell ref="E406:F406"/>
    <mergeCell ref="D407:E407"/>
    <mergeCell ref="E408:F408"/>
    <mergeCell ref="D409:E409"/>
    <mergeCell ref="E410:F410"/>
    <mergeCell ref="D411:E411"/>
    <mergeCell ref="E400:F400"/>
    <mergeCell ref="D401:E401"/>
    <mergeCell ref="E402:F402"/>
    <mergeCell ref="D403:E403"/>
    <mergeCell ref="E404:F404"/>
    <mergeCell ref="D405:E405"/>
    <mergeCell ref="E394:F394"/>
    <mergeCell ref="D395:E395"/>
    <mergeCell ref="E396:F396"/>
    <mergeCell ref="D397:E397"/>
    <mergeCell ref="E398:F398"/>
    <mergeCell ref="D399:E399"/>
    <mergeCell ref="D388:E388"/>
    <mergeCell ref="E389:F389"/>
    <mergeCell ref="E390:F390"/>
    <mergeCell ref="D391:E391"/>
    <mergeCell ref="E392:F392"/>
    <mergeCell ref="D393:E393"/>
    <mergeCell ref="D382:E382"/>
    <mergeCell ref="E383:F383"/>
    <mergeCell ref="D384:E384"/>
    <mergeCell ref="E385:F385"/>
    <mergeCell ref="D386:E386"/>
    <mergeCell ref="E387:F387"/>
    <mergeCell ref="D376:E376"/>
    <mergeCell ref="E377:F377"/>
    <mergeCell ref="E378:F378"/>
    <mergeCell ref="D379:E379"/>
    <mergeCell ref="E380:F380"/>
    <mergeCell ref="E381:F381"/>
    <mergeCell ref="D370:E370"/>
    <mergeCell ref="E371:F371"/>
    <mergeCell ref="D372:E372"/>
    <mergeCell ref="E373:F373"/>
    <mergeCell ref="D374:E374"/>
    <mergeCell ref="E375:F375"/>
    <mergeCell ref="E364:F364"/>
    <mergeCell ref="D365:E365"/>
    <mergeCell ref="E366:F366"/>
    <mergeCell ref="E367:F367"/>
    <mergeCell ref="D368:E368"/>
    <mergeCell ref="E369:F369"/>
    <mergeCell ref="E358:F358"/>
    <mergeCell ref="D359:E359"/>
    <mergeCell ref="E360:F360"/>
    <mergeCell ref="D361:E361"/>
    <mergeCell ref="E362:F362"/>
    <mergeCell ref="D363:E363"/>
    <mergeCell ref="E352:F352"/>
    <mergeCell ref="D353:E353"/>
    <mergeCell ref="E354:F354"/>
    <mergeCell ref="D355:E355"/>
    <mergeCell ref="E356:F356"/>
    <mergeCell ref="D357:E357"/>
    <mergeCell ref="E346:F346"/>
    <mergeCell ref="D347:E347"/>
    <mergeCell ref="E348:F348"/>
    <mergeCell ref="D349:E349"/>
    <mergeCell ref="E350:F350"/>
    <mergeCell ref="D351:E351"/>
    <mergeCell ref="E340:F340"/>
    <mergeCell ref="D341:E341"/>
    <mergeCell ref="E342:F342"/>
    <mergeCell ref="D343:E343"/>
    <mergeCell ref="E344:F344"/>
    <mergeCell ref="D345:E345"/>
    <mergeCell ref="D334:E334"/>
    <mergeCell ref="E335:F335"/>
    <mergeCell ref="D336:E336"/>
    <mergeCell ref="E337:F337"/>
    <mergeCell ref="E338:F338"/>
    <mergeCell ref="D339:E339"/>
    <mergeCell ref="E328:F328"/>
    <mergeCell ref="D329:E329"/>
    <mergeCell ref="E330:F330"/>
    <mergeCell ref="E331:F331"/>
    <mergeCell ref="D332:E332"/>
    <mergeCell ref="E333:F333"/>
    <mergeCell ref="E322:F322"/>
    <mergeCell ref="D323:E323"/>
    <mergeCell ref="E324:F324"/>
    <mergeCell ref="E325:F325"/>
    <mergeCell ref="E326:F326"/>
    <mergeCell ref="D327:E327"/>
    <mergeCell ref="D316:E316"/>
    <mergeCell ref="E317:F317"/>
    <mergeCell ref="D318:E318"/>
    <mergeCell ref="E319:F319"/>
    <mergeCell ref="E320:F320"/>
    <mergeCell ref="D321:E321"/>
    <mergeCell ref="D310:E310"/>
    <mergeCell ref="E311:F311"/>
    <mergeCell ref="D312:E312"/>
    <mergeCell ref="E313:F313"/>
    <mergeCell ref="D314:E314"/>
    <mergeCell ref="E315:F315"/>
    <mergeCell ref="E304:F304"/>
    <mergeCell ref="D305:E305"/>
    <mergeCell ref="E306:F306"/>
    <mergeCell ref="E307:F307"/>
    <mergeCell ref="D308:E308"/>
    <mergeCell ref="E309:F309"/>
    <mergeCell ref="E298:F298"/>
    <mergeCell ref="D299:E299"/>
    <mergeCell ref="E300:F300"/>
    <mergeCell ref="D301:E301"/>
    <mergeCell ref="E302:F302"/>
    <mergeCell ref="D303:E303"/>
    <mergeCell ref="E292:F292"/>
    <mergeCell ref="D293:E293"/>
    <mergeCell ref="E294:F294"/>
    <mergeCell ref="D295:E295"/>
    <mergeCell ref="E296:F296"/>
    <mergeCell ref="D297:E297"/>
    <mergeCell ref="E286:F286"/>
    <mergeCell ref="D287:E287"/>
    <mergeCell ref="E288:F288"/>
    <mergeCell ref="D289:E289"/>
    <mergeCell ref="E290:F290"/>
    <mergeCell ref="D291:E291"/>
    <mergeCell ref="E280:F280"/>
    <mergeCell ref="E281:F281"/>
    <mergeCell ref="E282:F282"/>
    <mergeCell ref="D283:E283"/>
    <mergeCell ref="E284:F284"/>
    <mergeCell ref="D285:E285"/>
    <mergeCell ref="E274:F274"/>
    <mergeCell ref="D275:E275"/>
    <mergeCell ref="E276:F276"/>
    <mergeCell ref="D277:E277"/>
    <mergeCell ref="E278:F278"/>
    <mergeCell ref="D279:E279"/>
    <mergeCell ref="E268:F268"/>
    <mergeCell ref="D269:E269"/>
    <mergeCell ref="E270:F270"/>
    <mergeCell ref="D271:E271"/>
    <mergeCell ref="E272:F272"/>
    <mergeCell ref="D273:E273"/>
    <mergeCell ref="E262:F262"/>
    <mergeCell ref="E263:F263"/>
    <mergeCell ref="E264:F264"/>
    <mergeCell ref="E265:F265"/>
    <mergeCell ref="E266:F266"/>
    <mergeCell ref="E267:F267"/>
    <mergeCell ref="E256:F256"/>
    <mergeCell ref="E257:F257"/>
    <mergeCell ref="E258:F258"/>
    <mergeCell ref="E259:F259"/>
    <mergeCell ref="D260:E260"/>
    <mergeCell ref="E261:F261"/>
    <mergeCell ref="E250:F250"/>
    <mergeCell ref="D251:E251"/>
    <mergeCell ref="E252:F252"/>
    <mergeCell ref="E253:F253"/>
    <mergeCell ref="E254:F254"/>
    <mergeCell ref="E255:F255"/>
    <mergeCell ref="E244:F244"/>
    <mergeCell ref="D245:E245"/>
    <mergeCell ref="E246:F246"/>
    <mergeCell ref="D247:E247"/>
    <mergeCell ref="E248:F248"/>
    <mergeCell ref="D249:E249"/>
    <mergeCell ref="E238:F238"/>
    <mergeCell ref="D239:E239"/>
    <mergeCell ref="E240:F240"/>
    <mergeCell ref="D241:E241"/>
    <mergeCell ref="E242:F242"/>
    <mergeCell ref="D243:E243"/>
    <mergeCell ref="D232:E232"/>
    <mergeCell ref="E233:F233"/>
    <mergeCell ref="D234:E234"/>
    <mergeCell ref="E235:F235"/>
    <mergeCell ref="E236:F236"/>
    <mergeCell ref="D237:E237"/>
    <mergeCell ref="E226:F226"/>
    <mergeCell ref="D227:E227"/>
    <mergeCell ref="E228:F228"/>
    <mergeCell ref="E229:F229"/>
    <mergeCell ref="D230:E230"/>
    <mergeCell ref="E231:F231"/>
    <mergeCell ref="D220:E220"/>
    <mergeCell ref="E221:F221"/>
    <mergeCell ref="E222:F222"/>
    <mergeCell ref="D223:E223"/>
    <mergeCell ref="E224:F224"/>
    <mergeCell ref="D225:E225"/>
    <mergeCell ref="D214:E214"/>
    <mergeCell ref="E215:F215"/>
    <mergeCell ref="D216:E216"/>
    <mergeCell ref="E217:F217"/>
    <mergeCell ref="D218:E218"/>
    <mergeCell ref="E219:F219"/>
    <mergeCell ref="D208:E208"/>
    <mergeCell ref="E209:F209"/>
    <mergeCell ref="D210:E210"/>
    <mergeCell ref="E211:F211"/>
    <mergeCell ref="D212:E212"/>
    <mergeCell ref="E213:F213"/>
    <mergeCell ref="E202:F202"/>
    <mergeCell ref="D203:E203"/>
    <mergeCell ref="E204:F204"/>
    <mergeCell ref="D205:E205"/>
    <mergeCell ref="E206:F206"/>
    <mergeCell ref="E207:F207"/>
    <mergeCell ref="E196:F196"/>
    <mergeCell ref="E197:F197"/>
    <mergeCell ref="E198:F198"/>
    <mergeCell ref="D199:E199"/>
    <mergeCell ref="E200:F200"/>
    <mergeCell ref="D201:E201"/>
    <mergeCell ref="D190:E190"/>
    <mergeCell ref="E191:F191"/>
    <mergeCell ref="D192:E192"/>
    <mergeCell ref="E193:F193"/>
    <mergeCell ref="E194:F194"/>
    <mergeCell ref="D195:E195"/>
    <mergeCell ref="D184:E184"/>
    <mergeCell ref="E185:F185"/>
    <mergeCell ref="D186:E186"/>
    <mergeCell ref="E187:F187"/>
    <mergeCell ref="D188:E188"/>
    <mergeCell ref="E189:F189"/>
    <mergeCell ref="D178:E178"/>
    <mergeCell ref="E179:F179"/>
    <mergeCell ref="D180:E180"/>
    <mergeCell ref="E181:F181"/>
    <mergeCell ref="D182:E182"/>
    <mergeCell ref="E183:F183"/>
    <mergeCell ref="D172:E172"/>
    <mergeCell ref="E173:F173"/>
    <mergeCell ref="D174:E174"/>
    <mergeCell ref="E175:F175"/>
    <mergeCell ref="D176:E176"/>
    <mergeCell ref="E177:F177"/>
    <mergeCell ref="D166:E166"/>
    <mergeCell ref="E167:F167"/>
    <mergeCell ref="D168:E168"/>
    <mergeCell ref="E169:F169"/>
    <mergeCell ref="E170:F170"/>
    <mergeCell ref="E171:F171"/>
    <mergeCell ref="E160:F160"/>
    <mergeCell ref="D161:E161"/>
    <mergeCell ref="E162:F162"/>
    <mergeCell ref="D163:E163"/>
    <mergeCell ref="E164:F164"/>
    <mergeCell ref="E165:F165"/>
    <mergeCell ref="E154:F154"/>
    <mergeCell ref="D155:E155"/>
    <mergeCell ref="E156:F156"/>
    <mergeCell ref="E157:F157"/>
    <mergeCell ref="E158:F158"/>
    <mergeCell ref="D159:E159"/>
    <mergeCell ref="E148:F148"/>
    <mergeCell ref="D149:E149"/>
    <mergeCell ref="E150:F150"/>
    <mergeCell ref="D151:E151"/>
    <mergeCell ref="E152:F152"/>
    <mergeCell ref="D153:E153"/>
    <mergeCell ref="E142:F142"/>
    <mergeCell ref="D143:E143"/>
    <mergeCell ref="E144:F144"/>
    <mergeCell ref="D145:E145"/>
    <mergeCell ref="E146:F146"/>
    <mergeCell ref="D147:E147"/>
    <mergeCell ref="D136:E136"/>
    <mergeCell ref="E137:F137"/>
    <mergeCell ref="D138:E138"/>
    <mergeCell ref="E139:F139"/>
    <mergeCell ref="E140:F140"/>
    <mergeCell ref="D141:E141"/>
    <mergeCell ref="E130:F130"/>
    <mergeCell ref="E131:F131"/>
    <mergeCell ref="D132:E132"/>
    <mergeCell ref="E133:F133"/>
    <mergeCell ref="E134:F134"/>
    <mergeCell ref="E135:F135"/>
    <mergeCell ref="E124:F124"/>
    <mergeCell ref="D125:E125"/>
    <mergeCell ref="E126:F126"/>
    <mergeCell ref="D127:E127"/>
    <mergeCell ref="E128:F128"/>
    <mergeCell ref="D129:E129"/>
    <mergeCell ref="E118:F118"/>
    <mergeCell ref="D119:E119"/>
    <mergeCell ref="E120:F120"/>
    <mergeCell ref="D121:E121"/>
    <mergeCell ref="E122:F122"/>
    <mergeCell ref="D123:E123"/>
    <mergeCell ref="E112:F112"/>
    <mergeCell ref="D113:E113"/>
    <mergeCell ref="E114:F114"/>
    <mergeCell ref="D115:E115"/>
    <mergeCell ref="E116:F116"/>
    <mergeCell ref="D117:E117"/>
    <mergeCell ref="E106:F106"/>
    <mergeCell ref="D107:E107"/>
    <mergeCell ref="E108:F108"/>
    <mergeCell ref="D109:E109"/>
    <mergeCell ref="E110:F110"/>
    <mergeCell ref="D111:E111"/>
    <mergeCell ref="E100:F100"/>
    <mergeCell ref="D101:E101"/>
    <mergeCell ref="E102:F102"/>
    <mergeCell ref="D103:E103"/>
    <mergeCell ref="E104:F104"/>
    <mergeCell ref="D105:E105"/>
    <mergeCell ref="D94:E94"/>
    <mergeCell ref="E95:F95"/>
    <mergeCell ref="E96:F96"/>
    <mergeCell ref="D97:E97"/>
    <mergeCell ref="E98:F98"/>
    <mergeCell ref="D99:E99"/>
    <mergeCell ref="D88:E88"/>
    <mergeCell ref="E89:F89"/>
    <mergeCell ref="D90:E90"/>
    <mergeCell ref="E91:F91"/>
    <mergeCell ref="D92:E92"/>
    <mergeCell ref="E93:F93"/>
    <mergeCell ref="D82:E82"/>
    <mergeCell ref="E83:F83"/>
    <mergeCell ref="D84:E84"/>
    <mergeCell ref="E85:F85"/>
    <mergeCell ref="D86:E86"/>
    <mergeCell ref="E87:F87"/>
    <mergeCell ref="D76:E76"/>
    <mergeCell ref="E77:F77"/>
    <mergeCell ref="D78:E78"/>
    <mergeCell ref="E79:F79"/>
    <mergeCell ref="D80:E80"/>
    <mergeCell ref="E81:F81"/>
    <mergeCell ref="D70:E70"/>
    <mergeCell ref="E71:F71"/>
    <mergeCell ref="D72:E72"/>
    <mergeCell ref="E73:F73"/>
    <mergeCell ref="D74:E74"/>
    <mergeCell ref="E75:F75"/>
    <mergeCell ref="E64:F64"/>
    <mergeCell ref="D65:E65"/>
    <mergeCell ref="E66:F66"/>
    <mergeCell ref="E67:F67"/>
    <mergeCell ref="D68:E68"/>
    <mergeCell ref="E69:F69"/>
    <mergeCell ref="E58:F58"/>
    <mergeCell ref="E59:F59"/>
    <mergeCell ref="E60:F60"/>
    <mergeCell ref="D61:E61"/>
    <mergeCell ref="E62:F62"/>
    <mergeCell ref="D63:E63"/>
    <mergeCell ref="E52:F52"/>
    <mergeCell ref="D53:E53"/>
    <mergeCell ref="E54:F54"/>
    <mergeCell ref="E55:F55"/>
    <mergeCell ref="E56:F56"/>
    <mergeCell ref="D57:E57"/>
    <mergeCell ref="E46:F46"/>
    <mergeCell ref="E47:F47"/>
    <mergeCell ref="D48:E48"/>
    <mergeCell ref="E49:F49"/>
    <mergeCell ref="E50:F50"/>
    <mergeCell ref="D51:E51"/>
    <mergeCell ref="D40:E40"/>
    <mergeCell ref="D41:E41"/>
    <mergeCell ref="E42:F42"/>
    <mergeCell ref="D43:E43"/>
    <mergeCell ref="E44:F44"/>
    <mergeCell ref="D45:E45"/>
    <mergeCell ref="D34:E34"/>
    <mergeCell ref="E35:F35"/>
    <mergeCell ref="D36:E36"/>
    <mergeCell ref="D37:E37"/>
    <mergeCell ref="E38:F38"/>
    <mergeCell ref="D39:E39"/>
    <mergeCell ref="D28:E28"/>
    <mergeCell ref="E29:F29"/>
    <mergeCell ref="D30:E30"/>
    <mergeCell ref="E31:F31"/>
    <mergeCell ref="D32:E32"/>
    <mergeCell ref="E33:F33"/>
    <mergeCell ref="D22:E22"/>
    <mergeCell ref="D23:E23"/>
    <mergeCell ref="D24:E24"/>
    <mergeCell ref="D25:E25"/>
    <mergeCell ref="D26:E26"/>
    <mergeCell ref="D27:E27"/>
    <mergeCell ref="D16:E16"/>
    <mergeCell ref="D17:E17"/>
    <mergeCell ref="D18:E18"/>
    <mergeCell ref="D19:E19"/>
    <mergeCell ref="D20:E20"/>
    <mergeCell ref="D21:E21"/>
    <mergeCell ref="D10:E10"/>
    <mergeCell ref="D11:E11"/>
    <mergeCell ref="D12:E12"/>
    <mergeCell ref="D13:E13"/>
    <mergeCell ref="D14:E14"/>
    <mergeCell ref="D15:E15"/>
    <mergeCell ref="A6:B7"/>
    <mergeCell ref="C6:D7"/>
    <mergeCell ref="E6:E7"/>
    <mergeCell ref="F6:H7"/>
    <mergeCell ref="A8:B9"/>
    <mergeCell ref="C8:D9"/>
    <mergeCell ref="E8:E9"/>
    <mergeCell ref="F8:H9"/>
    <mergeCell ref="A1:H1"/>
    <mergeCell ref="A2:B3"/>
    <mergeCell ref="C2:D3"/>
    <mergeCell ref="E2:E3"/>
    <mergeCell ref="F2:H3"/>
    <mergeCell ref="A4:B5"/>
    <mergeCell ref="C4:D5"/>
    <mergeCell ref="E4:E5"/>
    <mergeCell ref="F4:H5"/>
  </mergeCells>
  <pageMargins left="0.39400000000000002" right="0.39400000000000002" top="0.59099999999999997" bottom="0.59099999999999997" header="0.5" footer="0.5"/>
  <pageSetup paperSize="0" fitToHeight="0"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Krycí list rozpočtu</vt:lpstr>
      <vt:lpstr>Stavební rozpočet - součet</vt:lpstr>
      <vt:lpstr>Stavební rozpočet</vt:lpstr>
      <vt:lpstr>Výkaz výměr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Hefner</dc:creator>
  <cp:lastModifiedBy>Šárka Tomášková</cp:lastModifiedBy>
  <dcterms:created xsi:type="dcterms:W3CDTF">2022-01-21T17:31:15Z</dcterms:created>
  <dcterms:modified xsi:type="dcterms:W3CDTF">2022-03-24T10:22:17Z</dcterms:modified>
</cp:coreProperties>
</file>