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0"/>
  </bookViews>
  <sheets>
    <sheet name="Stavební rozpočet" sheetId="1" r:id="rId1"/>
    <sheet name="Stavební rozpočet - součet" sheetId="2" r:id="rId2"/>
    <sheet name="Krycí list rozpočtu" sheetId="3" r:id="rId3"/>
    <sheet name="VORN" sheetId="4" r:id="rId4"/>
  </sheets>
  <definedNames>
    <definedName name="_xlfn.SINGLE" hidden="1">#NAME?</definedName>
    <definedName name="vorn_sum">'VORN'!$I$36:$I$36</definedName>
  </definedNames>
  <calcPr fullCalcOnLoad="1"/>
</workbook>
</file>

<file path=xl/sharedStrings.xml><?xml version="1.0" encoding="utf-8"?>
<sst xmlns="http://schemas.openxmlformats.org/spreadsheetml/2006/main" count="779" uniqueCount="404">
  <si>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</si>
  <si>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</si>
  <si>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</si>
  <si>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</si>
  <si>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</si>
  <si>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</si>
  <si>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</si>
  <si>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</si>
  <si>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</si>
  <si>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</si>
  <si>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</si>
  <si>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</si>
  <si>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</si>
  <si>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</si>
  <si>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</si>
  <si>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</si>
  <si>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</si>
  <si>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</si>
  <si>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</si>
  <si>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</si>
  <si>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</si>
  <si>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</si>
  <si>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</si>
  <si>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</si>
  <si>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</si>
  <si>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</si>
  <si>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</si>
  <si>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</si>
  <si>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</si>
  <si>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</si>
  <si>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</si>
  <si>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</si>
  <si>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</si>
  <si>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</si>
  <si>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</si>
  <si>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</si>
  <si>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</si>
  <si>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</si>
  <si>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</si>
  <si>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</si>
  <si>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</si>
  <si>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</si>
  <si>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</si>
  <si>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</si>
  <si>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</si>
  <si>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</si>
  <si>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</si>
  <si>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</si>
  <si>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</si>
  <si>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</si>
  <si>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</si>
  <si>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Poznámka:</t>
  </si>
  <si>
    <t>Kód</t>
  </si>
  <si>
    <t>61</t>
  </si>
  <si>
    <t>711212111R00</t>
  </si>
  <si>
    <t>612421637R00</t>
  </si>
  <si>
    <t>612481211RT2</t>
  </si>
  <si>
    <t>612100020RA0</t>
  </si>
  <si>
    <t>619x</t>
  </si>
  <si>
    <t>622473187RT2</t>
  </si>
  <si>
    <t>62</t>
  </si>
  <si>
    <t>629451112R00</t>
  </si>
  <si>
    <t>622311160R00</t>
  </si>
  <si>
    <t>64</t>
  </si>
  <si>
    <t>648991111RT3</t>
  </si>
  <si>
    <t>648991113RT6</t>
  </si>
  <si>
    <t>648991113RT3</t>
  </si>
  <si>
    <t>764</t>
  </si>
  <si>
    <t>764410850R00</t>
  </si>
  <si>
    <t>764410880R00</t>
  </si>
  <si>
    <t>764410340R00</t>
  </si>
  <si>
    <t>998764101R00</t>
  </si>
  <si>
    <t>766</t>
  </si>
  <si>
    <t>766001</t>
  </si>
  <si>
    <t>766002</t>
  </si>
  <si>
    <t>766003</t>
  </si>
  <si>
    <t>766004</t>
  </si>
  <si>
    <t>766005</t>
  </si>
  <si>
    <t>766006</t>
  </si>
  <si>
    <t>766007</t>
  </si>
  <si>
    <t>766008</t>
  </si>
  <si>
    <t>766009</t>
  </si>
  <si>
    <t>766010</t>
  </si>
  <si>
    <t>76666011</t>
  </si>
  <si>
    <t>76666012</t>
  </si>
  <si>
    <t>28355287</t>
  </si>
  <si>
    <t>784</t>
  </si>
  <si>
    <t>784900010RAB</t>
  </si>
  <si>
    <t>784450075RA0</t>
  </si>
  <si>
    <t>784011221R00</t>
  </si>
  <si>
    <t>95</t>
  </si>
  <si>
    <t>95290111A</t>
  </si>
  <si>
    <t>952901111R00</t>
  </si>
  <si>
    <t>96</t>
  </si>
  <si>
    <t>968062245R00</t>
  </si>
  <si>
    <t>968062246R00</t>
  </si>
  <si>
    <t>968062355R00</t>
  </si>
  <si>
    <t>968062991R00</t>
  </si>
  <si>
    <t>968062456R00</t>
  </si>
  <si>
    <t>962032231R00</t>
  </si>
  <si>
    <t>968095002R00</t>
  </si>
  <si>
    <t>H01</t>
  </si>
  <si>
    <t>998011002R00</t>
  </si>
  <si>
    <t>H99</t>
  </si>
  <si>
    <t>999281148R00</t>
  </si>
  <si>
    <t>S</t>
  </si>
  <si>
    <t>979081111RT3</t>
  </si>
  <si>
    <t>979990101.1</t>
  </si>
  <si>
    <t>Zkrácený popis / Varianta</t>
  </si>
  <si>
    <t>Rozměry</t>
  </si>
  <si>
    <t>Úprava povrchů vnitřní</t>
  </si>
  <si>
    <t>Penetrace podkladu nátěrem</t>
  </si>
  <si>
    <t>52,145   viz položka štuk</t>
  </si>
  <si>
    <t>Omítka vnitřní štuková do 3mm, ŠPALETY</t>
  </si>
  <si>
    <t>(2,1+2,1+1,2)*0,3*2   ozn.1</t>
  </si>
  <si>
    <t>(1,9+1,9+1,6)*0,3*6   ozn.2</t>
  </si>
  <si>
    <t>(0,7+1,9+1,9)*0,3*3   ozn.3</t>
  </si>
  <si>
    <t>(1,5+0,9+0,9)*0,1*1   ozn. 4</t>
  </si>
  <si>
    <t>(1,5+1,55+1,55)*0,15*1   ozn. 5</t>
  </si>
  <si>
    <t>(1,3+1,4+1,4)*0,15*1   ozn. 6</t>
  </si>
  <si>
    <t>(1,5+2,1+2,1)*0,5*1   ozn. 7</t>
  </si>
  <si>
    <t>(1,5+2,1+2,1)*0,5*1   ozn. 8</t>
  </si>
  <si>
    <t>(0,8+0,5+0,5)*0,3*4   ozn. 9</t>
  </si>
  <si>
    <t>(0,6+0,6+0,6)*0,3*2   ozn. 10</t>
  </si>
  <si>
    <t>(1,2+2,1+2,1)*0,5*1   ozn. 11</t>
  </si>
  <si>
    <t>(2,4+2,4+1,4)*0,3*1   ozn. 12</t>
  </si>
  <si>
    <t>odhad drobných oprav   </t>
  </si>
  <si>
    <t>20   </t>
  </si>
  <si>
    <t>Montáž výztužné sítě(perlinky)do stěrky-vnit.stěny, špalety</t>
  </si>
  <si>
    <t>včetně výztužné sítě a stěrkového tmelu Baumit</t>
  </si>
  <si>
    <t>52,145   viz. štukování</t>
  </si>
  <si>
    <t>Začištění omítek kolem oken a dveří</t>
  </si>
  <si>
    <t>(1,2+1,2+2,1+2,1)*2   ozn. 1</t>
  </si>
  <si>
    <t>(1,6+1,9+1,6+1,9)*6   ozn. 2</t>
  </si>
  <si>
    <t>(0,7+0,7+1,9+1,9)*3   ozn. 3</t>
  </si>
  <si>
    <t>(1,5+0,9+0,9+1,5)*1   ozn.4</t>
  </si>
  <si>
    <t>(1,5+1,6+1,5+1,6)*1   ozn. 5</t>
  </si>
  <si>
    <t>(1,3+1,3+1,35+1,35)*1   ozn. 6</t>
  </si>
  <si>
    <t>(1,5+1,5+2,1+2,1)*1   ozn. 7</t>
  </si>
  <si>
    <t>(1,5+1,5+2,1+2,1)*1   ozn. 8</t>
  </si>
  <si>
    <t>(0,75+0,75+0,5+0,5)*4   ozn. 9</t>
  </si>
  <si>
    <t>(0,6*0,6*0,6*0,6)*2   ozn. 10</t>
  </si>
  <si>
    <t>(2,1+1,1+2,1)*1   ozn. 11</t>
  </si>
  <si>
    <t>(2,4+2,4+1,4)*1   ozn. 12</t>
  </si>
  <si>
    <t>Zakrývání a ochranna souvisejících ploch v rozsahu nutném k provední výměny</t>
  </si>
  <si>
    <t>1   </t>
  </si>
  <si>
    <t>Příplatek za okenní lištu (APU) - montáž</t>
  </si>
  <si>
    <t>včetně dodávky lišty</t>
  </si>
  <si>
    <t>121,4   </t>
  </si>
  <si>
    <t>Úprava povrchů vnější</t>
  </si>
  <si>
    <t>Vyrovnávací vrstva MC šířky do 30 cm pod klempířské prvky.</t>
  </si>
  <si>
    <t>1,2*2   ozn.1</t>
  </si>
  <si>
    <t>1,6*6   ozn.2</t>
  </si>
  <si>
    <t>0,7*3   ozn.3</t>
  </si>
  <si>
    <t>1,5*1   ozn.4</t>
  </si>
  <si>
    <t>1,5*1   ozn.5</t>
  </si>
  <si>
    <t>1,3*1   ozn.6</t>
  </si>
  <si>
    <t>1,5*1   ozn.7</t>
  </si>
  <si>
    <t>1,5*1   ozn.8</t>
  </si>
  <si>
    <t>0,75*4   ozn.9</t>
  </si>
  <si>
    <t>0,6*2   ozn.10</t>
  </si>
  <si>
    <t>dodávka a montáž XPS pod nový parapet</t>
  </si>
  <si>
    <t>25,6   </t>
  </si>
  <si>
    <t>Výplně otvorů</t>
  </si>
  <si>
    <t>Osazení parapet.desek plast. a lamin. š. do 20cm</t>
  </si>
  <si>
    <t>včetně dodávky plastové parapetní desky š. 150 mm</t>
  </si>
  <si>
    <t>1,5*1   ozn. 4</t>
  </si>
  <si>
    <t>1,5*1   ozn. 5</t>
  </si>
  <si>
    <t>1,3*1   ozn. 6</t>
  </si>
  <si>
    <t>Osazení parapet.desek plast. a lamin. š.nad 20cm</t>
  </si>
  <si>
    <t>včetně dodávky plastové parapetní desky š. 500 mm</t>
  </si>
  <si>
    <t>1,5*1   ozn. 7</t>
  </si>
  <si>
    <t>1,5*1   ozn. 8</t>
  </si>
  <si>
    <t>včetně dodávky plastové parapetní desky š. 300 mm</t>
  </si>
  <si>
    <t>1,2*2   ozn. 1</t>
  </si>
  <si>
    <t>1,6*6   ozn. 2</t>
  </si>
  <si>
    <t>0,75*3   ozn. 3</t>
  </si>
  <si>
    <t>Konstrukce klempířské</t>
  </si>
  <si>
    <t>Demontáž oplechování parapetů,rš od 100 do 330 mm</t>
  </si>
  <si>
    <t>1,1*2   ozn.1</t>
  </si>
  <si>
    <t>1,5*6   ozn.2</t>
  </si>
  <si>
    <t>0,7*3   ozn. 3</t>
  </si>
  <si>
    <t>1,5*3   ozn. 4</t>
  </si>
  <si>
    <t>1,3*1   ozn. 5</t>
  </si>
  <si>
    <t>1,1*2   ozn. 7</t>
  </si>
  <si>
    <t>0,75*4   ozn. 9</t>
  </si>
  <si>
    <t>0,56*1   ozn. 10</t>
  </si>
  <si>
    <t>0,56*1   ozn. 11</t>
  </si>
  <si>
    <t>0,56*1   ozn. 12</t>
  </si>
  <si>
    <t>Demontáž oplechování parapetů,rš od 400 do 600 mm</t>
  </si>
  <si>
    <t>Oplechování parapetů včetně rohů Al, rš 250 mm</t>
  </si>
  <si>
    <t>0,71*3   ozn.3</t>
  </si>
  <si>
    <t>Přesun hmot pro klempířské konstr., výšky do 6 m</t>
  </si>
  <si>
    <t>Konstrukce truhlářské</t>
  </si>
  <si>
    <t>Dodávka a montáž okno plastové s nadsvětlíkem OZN.1</t>
  </si>
  <si>
    <t>Uw= 1,0W/m2K s rozšiřovacím profilem - dle PD</t>
  </si>
  <si>
    <t>2   </t>
  </si>
  <si>
    <t>Dodávka a montáž okno plastové s nadsvětlíkem OZN.2</t>
  </si>
  <si>
    <t>6   </t>
  </si>
  <si>
    <t>Dodávka a montáž okno plastové s nadsvětlíkem OZN.3</t>
  </si>
  <si>
    <t>3   </t>
  </si>
  <si>
    <t>Dodávka a montáž okno plastové OZN.4</t>
  </si>
  <si>
    <t>Dodávka a montáž okno plastové OZN.5</t>
  </si>
  <si>
    <t>Dodávka a montáž okno plastové OZN.6</t>
  </si>
  <si>
    <t>Dodávka a montáž okno plastové s nadsvětlíkem OZN.7</t>
  </si>
  <si>
    <t>Dodávka a montáž okno plastové s nadsvětlíkem OZN.8</t>
  </si>
  <si>
    <t>Dodávka a montáž okno plastové OZN.9</t>
  </si>
  <si>
    <t>Uw= 1,2W/m2K s rozšiřovacím profilem - dle PD</t>
  </si>
  <si>
    <t>4   </t>
  </si>
  <si>
    <t>Dodávka a montáž okno plastové OZN.10</t>
  </si>
  <si>
    <t>Dodávka a montáž dveří plastových OZN. 11</t>
  </si>
  <si>
    <t>Dodávka a montáž dveří plastových OZN. 12</t>
  </si>
  <si>
    <t>Příplatek k  montáži - Páska okenní int. parotěsná páska včetně montáže</t>
  </si>
  <si>
    <t>(1,2+2,0+1,2+2,0)*2   ozn. 1</t>
  </si>
  <si>
    <t>(1,6+2+2+1,6)*6   ozn.2</t>
  </si>
  <si>
    <t>(0,75+0,75+1,9+1,9)*3   ozn.3</t>
  </si>
  <si>
    <t>(1,5+1,5+0,9+0,9)*1   ozn. 4</t>
  </si>
  <si>
    <t>(1,3+1,3+1,4+1,4)*1   ozn. 6</t>
  </si>
  <si>
    <t>(1,5+2,1+2,1+1,5)*1   ozn. 7</t>
  </si>
  <si>
    <t>(0,75+0,75+0,45+0,45)*1   ozn. 9</t>
  </si>
  <si>
    <t>(0,6+0,6+0,6+0,6)*2   ozn. 10</t>
  </si>
  <si>
    <t>(1,2+2,1+2,1)*1   ozn. 11</t>
  </si>
  <si>
    <t>(1,3+2,4+2,4)*1   ozn. 12</t>
  </si>
  <si>
    <t>Malby</t>
  </si>
  <si>
    <t>Odstranění stávajících maleb</t>
  </si>
  <si>
    <t>oškrábáním</t>
  </si>
  <si>
    <t>33   </t>
  </si>
  <si>
    <t>Malba disperzní, penetrace 1x, malba bílá 2x</t>
  </si>
  <si>
    <t>odhad drobných prací   </t>
  </si>
  <si>
    <t>Zakrytí předmětů včetně oblepení - folie přilepená páskou</t>
  </si>
  <si>
    <t>(1,2*2,1)*2   </t>
  </si>
  <si>
    <t>(1,6*1,9)*6   </t>
  </si>
  <si>
    <t>(0,65*1,9)*3   </t>
  </si>
  <si>
    <t>(1,5*0,9)*1   </t>
  </si>
  <si>
    <t>(1,5*1,6)*1   </t>
  </si>
  <si>
    <t>(1,3*1,35)*1   </t>
  </si>
  <si>
    <t>(1,5*2,1)*1   </t>
  </si>
  <si>
    <t>(0,75*0,45)*4   </t>
  </si>
  <si>
    <t>(0,56*0,56)*2   </t>
  </si>
  <si>
    <t>(1,2*2,1)*1   </t>
  </si>
  <si>
    <t>(1,35*2,35)*1   </t>
  </si>
  <si>
    <t>Různé dokončovací konstrukce a práce na pozemních stavbách</t>
  </si>
  <si>
    <t>Přípravné a dokončovací práce</t>
  </si>
  <si>
    <t>Posouvání nábytku apod.</t>
  </si>
  <si>
    <t>Vyčištění budov o výšce podlaží do 4 m</t>
  </si>
  <si>
    <t>100   </t>
  </si>
  <si>
    <t>Bourání konstrukcí</t>
  </si>
  <si>
    <t>Vybourání dřevěných rámů oken jednoduch. pl. 2 m2</t>
  </si>
  <si>
    <t>Vybourání dřevěných rámů oken s křídly, dveřních zárubní vrat, stěn, ostění nebo obkladů rámů oken s křídly.</t>
  </si>
  <si>
    <t>Okna   </t>
  </si>
  <si>
    <t>(1,04*1,86)*2   OZN 1</t>
  </si>
  <si>
    <t>(0,64*1,86)*3   OZN 3</t>
  </si>
  <si>
    <t>(1,48*0,9)*3   OZN 4</t>
  </si>
  <si>
    <t>(1,04*1,86)*2   OZN 7</t>
  </si>
  <si>
    <t>(0,75*0,45)*4   OZN 9</t>
  </si>
  <si>
    <t>(0,56*0,56)*1   OZN 10</t>
  </si>
  <si>
    <t>(0,56*0,56)*1   OZN 11</t>
  </si>
  <si>
    <t>Vybourání dřevěných rámů oken jednoduch. pl. 4 m2</t>
  </si>
  <si>
    <t>(1,48*1,89)*6   OZN 2</t>
  </si>
  <si>
    <t>(1,48*1,86)*1   OZN 8</t>
  </si>
  <si>
    <t>Vybourání dřevěných rámů oken dvojitých pl. 2 m2</t>
  </si>
  <si>
    <t>(1,29*1,52)*1   OZN 5</t>
  </si>
  <si>
    <t>(1,29*1,24)*1   OZN 6</t>
  </si>
  <si>
    <t>Vybourání dřevěných deštění a obkladů výkladů</t>
  </si>
  <si>
    <t>Vybourání dřevěných rámů oken s křídly, dveřních zárubní vrat, stěn, ostění nebo obkladů rámů oken s křídly, jakékoliv plochy.</t>
  </si>
  <si>
    <t>   Špaletová okna ozn.</t>
  </si>
  <si>
    <t>(1,29*1,34)*1   OZN 6</t>
  </si>
  <si>
    <t>Vybourání dřevěných dveřních zárubní pl. nad 2 m2</t>
  </si>
  <si>
    <t>Vybourání dřevěných dveří s křídly, dveřních zárubní vrat, stěn, ostění nebo obkladů rámů oken s křídly,</t>
  </si>
  <si>
    <t>(1,1*2,05)*1   OZN 12 - DVEŘE</t>
  </si>
  <si>
    <t>(1,33*2,385)*1   OZN 13 - DVEŘE</t>
  </si>
  <si>
    <t>Bourání zdiva z cihel pálených na MVC</t>
  </si>
  <si>
    <t xml:space="preserve">Vybourání stávajícího nadpraží z cihel plných. (vybourání nadpraží nad okny s OZN 1)
</t>
  </si>
  <si>
    <t>(0,15*2)*0,45   </t>
  </si>
  <si>
    <t>Bourání parapetů dřevěných š. do 50 cm</t>
  </si>
  <si>
    <t>1*2   ozn 7</t>
  </si>
  <si>
    <t>1,5*1   ozn 8</t>
  </si>
  <si>
    <t>Budovy občanské výstavby</t>
  </si>
  <si>
    <t>Přesun hmot pro budovy zděné výšky do 12 m</t>
  </si>
  <si>
    <t>Ostatní přesuny hmot</t>
  </si>
  <si>
    <t>Přesun hmot pro opravy a údržbu do v. 12 m,nošením</t>
  </si>
  <si>
    <t>7,74635   </t>
  </si>
  <si>
    <t>Přesuny sutí</t>
  </si>
  <si>
    <t>Odvoz suti a vybour. hmot na skládku (vzdálenost dle zhotovitele)</t>
  </si>
  <si>
    <t>kontejnerem 7 t</t>
  </si>
  <si>
    <t>Poplatek za sklád.suti- směsný odpad (skládkovné)</t>
  </si>
  <si>
    <t>2,00249   </t>
  </si>
  <si>
    <t>Doba výstavby:</t>
  </si>
  <si>
    <t>Začátek výstavby:</t>
  </si>
  <si>
    <t>Konec výstavby:</t>
  </si>
  <si>
    <t>Zpracováno dne:</t>
  </si>
  <si>
    <t>16.12.2022</t>
  </si>
  <si>
    <t>Objednatel:</t>
  </si>
  <si>
    <t>Projektant:</t>
  </si>
  <si>
    <t>Zhotovitel:</t>
  </si>
  <si>
    <t>Zpracoval:</t>
  </si>
  <si>
    <t>MJ</t>
  </si>
  <si>
    <t>m2</t>
  </si>
  <si>
    <t>m</t>
  </si>
  <si>
    <t>kpl</t>
  </si>
  <si>
    <t>t</t>
  </si>
  <si>
    <t>KPL</t>
  </si>
  <si>
    <t>m3</t>
  </si>
  <si>
    <t>Množství</t>
  </si>
  <si>
    <t>Město Česká Lípa</t>
  </si>
  <si>
    <t> </t>
  </si>
  <si>
    <t>Cena/MJ</t>
  </si>
  <si>
    <t>(Kč)</t>
  </si>
  <si>
    <t>Náklady (Kč)</t>
  </si>
  <si>
    <t>Celkem</t>
  </si>
  <si>
    <t>Hmotnost (t)</t>
  </si>
  <si>
    <t>Jednot.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</si>
  <si>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</si>
  <si>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</si>
  <si>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</si>
  <si>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</si>
  <si>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</si>
  <si>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</si>
  <si>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</si>
  <si>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</si>
  <si>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</si>
  <si>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61_</t>
  </si>
  <si>
    <t>62_</t>
  </si>
  <si>
    <t>64_</t>
  </si>
  <si>
    <t>764_</t>
  </si>
  <si>
    <t>766_</t>
  </si>
  <si>
    <t>784_</t>
  </si>
  <si>
    <t>95_</t>
  </si>
  <si>
    <t>96_</t>
  </si>
  <si>
    <t>H01_</t>
  </si>
  <si>
    <t>H99_</t>
  </si>
  <si>
    <t>S_</t>
  </si>
  <si>
    <t>6_</t>
  </si>
  <si>
    <t>76_</t>
  </si>
  <si>
    <t>78_</t>
  </si>
  <si>
    <t>9_</t>
  </si>
  <si>
    <t>_</t>
  </si>
  <si>
    <t>MAT</t>
  </si>
  <si>
    <t>WORK</t>
  </si>
  <si>
    <t>CELK</t>
  </si>
  <si>
    <t>Slepý stavební rozpočet - rekapitulace</t>
  </si>
  <si>
    <t>Objekt</t>
  </si>
  <si>
    <t>Zkrácený popis</t>
  </si>
  <si>
    <t>Celkem:</t>
  </si>
  <si>
    <t>Náklady (Kč) - celkem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</si>
  <si>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</si>
  <si>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</si>
  <si>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</si>
  <si>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</si>
  <si>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</si>
  <si>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</si>
  <si>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</si>
  <si>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</si>
  <si>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</si>
  <si>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</si>
  <si>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</si>
  <si>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</si>
  <si>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</si>
  <si>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</si>
  <si>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</si>
  <si>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</si>
  <si>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Montáž</t>
  </si>
  <si>
    <t>Krycí list slepého rozpočtu</t>
  </si>
  <si>
    <t>B</t>
  </si>
  <si>
    <t>Práce přesčas</t>
  </si>
  <si>
    <t>doprava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</si>
  <si>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</si>
  <si>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</si>
  <si>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</si>
  <si>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</si>
  <si>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</si>
  <si>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</si>
  <si>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</si>
  <si>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</si>
  <si>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</si>
  <si>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</si>
  <si>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</si>
  <si>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</si>
  <si>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</si>
  <si>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</si>
  <si>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</si>
  <si>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</si>
  <si>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</si>
  <si>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</si>
  <si>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</si>
  <si>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</si>
  <si>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</si>
  <si>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</si>
  <si>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</si>
  <si>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</si>
  <si>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</si>
  <si>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</si>
  <si>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</si>
  <si>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</si>
  <si>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</si>
  <si>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</si>
  <si>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</si>
  <si>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</si>
  <si>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</si>
  <si>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Vedlejší a ostatní rozpočtové náklady</t>
  </si>
  <si>
    <t>Kč</t>
  </si>
  <si>
    <t>%</t>
  </si>
  <si>
    <t>Základna</t>
  </si>
  <si>
    <t>Výměna oken a vstupních dveří domu, ulice 5. května, č.p. 800, Česká Lípa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</si>
</sst>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/mm/yy"/>
    <numFmt numFmtId="165" formatCode="dd\.mmmm\.yy"/>
  </numFmts>
  <fonts count="48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i/>
      <sz val="10"/>
      <color indexed="63"/>
      <name val="Arial"/>
      <family val="0"/>
    </font>
    <font>
      <sz val="10"/>
      <color indexed="59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8"/>
      <color indexed="23"/>
      <name val="Calibri Light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3" fillId="20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43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68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9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 locked="0"/>
    </xf>
    <xf numFmtId="4" fontId="5" fillId="34" borderId="0" xfId="0" applyNumberFormat="1" applyFont="1" applyFill="1" applyBorder="1" applyAlignment="1" applyProtection="1">
      <alignment horizontal="right" vertical="center"/>
      <protection locked="0"/>
    </xf>
    <xf numFmtId="0" fontId="1" fillId="34" borderId="0" xfId="0" applyNumberFormat="1" applyFont="1" applyFill="1" applyBorder="1" applyAlignment="1" applyProtection="1">
      <alignment vertical="center"/>
      <protection locked="0"/>
    </xf>
    <xf numFmtId="49" fontId="4" fillId="33" borderId="0" xfId="0" applyNumberFormat="1" applyFont="1" applyFill="1" applyBorder="1" applyAlignment="1" applyProtection="1">
      <alignment horizontal="left" vertical="center"/>
      <protection locked="0"/>
    </xf>
    <xf numFmtId="4" fontId="6" fillId="34" borderId="0" xfId="0" applyNumberFormat="1" applyFont="1" applyFill="1" applyBorder="1" applyAlignment="1" applyProtection="1">
      <alignment horizontal="right" vertical="center"/>
      <protection locked="0"/>
    </xf>
    <xf numFmtId="0" fontId="1" fillId="34" borderId="13" xfId="0" applyNumberFormat="1" applyFont="1" applyFill="1" applyBorder="1" applyAlignment="1" applyProtection="1">
      <alignment vertical="center"/>
      <protection locked="0"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2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9" fontId="3" fillId="0" borderId="2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5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12" fillId="35" borderId="27" xfId="0" applyNumberFormat="1" applyFont="1" applyFill="1" applyBorder="1" applyAlignment="1" applyProtection="1">
      <alignment horizontal="center" vertical="center"/>
      <protection/>
    </xf>
    <xf numFmtId="49" fontId="13" fillId="0" borderId="28" xfId="0" applyNumberFormat="1" applyFont="1" applyFill="1" applyBorder="1" applyAlignment="1" applyProtection="1">
      <alignment horizontal="left" vertical="center"/>
      <protection/>
    </xf>
    <xf numFmtId="49" fontId="13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49" fontId="14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" fontId="14" fillId="0" borderId="27" xfId="0" applyNumberFormat="1" applyFont="1" applyFill="1" applyBorder="1" applyAlignment="1" applyProtection="1">
      <alignment horizontal="right" vertical="center"/>
      <protection/>
    </xf>
    <xf numFmtId="49" fontId="14" fillId="0" borderId="27" xfId="0" applyNumberFormat="1" applyFont="1" applyFill="1" applyBorder="1" applyAlignment="1" applyProtection="1">
      <alignment horizontal="right" vertical="center"/>
      <protection/>
    </xf>
    <xf numFmtId="4" fontId="14" fillId="0" borderId="33" xfId="0" applyNumberFormat="1" applyFont="1" applyFill="1" applyBorder="1" applyAlignment="1" applyProtection="1">
      <alignment horizontal="right"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4" fontId="13" fillId="35" borderId="36" xfId="0" applyNumberFormat="1" applyFont="1" applyFill="1" applyBorder="1" applyAlignment="1" applyProtection="1">
      <alignment horizontal="right"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0" fontId="1" fillId="0" borderId="38" xfId="0" applyNumberFormat="1" applyFont="1" applyFill="1" applyBorder="1" applyAlignment="1" applyProtection="1">
      <alignment vertical="center"/>
      <protection/>
    </xf>
    <xf numFmtId="49" fontId="3" fillId="0" borderId="20" xfId="0" applyNumberFormat="1" applyFont="1" applyFill="1" applyBorder="1" applyAlignment="1" applyProtection="1">
      <alignment horizontal="right" vertical="center"/>
      <protection/>
    </xf>
    <xf numFmtId="4" fontId="1" fillId="0" borderId="27" xfId="0" applyNumberFormat="1" applyFont="1" applyFill="1" applyBorder="1" applyAlignment="1" applyProtection="1">
      <alignment horizontal="right" vertical="center"/>
      <protection/>
    </xf>
    <xf numFmtId="4" fontId="1" fillId="0" borderId="33" xfId="0" applyNumberFormat="1" applyFont="1" applyFill="1" applyBorder="1" applyAlignment="1" applyProtection="1">
      <alignment horizontal="right" vertical="center"/>
      <protection/>
    </xf>
    <xf numFmtId="49" fontId="3" fillId="0" borderId="39" xfId="0" applyNumberFormat="1" applyFont="1" applyFill="1" applyBorder="1" applyAlignment="1" applyProtection="1">
      <alignment horizontal="left" vertical="center"/>
      <protection/>
    </xf>
    <xf numFmtId="49" fontId="1" fillId="0" borderId="27" xfId="0" applyNumberFormat="1" applyFont="1" applyFill="1" applyBorder="1" applyAlignment="1" applyProtection="1">
      <alignment horizontal="left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49" fontId="3" fillId="0" borderId="39" xfId="0" applyNumberFormat="1" applyFont="1" applyFill="1" applyBorder="1" applyAlignment="1" applyProtection="1">
      <alignment horizontal="right" vertical="center"/>
      <protection/>
    </xf>
    <xf numFmtId="4" fontId="3" fillId="0" borderId="39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4" fontId="1" fillId="36" borderId="27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4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49" fontId="3" fillId="0" borderId="41" xfId="0" applyNumberFormat="1" applyFont="1" applyFill="1" applyBorder="1" applyAlignment="1" applyProtection="1">
      <alignment horizontal="left" vertical="center"/>
      <protection/>
    </xf>
    <xf numFmtId="0" fontId="3" fillId="0" borderId="38" xfId="0" applyNumberFormat="1" applyFont="1" applyFill="1" applyBorder="1" applyAlignment="1" applyProtection="1">
      <alignment horizontal="left" vertical="center"/>
      <protection/>
    </xf>
    <xf numFmtId="0" fontId="3" fillId="0" borderId="42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0" fontId="8" fillId="33" borderId="12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34" borderId="0" xfId="0" applyNumberFormat="1" applyFont="1" applyFill="1" applyBorder="1" applyAlignment="1" applyProtection="1">
      <alignment horizontal="left" vertical="center"/>
      <protection locked="0"/>
    </xf>
    <xf numFmtId="0" fontId="1" fillId="34" borderId="38" xfId="0" applyNumberFormat="1" applyFont="1" applyFill="1" applyBorder="1" applyAlignment="1" applyProtection="1">
      <alignment horizontal="left" vertical="center"/>
      <protection locked="0"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43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3" fillId="0" borderId="44" xfId="0" applyNumberFormat="1" applyFont="1" applyFill="1" applyBorder="1" applyAlignment="1" applyProtection="1">
      <alignment horizontal="left" vertical="center"/>
      <protection/>
    </xf>
    <xf numFmtId="0" fontId="3" fillId="0" borderId="37" xfId="0" applyNumberFormat="1" applyFont="1" applyFill="1" applyBorder="1" applyAlignment="1" applyProtection="1">
      <alignment horizontal="left" vertical="center"/>
      <protection/>
    </xf>
    <xf numFmtId="0" fontId="3" fillId="0" borderId="45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49" fontId="14" fillId="0" borderId="23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46" xfId="0" applyNumberFormat="1" applyFont="1" applyFill="1" applyBorder="1" applyAlignment="1" applyProtection="1">
      <alignment horizontal="left" vertical="center"/>
      <protection/>
    </xf>
    <xf numFmtId="49" fontId="14" fillId="0" borderId="47" xfId="0" applyNumberFormat="1" applyFont="1" applyFill="1" applyBorder="1" applyAlignment="1" applyProtection="1">
      <alignment horizontal="left" vertical="center"/>
      <protection/>
    </xf>
    <xf numFmtId="0" fontId="14" fillId="0" borderId="38" xfId="0" applyNumberFormat="1" applyFont="1" applyFill="1" applyBorder="1" applyAlignment="1" applyProtection="1">
      <alignment horizontal="left" vertical="center"/>
      <protection/>
    </xf>
    <xf numFmtId="0" fontId="14" fillId="0" borderId="48" xfId="0" applyNumberFormat="1" applyFont="1" applyFill="1" applyBorder="1" applyAlignment="1" applyProtection="1">
      <alignment horizontal="left" vertical="center"/>
      <protection/>
    </xf>
    <xf numFmtId="49" fontId="13" fillId="35" borderId="49" xfId="0" applyNumberFormat="1" applyFont="1" applyFill="1" applyBorder="1" applyAlignment="1" applyProtection="1">
      <alignment horizontal="left" vertical="center"/>
      <protection/>
    </xf>
    <xf numFmtId="0" fontId="13" fillId="35" borderId="50" xfId="0" applyNumberFormat="1" applyFont="1" applyFill="1" applyBorder="1" applyAlignment="1" applyProtection="1">
      <alignment horizontal="left" vertical="center"/>
      <protection/>
    </xf>
    <xf numFmtId="49" fontId="14" fillId="0" borderId="51" xfId="0" applyNumberFormat="1" applyFont="1" applyFill="1" applyBorder="1" applyAlignment="1" applyProtection="1">
      <alignment horizontal="left" vertical="center"/>
      <protection/>
    </xf>
    <xf numFmtId="0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0" borderId="52" xfId="0" applyNumberFormat="1" applyFont="1" applyFill="1" applyBorder="1" applyAlignment="1" applyProtection="1">
      <alignment horizontal="left" vertical="center"/>
      <protection/>
    </xf>
    <xf numFmtId="49" fontId="13" fillId="0" borderId="49" xfId="0" applyNumberFormat="1" applyFont="1" applyFill="1" applyBorder="1" applyAlignment="1" applyProtection="1">
      <alignment horizontal="left" vertical="center"/>
      <protection/>
    </xf>
    <xf numFmtId="0" fontId="13" fillId="0" borderId="36" xfId="0" applyNumberFormat="1" applyFont="1" applyFill="1" applyBorder="1" applyAlignment="1" applyProtection="1">
      <alignment horizontal="left" vertical="center"/>
      <protection/>
    </xf>
    <xf numFmtId="49" fontId="14" fillId="0" borderId="49" xfId="0" applyNumberFormat="1" applyFont="1" applyFill="1" applyBorder="1" applyAlignment="1" applyProtection="1">
      <alignment horizontal="left" vertical="center"/>
      <protection/>
    </xf>
    <xf numFmtId="0" fontId="14" fillId="0" borderId="36" xfId="0" applyNumberFormat="1" applyFont="1" applyFill="1" applyBorder="1" applyAlignment="1" applyProtection="1">
      <alignment horizontal="left" vertical="center"/>
      <protection/>
    </xf>
    <xf numFmtId="49" fontId="11" fillId="0" borderId="50" xfId="0" applyNumberFormat="1" applyFont="1" applyFill="1" applyBorder="1" applyAlignment="1" applyProtection="1">
      <alignment horizontal="center" vertical="center"/>
      <protection/>
    </xf>
    <xf numFmtId="0" fontId="11" fillId="0" borderId="50" xfId="0" applyNumberFormat="1" applyFont="1" applyFill="1" applyBorder="1" applyAlignment="1" applyProtection="1">
      <alignment horizontal="center" vertical="center"/>
      <protection/>
    </xf>
    <xf numFmtId="49" fontId="15" fillId="0" borderId="49" xfId="0" applyNumberFormat="1" applyFont="1" applyFill="1" applyBorder="1" applyAlignment="1" applyProtection="1">
      <alignment horizontal="left" vertical="center"/>
      <protection/>
    </xf>
    <xf numFmtId="0" fontId="15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 vertical="center" wrapText="1"/>
      <protection/>
    </xf>
    <xf numFmtId="0" fontId="1" fillId="0" borderId="53" xfId="0" applyNumberFormat="1" applyFont="1" applyFill="1" applyBorder="1" applyAlignment="1" applyProtection="1">
      <alignment horizontal="left" vertical="center"/>
      <protection/>
    </xf>
    <xf numFmtId="49" fontId="1" fillId="0" borderId="35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31" xfId="0" applyNumberFormat="1" applyFont="1" applyFill="1" applyBorder="1" applyAlignment="1" applyProtection="1">
      <alignment horizontal="left" vertical="center"/>
      <protection/>
    </xf>
    <xf numFmtId="49" fontId="1" fillId="0" borderId="54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55" xfId="0" applyNumberFormat="1" applyFont="1" applyFill="1" applyBorder="1" applyAlignment="1" applyProtection="1">
      <alignment horizontal="left" vertical="center"/>
      <protection/>
    </xf>
    <xf numFmtId="49" fontId="3" fillId="0" borderId="56" xfId="0" applyNumberFormat="1" applyFont="1" applyFill="1" applyBorder="1" applyAlignment="1" applyProtection="1">
      <alignment horizontal="left" vertical="center"/>
      <protection/>
    </xf>
    <xf numFmtId="0" fontId="3" fillId="0" borderId="57" xfId="0" applyNumberFormat="1" applyFont="1" applyFill="1" applyBorder="1" applyAlignment="1" applyProtection="1">
      <alignment horizontal="left" vertical="center"/>
      <protection/>
    </xf>
    <xf numFmtId="49" fontId="13" fillId="0" borderId="56" xfId="0" applyNumberFormat="1" applyFont="1" applyFill="1" applyBorder="1" applyAlignment="1" applyProtection="1">
      <alignment horizontal="left" vertical="center"/>
      <protection/>
    </xf>
    <xf numFmtId="0" fontId="13" fillId="0" borderId="37" xfId="0" applyNumberFormat="1" applyFont="1" applyFill="1" applyBorder="1" applyAlignment="1" applyProtection="1">
      <alignment horizontal="left" vertical="center"/>
      <protection/>
    </xf>
    <xf numFmtId="0" fontId="13" fillId="0" borderId="57" xfId="0" applyNumberFormat="1" applyFont="1" applyFill="1" applyBorder="1" applyAlignment="1" applyProtection="1">
      <alignment horizontal="left" vertical="center"/>
      <protection/>
    </xf>
    <xf numFmtId="4" fontId="13" fillId="0" borderId="56" xfId="0" applyNumberFormat="1" applyFont="1" applyFill="1" applyBorder="1" applyAlignment="1" applyProtection="1">
      <alignment horizontal="right" vertical="center"/>
      <protection/>
    </xf>
    <xf numFmtId="0" fontId="13" fillId="0" borderId="37" xfId="0" applyNumberFormat="1" applyFont="1" applyFill="1" applyBorder="1" applyAlignment="1" applyProtection="1">
      <alignment horizontal="right" vertical="center"/>
      <protection/>
    </xf>
    <xf numFmtId="0" fontId="13" fillId="0" borderId="57" xfId="0" applyNumberFormat="1" applyFont="1" applyFill="1" applyBorder="1" applyAlignment="1" applyProtection="1">
      <alignment horizontal="right" vertical="center"/>
      <protection/>
    </xf>
    <xf numFmtId="49" fontId="13" fillId="0" borderId="38" xfId="0" applyNumberFormat="1" applyFont="1" applyFill="1" applyBorder="1" applyAlignment="1" applyProtection="1">
      <alignment horizontal="left" vertical="center"/>
      <protection/>
    </xf>
    <xf numFmtId="0" fontId="13" fillId="0" borderId="38" xfId="0" applyNumberFormat="1" applyFont="1" applyFill="1" applyBorder="1" applyAlignment="1" applyProtection="1">
      <alignment horizontal="left" vertical="center"/>
      <protection/>
    </xf>
    <xf numFmtId="49" fontId="3" fillId="0" borderId="58" xfId="0" applyNumberFormat="1" applyFont="1" applyFill="1" applyBorder="1" applyAlignment="1" applyProtection="1">
      <alignment horizontal="left" vertical="center"/>
      <protection/>
    </xf>
    <xf numFmtId="0" fontId="3" fillId="0" borderId="59" xfId="0" applyNumberFormat="1" applyFont="1" applyFill="1" applyBorder="1" applyAlignment="1" applyProtection="1">
      <alignment horizontal="left" vertical="center"/>
      <protection/>
    </xf>
    <xf numFmtId="0" fontId="3" fillId="0" borderId="60" xfId="0" applyNumberFormat="1" applyFont="1" applyFill="1" applyBorder="1" applyAlignment="1" applyProtection="1">
      <alignment horizontal="left" vertical="center"/>
      <protection/>
    </xf>
    <xf numFmtId="49" fontId="1" fillId="0" borderId="49" xfId="0" applyNumberFormat="1" applyFont="1" applyFill="1" applyBorder="1" applyAlignment="1" applyProtection="1">
      <alignment horizontal="left" vertical="center"/>
      <protection/>
    </xf>
    <xf numFmtId="0" fontId="1" fillId="0" borderId="50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657225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228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I14" sqref="I14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65.140625" style="0" customWidth="1"/>
    <col min="4" max="6" width="11.57421875" style="0" customWidth="1"/>
    <col min="7" max="7" width="4.421875" style="0" customWidth="1"/>
    <col min="8" max="8" width="12.8515625" style="0" customWidth="1"/>
    <col min="9" max="9" width="12.00390625" style="0" customWidth="1"/>
    <col min="10" max="10" width="14.28125" style="0" customWidth="1"/>
    <col min="11" max="11" width="11.7109375" style="0" customWidth="1"/>
    <col min="12" max="23" width="11.57421875" style="0" customWidth="1"/>
    <col min="24" max="61" width="12.140625" style="0" hidden="1" customWidth="1"/>
  </cols>
  <sheetData>
    <row r="1" spans="1:11" ht="72.75" customHeight="1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2" ht="12.75">
      <c r="A2" s="108" t="s">
        <v>1</v>
      </c>
      <c r="B2" s="109"/>
      <c r="C2" s="110" t="s">
        <v>403</v>
      </c>
      <c r="D2" s="112" t="s">
        <v>287</v>
      </c>
      <c r="E2" s="109"/>
      <c r="F2" s="112" t="s">
        <v>6</v>
      </c>
      <c r="G2" s="113" t="s">
        <v>292</v>
      </c>
      <c r="H2" s="109"/>
      <c r="I2" s="113" t="s">
        <v>304</v>
      </c>
      <c r="J2" s="109"/>
      <c r="K2" s="109"/>
      <c r="L2" s="36"/>
    </row>
    <row r="3" spans="1:12" ht="12.75">
      <c r="A3" s="105"/>
      <c r="B3" s="78"/>
      <c r="C3" s="111"/>
      <c r="D3" s="78"/>
      <c r="E3" s="78"/>
      <c r="F3" s="78"/>
      <c r="G3" s="78"/>
      <c r="H3" s="78"/>
      <c r="I3" s="78"/>
      <c r="J3" s="78"/>
      <c r="K3" s="78"/>
      <c r="L3" s="36"/>
    </row>
    <row r="4" spans="1:12" ht="12.75">
      <c r="A4" s="99" t="s">
        <v>2</v>
      </c>
      <c r="B4" s="78"/>
      <c r="C4" s="77" t="s">
        <v>6</v>
      </c>
      <c r="D4" s="102" t="s">
        <v>288</v>
      </c>
      <c r="E4" s="78"/>
      <c r="F4" s="102" t="s">
        <v>291</v>
      </c>
      <c r="G4" s="77" t="s">
        <v>293</v>
      </c>
      <c r="H4" s="78"/>
      <c r="I4" s="102" t="s">
        <v>305</v>
      </c>
      <c r="J4" s="78"/>
      <c r="K4" s="78"/>
      <c r="L4" s="36"/>
    </row>
    <row r="5" spans="1:12" ht="12.75">
      <c r="A5" s="105"/>
      <c r="B5" s="78"/>
      <c r="C5" s="78"/>
      <c r="D5" s="78"/>
      <c r="E5" s="78"/>
      <c r="F5" s="78"/>
      <c r="G5" s="78"/>
      <c r="H5" s="78"/>
      <c r="I5" s="78"/>
      <c r="J5" s="78"/>
      <c r="K5" s="78"/>
      <c r="L5" s="36"/>
    </row>
    <row r="6" spans="1:12" ht="12.75">
      <c r="A6" s="99" t="s">
        <v>3</v>
      </c>
      <c r="B6" s="78"/>
      <c r="C6" s="77" t="s">
        <v>6</v>
      </c>
      <c r="D6" s="102" t="s">
        <v>289</v>
      </c>
      <c r="E6" s="78"/>
      <c r="F6" s="102" t="s">
        <v>6</v>
      </c>
      <c r="G6" s="77" t="s">
        <v>294</v>
      </c>
      <c r="H6" s="78"/>
      <c r="I6" s="102" t="s">
        <v>305</v>
      </c>
      <c r="J6" s="103"/>
      <c r="K6" s="103"/>
      <c r="L6" s="36"/>
    </row>
    <row r="7" spans="1:12" ht="12.75">
      <c r="A7" s="105"/>
      <c r="B7" s="78"/>
      <c r="C7" s="78"/>
      <c r="D7" s="78"/>
      <c r="E7" s="78"/>
      <c r="F7" s="78"/>
      <c r="G7" s="78"/>
      <c r="H7" s="78"/>
      <c r="I7" s="78"/>
      <c r="J7" s="103"/>
      <c r="K7" s="103"/>
      <c r="L7" s="36"/>
    </row>
    <row r="8" spans="1:12" ht="12.75">
      <c r="A8" s="99" t="s">
        <v>4</v>
      </c>
      <c r="B8" s="78"/>
      <c r="C8" s="77" t="s">
        <v>6</v>
      </c>
      <c r="D8" s="102" t="s">
        <v>290</v>
      </c>
      <c r="E8" s="78"/>
      <c r="F8" s="102" t="s">
        <v>291</v>
      </c>
      <c r="G8" s="77" t="s">
        <v>295</v>
      </c>
      <c r="H8" s="78"/>
      <c r="I8" s="102" t="s">
        <v>305</v>
      </c>
      <c r="J8" s="103"/>
      <c r="K8" s="103"/>
      <c r="L8" s="36"/>
    </row>
    <row r="9" spans="1:12" ht="12.75">
      <c r="A9" s="100"/>
      <c r="B9" s="101"/>
      <c r="C9" s="101"/>
      <c r="D9" s="101"/>
      <c r="E9" s="101"/>
      <c r="F9" s="101"/>
      <c r="G9" s="101"/>
      <c r="H9" s="101"/>
      <c r="I9" s="101"/>
      <c r="J9" s="104"/>
      <c r="K9" s="104"/>
      <c r="L9" s="36"/>
    </row>
    <row r="10" spans="1:12" ht="12.75">
      <c r="A10" s="1" t="s">
        <v>5</v>
      </c>
      <c r="B10" s="10" t="s">
        <v>52</v>
      </c>
      <c r="C10" s="91" t="s">
        <v>108</v>
      </c>
      <c r="D10" s="92"/>
      <c r="E10" s="92"/>
      <c r="F10" s="93"/>
      <c r="G10" s="10" t="s">
        <v>296</v>
      </c>
      <c r="H10" s="15" t="s">
        <v>303</v>
      </c>
      <c r="I10" s="20" t="s">
        <v>306</v>
      </c>
      <c r="J10" s="28" t="s">
        <v>308</v>
      </c>
      <c r="K10" s="30" t="s">
        <v>310</v>
      </c>
      <c r="L10" s="37"/>
    </row>
    <row r="11" spans="1:61" ht="12.75">
      <c r="A11" s="2" t="s">
        <v>6</v>
      </c>
      <c r="B11" s="11" t="s">
        <v>6</v>
      </c>
      <c r="C11" s="94" t="s">
        <v>109</v>
      </c>
      <c r="D11" s="95"/>
      <c r="E11" s="95"/>
      <c r="F11" s="96"/>
      <c r="G11" s="11" t="s">
        <v>6</v>
      </c>
      <c r="H11" s="11" t="s">
        <v>6</v>
      </c>
      <c r="I11" s="21" t="s">
        <v>307</v>
      </c>
      <c r="J11" s="29" t="s">
        <v>309</v>
      </c>
      <c r="K11" s="31" t="s">
        <v>311</v>
      </c>
      <c r="L11" s="37"/>
      <c r="Y11" s="33" t="s">
        <v>312</v>
      </c>
      <c r="Z11" s="33" t="s">
        <v>313</v>
      </c>
      <c r="AA11" s="33" t="s">
        <v>314</v>
      </c>
      <c r="AB11" s="33" t="s">
        <v>315</v>
      </c>
      <c r="AC11" s="33" t="s">
        <v>316</v>
      </c>
      <c r="AD11" s="33" t="s">
        <v>317</v>
      </c>
      <c r="AE11" s="33" t="s">
        <v>318</v>
      </c>
      <c r="AF11" s="33" t="s">
        <v>319</v>
      </c>
      <c r="AG11" s="33" t="s">
        <v>320</v>
      </c>
      <c r="BG11" s="33" t="s">
        <v>337</v>
      </c>
      <c r="BH11" s="33" t="s">
        <v>338</v>
      </c>
      <c r="BI11" s="33" t="s">
        <v>339</v>
      </c>
    </row>
    <row r="12" spans="1:46" ht="12.75">
      <c r="A12" s="3"/>
      <c r="B12" s="12" t="s">
        <v>53</v>
      </c>
      <c r="C12" s="97" t="s">
        <v>110</v>
      </c>
      <c r="D12" s="98"/>
      <c r="E12" s="98"/>
      <c r="F12" s="98"/>
      <c r="G12" s="3" t="s">
        <v>6</v>
      </c>
      <c r="H12" s="3" t="s">
        <v>6</v>
      </c>
      <c r="I12" s="22" t="s">
        <v>6</v>
      </c>
      <c r="J12" s="40">
        <f>SUM(J13:J48)</f>
        <v>0</v>
      </c>
      <c r="K12" s="32"/>
      <c r="AH12" s="33"/>
      <c r="AR12" s="41">
        <f>SUM(AI13:AI48)</f>
        <v>0</v>
      </c>
      <c r="AS12" s="41">
        <f>SUM(AJ13:AJ48)</f>
        <v>0</v>
      </c>
      <c r="AT12" s="41">
        <f>SUM(AK13:AK48)</f>
        <v>0</v>
      </c>
    </row>
    <row r="13" spans="1:61" ht="12.75">
      <c r="A13" s="4" t="s">
        <v>7</v>
      </c>
      <c r="B13" s="4" t="s">
        <v>54</v>
      </c>
      <c r="C13" s="83" t="s">
        <v>111</v>
      </c>
      <c r="D13" s="84"/>
      <c r="E13" s="84"/>
      <c r="F13" s="84"/>
      <c r="G13" s="4" t="s">
        <v>297</v>
      </c>
      <c r="H13" s="16">
        <v>52.145</v>
      </c>
      <c r="I13" s="23">
        <v>0</v>
      </c>
      <c r="J13" s="16">
        <f>H13*I13</f>
        <v>0</v>
      </c>
      <c r="K13" s="16">
        <v>0.00022</v>
      </c>
      <c r="Y13" s="38">
        <f>IF(AP13="5",BI13,0)</f>
        <v>0</v>
      </c>
      <c r="AA13" s="38">
        <f>IF(AP13="1",BG13,0)</f>
        <v>0</v>
      </c>
      <c r="AB13" s="38">
        <f>IF(AP13="1",BH13,0)</f>
        <v>0</v>
      </c>
      <c r="AC13" s="38">
        <f>IF(AP13="7",BG13,0)</f>
        <v>0</v>
      </c>
      <c r="AD13" s="38">
        <f>IF(AP13="7",BH13,0)</f>
        <v>0</v>
      </c>
      <c r="AE13" s="38">
        <f>IF(AP13="2",BG13,0)</f>
        <v>0</v>
      </c>
      <c r="AF13" s="38">
        <f>IF(AP13="2",BH13,0)</f>
        <v>0</v>
      </c>
      <c r="AG13" s="38">
        <f>IF(AP13="0",BI13,0)</f>
        <v>0</v>
      </c>
      <c r="AH13" s="33"/>
      <c r="AI13" s="16">
        <f>IF(AM13=0,J13,0)</f>
        <v>0</v>
      </c>
      <c r="AJ13" s="16">
        <f>IF(AM13=15,J13,0)</f>
        <v>0</v>
      </c>
      <c r="AK13" s="16">
        <f>IF(AM13=21,J13,0)</f>
        <v>0</v>
      </c>
      <c r="AM13" s="38">
        <v>15</v>
      </c>
      <c r="AN13" s="38">
        <f>I13*0.366922096483671</f>
        <v>0</v>
      </c>
      <c r="AO13" s="38">
        <f>I13*(1-0.366922096483671)</f>
        <v>0</v>
      </c>
      <c r="AP13" s="34" t="s">
        <v>7</v>
      </c>
      <c r="AU13" s="38">
        <f>AV13+AW13</f>
        <v>0</v>
      </c>
      <c r="AV13" s="38">
        <f>H13*AN13</f>
        <v>0</v>
      </c>
      <c r="AW13" s="38">
        <f>H13*AO13</f>
        <v>0</v>
      </c>
      <c r="AX13" s="39" t="s">
        <v>321</v>
      </c>
      <c r="AY13" s="39" t="s">
        <v>332</v>
      </c>
      <c r="AZ13" s="33" t="s">
        <v>336</v>
      </c>
      <c r="BB13" s="38">
        <f>AV13+AW13</f>
        <v>0</v>
      </c>
      <c r="BC13" s="38">
        <f>I13/(100-BD13)*100</f>
        <v>0</v>
      </c>
      <c r="BD13" s="38">
        <v>0</v>
      </c>
      <c r="BE13" s="38">
        <f>13</f>
        <v>13</v>
      </c>
      <c r="BG13" s="16">
        <f>H13*AN13</f>
        <v>0</v>
      </c>
      <c r="BH13" s="16">
        <f>H13*AO13</f>
        <v>0</v>
      </c>
      <c r="BI13" s="16">
        <f>H13*I13</f>
        <v>0</v>
      </c>
    </row>
    <row r="14" spans="3:9" ht="12.75">
      <c r="C14" s="79" t="s">
        <v>112</v>
      </c>
      <c r="D14" s="80"/>
      <c r="E14" s="80"/>
      <c r="F14" s="80"/>
      <c r="H14" s="17">
        <v>52.145</v>
      </c>
      <c r="I14" s="24"/>
    </row>
    <row r="15" spans="1:61" ht="12.75">
      <c r="A15" s="4" t="s">
        <v>8</v>
      </c>
      <c r="B15" s="4" t="s">
        <v>55</v>
      </c>
      <c r="C15" s="83" t="s">
        <v>113</v>
      </c>
      <c r="D15" s="84"/>
      <c r="E15" s="84"/>
      <c r="F15" s="84"/>
      <c r="G15" s="4" t="s">
        <v>297</v>
      </c>
      <c r="H15" s="16">
        <v>52.145</v>
      </c>
      <c r="I15" s="23">
        <v>0</v>
      </c>
      <c r="J15" s="16">
        <f>H15*I15</f>
        <v>0</v>
      </c>
      <c r="K15" s="16">
        <v>0.04766</v>
      </c>
      <c r="Y15" s="38">
        <f>IF(AP15="5",BI15,0)</f>
        <v>0</v>
      </c>
      <c r="AA15" s="38">
        <f>IF(AP15="1",BG15,0)</f>
        <v>0</v>
      </c>
      <c r="AB15" s="38">
        <f>IF(AP15="1",BH15,0)</f>
        <v>0</v>
      </c>
      <c r="AC15" s="38">
        <f>IF(AP15="7",BG15,0)</f>
        <v>0</v>
      </c>
      <c r="AD15" s="38">
        <f>IF(AP15="7",BH15,0)</f>
        <v>0</v>
      </c>
      <c r="AE15" s="38">
        <f>IF(AP15="2",BG15,0)</f>
        <v>0</v>
      </c>
      <c r="AF15" s="38">
        <f>IF(AP15="2",BH15,0)</f>
        <v>0</v>
      </c>
      <c r="AG15" s="38">
        <f>IF(AP15="0",BI15,0)</f>
        <v>0</v>
      </c>
      <c r="AH15" s="33"/>
      <c r="AI15" s="16">
        <f>IF(AM15=0,J15,0)</f>
        <v>0</v>
      </c>
      <c r="AJ15" s="16">
        <f>IF(AM15=15,J15,0)</f>
        <v>0</v>
      </c>
      <c r="AK15" s="16">
        <f>IF(AM15=21,J15,0)</f>
        <v>0</v>
      </c>
      <c r="AM15" s="38">
        <v>15</v>
      </c>
      <c r="AN15" s="38">
        <f>I15*0.105830929354458</f>
        <v>0</v>
      </c>
      <c r="AO15" s="38">
        <f>I15*(1-0.105830929354458)</f>
        <v>0</v>
      </c>
      <c r="AP15" s="34" t="s">
        <v>7</v>
      </c>
      <c r="AU15" s="38">
        <f>AV15+AW15</f>
        <v>0</v>
      </c>
      <c r="AV15" s="38">
        <f>H15*AN15</f>
        <v>0</v>
      </c>
      <c r="AW15" s="38">
        <f>H15*AO15</f>
        <v>0</v>
      </c>
      <c r="AX15" s="39" t="s">
        <v>321</v>
      </c>
      <c r="AY15" s="39" t="s">
        <v>332</v>
      </c>
      <c r="AZ15" s="33" t="s">
        <v>336</v>
      </c>
      <c r="BB15" s="38">
        <f>AV15+AW15</f>
        <v>0</v>
      </c>
      <c r="BC15" s="38">
        <f>I15/(100-BD15)*100</f>
        <v>0</v>
      </c>
      <c r="BD15" s="38">
        <v>0</v>
      </c>
      <c r="BE15" s="38">
        <f>15</f>
        <v>15</v>
      </c>
      <c r="BG15" s="16">
        <f>H15*AN15</f>
        <v>0</v>
      </c>
      <c r="BH15" s="16">
        <f>H15*AO15</f>
        <v>0</v>
      </c>
      <c r="BI15" s="16">
        <f>H15*I15</f>
        <v>0</v>
      </c>
    </row>
    <row r="16" spans="3:9" ht="12.75">
      <c r="C16" s="79" t="s">
        <v>114</v>
      </c>
      <c r="D16" s="80"/>
      <c r="E16" s="80"/>
      <c r="F16" s="80"/>
      <c r="H16" s="17">
        <v>3.24</v>
      </c>
      <c r="I16" s="24"/>
    </row>
    <row r="17" spans="3:9" ht="12.75">
      <c r="C17" s="79" t="s">
        <v>115</v>
      </c>
      <c r="D17" s="80"/>
      <c r="E17" s="80"/>
      <c r="F17" s="80"/>
      <c r="H17" s="17">
        <v>9.72</v>
      </c>
      <c r="I17" s="24"/>
    </row>
    <row r="18" spans="3:9" ht="12.75">
      <c r="C18" s="79" t="s">
        <v>116</v>
      </c>
      <c r="D18" s="80"/>
      <c r="E18" s="80"/>
      <c r="F18" s="80"/>
      <c r="H18" s="17">
        <v>4.05</v>
      </c>
      <c r="I18" s="24"/>
    </row>
    <row r="19" spans="3:9" ht="12.75">
      <c r="C19" s="79" t="s">
        <v>117</v>
      </c>
      <c r="D19" s="80"/>
      <c r="E19" s="80"/>
      <c r="F19" s="80"/>
      <c r="H19" s="17">
        <v>0.33</v>
      </c>
      <c r="I19" s="24"/>
    </row>
    <row r="20" spans="3:9" ht="12.75">
      <c r="C20" s="79" t="s">
        <v>118</v>
      </c>
      <c r="D20" s="80"/>
      <c r="E20" s="80"/>
      <c r="F20" s="80"/>
      <c r="H20" s="17">
        <v>0.69</v>
      </c>
      <c r="I20" s="24"/>
    </row>
    <row r="21" spans="3:9" ht="12.75">
      <c r="C21" s="79" t="s">
        <v>119</v>
      </c>
      <c r="D21" s="80"/>
      <c r="E21" s="80"/>
      <c r="F21" s="80"/>
      <c r="H21" s="17">
        <v>0.615</v>
      </c>
      <c r="I21" s="24"/>
    </row>
    <row r="22" spans="3:9" ht="12.75">
      <c r="C22" s="79" t="s">
        <v>120</v>
      </c>
      <c r="D22" s="80"/>
      <c r="E22" s="80"/>
      <c r="F22" s="80"/>
      <c r="H22" s="17">
        <v>2.85</v>
      </c>
      <c r="I22" s="24"/>
    </row>
    <row r="23" spans="3:9" ht="12.75">
      <c r="C23" s="79" t="s">
        <v>121</v>
      </c>
      <c r="D23" s="80"/>
      <c r="E23" s="80"/>
      <c r="F23" s="80"/>
      <c r="H23" s="17">
        <v>2.85</v>
      </c>
      <c r="I23" s="24"/>
    </row>
    <row r="24" spans="3:9" ht="12.75">
      <c r="C24" s="79" t="s">
        <v>122</v>
      </c>
      <c r="D24" s="80"/>
      <c r="E24" s="80"/>
      <c r="F24" s="80"/>
      <c r="H24" s="17">
        <v>2.16</v>
      </c>
      <c r="I24" s="24"/>
    </row>
    <row r="25" spans="3:9" ht="12.75">
      <c r="C25" s="79" t="s">
        <v>123</v>
      </c>
      <c r="D25" s="80"/>
      <c r="E25" s="80"/>
      <c r="F25" s="80"/>
      <c r="H25" s="17">
        <v>1.08</v>
      </c>
      <c r="I25" s="24"/>
    </row>
    <row r="26" spans="3:9" ht="12.75">
      <c r="C26" s="79" t="s">
        <v>124</v>
      </c>
      <c r="D26" s="80"/>
      <c r="E26" s="80"/>
      <c r="F26" s="80"/>
      <c r="H26" s="17">
        <v>2.7</v>
      </c>
      <c r="I26" s="24"/>
    </row>
    <row r="27" spans="3:9" ht="12.75">
      <c r="C27" s="79" t="s">
        <v>125</v>
      </c>
      <c r="D27" s="80"/>
      <c r="E27" s="80"/>
      <c r="F27" s="80"/>
      <c r="H27" s="17">
        <v>1.86</v>
      </c>
      <c r="I27" s="24"/>
    </row>
    <row r="28" spans="3:9" ht="12.75">
      <c r="C28" s="79" t="s">
        <v>126</v>
      </c>
      <c r="D28" s="80"/>
      <c r="E28" s="80"/>
      <c r="F28" s="80"/>
      <c r="H28" s="17">
        <v>0</v>
      </c>
      <c r="I28" s="24"/>
    </row>
    <row r="29" spans="3:9" ht="12.75">
      <c r="C29" s="79" t="s">
        <v>127</v>
      </c>
      <c r="D29" s="80"/>
      <c r="E29" s="80"/>
      <c r="F29" s="80"/>
      <c r="H29" s="17">
        <v>20</v>
      </c>
      <c r="I29" s="24"/>
    </row>
    <row r="30" spans="1:61" ht="12.75">
      <c r="A30" s="4" t="s">
        <v>9</v>
      </c>
      <c r="B30" s="4" t="s">
        <v>56</v>
      </c>
      <c r="C30" s="83" t="s">
        <v>128</v>
      </c>
      <c r="D30" s="84"/>
      <c r="E30" s="84"/>
      <c r="F30" s="84"/>
      <c r="G30" s="4" t="s">
        <v>297</v>
      </c>
      <c r="H30" s="16">
        <v>52.145</v>
      </c>
      <c r="I30" s="23">
        <v>0</v>
      </c>
      <c r="J30" s="16">
        <f>H30*I30</f>
        <v>0</v>
      </c>
      <c r="K30" s="16">
        <v>0.00367</v>
      </c>
      <c r="Y30" s="38">
        <f>IF(AP30="5",BI30,0)</f>
        <v>0</v>
      </c>
      <c r="AA30" s="38">
        <f>IF(AP30="1",BG30,0)</f>
        <v>0</v>
      </c>
      <c r="AB30" s="38">
        <f>IF(AP30="1",BH30,0)</f>
        <v>0</v>
      </c>
      <c r="AC30" s="38">
        <f>IF(AP30="7",BG30,0)</f>
        <v>0</v>
      </c>
      <c r="AD30" s="38">
        <f>IF(AP30="7",BH30,0)</f>
        <v>0</v>
      </c>
      <c r="AE30" s="38">
        <f>IF(AP30="2",BG30,0)</f>
        <v>0</v>
      </c>
      <c r="AF30" s="38">
        <f>IF(AP30="2",BH30,0)</f>
        <v>0</v>
      </c>
      <c r="AG30" s="38">
        <f>IF(AP30="0",BI30,0)</f>
        <v>0</v>
      </c>
      <c r="AH30" s="33"/>
      <c r="AI30" s="16">
        <f>IF(AM30=0,J30,0)</f>
        <v>0</v>
      </c>
      <c r="AJ30" s="16">
        <f>IF(AM30=15,J30,0)</f>
        <v>0</v>
      </c>
      <c r="AK30" s="16">
        <f>IF(AM30=21,J30,0)</f>
        <v>0</v>
      </c>
      <c r="AM30" s="38">
        <v>15</v>
      </c>
      <c r="AN30" s="38">
        <f>I30*0.254140075650542</f>
        <v>0</v>
      </c>
      <c r="AO30" s="38">
        <f>I30*(1-0.254140075650542)</f>
        <v>0</v>
      </c>
      <c r="AP30" s="34" t="s">
        <v>7</v>
      </c>
      <c r="AU30" s="38">
        <f>AV30+AW30</f>
        <v>0</v>
      </c>
      <c r="AV30" s="38">
        <f>H30*AN30</f>
        <v>0</v>
      </c>
      <c r="AW30" s="38">
        <f>H30*AO30</f>
        <v>0</v>
      </c>
      <c r="AX30" s="39" t="s">
        <v>321</v>
      </c>
      <c r="AY30" s="39" t="s">
        <v>332</v>
      </c>
      <c r="AZ30" s="33" t="s">
        <v>336</v>
      </c>
      <c r="BB30" s="38">
        <f>AV30+AW30</f>
        <v>0</v>
      </c>
      <c r="BC30" s="38">
        <f>I30/(100-BD30)*100</f>
        <v>0</v>
      </c>
      <c r="BD30" s="38">
        <v>0</v>
      </c>
      <c r="BE30" s="38">
        <f>30</f>
        <v>30</v>
      </c>
      <c r="BG30" s="16">
        <f>H30*AN30</f>
        <v>0</v>
      </c>
      <c r="BH30" s="16">
        <f>H30*AO30</f>
        <v>0</v>
      </c>
      <c r="BI30" s="16">
        <f>H30*I30</f>
        <v>0</v>
      </c>
    </row>
    <row r="31" spans="3:9" ht="12.75">
      <c r="C31" s="85" t="s">
        <v>129</v>
      </c>
      <c r="D31" s="86"/>
      <c r="E31" s="86"/>
      <c r="F31" s="86"/>
      <c r="I31" s="24"/>
    </row>
    <row r="32" spans="3:9" ht="12.75">
      <c r="C32" s="79" t="s">
        <v>130</v>
      </c>
      <c r="D32" s="80"/>
      <c r="E32" s="80"/>
      <c r="F32" s="80"/>
      <c r="H32" s="17">
        <v>52.145</v>
      </c>
      <c r="I32" s="24"/>
    </row>
    <row r="33" spans="1:61" ht="12.75">
      <c r="A33" s="4" t="s">
        <v>10</v>
      </c>
      <c r="B33" s="4" t="s">
        <v>57</v>
      </c>
      <c r="C33" s="83" t="s">
        <v>131</v>
      </c>
      <c r="D33" s="84"/>
      <c r="E33" s="84"/>
      <c r="F33" s="84"/>
      <c r="G33" s="4" t="s">
        <v>298</v>
      </c>
      <c r="H33" s="16">
        <v>123.2592</v>
      </c>
      <c r="I33" s="23">
        <v>0</v>
      </c>
      <c r="J33" s="16">
        <f>H33*I33</f>
        <v>0</v>
      </c>
      <c r="K33" s="16">
        <v>0.00371</v>
      </c>
      <c r="Y33" s="38">
        <f>IF(AP33="5",BI33,0)</f>
        <v>0</v>
      </c>
      <c r="AA33" s="38">
        <f>IF(AP33="1",BG33,0)</f>
        <v>0</v>
      </c>
      <c r="AB33" s="38">
        <f>IF(AP33="1",BH33,0)</f>
        <v>0</v>
      </c>
      <c r="AC33" s="38">
        <f>IF(AP33="7",BG33,0)</f>
        <v>0</v>
      </c>
      <c r="AD33" s="38">
        <f>IF(AP33="7",BH33,0)</f>
        <v>0</v>
      </c>
      <c r="AE33" s="38">
        <f>IF(AP33="2",BG33,0)</f>
        <v>0</v>
      </c>
      <c r="AF33" s="38">
        <f>IF(AP33="2",BH33,0)</f>
        <v>0</v>
      </c>
      <c r="AG33" s="38">
        <f>IF(AP33="0",BI33,0)</f>
        <v>0</v>
      </c>
      <c r="AH33" s="33"/>
      <c r="AI33" s="16">
        <f>IF(AM33=0,J33,0)</f>
        <v>0</v>
      </c>
      <c r="AJ33" s="16">
        <f>IF(AM33=15,J33,0)</f>
        <v>0</v>
      </c>
      <c r="AK33" s="16">
        <f>IF(AM33=21,J33,0)</f>
        <v>0</v>
      </c>
      <c r="AM33" s="38">
        <v>15</v>
      </c>
      <c r="AN33" s="38">
        <f>I33*0.043540680222816</f>
        <v>0</v>
      </c>
      <c r="AO33" s="38">
        <f>I33*(1-0.043540680222816)</f>
        <v>0</v>
      </c>
      <c r="AP33" s="34" t="s">
        <v>7</v>
      </c>
      <c r="AU33" s="38">
        <f>AV33+AW33</f>
        <v>0</v>
      </c>
      <c r="AV33" s="38">
        <f>H33*AN33</f>
        <v>0</v>
      </c>
      <c r="AW33" s="38">
        <f>H33*AO33</f>
        <v>0</v>
      </c>
      <c r="AX33" s="39" t="s">
        <v>321</v>
      </c>
      <c r="AY33" s="39" t="s">
        <v>332</v>
      </c>
      <c r="AZ33" s="33" t="s">
        <v>336</v>
      </c>
      <c r="BB33" s="38">
        <f>AV33+AW33</f>
        <v>0</v>
      </c>
      <c r="BC33" s="38">
        <f>I33/(100-BD33)*100</f>
        <v>0</v>
      </c>
      <c r="BD33" s="38">
        <v>0</v>
      </c>
      <c r="BE33" s="38">
        <f>33</f>
        <v>33</v>
      </c>
      <c r="BG33" s="16">
        <f>H33*AN33</f>
        <v>0</v>
      </c>
      <c r="BH33" s="16">
        <f>H33*AO33</f>
        <v>0</v>
      </c>
      <c r="BI33" s="16">
        <f>H33*I33</f>
        <v>0</v>
      </c>
    </row>
    <row r="34" spans="3:9" ht="12.75">
      <c r="C34" s="79" t="s">
        <v>132</v>
      </c>
      <c r="D34" s="80"/>
      <c r="E34" s="80"/>
      <c r="F34" s="80"/>
      <c r="H34" s="17">
        <v>13.2</v>
      </c>
      <c r="I34" s="24"/>
    </row>
    <row r="35" spans="3:9" ht="12.75">
      <c r="C35" s="79" t="s">
        <v>133</v>
      </c>
      <c r="D35" s="80"/>
      <c r="E35" s="80"/>
      <c r="F35" s="80"/>
      <c r="H35" s="17">
        <v>42</v>
      </c>
      <c r="I35" s="24"/>
    </row>
    <row r="36" spans="3:9" ht="12.75">
      <c r="C36" s="79" t="s">
        <v>134</v>
      </c>
      <c r="D36" s="80"/>
      <c r="E36" s="80"/>
      <c r="F36" s="80"/>
      <c r="H36" s="17">
        <v>15.6</v>
      </c>
      <c r="I36" s="24"/>
    </row>
    <row r="37" spans="3:9" ht="12.75">
      <c r="C37" s="79" t="s">
        <v>135</v>
      </c>
      <c r="D37" s="80"/>
      <c r="E37" s="80"/>
      <c r="F37" s="80"/>
      <c r="H37" s="17">
        <v>4.8</v>
      </c>
      <c r="I37" s="24"/>
    </row>
    <row r="38" spans="3:9" ht="12.75">
      <c r="C38" s="79" t="s">
        <v>136</v>
      </c>
      <c r="D38" s="80"/>
      <c r="E38" s="80"/>
      <c r="F38" s="80"/>
      <c r="H38" s="17">
        <v>6.2</v>
      </c>
      <c r="I38" s="24"/>
    </row>
    <row r="39" spans="3:9" ht="12.75">
      <c r="C39" s="79" t="s">
        <v>137</v>
      </c>
      <c r="D39" s="80"/>
      <c r="E39" s="80"/>
      <c r="F39" s="80"/>
      <c r="H39" s="17">
        <v>5.3</v>
      </c>
      <c r="I39" s="24"/>
    </row>
    <row r="40" spans="3:9" ht="12.75">
      <c r="C40" s="79" t="s">
        <v>138</v>
      </c>
      <c r="D40" s="80"/>
      <c r="E40" s="80"/>
      <c r="F40" s="80"/>
      <c r="H40" s="17">
        <v>7.2</v>
      </c>
      <c r="I40" s="24"/>
    </row>
    <row r="41" spans="3:9" ht="12.75">
      <c r="C41" s="79" t="s">
        <v>139</v>
      </c>
      <c r="D41" s="80"/>
      <c r="E41" s="80"/>
      <c r="F41" s="80"/>
      <c r="H41" s="17">
        <v>7.2</v>
      </c>
      <c r="I41" s="24"/>
    </row>
    <row r="42" spans="3:9" ht="12.75">
      <c r="C42" s="79" t="s">
        <v>140</v>
      </c>
      <c r="D42" s="80"/>
      <c r="E42" s="80"/>
      <c r="F42" s="80"/>
      <c r="H42" s="17">
        <v>10</v>
      </c>
      <c r="I42" s="24"/>
    </row>
    <row r="43" spans="3:9" ht="12.75">
      <c r="C43" s="79" t="s">
        <v>141</v>
      </c>
      <c r="D43" s="80"/>
      <c r="E43" s="80"/>
      <c r="F43" s="80"/>
      <c r="H43" s="17">
        <v>0.2592</v>
      </c>
      <c r="I43" s="24"/>
    </row>
    <row r="44" spans="3:9" ht="12.75">
      <c r="C44" s="79" t="s">
        <v>142</v>
      </c>
      <c r="D44" s="80"/>
      <c r="E44" s="80"/>
      <c r="F44" s="80"/>
      <c r="H44" s="17">
        <v>5.3</v>
      </c>
      <c r="I44" s="24"/>
    </row>
    <row r="45" spans="3:9" ht="12.75">
      <c r="C45" s="79" t="s">
        <v>143</v>
      </c>
      <c r="D45" s="80"/>
      <c r="E45" s="80"/>
      <c r="F45" s="80"/>
      <c r="H45" s="17">
        <v>6.2</v>
      </c>
      <c r="I45" s="24"/>
    </row>
    <row r="46" spans="1:61" ht="12.75">
      <c r="A46" s="4" t="s">
        <v>11</v>
      </c>
      <c r="B46" s="4" t="s">
        <v>58</v>
      </c>
      <c r="C46" s="83" t="s">
        <v>144</v>
      </c>
      <c r="D46" s="84"/>
      <c r="E46" s="84"/>
      <c r="F46" s="84"/>
      <c r="G46" s="4" t="s">
        <v>299</v>
      </c>
      <c r="H46" s="16">
        <v>1</v>
      </c>
      <c r="I46" s="23">
        <v>0</v>
      </c>
      <c r="J46" s="16">
        <f>H46*I46</f>
        <v>0</v>
      </c>
      <c r="K46" s="16">
        <v>0</v>
      </c>
      <c r="Y46" s="38">
        <f>IF(AP46="5",BI46,0)</f>
        <v>0</v>
      </c>
      <c r="AA46" s="38">
        <f>IF(AP46="1",BG46,0)</f>
        <v>0</v>
      </c>
      <c r="AB46" s="38">
        <f>IF(AP46="1",BH46,0)</f>
        <v>0</v>
      </c>
      <c r="AC46" s="38">
        <f>IF(AP46="7",BG46,0)</f>
        <v>0</v>
      </c>
      <c r="AD46" s="38">
        <f>IF(AP46="7",BH46,0)</f>
        <v>0</v>
      </c>
      <c r="AE46" s="38">
        <f>IF(AP46="2",BG46,0)</f>
        <v>0</v>
      </c>
      <c r="AF46" s="38">
        <f>IF(AP46="2",BH46,0)</f>
        <v>0</v>
      </c>
      <c r="AG46" s="38">
        <f>IF(AP46="0",BI46,0)</f>
        <v>0</v>
      </c>
      <c r="AH46" s="33"/>
      <c r="AI46" s="16">
        <f>IF(AM46=0,J46,0)</f>
        <v>0</v>
      </c>
      <c r="AJ46" s="16">
        <f>IF(AM46=15,J46,0)</f>
        <v>0</v>
      </c>
      <c r="AK46" s="16">
        <f>IF(AM46=21,J46,0)</f>
        <v>0</v>
      </c>
      <c r="AM46" s="38">
        <v>15</v>
      </c>
      <c r="AN46" s="38">
        <f>I46*0</f>
        <v>0</v>
      </c>
      <c r="AO46" s="38">
        <f>I46*(1-0)</f>
        <v>0</v>
      </c>
      <c r="AP46" s="34" t="s">
        <v>7</v>
      </c>
      <c r="AU46" s="38">
        <f>AV46+AW46</f>
        <v>0</v>
      </c>
      <c r="AV46" s="38">
        <f>H46*AN46</f>
        <v>0</v>
      </c>
      <c r="AW46" s="38">
        <f>H46*AO46</f>
        <v>0</v>
      </c>
      <c r="AX46" s="39" t="s">
        <v>321</v>
      </c>
      <c r="AY46" s="39" t="s">
        <v>332</v>
      </c>
      <c r="AZ46" s="33" t="s">
        <v>336</v>
      </c>
      <c r="BB46" s="38">
        <f>AV46+AW46</f>
        <v>0</v>
      </c>
      <c r="BC46" s="38">
        <f>I46/(100-BD46)*100</f>
        <v>0</v>
      </c>
      <c r="BD46" s="38">
        <v>0</v>
      </c>
      <c r="BE46" s="38">
        <f>46</f>
        <v>46</v>
      </c>
      <c r="BG46" s="16">
        <f>H46*AN46</f>
        <v>0</v>
      </c>
      <c r="BH46" s="16">
        <f>H46*AO46</f>
        <v>0</v>
      </c>
      <c r="BI46" s="16">
        <f>H46*I46</f>
        <v>0</v>
      </c>
    </row>
    <row r="47" spans="3:9" ht="12.75">
      <c r="C47" s="79" t="s">
        <v>145</v>
      </c>
      <c r="D47" s="80"/>
      <c r="E47" s="80"/>
      <c r="F47" s="80"/>
      <c r="H47" s="17">
        <v>1</v>
      </c>
      <c r="I47" s="24"/>
    </row>
    <row r="48" spans="1:61" ht="12.75">
      <c r="A48" s="4" t="s">
        <v>12</v>
      </c>
      <c r="B48" s="4" t="s">
        <v>59</v>
      </c>
      <c r="C48" s="83" t="s">
        <v>146</v>
      </c>
      <c r="D48" s="84"/>
      <c r="E48" s="84"/>
      <c r="F48" s="84"/>
      <c r="G48" s="4" t="s">
        <v>298</v>
      </c>
      <c r="H48" s="16">
        <v>121.4</v>
      </c>
      <c r="I48" s="23">
        <v>0</v>
      </c>
      <c r="J48" s="16">
        <f>H48*I48</f>
        <v>0</v>
      </c>
      <c r="K48" s="16">
        <v>0.00015</v>
      </c>
      <c r="Y48" s="38">
        <f>IF(AP48="5",BI48,0)</f>
        <v>0</v>
      </c>
      <c r="AA48" s="38">
        <f>IF(AP48="1",BG48,0)</f>
        <v>0</v>
      </c>
      <c r="AB48" s="38">
        <f>IF(AP48="1",BH48,0)</f>
        <v>0</v>
      </c>
      <c r="AC48" s="38">
        <f>IF(AP48="7",BG48,0)</f>
        <v>0</v>
      </c>
      <c r="AD48" s="38">
        <f>IF(AP48="7",BH48,0)</f>
        <v>0</v>
      </c>
      <c r="AE48" s="38">
        <f>IF(AP48="2",BG48,0)</f>
        <v>0</v>
      </c>
      <c r="AF48" s="38">
        <f>IF(AP48="2",BH48,0)</f>
        <v>0</v>
      </c>
      <c r="AG48" s="38">
        <f>IF(AP48="0",BI48,0)</f>
        <v>0</v>
      </c>
      <c r="AH48" s="33"/>
      <c r="AI48" s="16">
        <f>IF(AM48=0,J48,0)</f>
        <v>0</v>
      </c>
      <c r="AJ48" s="16">
        <f>IF(AM48=15,J48,0)</f>
        <v>0</v>
      </c>
      <c r="AK48" s="16">
        <f>IF(AM48=21,J48,0)</f>
        <v>0</v>
      </c>
      <c r="AM48" s="38">
        <v>15</v>
      </c>
      <c r="AN48" s="38">
        <f>I48*0.406719257238439</f>
        <v>0</v>
      </c>
      <c r="AO48" s="38">
        <f>I48*(1-0.406719257238439)</f>
        <v>0</v>
      </c>
      <c r="AP48" s="34" t="s">
        <v>7</v>
      </c>
      <c r="AU48" s="38">
        <f>AV48+AW48</f>
        <v>0</v>
      </c>
      <c r="AV48" s="38">
        <f>H48*AN48</f>
        <v>0</v>
      </c>
      <c r="AW48" s="38">
        <f>H48*AO48</f>
        <v>0</v>
      </c>
      <c r="AX48" s="39" t="s">
        <v>321</v>
      </c>
      <c r="AY48" s="39" t="s">
        <v>332</v>
      </c>
      <c r="AZ48" s="33" t="s">
        <v>336</v>
      </c>
      <c r="BB48" s="38">
        <f>AV48+AW48</f>
        <v>0</v>
      </c>
      <c r="BC48" s="38">
        <f>I48/(100-BD48)*100</f>
        <v>0</v>
      </c>
      <c r="BD48" s="38">
        <v>0</v>
      </c>
      <c r="BE48" s="38">
        <f>48</f>
        <v>48</v>
      </c>
      <c r="BG48" s="16">
        <f>H48*AN48</f>
        <v>0</v>
      </c>
      <c r="BH48" s="16">
        <f>H48*AO48</f>
        <v>0</v>
      </c>
      <c r="BI48" s="16">
        <f>H48*I48</f>
        <v>0</v>
      </c>
    </row>
    <row r="49" spans="3:9" ht="12.75">
      <c r="C49" s="85" t="s">
        <v>147</v>
      </c>
      <c r="D49" s="86"/>
      <c r="E49" s="86"/>
      <c r="F49" s="86"/>
      <c r="I49" s="24"/>
    </row>
    <row r="50" spans="3:9" ht="12.75">
      <c r="C50" s="79" t="s">
        <v>148</v>
      </c>
      <c r="D50" s="80"/>
      <c r="E50" s="80"/>
      <c r="F50" s="80"/>
      <c r="H50" s="17">
        <v>121.4</v>
      </c>
      <c r="I50" s="24"/>
    </row>
    <row r="51" spans="1:46" ht="12.75">
      <c r="A51" s="5"/>
      <c r="B51" s="13" t="s">
        <v>60</v>
      </c>
      <c r="C51" s="81" t="s">
        <v>149</v>
      </c>
      <c r="D51" s="82"/>
      <c r="E51" s="82"/>
      <c r="F51" s="82"/>
      <c r="G51" s="5" t="s">
        <v>6</v>
      </c>
      <c r="H51" s="5" t="s">
        <v>6</v>
      </c>
      <c r="I51" s="25" t="s">
        <v>6</v>
      </c>
      <c r="J51" s="41">
        <f>SUM(J52:J63)</f>
        <v>0</v>
      </c>
      <c r="K51" s="33"/>
      <c r="AH51" s="33"/>
      <c r="AR51" s="41">
        <f>SUM(AI52:AI63)</f>
        <v>0</v>
      </c>
      <c r="AS51" s="41">
        <f>SUM(AJ52:AJ63)</f>
        <v>0</v>
      </c>
      <c r="AT51" s="41">
        <f>SUM(AK52:AK63)</f>
        <v>0</v>
      </c>
    </row>
    <row r="52" spans="1:61" ht="12.75">
      <c r="A52" s="4" t="s">
        <v>13</v>
      </c>
      <c r="B52" s="4" t="s">
        <v>61</v>
      </c>
      <c r="C52" s="83" t="s">
        <v>150</v>
      </c>
      <c r="D52" s="84"/>
      <c r="E52" s="84"/>
      <c r="F52" s="84"/>
      <c r="G52" s="4" t="s">
        <v>298</v>
      </c>
      <c r="H52" s="16">
        <v>25.6</v>
      </c>
      <c r="I52" s="23">
        <v>0</v>
      </c>
      <c r="J52" s="16">
        <f>H52*I52</f>
        <v>0</v>
      </c>
      <c r="K52" s="16">
        <v>0.0212</v>
      </c>
      <c r="Y52" s="38">
        <f>IF(AP52="5",BI52,0)</f>
        <v>0</v>
      </c>
      <c r="AA52" s="38">
        <f>IF(AP52="1",BG52,0)</f>
        <v>0</v>
      </c>
      <c r="AB52" s="38">
        <f>IF(AP52="1",BH52,0)</f>
        <v>0</v>
      </c>
      <c r="AC52" s="38">
        <f>IF(AP52="7",BG52,0)</f>
        <v>0</v>
      </c>
      <c r="AD52" s="38">
        <f>IF(AP52="7",BH52,0)</f>
        <v>0</v>
      </c>
      <c r="AE52" s="38">
        <f>IF(AP52="2",BG52,0)</f>
        <v>0</v>
      </c>
      <c r="AF52" s="38">
        <f>IF(AP52="2",BH52,0)</f>
        <v>0</v>
      </c>
      <c r="AG52" s="38">
        <f>IF(AP52="0",BI52,0)</f>
        <v>0</v>
      </c>
      <c r="AH52" s="33"/>
      <c r="AI52" s="16">
        <f>IF(AM52=0,J52,0)</f>
        <v>0</v>
      </c>
      <c r="AJ52" s="16">
        <f>IF(AM52=15,J52,0)</f>
        <v>0</v>
      </c>
      <c r="AK52" s="16">
        <f>IF(AM52=21,J52,0)</f>
        <v>0</v>
      </c>
      <c r="AM52" s="38">
        <v>15</v>
      </c>
      <c r="AN52" s="38">
        <f>I52*0.242362886922734</f>
        <v>0</v>
      </c>
      <c r="AO52" s="38">
        <f>I52*(1-0.242362886922734)</f>
        <v>0</v>
      </c>
      <c r="AP52" s="34" t="s">
        <v>7</v>
      </c>
      <c r="AU52" s="38">
        <f>AV52+AW52</f>
        <v>0</v>
      </c>
      <c r="AV52" s="38">
        <f>H52*AN52</f>
        <v>0</v>
      </c>
      <c r="AW52" s="38">
        <f>H52*AO52</f>
        <v>0</v>
      </c>
      <c r="AX52" s="39" t="s">
        <v>322</v>
      </c>
      <c r="AY52" s="39" t="s">
        <v>332</v>
      </c>
      <c r="AZ52" s="33" t="s">
        <v>336</v>
      </c>
      <c r="BB52" s="38">
        <f>AV52+AW52</f>
        <v>0</v>
      </c>
      <c r="BC52" s="38">
        <f>I52/(100-BD52)*100</f>
        <v>0</v>
      </c>
      <c r="BD52" s="38">
        <v>0</v>
      </c>
      <c r="BE52" s="38">
        <f>52</f>
        <v>52</v>
      </c>
      <c r="BG52" s="16">
        <f>H52*AN52</f>
        <v>0</v>
      </c>
      <c r="BH52" s="16">
        <f>H52*AO52</f>
        <v>0</v>
      </c>
      <c r="BI52" s="16">
        <f>H52*I52</f>
        <v>0</v>
      </c>
    </row>
    <row r="53" spans="3:9" ht="12.75">
      <c r="C53" s="79" t="s">
        <v>151</v>
      </c>
      <c r="D53" s="80"/>
      <c r="E53" s="80"/>
      <c r="F53" s="80"/>
      <c r="H53" s="17">
        <v>2.4</v>
      </c>
      <c r="I53" s="24"/>
    </row>
    <row r="54" spans="3:9" ht="12.75">
      <c r="C54" s="79" t="s">
        <v>152</v>
      </c>
      <c r="D54" s="80"/>
      <c r="E54" s="80"/>
      <c r="F54" s="80"/>
      <c r="H54" s="17">
        <v>9.6</v>
      </c>
      <c r="I54" s="24"/>
    </row>
    <row r="55" spans="3:9" ht="12.75">
      <c r="C55" s="79" t="s">
        <v>153</v>
      </c>
      <c r="D55" s="80"/>
      <c r="E55" s="80"/>
      <c r="F55" s="80"/>
      <c r="H55" s="17">
        <v>2.1</v>
      </c>
      <c r="I55" s="24"/>
    </row>
    <row r="56" spans="3:9" ht="12.75">
      <c r="C56" s="79" t="s">
        <v>154</v>
      </c>
      <c r="D56" s="80"/>
      <c r="E56" s="80"/>
      <c r="F56" s="80"/>
      <c r="H56" s="17">
        <v>1.5</v>
      </c>
      <c r="I56" s="24"/>
    </row>
    <row r="57" spans="3:9" ht="12.75">
      <c r="C57" s="79" t="s">
        <v>155</v>
      </c>
      <c r="D57" s="80"/>
      <c r="E57" s="80"/>
      <c r="F57" s="80"/>
      <c r="H57" s="17">
        <v>1.5</v>
      </c>
      <c r="I57" s="24"/>
    </row>
    <row r="58" spans="3:9" ht="12.75">
      <c r="C58" s="79" t="s">
        <v>156</v>
      </c>
      <c r="D58" s="80"/>
      <c r="E58" s="80"/>
      <c r="F58" s="80"/>
      <c r="H58" s="17">
        <v>1.3</v>
      </c>
      <c r="I58" s="24"/>
    </row>
    <row r="59" spans="3:9" ht="12.75">
      <c r="C59" s="79" t="s">
        <v>157</v>
      </c>
      <c r="D59" s="80"/>
      <c r="E59" s="80"/>
      <c r="F59" s="80"/>
      <c r="H59" s="17">
        <v>1.5</v>
      </c>
      <c r="I59" s="24"/>
    </row>
    <row r="60" spans="3:9" ht="12.75">
      <c r="C60" s="79" t="s">
        <v>158</v>
      </c>
      <c r="D60" s="80"/>
      <c r="E60" s="80"/>
      <c r="F60" s="80"/>
      <c r="H60" s="17">
        <v>1.5</v>
      </c>
      <c r="I60" s="24"/>
    </row>
    <row r="61" spans="3:9" ht="12.75">
      <c r="C61" s="79" t="s">
        <v>159</v>
      </c>
      <c r="D61" s="80"/>
      <c r="E61" s="80"/>
      <c r="F61" s="80"/>
      <c r="H61" s="17">
        <v>3</v>
      </c>
      <c r="I61" s="24"/>
    </row>
    <row r="62" spans="3:9" ht="12.75">
      <c r="C62" s="79" t="s">
        <v>160</v>
      </c>
      <c r="D62" s="80"/>
      <c r="E62" s="80"/>
      <c r="F62" s="80"/>
      <c r="H62" s="17">
        <v>1.2</v>
      </c>
      <c r="I62" s="24"/>
    </row>
    <row r="63" spans="1:61" ht="12.75">
      <c r="A63" s="4" t="s">
        <v>14</v>
      </c>
      <c r="B63" s="4" t="s">
        <v>62</v>
      </c>
      <c r="C63" s="83" t="s">
        <v>161</v>
      </c>
      <c r="D63" s="84"/>
      <c r="E63" s="84"/>
      <c r="F63" s="84"/>
      <c r="G63" s="4" t="s">
        <v>298</v>
      </c>
      <c r="H63" s="16">
        <v>25.6</v>
      </c>
      <c r="I63" s="23">
        <v>0</v>
      </c>
      <c r="J63" s="16">
        <f>H63*I63</f>
        <v>0</v>
      </c>
      <c r="K63" s="16">
        <v>0.00475</v>
      </c>
      <c r="Y63" s="38">
        <f>IF(AP63="5",BI63,0)</f>
        <v>0</v>
      </c>
      <c r="AA63" s="38">
        <f>IF(AP63="1",BG63,0)</f>
        <v>0</v>
      </c>
      <c r="AB63" s="38">
        <f>IF(AP63="1",BH63,0)</f>
        <v>0</v>
      </c>
      <c r="AC63" s="38">
        <f>IF(AP63="7",BG63,0)</f>
        <v>0</v>
      </c>
      <c r="AD63" s="38">
        <f>IF(AP63="7",BH63,0)</f>
        <v>0</v>
      </c>
      <c r="AE63" s="38">
        <f>IF(AP63="2",BG63,0)</f>
        <v>0</v>
      </c>
      <c r="AF63" s="38">
        <f>IF(AP63="2",BH63,0)</f>
        <v>0</v>
      </c>
      <c r="AG63" s="38">
        <f>IF(AP63="0",BI63,0)</f>
        <v>0</v>
      </c>
      <c r="AH63" s="33"/>
      <c r="AI63" s="16">
        <f>IF(AM63=0,J63,0)</f>
        <v>0</v>
      </c>
      <c r="AJ63" s="16">
        <f>IF(AM63=15,J63,0)</f>
        <v>0</v>
      </c>
      <c r="AK63" s="16">
        <f>IF(AM63=21,J63,0)</f>
        <v>0</v>
      </c>
      <c r="AM63" s="38">
        <v>15</v>
      </c>
      <c r="AN63" s="38">
        <f>I63*0</f>
        <v>0</v>
      </c>
      <c r="AO63" s="38">
        <f>I63*(1-0)</f>
        <v>0</v>
      </c>
      <c r="AP63" s="34" t="s">
        <v>7</v>
      </c>
      <c r="AU63" s="38">
        <f>AV63+AW63</f>
        <v>0</v>
      </c>
      <c r="AV63" s="38">
        <f>H63*AN63</f>
        <v>0</v>
      </c>
      <c r="AW63" s="38">
        <f>H63*AO63</f>
        <v>0</v>
      </c>
      <c r="AX63" s="39" t="s">
        <v>322</v>
      </c>
      <c r="AY63" s="39" t="s">
        <v>332</v>
      </c>
      <c r="AZ63" s="33" t="s">
        <v>336</v>
      </c>
      <c r="BB63" s="38">
        <f>AV63+AW63</f>
        <v>0</v>
      </c>
      <c r="BC63" s="38">
        <f>I63/(100-BD63)*100</f>
        <v>0</v>
      </c>
      <c r="BD63" s="38">
        <v>0</v>
      </c>
      <c r="BE63" s="38">
        <f>63</f>
        <v>63</v>
      </c>
      <c r="BG63" s="16">
        <f>H63*AN63</f>
        <v>0</v>
      </c>
      <c r="BH63" s="16">
        <f>H63*AO63</f>
        <v>0</v>
      </c>
      <c r="BI63" s="16">
        <f>H63*I63</f>
        <v>0</v>
      </c>
    </row>
    <row r="64" spans="3:9" ht="12.75">
      <c r="C64" s="79" t="s">
        <v>162</v>
      </c>
      <c r="D64" s="80"/>
      <c r="E64" s="80"/>
      <c r="F64" s="80"/>
      <c r="H64" s="17">
        <v>25.6</v>
      </c>
      <c r="I64" s="24"/>
    </row>
    <row r="65" spans="1:46" ht="12.75">
      <c r="A65" s="5"/>
      <c r="B65" s="13" t="s">
        <v>63</v>
      </c>
      <c r="C65" s="81" t="s">
        <v>163</v>
      </c>
      <c r="D65" s="82"/>
      <c r="E65" s="82"/>
      <c r="F65" s="82"/>
      <c r="G65" s="5" t="s">
        <v>6</v>
      </c>
      <c r="H65" s="5" t="s">
        <v>6</v>
      </c>
      <c r="I65" s="25" t="s">
        <v>6</v>
      </c>
      <c r="J65" s="41">
        <f>SUM(J66:J75)</f>
        <v>0</v>
      </c>
      <c r="K65" s="33"/>
      <c r="AH65" s="33"/>
      <c r="AR65" s="41">
        <f>SUM(AI66:AI75)</f>
        <v>0</v>
      </c>
      <c r="AS65" s="41">
        <f>SUM(AJ66:AJ75)</f>
        <v>0</v>
      </c>
      <c r="AT65" s="41">
        <f>SUM(AK66:AK75)</f>
        <v>0</v>
      </c>
    </row>
    <row r="66" spans="1:61" ht="12.75">
      <c r="A66" s="4" t="s">
        <v>15</v>
      </c>
      <c r="B66" s="4" t="s">
        <v>64</v>
      </c>
      <c r="C66" s="83" t="s">
        <v>164</v>
      </c>
      <c r="D66" s="84"/>
      <c r="E66" s="84"/>
      <c r="F66" s="84"/>
      <c r="G66" s="4" t="s">
        <v>298</v>
      </c>
      <c r="H66" s="16">
        <v>4.3</v>
      </c>
      <c r="I66" s="23">
        <v>0</v>
      </c>
      <c r="J66" s="16">
        <f>H66*I66</f>
        <v>0</v>
      </c>
      <c r="K66" s="16">
        <v>0.00421</v>
      </c>
      <c r="Y66" s="38">
        <f>IF(AP66="5",BI66,0)</f>
        <v>0</v>
      </c>
      <c r="AA66" s="38">
        <f>IF(AP66="1",BG66,0)</f>
        <v>0</v>
      </c>
      <c r="AB66" s="38">
        <f>IF(AP66="1",BH66,0)</f>
        <v>0</v>
      </c>
      <c r="AC66" s="38">
        <f>IF(AP66="7",BG66,0)</f>
        <v>0</v>
      </c>
      <c r="AD66" s="38">
        <f>IF(AP66="7",BH66,0)</f>
        <v>0</v>
      </c>
      <c r="AE66" s="38">
        <f>IF(AP66="2",BG66,0)</f>
        <v>0</v>
      </c>
      <c r="AF66" s="38">
        <f>IF(AP66="2",BH66,0)</f>
        <v>0</v>
      </c>
      <c r="AG66" s="38">
        <f>IF(AP66="0",BI66,0)</f>
        <v>0</v>
      </c>
      <c r="AH66" s="33"/>
      <c r="AI66" s="16">
        <f>IF(AM66=0,J66,0)</f>
        <v>0</v>
      </c>
      <c r="AJ66" s="16">
        <f>IF(AM66=15,J66,0)</f>
        <v>0</v>
      </c>
      <c r="AK66" s="16">
        <f>IF(AM66=21,J66,0)</f>
        <v>0</v>
      </c>
      <c r="AM66" s="38">
        <v>15</v>
      </c>
      <c r="AN66" s="38">
        <f>I66*0.491520875033313</f>
        <v>0</v>
      </c>
      <c r="AO66" s="38">
        <f>I66*(1-0.491520875033313)</f>
        <v>0</v>
      </c>
      <c r="AP66" s="34" t="s">
        <v>7</v>
      </c>
      <c r="AU66" s="38">
        <f>AV66+AW66</f>
        <v>0</v>
      </c>
      <c r="AV66" s="38">
        <f>H66*AN66</f>
        <v>0</v>
      </c>
      <c r="AW66" s="38">
        <f>H66*AO66</f>
        <v>0</v>
      </c>
      <c r="AX66" s="39" t="s">
        <v>323</v>
      </c>
      <c r="AY66" s="39" t="s">
        <v>332</v>
      </c>
      <c r="AZ66" s="33" t="s">
        <v>336</v>
      </c>
      <c r="BB66" s="38">
        <f>AV66+AW66</f>
        <v>0</v>
      </c>
      <c r="BC66" s="38">
        <f>I66/(100-BD66)*100</f>
        <v>0</v>
      </c>
      <c r="BD66" s="38">
        <v>0</v>
      </c>
      <c r="BE66" s="38">
        <f>66</f>
        <v>66</v>
      </c>
      <c r="BG66" s="16">
        <f>H66*AN66</f>
        <v>0</v>
      </c>
      <c r="BH66" s="16">
        <f>H66*AO66</f>
        <v>0</v>
      </c>
      <c r="BI66" s="16">
        <f>H66*I66</f>
        <v>0</v>
      </c>
    </row>
    <row r="67" spans="3:9" ht="12.75">
      <c r="C67" s="85" t="s">
        <v>165</v>
      </c>
      <c r="D67" s="86"/>
      <c r="E67" s="86"/>
      <c r="F67" s="86"/>
      <c r="I67" s="24"/>
    </row>
    <row r="68" spans="3:9" ht="12.75">
      <c r="C68" s="79" t="s">
        <v>166</v>
      </c>
      <c r="D68" s="80"/>
      <c r="E68" s="80"/>
      <c r="F68" s="80"/>
      <c r="H68" s="17">
        <v>1.5</v>
      </c>
      <c r="I68" s="24"/>
    </row>
    <row r="69" spans="3:9" ht="12.75">
      <c r="C69" s="79" t="s">
        <v>167</v>
      </c>
      <c r="D69" s="80"/>
      <c r="E69" s="80"/>
      <c r="F69" s="80"/>
      <c r="H69" s="17">
        <v>1.5</v>
      </c>
      <c r="I69" s="24"/>
    </row>
    <row r="70" spans="3:9" ht="12.75">
      <c r="C70" s="79" t="s">
        <v>168</v>
      </c>
      <c r="D70" s="80"/>
      <c r="E70" s="80"/>
      <c r="F70" s="80"/>
      <c r="H70" s="17">
        <v>1.3</v>
      </c>
      <c r="I70" s="24"/>
    </row>
    <row r="71" spans="1:61" ht="12.75">
      <c r="A71" s="4" t="s">
        <v>16</v>
      </c>
      <c r="B71" s="4" t="s">
        <v>65</v>
      </c>
      <c r="C71" s="83" t="s">
        <v>169</v>
      </c>
      <c r="D71" s="84"/>
      <c r="E71" s="84"/>
      <c r="F71" s="84"/>
      <c r="G71" s="4" t="s">
        <v>298</v>
      </c>
      <c r="H71" s="16">
        <v>3</v>
      </c>
      <c r="I71" s="23">
        <v>0</v>
      </c>
      <c r="J71" s="16">
        <f>H71*I71</f>
        <v>0</v>
      </c>
      <c r="K71" s="16">
        <v>0.00876</v>
      </c>
      <c r="Y71" s="38">
        <f>IF(AP71="5",BI71,0)</f>
        <v>0</v>
      </c>
      <c r="AA71" s="38">
        <f>IF(AP71="1",BG71,0)</f>
        <v>0</v>
      </c>
      <c r="AB71" s="38">
        <f>IF(AP71="1",BH71,0)</f>
        <v>0</v>
      </c>
      <c r="AC71" s="38">
        <f>IF(AP71="7",BG71,0)</f>
        <v>0</v>
      </c>
      <c r="AD71" s="38">
        <f>IF(AP71="7",BH71,0)</f>
        <v>0</v>
      </c>
      <c r="AE71" s="38">
        <f>IF(AP71="2",BG71,0)</f>
        <v>0</v>
      </c>
      <c r="AF71" s="38">
        <f>IF(AP71="2",BH71,0)</f>
        <v>0</v>
      </c>
      <c r="AG71" s="38">
        <f>IF(AP71="0",BI71,0)</f>
        <v>0</v>
      </c>
      <c r="AH71" s="33"/>
      <c r="AI71" s="16">
        <f>IF(AM71=0,J71,0)</f>
        <v>0</v>
      </c>
      <c r="AJ71" s="16">
        <f>IF(AM71=15,J71,0)</f>
        <v>0</v>
      </c>
      <c r="AK71" s="16">
        <f>IF(AM71=21,J71,0)</f>
        <v>0</v>
      </c>
      <c r="AM71" s="38">
        <v>15</v>
      </c>
      <c r="AN71" s="38">
        <f>I71*0.645259259259259</f>
        <v>0</v>
      </c>
      <c r="AO71" s="38">
        <f>I71*(1-0.645259259259259)</f>
        <v>0</v>
      </c>
      <c r="AP71" s="34" t="s">
        <v>7</v>
      </c>
      <c r="AU71" s="38">
        <f>AV71+AW71</f>
        <v>0</v>
      </c>
      <c r="AV71" s="38">
        <f>H71*AN71</f>
        <v>0</v>
      </c>
      <c r="AW71" s="38">
        <f>H71*AO71</f>
        <v>0</v>
      </c>
      <c r="AX71" s="39" t="s">
        <v>323</v>
      </c>
      <c r="AY71" s="39" t="s">
        <v>332</v>
      </c>
      <c r="AZ71" s="33" t="s">
        <v>336</v>
      </c>
      <c r="BB71" s="38">
        <f>AV71+AW71</f>
        <v>0</v>
      </c>
      <c r="BC71" s="38">
        <f>I71/(100-BD71)*100</f>
        <v>0</v>
      </c>
      <c r="BD71" s="38">
        <v>0</v>
      </c>
      <c r="BE71" s="38">
        <f>71</f>
        <v>71</v>
      </c>
      <c r="BG71" s="16">
        <f>H71*AN71</f>
        <v>0</v>
      </c>
      <c r="BH71" s="16">
        <f>H71*AO71</f>
        <v>0</v>
      </c>
      <c r="BI71" s="16">
        <f>H71*I71</f>
        <v>0</v>
      </c>
    </row>
    <row r="72" spans="3:9" ht="12.75">
      <c r="C72" s="85" t="s">
        <v>170</v>
      </c>
      <c r="D72" s="86"/>
      <c r="E72" s="86"/>
      <c r="F72" s="86"/>
      <c r="I72" s="24"/>
    </row>
    <row r="73" spans="3:9" ht="12.75">
      <c r="C73" s="79" t="s">
        <v>171</v>
      </c>
      <c r="D73" s="80"/>
      <c r="E73" s="80"/>
      <c r="F73" s="80"/>
      <c r="H73" s="17">
        <v>1.5</v>
      </c>
      <c r="I73" s="24"/>
    </row>
    <row r="74" spans="3:9" ht="12.75">
      <c r="C74" s="79" t="s">
        <v>172</v>
      </c>
      <c r="D74" s="80"/>
      <c r="E74" s="80"/>
      <c r="F74" s="80"/>
      <c r="H74" s="17">
        <v>1.5</v>
      </c>
      <c r="I74" s="24"/>
    </row>
    <row r="75" spans="1:61" ht="12.75">
      <c r="A75" s="4" t="s">
        <v>17</v>
      </c>
      <c r="B75" s="4" t="s">
        <v>66</v>
      </c>
      <c r="C75" s="83" t="s">
        <v>169</v>
      </c>
      <c r="D75" s="84"/>
      <c r="E75" s="84"/>
      <c r="F75" s="84"/>
      <c r="G75" s="4" t="s">
        <v>298</v>
      </c>
      <c r="H75" s="16">
        <v>14.25</v>
      </c>
      <c r="I75" s="23">
        <v>0</v>
      </c>
      <c r="J75" s="16">
        <f>H75*I75</f>
        <v>0</v>
      </c>
      <c r="K75" s="16">
        <v>0.00616</v>
      </c>
      <c r="Y75" s="38">
        <f>IF(AP75="5",BI75,0)</f>
        <v>0</v>
      </c>
      <c r="AA75" s="38">
        <f>IF(AP75="1",BG75,0)</f>
        <v>0</v>
      </c>
      <c r="AB75" s="38">
        <f>IF(AP75="1",BH75,0)</f>
        <v>0</v>
      </c>
      <c r="AC75" s="38">
        <f>IF(AP75="7",BG75,0)</f>
        <v>0</v>
      </c>
      <c r="AD75" s="38">
        <f>IF(AP75="7",BH75,0)</f>
        <v>0</v>
      </c>
      <c r="AE75" s="38">
        <f>IF(AP75="2",BG75,0)</f>
        <v>0</v>
      </c>
      <c r="AF75" s="38">
        <f>IF(AP75="2",BH75,0)</f>
        <v>0</v>
      </c>
      <c r="AG75" s="38">
        <f>IF(AP75="0",BI75,0)</f>
        <v>0</v>
      </c>
      <c r="AH75" s="33"/>
      <c r="AI75" s="16">
        <f>IF(AM75=0,J75,0)</f>
        <v>0</v>
      </c>
      <c r="AJ75" s="16">
        <f>IF(AM75=15,J75,0)</f>
        <v>0</v>
      </c>
      <c r="AK75" s="16">
        <f>IF(AM75=21,J75,0)</f>
        <v>0</v>
      </c>
      <c r="AM75" s="38">
        <v>15</v>
      </c>
      <c r="AN75" s="38">
        <f>I75*0.532209836817607</f>
        <v>0</v>
      </c>
      <c r="AO75" s="38">
        <f>I75*(1-0.532209836817607)</f>
        <v>0</v>
      </c>
      <c r="AP75" s="34" t="s">
        <v>7</v>
      </c>
      <c r="AU75" s="38">
        <f>AV75+AW75</f>
        <v>0</v>
      </c>
      <c r="AV75" s="38">
        <f>H75*AN75</f>
        <v>0</v>
      </c>
      <c r="AW75" s="38">
        <f>H75*AO75</f>
        <v>0</v>
      </c>
      <c r="AX75" s="39" t="s">
        <v>323</v>
      </c>
      <c r="AY75" s="39" t="s">
        <v>332</v>
      </c>
      <c r="AZ75" s="33" t="s">
        <v>336</v>
      </c>
      <c r="BB75" s="38">
        <f>AV75+AW75</f>
        <v>0</v>
      </c>
      <c r="BC75" s="38">
        <f>I75/(100-BD75)*100</f>
        <v>0</v>
      </c>
      <c r="BD75" s="38">
        <v>0</v>
      </c>
      <c r="BE75" s="38">
        <f>75</f>
        <v>75</v>
      </c>
      <c r="BG75" s="16">
        <f>H75*AN75</f>
        <v>0</v>
      </c>
      <c r="BH75" s="16">
        <f>H75*AO75</f>
        <v>0</v>
      </c>
      <c r="BI75" s="16">
        <f>H75*I75</f>
        <v>0</v>
      </c>
    </row>
    <row r="76" spans="3:9" ht="12.75">
      <c r="C76" s="85" t="s">
        <v>173</v>
      </c>
      <c r="D76" s="86"/>
      <c r="E76" s="86"/>
      <c r="F76" s="86"/>
      <c r="I76" s="24"/>
    </row>
    <row r="77" spans="3:9" ht="12.75">
      <c r="C77" s="79" t="s">
        <v>174</v>
      </c>
      <c r="D77" s="80"/>
      <c r="E77" s="80"/>
      <c r="F77" s="80"/>
      <c r="H77" s="17">
        <v>2.4</v>
      </c>
      <c r="I77" s="24"/>
    </row>
    <row r="78" spans="3:9" ht="12.75">
      <c r="C78" s="79" t="s">
        <v>175</v>
      </c>
      <c r="D78" s="80"/>
      <c r="E78" s="80"/>
      <c r="F78" s="80"/>
      <c r="H78" s="17">
        <v>9.6</v>
      </c>
      <c r="I78" s="24"/>
    </row>
    <row r="79" spans="3:9" ht="12.75">
      <c r="C79" s="79" t="s">
        <v>176</v>
      </c>
      <c r="D79" s="80"/>
      <c r="E79" s="80"/>
      <c r="F79" s="80"/>
      <c r="H79" s="17">
        <v>2.25</v>
      </c>
      <c r="I79" s="24"/>
    </row>
    <row r="80" spans="1:46" ht="12.75">
      <c r="A80" s="5"/>
      <c r="B80" s="13" t="s">
        <v>67</v>
      </c>
      <c r="C80" s="81" t="s">
        <v>177</v>
      </c>
      <c r="D80" s="82"/>
      <c r="E80" s="82"/>
      <c r="F80" s="82"/>
      <c r="G80" s="5" t="s">
        <v>6</v>
      </c>
      <c r="H80" s="5" t="s">
        <v>6</v>
      </c>
      <c r="I80" s="25" t="s">
        <v>6</v>
      </c>
      <c r="J80" s="41">
        <f>SUM(J81:J106)</f>
        <v>0</v>
      </c>
      <c r="K80" s="33"/>
      <c r="AH80" s="33"/>
      <c r="AR80" s="41">
        <f>SUM(AI81:AI106)</f>
        <v>0</v>
      </c>
      <c r="AS80" s="41">
        <f>SUM(AJ81:AJ106)</f>
        <v>0</v>
      </c>
      <c r="AT80" s="41">
        <f>SUM(AK81:AK106)</f>
        <v>0</v>
      </c>
    </row>
    <row r="81" spans="1:61" ht="12.75">
      <c r="A81" s="4" t="s">
        <v>18</v>
      </c>
      <c r="B81" s="4" t="s">
        <v>68</v>
      </c>
      <c r="C81" s="83" t="s">
        <v>178</v>
      </c>
      <c r="D81" s="84"/>
      <c r="E81" s="84"/>
      <c r="F81" s="84"/>
      <c r="G81" s="4" t="s">
        <v>298</v>
      </c>
      <c r="H81" s="16">
        <v>28.78</v>
      </c>
      <c r="I81" s="23">
        <v>0</v>
      </c>
      <c r="J81" s="16">
        <f>H81*I81</f>
        <v>0</v>
      </c>
      <c r="K81" s="16">
        <v>0.00135</v>
      </c>
      <c r="Y81" s="38">
        <f>IF(AP81="5",BI81,0)</f>
        <v>0</v>
      </c>
      <c r="AA81" s="38">
        <f>IF(AP81="1",BG81,0)</f>
        <v>0</v>
      </c>
      <c r="AB81" s="38">
        <f>IF(AP81="1",BH81,0)</f>
        <v>0</v>
      </c>
      <c r="AC81" s="38">
        <f>IF(AP81="7",BG81,0)</f>
        <v>0</v>
      </c>
      <c r="AD81" s="38">
        <f>IF(AP81="7",BH81,0)</f>
        <v>0</v>
      </c>
      <c r="AE81" s="38">
        <f>IF(AP81="2",BG81,0)</f>
        <v>0</v>
      </c>
      <c r="AF81" s="38">
        <f>IF(AP81="2",BH81,0)</f>
        <v>0</v>
      </c>
      <c r="AG81" s="38">
        <f>IF(AP81="0",BI81,0)</f>
        <v>0</v>
      </c>
      <c r="AH81" s="33"/>
      <c r="AI81" s="16">
        <f>IF(AM81=0,J81,0)</f>
        <v>0</v>
      </c>
      <c r="AJ81" s="16">
        <f>IF(AM81=15,J81,0)</f>
        <v>0</v>
      </c>
      <c r="AK81" s="16">
        <f>IF(AM81=21,J81,0)</f>
        <v>0</v>
      </c>
      <c r="AM81" s="38">
        <v>15</v>
      </c>
      <c r="AN81" s="38">
        <f>I81*0</f>
        <v>0</v>
      </c>
      <c r="AO81" s="38">
        <f>I81*(1-0)</f>
        <v>0</v>
      </c>
      <c r="AP81" s="34" t="s">
        <v>13</v>
      </c>
      <c r="AU81" s="38">
        <f>AV81+AW81</f>
        <v>0</v>
      </c>
      <c r="AV81" s="38">
        <f>H81*AN81</f>
        <v>0</v>
      </c>
      <c r="AW81" s="38">
        <f>H81*AO81</f>
        <v>0</v>
      </c>
      <c r="AX81" s="39" t="s">
        <v>324</v>
      </c>
      <c r="AY81" s="39" t="s">
        <v>333</v>
      </c>
      <c r="AZ81" s="33" t="s">
        <v>336</v>
      </c>
      <c r="BB81" s="38">
        <f>AV81+AW81</f>
        <v>0</v>
      </c>
      <c r="BC81" s="38">
        <f>I81/(100-BD81)*100</f>
        <v>0</v>
      </c>
      <c r="BD81" s="38">
        <v>0</v>
      </c>
      <c r="BE81" s="38">
        <f>81</f>
        <v>81</v>
      </c>
      <c r="BG81" s="16">
        <f>H81*AN81</f>
        <v>0</v>
      </c>
      <c r="BH81" s="16">
        <f>H81*AO81</f>
        <v>0</v>
      </c>
      <c r="BI81" s="16">
        <f>H81*I81</f>
        <v>0</v>
      </c>
    </row>
    <row r="82" spans="3:9" ht="12.75">
      <c r="C82" s="79" t="s">
        <v>179</v>
      </c>
      <c r="D82" s="80"/>
      <c r="E82" s="80"/>
      <c r="F82" s="80"/>
      <c r="H82" s="17">
        <v>2.2</v>
      </c>
      <c r="I82" s="24"/>
    </row>
    <row r="83" spans="3:9" ht="12.75">
      <c r="C83" s="79" t="s">
        <v>180</v>
      </c>
      <c r="D83" s="80"/>
      <c r="E83" s="80"/>
      <c r="F83" s="80"/>
      <c r="H83" s="17">
        <v>9</v>
      </c>
      <c r="I83" s="24"/>
    </row>
    <row r="84" spans="3:9" ht="12.75">
      <c r="C84" s="79" t="s">
        <v>181</v>
      </c>
      <c r="D84" s="80"/>
      <c r="E84" s="80"/>
      <c r="F84" s="80"/>
      <c r="H84" s="17">
        <v>2.1</v>
      </c>
      <c r="I84" s="24"/>
    </row>
    <row r="85" spans="3:9" ht="12.75">
      <c r="C85" s="79" t="s">
        <v>182</v>
      </c>
      <c r="D85" s="80"/>
      <c r="E85" s="80"/>
      <c r="F85" s="80"/>
      <c r="H85" s="17">
        <v>4.5</v>
      </c>
      <c r="I85" s="24"/>
    </row>
    <row r="86" spans="3:9" ht="12.75">
      <c r="C86" s="79" t="s">
        <v>183</v>
      </c>
      <c r="D86" s="80"/>
      <c r="E86" s="80"/>
      <c r="F86" s="80"/>
      <c r="H86" s="17">
        <v>1.3</v>
      </c>
      <c r="I86" s="24"/>
    </row>
    <row r="87" spans="3:9" ht="12.75">
      <c r="C87" s="79" t="s">
        <v>168</v>
      </c>
      <c r="D87" s="80"/>
      <c r="E87" s="80"/>
      <c r="F87" s="80"/>
      <c r="H87" s="17">
        <v>1.3</v>
      </c>
      <c r="I87" s="24"/>
    </row>
    <row r="88" spans="3:9" ht="12.75">
      <c r="C88" s="79" t="s">
        <v>184</v>
      </c>
      <c r="D88" s="80"/>
      <c r="E88" s="80"/>
      <c r="F88" s="80"/>
      <c r="H88" s="17">
        <v>2.2</v>
      </c>
      <c r="I88" s="24"/>
    </row>
    <row r="89" spans="3:9" ht="12.75">
      <c r="C89" s="79" t="s">
        <v>172</v>
      </c>
      <c r="D89" s="80"/>
      <c r="E89" s="80"/>
      <c r="F89" s="80"/>
      <c r="H89" s="17">
        <v>1.5</v>
      </c>
      <c r="I89" s="24"/>
    </row>
    <row r="90" spans="3:9" ht="12.75">
      <c r="C90" s="79" t="s">
        <v>185</v>
      </c>
      <c r="D90" s="80"/>
      <c r="E90" s="80"/>
      <c r="F90" s="80"/>
      <c r="H90" s="17">
        <v>3</v>
      </c>
      <c r="I90" s="24"/>
    </row>
    <row r="91" spans="3:9" ht="12.75">
      <c r="C91" s="79" t="s">
        <v>186</v>
      </c>
      <c r="D91" s="80"/>
      <c r="E91" s="80"/>
      <c r="F91" s="80"/>
      <c r="H91" s="17">
        <v>0.56</v>
      </c>
      <c r="I91" s="24"/>
    </row>
    <row r="92" spans="3:9" ht="12.75">
      <c r="C92" s="79" t="s">
        <v>187</v>
      </c>
      <c r="D92" s="80"/>
      <c r="E92" s="80"/>
      <c r="F92" s="80"/>
      <c r="H92" s="17">
        <v>0.56</v>
      </c>
      <c r="I92" s="24"/>
    </row>
    <row r="93" spans="3:9" ht="12.75">
      <c r="C93" s="79" t="s">
        <v>188</v>
      </c>
      <c r="D93" s="80"/>
      <c r="E93" s="80"/>
      <c r="F93" s="80"/>
      <c r="H93" s="17">
        <v>0.56</v>
      </c>
      <c r="I93" s="24"/>
    </row>
    <row r="94" spans="1:61" ht="12.75">
      <c r="A94" s="4" t="s">
        <v>19</v>
      </c>
      <c r="B94" s="4" t="s">
        <v>69</v>
      </c>
      <c r="C94" s="83" t="s">
        <v>189</v>
      </c>
      <c r="D94" s="84"/>
      <c r="E94" s="84"/>
      <c r="F94" s="84"/>
      <c r="G94" s="4" t="s">
        <v>298</v>
      </c>
      <c r="H94" s="16">
        <v>0</v>
      </c>
      <c r="I94" s="23">
        <v>0</v>
      </c>
      <c r="J94" s="16">
        <f>H94*I94</f>
        <v>0</v>
      </c>
      <c r="K94" s="16">
        <v>0.00287</v>
      </c>
      <c r="Y94" s="38">
        <f>IF(AP94="5",BI94,0)</f>
        <v>0</v>
      </c>
      <c r="AA94" s="38">
        <f>IF(AP94="1",BG94,0)</f>
        <v>0</v>
      </c>
      <c r="AB94" s="38">
        <f>IF(AP94="1",BH94,0)</f>
        <v>0</v>
      </c>
      <c r="AC94" s="38">
        <f>IF(AP94="7",BG94,0)</f>
        <v>0</v>
      </c>
      <c r="AD94" s="38">
        <f>IF(AP94="7",BH94,0)</f>
        <v>0</v>
      </c>
      <c r="AE94" s="38">
        <f>IF(AP94="2",BG94,0)</f>
        <v>0</v>
      </c>
      <c r="AF94" s="38">
        <f>IF(AP94="2",BH94,0)</f>
        <v>0</v>
      </c>
      <c r="AG94" s="38">
        <f>IF(AP94="0",BI94,0)</f>
        <v>0</v>
      </c>
      <c r="AH94" s="33"/>
      <c r="AI94" s="16">
        <f>IF(AM94=0,J94,0)</f>
        <v>0</v>
      </c>
      <c r="AJ94" s="16">
        <f>IF(AM94=15,J94,0)</f>
        <v>0</v>
      </c>
      <c r="AK94" s="16">
        <f>IF(AM94=21,J94,0)</f>
        <v>0</v>
      </c>
      <c r="AM94" s="38">
        <v>15</v>
      </c>
      <c r="AN94" s="38">
        <f>I94*0</f>
        <v>0</v>
      </c>
      <c r="AO94" s="38">
        <f>I94*(1-0)</f>
        <v>0</v>
      </c>
      <c r="AP94" s="34" t="s">
        <v>13</v>
      </c>
      <c r="AU94" s="38">
        <f>AV94+AW94</f>
        <v>0</v>
      </c>
      <c r="AV94" s="38">
        <f>H94*AN94</f>
        <v>0</v>
      </c>
      <c r="AW94" s="38">
        <f>H94*AO94</f>
        <v>0</v>
      </c>
      <c r="AX94" s="39" t="s">
        <v>324</v>
      </c>
      <c r="AY94" s="39" t="s">
        <v>333</v>
      </c>
      <c r="AZ94" s="33" t="s">
        <v>336</v>
      </c>
      <c r="BB94" s="38">
        <f>AV94+AW94</f>
        <v>0</v>
      </c>
      <c r="BC94" s="38">
        <f>I94/(100-BD94)*100</f>
        <v>0</v>
      </c>
      <c r="BD94" s="38">
        <v>0</v>
      </c>
      <c r="BE94" s="38">
        <f>94</f>
        <v>94</v>
      </c>
      <c r="BG94" s="16">
        <f>H94*AN94</f>
        <v>0</v>
      </c>
      <c r="BH94" s="16">
        <f>H94*AO94</f>
        <v>0</v>
      </c>
      <c r="BI94" s="16">
        <f>H94*I94</f>
        <v>0</v>
      </c>
    </row>
    <row r="95" spans="1:61" ht="12.75">
      <c r="A95" s="4" t="s">
        <v>20</v>
      </c>
      <c r="B95" s="4" t="s">
        <v>70</v>
      </c>
      <c r="C95" s="83" t="s">
        <v>190</v>
      </c>
      <c r="D95" s="84"/>
      <c r="E95" s="84"/>
      <c r="F95" s="84"/>
      <c r="G95" s="4" t="s">
        <v>298</v>
      </c>
      <c r="H95" s="16">
        <v>25.63</v>
      </c>
      <c r="I95" s="23">
        <v>0</v>
      </c>
      <c r="J95" s="16">
        <f>H95*I95</f>
        <v>0</v>
      </c>
      <c r="K95" s="16">
        <v>0.00224</v>
      </c>
      <c r="Y95" s="38">
        <f>IF(AP95="5",BI95,0)</f>
        <v>0</v>
      </c>
      <c r="AA95" s="38">
        <f>IF(AP95="1",BG95,0)</f>
        <v>0</v>
      </c>
      <c r="AB95" s="38">
        <f>IF(AP95="1",BH95,0)</f>
        <v>0</v>
      </c>
      <c r="AC95" s="38">
        <f>IF(AP95="7",BG95,0)</f>
        <v>0</v>
      </c>
      <c r="AD95" s="38">
        <f>IF(AP95="7",BH95,0)</f>
        <v>0</v>
      </c>
      <c r="AE95" s="38">
        <f>IF(AP95="2",BG95,0)</f>
        <v>0</v>
      </c>
      <c r="AF95" s="38">
        <f>IF(AP95="2",BH95,0)</f>
        <v>0</v>
      </c>
      <c r="AG95" s="38">
        <f>IF(AP95="0",BI95,0)</f>
        <v>0</v>
      </c>
      <c r="AH95" s="33"/>
      <c r="AI95" s="16">
        <f>IF(AM95=0,J95,0)</f>
        <v>0</v>
      </c>
      <c r="AJ95" s="16">
        <f>IF(AM95=15,J95,0)</f>
        <v>0</v>
      </c>
      <c r="AK95" s="16">
        <f>IF(AM95=21,J95,0)</f>
        <v>0</v>
      </c>
      <c r="AM95" s="38">
        <v>15</v>
      </c>
      <c r="AN95" s="38">
        <f>I95*0.58069272796625</f>
        <v>0</v>
      </c>
      <c r="AO95" s="38">
        <f>I95*(1-0.58069272796625)</f>
        <v>0</v>
      </c>
      <c r="AP95" s="34" t="s">
        <v>13</v>
      </c>
      <c r="AU95" s="38">
        <f>AV95+AW95</f>
        <v>0</v>
      </c>
      <c r="AV95" s="38">
        <f>H95*AN95</f>
        <v>0</v>
      </c>
      <c r="AW95" s="38">
        <f>H95*AO95</f>
        <v>0</v>
      </c>
      <c r="AX95" s="39" t="s">
        <v>324</v>
      </c>
      <c r="AY95" s="39" t="s">
        <v>333</v>
      </c>
      <c r="AZ95" s="33" t="s">
        <v>336</v>
      </c>
      <c r="BB95" s="38">
        <f>AV95+AW95</f>
        <v>0</v>
      </c>
      <c r="BC95" s="38">
        <f>I95/(100-BD95)*100</f>
        <v>0</v>
      </c>
      <c r="BD95" s="38">
        <v>0</v>
      </c>
      <c r="BE95" s="38">
        <f>95</f>
        <v>95</v>
      </c>
      <c r="BG95" s="16">
        <f>H95*AN95</f>
        <v>0</v>
      </c>
      <c r="BH95" s="16">
        <f>H95*AO95</f>
        <v>0</v>
      </c>
      <c r="BI95" s="16">
        <f>H95*I95</f>
        <v>0</v>
      </c>
    </row>
    <row r="96" spans="3:9" ht="12.75">
      <c r="C96" s="79" t="s">
        <v>151</v>
      </c>
      <c r="D96" s="80"/>
      <c r="E96" s="80"/>
      <c r="F96" s="80"/>
      <c r="H96" s="17">
        <v>2.4</v>
      </c>
      <c r="I96" s="24"/>
    </row>
    <row r="97" spans="3:9" ht="12.75">
      <c r="C97" s="79" t="s">
        <v>175</v>
      </c>
      <c r="D97" s="80"/>
      <c r="E97" s="80"/>
      <c r="F97" s="80"/>
      <c r="H97" s="17">
        <v>9.6</v>
      </c>
      <c r="I97" s="24"/>
    </row>
    <row r="98" spans="3:9" ht="12.75">
      <c r="C98" s="79" t="s">
        <v>191</v>
      </c>
      <c r="D98" s="80"/>
      <c r="E98" s="80"/>
      <c r="F98" s="80"/>
      <c r="H98" s="17">
        <v>2.13</v>
      </c>
      <c r="I98" s="24"/>
    </row>
    <row r="99" spans="3:9" ht="12.75">
      <c r="C99" s="79" t="s">
        <v>166</v>
      </c>
      <c r="D99" s="80"/>
      <c r="E99" s="80"/>
      <c r="F99" s="80"/>
      <c r="H99" s="17">
        <v>1.5</v>
      </c>
      <c r="I99" s="24"/>
    </row>
    <row r="100" spans="3:9" ht="12.75">
      <c r="C100" s="79" t="s">
        <v>167</v>
      </c>
      <c r="D100" s="80"/>
      <c r="E100" s="80"/>
      <c r="F100" s="80"/>
      <c r="H100" s="17">
        <v>1.5</v>
      </c>
      <c r="I100" s="24"/>
    </row>
    <row r="101" spans="3:9" ht="12.75">
      <c r="C101" s="79" t="s">
        <v>168</v>
      </c>
      <c r="D101" s="80"/>
      <c r="E101" s="80"/>
      <c r="F101" s="80"/>
      <c r="H101" s="17">
        <v>1.3</v>
      </c>
      <c r="I101" s="24"/>
    </row>
    <row r="102" spans="3:9" ht="12.75">
      <c r="C102" s="79" t="s">
        <v>171</v>
      </c>
      <c r="D102" s="80"/>
      <c r="E102" s="80"/>
      <c r="F102" s="80"/>
      <c r="H102" s="17">
        <v>1.5</v>
      </c>
      <c r="I102" s="24"/>
    </row>
    <row r="103" spans="3:9" ht="12.75">
      <c r="C103" s="79" t="s">
        <v>172</v>
      </c>
      <c r="D103" s="80"/>
      <c r="E103" s="80"/>
      <c r="F103" s="80"/>
      <c r="H103" s="17">
        <v>1.5</v>
      </c>
      <c r="I103" s="24"/>
    </row>
    <row r="104" spans="3:9" ht="12.75">
      <c r="C104" s="79" t="s">
        <v>159</v>
      </c>
      <c r="D104" s="80"/>
      <c r="E104" s="80"/>
      <c r="F104" s="80"/>
      <c r="H104" s="17">
        <v>3</v>
      </c>
      <c r="I104" s="24"/>
    </row>
    <row r="105" spans="3:9" ht="12.75">
      <c r="C105" s="79" t="s">
        <v>160</v>
      </c>
      <c r="D105" s="80"/>
      <c r="E105" s="80"/>
      <c r="F105" s="80"/>
      <c r="H105" s="17">
        <v>1.2</v>
      </c>
      <c r="I105" s="24"/>
    </row>
    <row r="106" spans="1:61" ht="12.75">
      <c r="A106" s="4" t="s">
        <v>21</v>
      </c>
      <c r="B106" s="4" t="s">
        <v>71</v>
      </c>
      <c r="C106" s="83" t="s">
        <v>192</v>
      </c>
      <c r="D106" s="84"/>
      <c r="E106" s="84"/>
      <c r="F106" s="84"/>
      <c r="G106" s="4" t="s">
        <v>300</v>
      </c>
      <c r="H106" s="16">
        <v>0.05741</v>
      </c>
      <c r="I106" s="23">
        <v>0</v>
      </c>
      <c r="J106" s="16">
        <f>H106*I106</f>
        <v>0</v>
      </c>
      <c r="K106" s="16">
        <v>0</v>
      </c>
      <c r="Y106" s="38">
        <f>IF(AP106="5",BI106,0)</f>
        <v>0</v>
      </c>
      <c r="AA106" s="38">
        <f>IF(AP106="1",BG106,0)</f>
        <v>0</v>
      </c>
      <c r="AB106" s="38">
        <f>IF(AP106="1",BH106,0)</f>
        <v>0</v>
      </c>
      <c r="AC106" s="38">
        <f>IF(AP106="7",BG106,0)</f>
        <v>0</v>
      </c>
      <c r="AD106" s="38">
        <f>IF(AP106="7",BH106,0)</f>
        <v>0</v>
      </c>
      <c r="AE106" s="38">
        <f>IF(AP106="2",BG106,0)</f>
        <v>0</v>
      </c>
      <c r="AF106" s="38">
        <f>IF(AP106="2",BH106,0)</f>
        <v>0</v>
      </c>
      <c r="AG106" s="38">
        <f>IF(AP106="0",BI106,0)</f>
        <v>0</v>
      </c>
      <c r="AH106" s="33"/>
      <c r="AI106" s="16">
        <f>IF(AM106=0,J106,0)</f>
        <v>0</v>
      </c>
      <c r="AJ106" s="16">
        <f>IF(AM106=15,J106,0)</f>
        <v>0</v>
      </c>
      <c r="AK106" s="16">
        <f>IF(AM106=21,J106,0)</f>
        <v>0</v>
      </c>
      <c r="AM106" s="38">
        <v>15</v>
      </c>
      <c r="AN106" s="38">
        <f>I106*0</f>
        <v>0</v>
      </c>
      <c r="AO106" s="38">
        <f>I106*(1-0)</f>
        <v>0</v>
      </c>
      <c r="AP106" s="34" t="s">
        <v>11</v>
      </c>
      <c r="AU106" s="38">
        <f>AV106+AW106</f>
        <v>0</v>
      </c>
      <c r="AV106" s="38">
        <f>H106*AN106</f>
        <v>0</v>
      </c>
      <c r="AW106" s="38">
        <f>H106*AO106</f>
        <v>0</v>
      </c>
      <c r="AX106" s="39" t="s">
        <v>324</v>
      </c>
      <c r="AY106" s="39" t="s">
        <v>333</v>
      </c>
      <c r="AZ106" s="33" t="s">
        <v>336</v>
      </c>
      <c r="BB106" s="38">
        <f>AV106+AW106</f>
        <v>0</v>
      </c>
      <c r="BC106" s="38">
        <f>I106/(100-BD106)*100</f>
        <v>0</v>
      </c>
      <c r="BD106" s="38">
        <v>0</v>
      </c>
      <c r="BE106" s="38">
        <f>106</f>
        <v>106</v>
      </c>
      <c r="BG106" s="16">
        <f>H106*AN106</f>
        <v>0</v>
      </c>
      <c r="BH106" s="16">
        <f>H106*AO106</f>
        <v>0</v>
      </c>
      <c r="BI106" s="16">
        <f>H106*I106</f>
        <v>0</v>
      </c>
    </row>
    <row r="107" spans="1:46" ht="12.75">
      <c r="A107" s="5"/>
      <c r="B107" s="13" t="s">
        <v>72</v>
      </c>
      <c r="C107" s="81" t="s">
        <v>193</v>
      </c>
      <c r="D107" s="82"/>
      <c r="E107" s="82"/>
      <c r="F107" s="82"/>
      <c r="G107" s="5" t="s">
        <v>6</v>
      </c>
      <c r="H107" s="5" t="s">
        <v>6</v>
      </c>
      <c r="I107" s="25" t="s">
        <v>6</v>
      </c>
      <c r="J107" s="41">
        <f>SUM(J108:J142)</f>
        <v>0</v>
      </c>
      <c r="K107" s="33"/>
      <c r="AH107" s="33"/>
      <c r="AR107" s="41">
        <f>SUM(AI108:AI142)</f>
        <v>0</v>
      </c>
      <c r="AS107" s="41">
        <f>SUM(AJ108:AJ142)</f>
        <v>0</v>
      </c>
      <c r="AT107" s="41">
        <f>SUM(AK108:AK142)</f>
        <v>0</v>
      </c>
    </row>
    <row r="108" spans="1:61" ht="12.75">
      <c r="A108" s="4" t="s">
        <v>22</v>
      </c>
      <c r="B108" s="4" t="s">
        <v>73</v>
      </c>
      <c r="C108" s="83" t="s">
        <v>194</v>
      </c>
      <c r="D108" s="84"/>
      <c r="E108" s="84"/>
      <c r="F108" s="84"/>
      <c r="G108" s="4" t="s">
        <v>301</v>
      </c>
      <c r="H108" s="16">
        <v>2</v>
      </c>
      <c r="I108" s="23">
        <v>0</v>
      </c>
      <c r="J108" s="16">
        <f>H108*I108</f>
        <v>0</v>
      </c>
      <c r="K108" s="16">
        <v>0.1</v>
      </c>
      <c r="Y108" s="38">
        <f>IF(AP108="5",BI108,0)</f>
        <v>0</v>
      </c>
      <c r="AA108" s="38">
        <f>IF(AP108="1",BG108,0)</f>
        <v>0</v>
      </c>
      <c r="AB108" s="38">
        <f>IF(AP108="1",BH108,0)</f>
        <v>0</v>
      </c>
      <c r="AC108" s="38">
        <f>IF(AP108="7",BG108,0)</f>
        <v>0</v>
      </c>
      <c r="AD108" s="38">
        <f>IF(AP108="7",BH108,0)</f>
        <v>0</v>
      </c>
      <c r="AE108" s="38">
        <f>IF(AP108="2",BG108,0)</f>
        <v>0</v>
      </c>
      <c r="AF108" s="38">
        <f>IF(AP108="2",BH108,0)</f>
        <v>0</v>
      </c>
      <c r="AG108" s="38">
        <f>IF(AP108="0",BI108,0)</f>
        <v>0</v>
      </c>
      <c r="AH108" s="33"/>
      <c r="AI108" s="16">
        <f>IF(AM108=0,J108,0)</f>
        <v>0</v>
      </c>
      <c r="AJ108" s="16">
        <f>IF(AM108=15,J108,0)</f>
        <v>0</v>
      </c>
      <c r="AK108" s="16">
        <f>IF(AM108=21,J108,0)</f>
        <v>0</v>
      </c>
      <c r="AM108" s="38">
        <v>15</v>
      </c>
      <c r="AN108" s="38">
        <f>I108*0</f>
        <v>0</v>
      </c>
      <c r="AO108" s="38">
        <f>I108*(1-0)</f>
        <v>0</v>
      </c>
      <c r="AP108" s="34" t="s">
        <v>13</v>
      </c>
      <c r="AU108" s="38">
        <f>AV108+AW108</f>
        <v>0</v>
      </c>
      <c r="AV108" s="38">
        <f>H108*AN108</f>
        <v>0</v>
      </c>
      <c r="AW108" s="38">
        <f>H108*AO108</f>
        <v>0</v>
      </c>
      <c r="AX108" s="39" t="s">
        <v>325</v>
      </c>
      <c r="AY108" s="39" t="s">
        <v>333</v>
      </c>
      <c r="AZ108" s="33" t="s">
        <v>336</v>
      </c>
      <c r="BB108" s="38">
        <f>AV108+AW108</f>
        <v>0</v>
      </c>
      <c r="BC108" s="38">
        <f>I108/(100-BD108)*100</f>
        <v>0</v>
      </c>
      <c r="BD108" s="38">
        <v>0</v>
      </c>
      <c r="BE108" s="38">
        <f>108</f>
        <v>108</v>
      </c>
      <c r="BG108" s="16">
        <f>H108*AN108</f>
        <v>0</v>
      </c>
      <c r="BH108" s="16">
        <f>H108*AO108</f>
        <v>0</v>
      </c>
      <c r="BI108" s="16">
        <f>H108*I108</f>
        <v>0</v>
      </c>
    </row>
    <row r="109" spans="3:9" ht="12.75">
      <c r="C109" s="85" t="s">
        <v>195</v>
      </c>
      <c r="D109" s="86"/>
      <c r="E109" s="86"/>
      <c r="F109" s="86"/>
      <c r="I109" s="24"/>
    </row>
    <row r="110" spans="3:9" ht="12.75">
      <c r="C110" s="79" t="s">
        <v>196</v>
      </c>
      <c r="D110" s="80"/>
      <c r="E110" s="80"/>
      <c r="F110" s="80"/>
      <c r="H110" s="17">
        <v>2</v>
      </c>
      <c r="I110" s="24"/>
    </row>
    <row r="111" spans="1:61" ht="12.75">
      <c r="A111" s="4" t="s">
        <v>23</v>
      </c>
      <c r="B111" s="4" t="s">
        <v>74</v>
      </c>
      <c r="C111" s="83" t="s">
        <v>197</v>
      </c>
      <c r="D111" s="84"/>
      <c r="E111" s="84"/>
      <c r="F111" s="84"/>
      <c r="G111" s="4" t="s">
        <v>301</v>
      </c>
      <c r="H111" s="16">
        <v>6</v>
      </c>
      <c r="I111" s="23">
        <v>0</v>
      </c>
      <c r="J111" s="16">
        <f>H111*I111</f>
        <v>0</v>
      </c>
      <c r="K111" s="16">
        <v>0.1216</v>
      </c>
      <c r="Y111" s="38">
        <f>IF(AP111="5",BI111,0)</f>
        <v>0</v>
      </c>
      <c r="AA111" s="38">
        <f>IF(AP111="1",BG111,0)</f>
        <v>0</v>
      </c>
      <c r="AB111" s="38">
        <f>IF(AP111="1",BH111,0)</f>
        <v>0</v>
      </c>
      <c r="AC111" s="38">
        <f>IF(AP111="7",BG111,0)</f>
        <v>0</v>
      </c>
      <c r="AD111" s="38">
        <f>IF(AP111="7",BH111,0)</f>
        <v>0</v>
      </c>
      <c r="AE111" s="38">
        <f>IF(AP111="2",BG111,0)</f>
        <v>0</v>
      </c>
      <c r="AF111" s="38">
        <f>IF(AP111="2",BH111,0)</f>
        <v>0</v>
      </c>
      <c r="AG111" s="38">
        <f>IF(AP111="0",BI111,0)</f>
        <v>0</v>
      </c>
      <c r="AH111" s="33"/>
      <c r="AI111" s="16">
        <f>IF(AM111=0,J111,0)</f>
        <v>0</v>
      </c>
      <c r="AJ111" s="16">
        <f>IF(AM111=15,J111,0)</f>
        <v>0</v>
      </c>
      <c r="AK111" s="16">
        <f>IF(AM111=21,J111,0)</f>
        <v>0</v>
      </c>
      <c r="AM111" s="38">
        <v>15</v>
      </c>
      <c r="AN111" s="38">
        <f>I111*0</f>
        <v>0</v>
      </c>
      <c r="AO111" s="38">
        <f>I111*(1-0)</f>
        <v>0</v>
      </c>
      <c r="AP111" s="34" t="s">
        <v>13</v>
      </c>
      <c r="AU111" s="38">
        <f>AV111+AW111</f>
        <v>0</v>
      </c>
      <c r="AV111" s="38">
        <f>H111*AN111</f>
        <v>0</v>
      </c>
      <c r="AW111" s="38">
        <f>H111*AO111</f>
        <v>0</v>
      </c>
      <c r="AX111" s="39" t="s">
        <v>325</v>
      </c>
      <c r="AY111" s="39" t="s">
        <v>333</v>
      </c>
      <c r="AZ111" s="33" t="s">
        <v>336</v>
      </c>
      <c r="BB111" s="38">
        <f>AV111+AW111</f>
        <v>0</v>
      </c>
      <c r="BC111" s="38">
        <f>I111/(100-BD111)*100</f>
        <v>0</v>
      </c>
      <c r="BD111" s="38">
        <v>0</v>
      </c>
      <c r="BE111" s="38">
        <f>111</f>
        <v>111</v>
      </c>
      <c r="BG111" s="16">
        <f>H111*AN111</f>
        <v>0</v>
      </c>
      <c r="BH111" s="16">
        <f>H111*AO111</f>
        <v>0</v>
      </c>
      <c r="BI111" s="16">
        <f>H111*I111</f>
        <v>0</v>
      </c>
    </row>
    <row r="112" spans="3:9" ht="12.75">
      <c r="C112" s="85" t="s">
        <v>195</v>
      </c>
      <c r="D112" s="86"/>
      <c r="E112" s="86"/>
      <c r="F112" s="86"/>
      <c r="I112" s="24"/>
    </row>
    <row r="113" spans="3:9" ht="12.75">
      <c r="C113" s="79" t="s">
        <v>198</v>
      </c>
      <c r="D113" s="80"/>
      <c r="E113" s="80"/>
      <c r="F113" s="80"/>
      <c r="H113" s="17">
        <v>6</v>
      </c>
      <c r="I113" s="24"/>
    </row>
    <row r="114" spans="1:61" ht="12.75">
      <c r="A114" s="4" t="s">
        <v>24</v>
      </c>
      <c r="B114" s="4" t="s">
        <v>75</v>
      </c>
      <c r="C114" s="83" t="s">
        <v>199</v>
      </c>
      <c r="D114" s="84"/>
      <c r="E114" s="84"/>
      <c r="F114" s="84"/>
      <c r="G114" s="4" t="s">
        <v>301</v>
      </c>
      <c r="H114" s="16">
        <v>3</v>
      </c>
      <c r="I114" s="23">
        <v>0</v>
      </c>
      <c r="J114" s="16">
        <f>H114*I114</f>
        <v>0</v>
      </c>
      <c r="K114" s="16">
        <v>0.0528</v>
      </c>
      <c r="Y114" s="38">
        <f>IF(AP114="5",BI114,0)</f>
        <v>0</v>
      </c>
      <c r="AA114" s="38">
        <f>IF(AP114="1",BG114,0)</f>
        <v>0</v>
      </c>
      <c r="AB114" s="38">
        <f>IF(AP114="1",BH114,0)</f>
        <v>0</v>
      </c>
      <c r="AC114" s="38">
        <f>IF(AP114="7",BG114,0)</f>
        <v>0</v>
      </c>
      <c r="AD114" s="38">
        <f>IF(AP114="7",BH114,0)</f>
        <v>0</v>
      </c>
      <c r="AE114" s="38">
        <f>IF(AP114="2",BG114,0)</f>
        <v>0</v>
      </c>
      <c r="AF114" s="38">
        <f>IF(AP114="2",BH114,0)</f>
        <v>0</v>
      </c>
      <c r="AG114" s="38">
        <f>IF(AP114="0",BI114,0)</f>
        <v>0</v>
      </c>
      <c r="AH114" s="33"/>
      <c r="AI114" s="16">
        <f>IF(AM114=0,J114,0)</f>
        <v>0</v>
      </c>
      <c r="AJ114" s="16">
        <f>IF(AM114=15,J114,0)</f>
        <v>0</v>
      </c>
      <c r="AK114" s="16">
        <f>IF(AM114=21,J114,0)</f>
        <v>0</v>
      </c>
      <c r="AM114" s="38">
        <v>15</v>
      </c>
      <c r="AN114" s="38">
        <f>I114*0</f>
        <v>0</v>
      </c>
      <c r="AO114" s="38">
        <f>I114*(1-0)</f>
        <v>0</v>
      </c>
      <c r="AP114" s="34" t="s">
        <v>13</v>
      </c>
      <c r="AU114" s="38">
        <f>AV114+AW114</f>
        <v>0</v>
      </c>
      <c r="AV114" s="38">
        <f>H114*AN114</f>
        <v>0</v>
      </c>
      <c r="AW114" s="38">
        <f>H114*AO114</f>
        <v>0</v>
      </c>
      <c r="AX114" s="39" t="s">
        <v>325</v>
      </c>
      <c r="AY114" s="39" t="s">
        <v>333</v>
      </c>
      <c r="AZ114" s="33" t="s">
        <v>336</v>
      </c>
      <c r="BB114" s="38">
        <f>AV114+AW114</f>
        <v>0</v>
      </c>
      <c r="BC114" s="38">
        <f>I114/(100-BD114)*100</f>
        <v>0</v>
      </c>
      <c r="BD114" s="38">
        <v>0</v>
      </c>
      <c r="BE114" s="38">
        <f>114</f>
        <v>114</v>
      </c>
      <c r="BG114" s="16">
        <f>H114*AN114</f>
        <v>0</v>
      </c>
      <c r="BH114" s="16">
        <f>H114*AO114</f>
        <v>0</v>
      </c>
      <c r="BI114" s="16">
        <f>H114*I114</f>
        <v>0</v>
      </c>
    </row>
    <row r="115" spans="3:9" ht="12.75">
      <c r="C115" s="85" t="s">
        <v>195</v>
      </c>
      <c r="D115" s="86"/>
      <c r="E115" s="86"/>
      <c r="F115" s="86"/>
      <c r="I115" s="24"/>
    </row>
    <row r="116" spans="3:9" ht="12.75">
      <c r="C116" s="79" t="s">
        <v>200</v>
      </c>
      <c r="D116" s="80"/>
      <c r="E116" s="80"/>
      <c r="F116" s="80"/>
      <c r="H116" s="17">
        <v>3</v>
      </c>
      <c r="I116" s="24"/>
    </row>
    <row r="117" spans="1:61" ht="12.75">
      <c r="A117" s="4" t="s">
        <v>25</v>
      </c>
      <c r="B117" s="4" t="s">
        <v>76</v>
      </c>
      <c r="C117" s="83" t="s">
        <v>201</v>
      </c>
      <c r="D117" s="84"/>
      <c r="E117" s="84"/>
      <c r="F117" s="84"/>
      <c r="G117" s="4" t="s">
        <v>301</v>
      </c>
      <c r="H117" s="16">
        <v>1</v>
      </c>
      <c r="I117" s="23">
        <v>0</v>
      </c>
      <c r="J117" s="16">
        <f>H117*I117</f>
        <v>0</v>
      </c>
      <c r="K117" s="16">
        <v>0.054</v>
      </c>
      <c r="Y117" s="38">
        <f>IF(AP117="5",BI117,0)</f>
        <v>0</v>
      </c>
      <c r="AA117" s="38">
        <f>IF(AP117="1",BG117,0)</f>
        <v>0</v>
      </c>
      <c r="AB117" s="38">
        <f>IF(AP117="1",BH117,0)</f>
        <v>0</v>
      </c>
      <c r="AC117" s="38">
        <f>IF(AP117="7",BG117,0)</f>
        <v>0</v>
      </c>
      <c r="AD117" s="38">
        <f>IF(AP117="7",BH117,0)</f>
        <v>0</v>
      </c>
      <c r="AE117" s="38">
        <f>IF(AP117="2",BG117,0)</f>
        <v>0</v>
      </c>
      <c r="AF117" s="38">
        <f>IF(AP117="2",BH117,0)</f>
        <v>0</v>
      </c>
      <c r="AG117" s="38">
        <f>IF(AP117="0",BI117,0)</f>
        <v>0</v>
      </c>
      <c r="AH117" s="33"/>
      <c r="AI117" s="16">
        <f>IF(AM117=0,J117,0)</f>
        <v>0</v>
      </c>
      <c r="AJ117" s="16">
        <f>IF(AM117=15,J117,0)</f>
        <v>0</v>
      </c>
      <c r="AK117" s="16">
        <f>IF(AM117=21,J117,0)</f>
        <v>0</v>
      </c>
      <c r="AM117" s="38">
        <v>15</v>
      </c>
      <c r="AN117" s="38">
        <f>I117*0</f>
        <v>0</v>
      </c>
      <c r="AO117" s="38">
        <f>I117*(1-0)</f>
        <v>0</v>
      </c>
      <c r="AP117" s="34" t="s">
        <v>13</v>
      </c>
      <c r="AU117" s="38">
        <f>AV117+AW117</f>
        <v>0</v>
      </c>
      <c r="AV117" s="38">
        <f>H117*AN117</f>
        <v>0</v>
      </c>
      <c r="AW117" s="38">
        <f>H117*AO117</f>
        <v>0</v>
      </c>
      <c r="AX117" s="39" t="s">
        <v>325</v>
      </c>
      <c r="AY117" s="39" t="s">
        <v>333</v>
      </c>
      <c r="AZ117" s="33" t="s">
        <v>336</v>
      </c>
      <c r="BB117" s="38">
        <f>AV117+AW117</f>
        <v>0</v>
      </c>
      <c r="BC117" s="38">
        <f>I117/(100-BD117)*100</f>
        <v>0</v>
      </c>
      <c r="BD117" s="38">
        <v>0</v>
      </c>
      <c r="BE117" s="38">
        <f>117</f>
        <v>117</v>
      </c>
      <c r="BG117" s="16">
        <f>H117*AN117</f>
        <v>0</v>
      </c>
      <c r="BH117" s="16">
        <f>H117*AO117</f>
        <v>0</v>
      </c>
      <c r="BI117" s="16">
        <f>H117*I117</f>
        <v>0</v>
      </c>
    </row>
    <row r="118" spans="3:9" ht="12.75">
      <c r="C118" s="85" t="s">
        <v>195</v>
      </c>
      <c r="D118" s="86"/>
      <c r="E118" s="86"/>
      <c r="F118" s="86"/>
      <c r="I118" s="24"/>
    </row>
    <row r="119" spans="3:9" ht="12.75">
      <c r="C119" s="79" t="s">
        <v>145</v>
      </c>
      <c r="D119" s="80"/>
      <c r="E119" s="80"/>
      <c r="F119" s="80"/>
      <c r="H119" s="17">
        <v>1</v>
      </c>
      <c r="I119" s="24"/>
    </row>
    <row r="120" spans="1:61" ht="12.75">
      <c r="A120" s="4" t="s">
        <v>26</v>
      </c>
      <c r="B120" s="4" t="s">
        <v>77</v>
      </c>
      <c r="C120" s="83" t="s">
        <v>202</v>
      </c>
      <c r="D120" s="84"/>
      <c r="E120" s="84"/>
      <c r="F120" s="84"/>
      <c r="G120" s="4" t="s">
        <v>301</v>
      </c>
      <c r="H120" s="16">
        <v>1</v>
      </c>
      <c r="I120" s="23">
        <v>0</v>
      </c>
      <c r="J120" s="16">
        <f>H120*I120</f>
        <v>0</v>
      </c>
      <c r="K120" s="16">
        <v>0.0912</v>
      </c>
      <c r="Y120" s="38">
        <f>IF(AP120="5",BI120,0)</f>
        <v>0</v>
      </c>
      <c r="AA120" s="38">
        <f>IF(AP120="1",BG120,0)</f>
        <v>0</v>
      </c>
      <c r="AB120" s="38">
        <f>IF(AP120="1",BH120,0)</f>
        <v>0</v>
      </c>
      <c r="AC120" s="38">
        <f>IF(AP120="7",BG120,0)</f>
        <v>0</v>
      </c>
      <c r="AD120" s="38">
        <f>IF(AP120="7",BH120,0)</f>
        <v>0</v>
      </c>
      <c r="AE120" s="38">
        <f>IF(AP120="2",BG120,0)</f>
        <v>0</v>
      </c>
      <c r="AF120" s="38">
        <f>IF(AP120="2",BH120,0)</f>
        <v>0</v>
      </c>
      <c r="AG120" s="38">
        <f>IF(AP120="0",BI120,0)</f>
        <v>0</v>
      </c>
      <c r="AH120" s="33"/>
      <c r="AI120" s="16">
        <f>IF(AM120=0,J120,0)</f>
        <v>0</v>
      </c>
      <c r="AJ120" s="16">
        <f>IF(AM120=15,J120,0)</f>
        <v>0</v>
      </c>
      <c r="AK120" s="16">
        <f>IF(AM120=21,J120,0)</f>
        <v>0</v>
      </c>
      <c r="AM120" s="38">
        <v>15</v>
      </c>
      <c r="AN120" s="38">
        <f>I120*0</f>
        <v>0</v>
      </c>
      <c r="AO120" s="38">
        <f>I120*(1-0)</f>
        <v>0</v>
      </c>
      <c r="AP120" s="34" t="s">
        <v>13</v>
      </c>
      <c r="AU120" s="38">
        <f>AV120+AW120</f>
        <v>0</v>
      </c>
      <c r="AV120" s="38">
        <f>H120*AN120</f>
        <v>0</v>
      </c>
      <c r="AW120" s="38">
        <f>H120*AO120</f>
        <v>0</v>
      </c>
      <c r="AX120" s="39" t="s">
        <v>325</v>
      </c>
      <c r="AY120" s="39" t="s">
        <v>333</v>
      </c>
      <c r="AZ120" s="33" t="s">
        <v>336</v>
      </c>
      <c r="BB120" s="38">
        <f>AV120+AW120</f>
        <v>0</v>
      </c>
      <c r="BC120" s="38">
        <f>I120/(100-BD120)*100</f>
        <v>0</v>
      </c>
      <c r="BD120" s="38">
        <v>0</v>
      </c>
      <c r="BE120" s="38">
        <f>120</f>
        <v>120</v>
      </c>
      <c r="BG120" s="16">
        <f>H120*AN120</f>
        <v>0</v>
      </c>
      <c r="BH120" s="16">
        <f>H120*AO120</f>
        <v>0</v>
      </c>
      <c r="BI120" s="16">
        <f>H120*I120</f>
        <v>0</v>
      </c>
    </row>
    <row r="121" spans="3:9" ht="12.75">
      <c r="C121" s="85" t="s">
        <v>195</v>
      </c>
      <c r="D121" s="86"/>
      <c r="E121" s="86"/>
      <c r="F121" s="86"/>
      <c r="I121" s="24"/>
    </row>
    <row r="122" spans="3:9" ht="12.75">
      <c r="C122" s="79" t="s">
        <v>145</v>
      </c>
      <c r="D122" s="80"/>
      <c r="E122" s="80"/>
      <c r="F122" s="80"/>
      <c r="H122" s="17">
        <v>1</v>
      </c>
      <c r="I122" s="24"/>
    </row>
    <row r="123" spans="1:61" ht="12.75">
      <c r="A123" s="4" t="s">
        <v>27</v>
      </c>
      <c r="B123" s="4" t="s">
        <v>78</v>
      </c>
      <c r="C123" s="83" t="s">
        <v>203</v>
      </c>
      <c r="D123" s="84"/>
      <c r="E123" s="84"/>
      <c r="F123" s="84"/>
      <c r="G123" s="4" t="s">
        <v>301</v>
      </c>
      <c r="H123" s="16">
        <v>1</v>
      </c>
      <c r="I123" s="23">
        <v>0</v>
      </c>
      <c r="J123" s="16">
        <f>H123*I123</f>
        <v>0</v>
      </c>
      <c r="K123" s="16">
        <v>0.0702</v>
      </c>
      <c r="Y123" s="38">
        <f>IF(AP123="5",BI123,0)</f>
        <v>0</v>
      </c>
      <c r="AA123" s="38">
        <f>IF(AP123="1",BG123,0)</f>
        <v>0</v>
      </c>
      <c r="AB123" s="38">
        <f>IF(AP123="1",BH123,0)</f>
        <v>0</v>
      </c>
      <c r="AC123" s="38">
        <f>IF(AP123="7",BG123,0)</f>
        <v>0</v>
      </c>
      <c r="AD123" s="38">
        <f>IF(AP123="7",BH123,0)</f>
        <v>0</v>
      </c>
      <c r="AE123" s="38">
        <f>IF(AP123="2",BG123,0)</f>
        <v>0</v>
      </c>
      <c r="AF123" s="38">
        <f>IF(AP123="2",BH123,0)</f>
        <v>0</v>
      </c>
      <c r="AG123" s="38">
        <f>IF(AP123="0",BI123,0)</f>
        <v>0</v>
      </c>
      <c r="AH123" s="33"/>
      <c r="AI123" s="16">
        <f>IF(AM123=0,J123,0)</f>
        <v>0</v>
      </c>
      <c r="AJ123" s="16">
        <f>IF(AM123=15,J123,0)</f>
        <v>0</v>
      </c>
      <c r="AK123" s="16">
        <f>IF(AM123=21,J123,0)</f>
        <v>0</v>
      </c>
      <c r="AM123" s="38">
        <v>15</v>
      </c>
      <c r="AN123" s="38">
        <f>I123*0</f>
        <v>0</v>
      </c>
      <c r="AO123" s="38">
        <f>I123*(1-0)</f>
        <v>0</v>
      </c>
      <c r="AP123" s="34" t="s">
        <v>13</v>
      </c>
      <c r="AU123" s="38">
        <f>AV123+AW123</f>
        <v>0</v>
      </c>
      <c r="AV123" s="38">
        <f>H123*AN123</f>
        <v>0</v>
      </c>
      <c r="AW123" s="38">
        <f>H123*AO123</f>
        <v>0</v>
      </c>
      <c r="AX123" s="39" t="s">
        <v>325</v>
      </c>
      <c r="AY123" s="39" t="s">
        <v>333</v>
      </c>
      <c r="AZ123" s="33" t="s">
        <v>336</v>
      </c>
      <c r="BB123" s="38">
        <f>AV123+AW123</f>
        <v>0</v>
      </c>
      <c r="BC123" s="38">
        <f>I123/(100-BD123)*100</f>
        <v>0</v>
      </c>
      <c r="BD123" s="38">
        <v>0</v>
      </c>
      <c r="BE123" s="38">
        <f>123</f>
        <v>123</v>
      </c>
      <c r="BG123" s="16">
        <f>H123*AN123</f>
        <v>0</v>
      </c>
      <c r="BH123" s="16">
        <f>H123*AO123</f>
        <v>0</v>
      </c>
      <c r="BI123" s="16">
        <f>H123*I123</f>
        <v>0</v>
      </c>
    </row>
    <row r="124" spans="3:9" ht="12.75">
      <c r="C124" s="85" t="s">
        <v>195</v>
      </c>
      <c r="D124" s="86"/>
      <c r="E124" s="86"/>
      <c r="F124" s="86"/>
      <c r="I124" s="24"/>
    </row>
    <row r="125" spans="3:9" ht="12.75">
      <c r="C125" s="79" t="s">
        <v>145</v>
      </c>
      <c r="D125" s="80"/>
      <c r="E125" s="80"/>
      <c r="F125" s="80"/>
      <c r="H125" s="17">
        <v>1</v>
      </c>
      <c r="I125" s="24"/>
    </row>
    <row r="126" spans="1:61" ht="12.75">
      <c r="A126" s="4" t="s">
        <v>28</v>
      </c>
      <c r="B126" s="4" t="s">
        <v>79</v>
      </c>
      <c r="C126" s="83" t="s">
        <v>204</v>
      </c>
      <c r="D126" s="84"/>
      <c r="E126" s="84"/>
      <c r="F126" s="84"/>
      <c r="G126" s="4" t="s">
        <v>301</v>
      </c>
      <c r="H126" s="16">
        <v>1</v>
      </c>
      <c r="I126" s="23">
        <v>0</v>
      </c>
      <c r="J126" s="16">
        <f>H126*I126</f>
        <v>0</v>
      </c>
      <c r="K126" s="16">
        <v>0.126</v>
      </c>
      <c r="Y126" s="38">
        <f>IF(AP126="5",BI126,0)</f>
        <v>0</v>
      </c>
      <c r="AA126" s="38">
        <f>IF(AP126="1",BG126,0)</f>
        <v>0</v>
      </c>
      <c r="AB126" s="38">
        <f>IF(AP126="1",BH126,0)</f>
        <v>0</v>
      </c>
      <c r="AC126" s="38">
        <f>IF(AP126="7",BG126,0)</f>
        <v>0</v>
      </c>
      <c r="AD126" s="38">
        <f>IF(AP126="7",BH126,0)</f>
        <v>0</v>
      </c>
      <c r="AE126" s="38">
        <f>IF(AP126="2",BG126,0)</f>
        <v>0</v>
      </c>
      <c r="AF126" s="38">
        <f>IF(AP126="2",BH126,0)</f>
        <v>0</v>
      </c>
      <c r="AG126" s="38">
        <f>IF(AP126="0",BI126,0)</f>
        <v>0</v>
      </c>
      <c r="AH126" s="33"/>
      <c r="AI126" s="16">
        <f>IF(AM126=0,J126,0)</f>
        <v>0</v>
      </c>
      <c r="AJ126" s="16">
        <f>IF(AM126=15,J126,0)</f>
        <v>0</v>
      </c>
      <c r="AK126" s="16">
        <f>IF(AM126=21,J126,0)</f>
        <v>0</v>
      </c>
      <c r="AM126" s="38">
        <v>15</v>
      </c>
      <c r="AN126" s="38">
        <f>I126*0</f>
        <v>0</v>
      </c>
      <c r="AO126" s="38">
        <f>I126*(1-0)</f>
        <v>0</v>
      </c>
      <c r="AP126" s="34" t="s">
        <v>13</v>
      </c>
      <c r="AU126" s="38">
        <f>AV126+AW126</f>
        <v>0</v>
      </c>
      <c r="AV126" s="38">
        <f>H126*AN126</f>
        <v>0</v>
      </c>
      <c r="AW126" s="38">
        <f>H126*AO126</f>
        <v>0</v>
      </c>
      <c r="AX126" s="39" t="s">
        <v>325</v>
      </c>
      <c r="AY126" s="39" t="s">
        <v>333</v>
      </c>
      <c r="AZ126" s="33" t="s">
        <v>336</v>
      </c>
      <c r="BB126" s="38">
        <f>AV126+AW126</f>
        <v>0</v>
      </c>
      <c r="BC126" s="38">
        <f>I126/(100-BD126)*100</f>
        <v>0</v>
      </c>
      <c r="BD126" s="38">
        <v>0</v>
      </c>
      <c r="BE126" s="38">
        <f>126</f>
        <v>126</v>
      </c>
      <c r="BG126" s="16">
        <f>H126*AN126</f>
        <v>0</v>
      </c>
      <c r="BH126" s="16">
        <f>H126*AO126</f>
        <v>0</v>
      </c>
      <c r="BI126" s="16">
        <f>H126*I126</f>
        <v>0</v>
      </c>
    </row>
    <row r="127" spans="3:9" ht="12.75">
      <c r="C127" s="85" t="s">
        <v>195</v>
      </c>
      <c r="D127" s="86"/>
      <c r="E127" s="86"/>
      <c r="F127" s="86"/>
      <c r="I127" s="24"/>
    </row>
    <row r="128" spans="3:9" ht="12.75">
      <c r="C128" s="79" t="s">
        <v>145</v>
      </c>
      <c r="D128" s="80"/>
      <c r="E128" s="80"/>
      <c r="F128" s="80"/>
      <c r="H128" s="17">
        <v>1</v>
      </c>
      <c r="I128" s="24"/>
    </row>
    <row r="129" spans="1:61" ht="12.75">
      <c r="A129" s="4" t="s">
        <v>29</v>
      </c>
      <c r="B129" s="4" t="s">
        <v>80</v>
      </c>
      <c r="C129" s="83" t="s">
        <v>205</v>
      </c>
      <c r="D129" s="84"/>
      <c r="E129" s="84"/>
      <c r="F129" s="84"/>
      <c r="G129" s="4" t="s">
        <v>301</v>
      </c>
      <c r="H129" s="16">
        <v>1</v>
      </c>
      <c r="I129" s="23">
        <v>0</v>
      </c>
      <c r="J129" s="16">
        <f>H129*I129</f>
        <v>0</v>
      </c>
      <c r="K129" s="16">
        <v>0.126</v>
      </c>
      <c r="Y129" s="38">
        <f>IF(AP129="5",BI129,0)</f>
        <v>0</v>
      </c>
      <c r="AA129" s="38">
        <f>IF(AP129="1",BG129,0)</f>
        <v>0</v>
      </c>
      <c r="AB129" s="38">
        <f>IF(AP129="1",BH129,0)</f>
        <v>0</v>
      </c>
      <c r="AC129" s="38">
        <f>IF(AP129="7",BG129,0)</f>
        <v>0</v>
      </c>
      <c r="AD129" s="38">
        <f>IF(AP129="7",BH129,0)</f>
        <v>0</v>
      </c>
      <c r="AE129" s="38">
        <f>IF(AP129="2",BG129,0)</f>
        <v>0</v>
      </c>
      <c r="AF129" s="38">
        <f>IF(AP129="2",BH129,0)</f>
        <v>0</v>
      </c>
      <c r="AG129" s="38">
        <f>IF(AP129="0",BI129,0)</f>
        <v>0</v>
      </c>
      <c r="AH129" s="33"/>
      <c r="AI129" s="16">
        <f>IF(AM129=0,J129,0)</f>
        <v>0</v>
      </c>
      <c r="AJ129" s="16">
        <f>IF(AM129=15,J129,0)</f>
        <v>0</v>
      </c>
      <c r="AK129" s="16">
        <f>IF(AM129=21,J129,0)</f>
        <v>0</v>
      </c>
      <c r="AM129" s="38">
        <v>15</v>
      </c>
      <c r="AN129" s="38">
        <f>I129*0</f>
        <v>0</v>
      </c>
      <c r="AO129" s="38">
        <f>I129*(1-0)</f>
        <v>0</v>
      </c>
      <c r="AP129" s="34" t="s">
        <v>13</v>
      </c>
      <c r="AU129" s="38">
        <f>AV129+AW129</f>
        <v>0</v>
      </c>
      <c r="AV129" s="38">
        <f>H129*AN129</f>
        <v>0</v>
      </c>
      <c r="AW129" s="38">
        <f>H129*AO129</f>
        <v>0</v>
      </c>
      <c r="AX129" s="39" t="s">
        <v>325</v>
      </c>
      <c r="AY129" s="39" t="s">
        <v>333</v>
      </c>
      <c r="AZ129" s="33" t="s">
        <v>336</v>
      </c>
      <c r="BB129" s="38">
        <f>AV129+AW129</f>
        <v>0</v>
      </c>
      <c r="BC129" s="38">
        <f>I129/(100-BD129)*100</f>
        <v>0</v>
      </c>
      <c r="BD129" s="38">
        <v>0</v>
      </c>
      <c r="BE129" s="38">
        <f>129</f>
        <v>129</v>
      </c>
      <c r="BG129" s="16">
        <f>H129*AN129</f>
        <v>0</v>
      </c>
      <c r="BH129" s="16">
        <f>H129*AO129</f>
        <v>0</v>
      </c>
      <c r="BI129" s="16">
        <f>H129*I129</f>
        <v>0</v>
      </c>
    </row>
    <row r="130" spans="3:9" ht="12.75">
      <c r="C130" s="85" t="s">
        <v>195</v>
      </c>
      <c r="D130" s="86"/>
      <c r="E130" s="86"/>
      <c r="F130" s="86"/>
      <c r="I130" s="24"/>
    </row>
    <row r="131" spans="3:9" ht="12.75">
      <c r="C131" s="79" t="s">
        <v>145</v>
      </c>
      <c r="D131" s="80"/>
      <c r="E131" s="80"/>
      <c r="F131" s="80"/>
      <c r="H131" s="17">
        <v>1</v>
      </c>
      <c r="I131" s="24"/>
    </row>
    <row r="132" spans="1:61" ht="12.75">
      <c r="A132" s="4" t="s">
        <v>30</v>
      </c>
      <c r="B132" s="4" t="s">
        <v>81</v>
      </c>
      <c r="C132" s="83" t="s">
        <v>206</v>
      </c>
      <c r="D132" s="84"/>
      <c r="E132" s="84"/>
      <c r="F132" s="84"/>
      <c r="G132" s="4" t="s">
        <v>301</v>
      </c>
      <c r="H132" s="16">
        <v>4</v>
      </c>
      <c r="I132" s="23">
        <v>0</v>
      </c>
      <c r="J132" s="16">
        <f>H132*I132</f>
        <v>0</v>
      </c>
      <c r="K132" s="16">
        <v>0.0135</v>
      </c>
      <c r="Y132" s="38">
        <f>IF(AP132="5",BI132,0)</f>
        <v>0</v>
      </c>
      <c r="AA132" s="38">
        <f>IF(AP132="1",BG132,0)</f>
        <v>0</v>
      </c>
      <c r="AB132" s="38">
        <f>IF(AP132="1",BH132,0)</f>
        <v>0</v>
      </c>
      <c r="AC132" s="38">
        <f>IF(AP132="7",BG132,0)</f>
        <v>0</v>
      </c>
      <c r="AD132" s="38">
        <f>IF(AP132="7",BH132,0)</f>
        <v>0</v>
      </c>
      <c r="AE132" s="38">
        <f>IF(AP132="2",BG132,0)</f>
        <v>0</v>
      </c>
      <c r="AF132" s="38">
        <f>IF(AP132="2",BH132,0)</f>
        <v>0</v>
      </c>
      <c r="AG132" s="38">
        <f>IF(AP132="0",BI132,0)</f>
        <v>0</v>
      </c>
      <c r="AH132" s="33"/>
      <c r="AI132" s="16">
        <f>IF(AM132=0,J132,0)</f>
        <v>0</v>
      </c>
      <c r="AJ132" s="16">
        <f>IF(AM132=15,J132,0)</f>
        <v>0</v>
      </c>
      <c r="AK132" s="16">
        <f>IF(AM132=21,J132,0)</f>
        <v>0</v>
      </c>
      <c r="AM132" s="38">
        <v>15</v>
      </c>
      <c r="AN132" s="38">
        <f>I132*0</f>
        <v>0</v>
      </c>
      <c r="AO132" s="38">
        <f>I132*(1-0)</f>
        <v>0</v>
      </c>
      <c r="AP132" s="34" t="s">
        <v>13</v>
      </c>
      <c r="AU132" s="38">
        <f>AV132+AW132</f>
        <v>0</v>
      </c>
      <c r="AV132" s="38">
        <f>H132*AN132</f>
        <v>0</v>
      </c>
      <c r="AW132" s="38">
        <f>H132*AO132</f>
        <v>0</v>
      </c>
      <c r="AX132" s="39" t="s">
        <v>325</v>
      </c>
      <c r="AY132" s="39" t="s">
        <v>333</v>
      </c>
      <c r="AZ132" s="33" t="s">
        <v>336</v>
      </c>
      <c r="BB132" s="38">
        <f>AV132+AW132</f>
        <v>0</v>
      </c>
      <c r="BC132" s="38">
        <f>I132/(100-BD132)*100</f>
        <v>0</v>
      </c>
      <c r="BD132" s="38">
        <v>0</v>
      </c>
      <c r="BE132" s="38">
        <f>132</f>
        <v>132</v>
      </c>
      <c r="BG132" s="16">
        <f>H132*AN132</f>
        <v>0</v>
      </c>
      <c r="BH132" s="16">
        <f>H132*AO132</f>
        <v>0</v>
      </c>
      <c r="BI132" s="16">
        <f>H132*I132</f>
        <v>0</v>
      </c>
    </row>
    <row r="133" spans="3:9" ht="12.75">
      <c r="C133" s="85" t="s">
        <v>207</v>
      </c>
      <c r="D133" s="86"/>
      <c r="E133" s="86"/>
      <c r="F133" s="86"/>
      <c r="I133" s="24"/>
    </row>
    <row r="134" spans="3:9" ht="12.75">
      <c r="C134" s="79" t="s">
        <v>208</v>
      </c>
      <c r="D134" s="80"/>
      <c r="E134" s="80"/>
      <c r="F134" s="80"/>
      <c r="H134" s="17">
        <v>4</v>
      </c>
      <c r="I134" s="24"/>
    </row>
    <row r="135" spans="1:61" ht="12.75">
      <c r="A135" s="4" t="s">
        <v>31</v>
      </c>
      <c r="B135" s="4" t="s">
        <v>82</v>
      </c>
      <c r="C135" s="83" t="s">
        <v>209</v>
      </c>
      <c r="D135" s="84"/>
      <c r="E135" s="84"/>
      <c r="F135" s="84"/>
      <c r="G135" s="4" t="s">
        <v>301</v>
      </c>
      <c r="H135" s="16">
        <v>2</v>
      </c>
      <c r="I135" s="23">
        <v>0</v>
      </c>
      <c r="J135" s="16">
        <f>H135*I135</f>
        <v>0</v>
      </c>
      <c r="K135" s="16">
        <v>0.0125</v>
      </c>
      <c r="Y135" s="38">
        <f>IF(AP135="5",BI135,0)</f>
        <v>0</v>
      </c>
      <c r="AA135" s="38">
        <f>IF(AP135="1",BG135,0)</f>
        <v>0</v>
      </c>
      <c r="AB135" s="38">
        <f>IF(AP135="1",BH135,0)</f>
        <v>0</v>
      </c>
      <c r="AC135" s="38">
        <f>IF(AP135="7",BG135,0)</f>
        <v>0</v>
      </c>
      <c r="AD135" s="38">
        <f>IF(AP135="7",BH135,0)</f>
        <v>0</v>
      </c>
      <c r="AE135" s="38">
        <f>IF(AP135="2",BG135,0)</f>
        <v>0</v>
      </c>
      <c r="AF135" s="38">
        <f>IF(AP135="2",BH135,0)</f>
        <v>0</v>
      </c>
      <c r="AG135" s="38">
        <f>IF(AP135="0",BI135,0)</f>
        <v>0</v>
      </c>
      <c r="AH135" s="33"/>
      <c r="AI135" s="16">
        <f>IF(AM135=0,J135,0)</f>
        <v>0</v>
      </c>
      <c r="AJ135" s="16">
        <f>IF(AM135=15,J135,0)</f>
        <v>0</v>
      </c>
      <c r="AK135" s="16">
        <f>IF(AM135=21,J135,0)</f>
        <v>0</v>
      </c>
      <c r="AM135" s="38">
        <v>15</v>
      </c>
      <c r="AN135" s="38">
        <f>I135*0</f>
        <v>0</v>
      </c>
      <c r="AO135" s="38">
        <f>I135*(1-0)</f>
        <v>0</v>
      </c>
      <c r="AP135" s="34" t="s">
        <v>13</v>
      </c>
      <c r="AU135" s="38">
        <f>AV135+AW135</f>
        <v>0</v>
      </c>
      <c r="AV135" s="38">
        <f>H135*AN135</f>
        <v>0</v>
      </c>
      <c r="AW135" s="38">
        <f>H135*AO135</f>
        <v>0</v>
      </c>
      <c r="AX135" s="39" t="s">
        <v>325</v>
      </c>
      <c r="AY135" s="39" t="s">
        <v>333</v>
      </c>
      <c r="AZ135" s="33" t="s">
        <v>336</v>
      </c>
      <c r="BB135" s="38">
        <f>AV135+AW135</f>
        <v>0</v>
      </c>
      <c r="BC135" s="38">
        <f>I135/(100-BD135)*100</f>
        <v>0</v>
      </c>
      <c r="BD135" s="38">
        <v>0</v>
      </c>
      <c r="BE135" s="38">
        <f>135</f>
        <v>135</v>
      </c>
      <c r="BG135" s="16">
        <f>H135*AN135</f>
        <v>0</v>
      </c>
      <c r="BH135" s="16">
        <f>H135*AO135</f>
        <v>0</v>
      </c>
      <c r="BI135" s="16">
        <f>H135*I135</f>
        <v>0</v>
      </c>
    </row>
    <row r="136" spans="3:9" ht="12.75">
      <c r="C136" s="85" t="s">
        <v>207</v>
      </c>
      <c r="D136" s="86"/>
      <c r="E136" s="86"/>
      <c r="F136" s="86"/>
      <c r="I136" s="24"/>
    </row>
    <row r="137" spans="3:9" ht="12.75">
      <c r="C137" s="79" t="s">
        <v>196</v>
      </c>
      <c r="D137" s="80"/>
      <c r="E137" s="80"/>
      <c r="F137" s="80"/>
      <c r="H137" s="17">
        <v>2</v>
      </c>
      <c r="I137" s="24"/>
    </row>
    <row r="138" spans="1:61" ht="12.75">
      <c r="A138" s="4" t="s">
        <v>32</v>
      </c>
      <c r="B138" s="4" t="s">
        <v>83</v>
      </c>
      <c r="C138" s="83" t="s">
        <v>210</v>
      </c>
      <c r="D138" s="84"/>
      <c r="E138" s="84"/>
      <c r="F138" s="84"/>
      <c r="G138" s="4" t="s">
        <v>299</v>
      </c>
      <c r="H138" s="16">
        <v>1</v>
      </c>
      <c r="I138" s="23">
        <v>0</v>
      </c>
      <c r="J138" s="16">
        <f>H138*I138</f>
        <v>0</v>
      </c>
      <c r="K138" s="16">
        <v>0.115</v>
      </c>
      <c r="Y138" s="38">
        <f>IF(AP138="5",BI138,0)</f>
        <v>0</v>
      </c>
      <c r="AA138" s="38">
        <f>IF(AP138="1",BG138,0)</f>
        <v>0</v>
      </c>
      <c r="AB138" s="38">
        <f>IF(AP138="1",BH138,0)</f>
        <v>0</v>
      </c>
      <c r="AC138" s="38">
        <f>IF(AP138="7",BG138,0)</f>
        <v>0</v>
      </c>
      <c r="AD138" s="38">
        <f>IF(AP138="7",BH138,0)</f>
        <v>0</v>
      </c>
      <c r="AE138" s="38">
        <f>IF(AP138="2",BG138,0)</f>
        <v>0</v>
      </c>
      <c r="AF138" s="38">
        <f>IF(AP138="2",BH138,0)</f>
        <v>0</v>
      </c>
      <c r="AG138" s="38">
        <f>IF(AP138="0",BI138,0)</f>
        <v>0</v>
      </c>
      <c r="AH138" s="33"/>
      <c r="AI138" s="16">
        <f>IF(AM138=0,J138,0)</f>
        <v>0</v>
      </c>
      <c r="AJ138" s="16">
        <f>IF(AM138=15,J138,0)</f>
        <v>0</v>
      </c>
      <c r="AK138" s="16">
        <f>IF(AM138=21,J138,0)</f>
        <v>0</v>
      </c>
      <c r="AM138" s="38">
        <v>15</v>
      </c>
      <c r="AN138" s="38">
        <f>I138*0</f>
        <v>0</v>
      </c>
      <c r="AO138" s="38">
        <f>I138*(1-0)</f>
        <v>0</v>
      </c>
      <c r="AP138" s="34" t="s">
        <v>13</v>
      </c>
      <c r="AU138" s="38">
        <f>AV138+AW138</f>
        <v>0</v>
      </c>
      <c r="AV138" s="38">
        <f>H138*AN138</f>
        <v>0</v>
      </c>
      <c r="AW138" s="38">
        <f>H138*AO138</f>
        <v>0</v>
      </c>
      <c r="AX138" s="39" t="s">
        <v>325</v>
      </c>
      <c r="AY138" s="39" t="s">
        <v>333</v>
      </c>
      <c r="AZ138" s="33" t="s">
        <v>336</v>
      </c>
      <c r="BB138" s="38">
        <f>AV138+AW138</f>
        <v>0</v>
      </c>
      <c r="BC138" s="38">
        <f>I138/(100-BD138)*100</f>
        <v>0</v>
      </c>
      <c r="BD138" s="38">
        <v>0</v>
      </c>
      <c r="BE138" s="38">
        <f>138</f>
        <v>138</v>
      </c>
      <c r="BG138" s="16">
        <f>H138*AN138</f>
        <v>0</v>
      </c>
      <c r="BH138" s="16">
        <f>H138*AO138</f>
        <v>0</v>
      </c>
      <c r="BI138" s="16">
        <f>H138*I138</f>
        <v>0</v>
      </c>
    </row>
    <row r="139" spans="3:9" ht="12.75">
      <c r="C139" s="79" t="s">
        <v>145</v>
      </c>
      <c r="D139" s="80"/>
      <c r="E139" s="80"/>
      <c r="F139" s="80"/>
      <c r="H139" s="17">
        <v>1</v>
      </c>
      <c r="I139" s="24"/>
    </row>
    <row r="140" spans="1:61" ht="12.75">
      <c r="A140" s="4" t="s">
        <v>33</v>
      </c>
      <c r="B140" s="4" t="s">
        <v>84</v>
      </c>
      <c r="C140" s="83" t="s">
        <v>211</v>
      </c>
      <c r="D140" s="84"/>
      <c r="E140" s="84"/>
      <c r="F140" s="84"/>
      <c r="G140" s="4" t="s">
        <v>299</v>
      </c>
      <c r="H140" s="16">
        <v>1</v>
      </c>
      <c r="I140" s="23">
        <v>0</v>
      </c>
      <c r="J140" s="16">
        <f>H140*I140</f>
        <v>0</v>
      </c>
      <c r="K140" s="16">
        <v>0.156</v>
      </c>
      <c r="Y140" s="38">
        <f>IF(AP140="5",BI140,0)</f>
        <v>0</v>
      </c>
      <c r="AA140" s="38">
        <f>IF(AP140="1",BG140,0)</f>
        <v>0</v>
      </c>
      <c r="AB140" s="38">
        <f>IF(AP140="1",BH140,0)</f>
        <v>0</v>
      </c>
      <c r="AC140" s="38">
        <f>IF(AP140="7",BG140,0)</f>
        <v>0</v>
      </c>
      <c r="AD140" s="38">
        <f>IF(AP140="7",BH140,0)</f>
        <v>0</v>
      </c>
      <c r="AE140" s="38">
        <f>IF(AP140="2",BG140,0)</f>
        <v>0</v>
      </c>
      <c r="AF140" s="38">
        <f>IF(AP140="2",BH140,0)</f>
        <v>0</v>
      </c>
      <c r="AG140" s="38">
        <f>IF(AP140="0",BI140,0)</f>
        <v>0</v>
      </c>
      <c r="AH140" s="33"/>
      <c r="AI140" s="16">
        <f>IF(AM140=0,J140,0)</f>
        <v>0</v>
      </c>
      <c r="AJ140" s="16">
        <f>IF(AM140=15,J140,0)</f>
        <v>0</v>
      </c>
      <c r="AK140" s="16">
        <f>IF(AM140=21,J140,0)</f>
        <v>0</v>
      </c>
      <c r="AM140" s="38">
        <v>15</v>
      </c>
      <c r="AN140" s="38">
        <f>I140*0</f>
        <v>0</v>
      </c>
      <c r="AO140" s="38">
        <f>I140*(1-0)</f>
        <v>0</v>
      </c>
      <c r="AP140" s="34" t="s">
        <v>13</v>
      </c>
      <c r="AU140" s="38">
        <f>AV140+AW140</f>
        <v>0</v>
      </c>
      <c r="AV140" s="38">
        <f>H140*AN140</f>
        <v>0</v>
      </c>
      <c r="AW140" s="38">
        <f>H140*AO140</f>
        <v>0</v>
      </c>
      <c r="AX140" s="39" t="s">
        <v>325</v>
      </c>
      <c r="AY140" s="39" t="s">
        <v>333</v>
      </c>
      <c r="AZ140" s="33" t="s">
        <v>336</v>
      </c>
      <c r="BB140" s="38">
        <f>AV140+AW140</f>
        <v>0</v>
      </c>
      <c r="BC140" s="38">
        <f>I140/(100-BD140)*100</f>
        <v>0</v>
      </c>
      <c r="BD140" s="38">
        <v>0</v>
      </c>
      <c r="BE140" s="38">
        <f>140</f>
        <v>140</v>
      </c>
      <c r="BG140" s="16">
        <f>H140*AN140</f>
        <v>0</v>
      </c>
      <c r="BH140" s="16">
        <f>H140*AO140</f>
        <v>0</v>
      </c>
      <c r="BI140" s="16">
        <f>H140*I140</f>
        <v>0</v>
      </c>
    </row>
    <row r="141" spans="3:9" ht="12.75">
      <c r="C141" s="79" t="s">
        <v>145</v>
      </c>
      <c r="D141" s="80"/>
      <c r="E141" s="80"/>
      <c r="F141" s="80"/>
      <c r="H141" s="17">
        <v>1</v>
      </c>
      <c r="I141" s="24"/>
    </row>
    <row r="142" spans="1:61" ht="12.75">
      <c r="A142" s="6" t="s">
        <v>34</v>
      </c>
      <c r="B142" s="6" t="s">
        <v>85</v>
      </c>
      <c r="C142" s="89" t="s">
        <v>212</v>
      </c>
      <c r="D142" s="90"/>
      <c r="E142" s="90"/>
      <c r="F142" s="90"/>
      <c r="G142" s="6" t="s">
        <v>298</v>
      </c>
      <c r="H142" s="18">
        <v>121.4</v>
      </c>
      <c r="I142" s="26">
        <v>0</v>
      </c>
      <c r="J142" s="18">
        <f>H142*I142</f>
        <v>0</v>
      </c>
      <c r="K142" s="18">
        <v>0</v>
      </c>
      <c r="Y142" s="38">
        <f>IF(AP142="5",BI142,0)</f>
        <v>0</v>
      </c>
      <c r="AA142" s="38">
        <f>IF(AP142="1",BG142,0)</f>
        <v>0</v>
      </c>
      <c r="AB142" s="38">
        <f>IF(AP142="1",BH142,0)</f>
        <v>0</v>
      </c>
      <c r="AC142" s="38">
        <f>IF(AP142="7",BG142,0)</f>
        <v>0</v>
      </c>
      <c r="AD142" s="38">
        <f>IF(AP142="7",BH142,0)</f>
        <v>0</v>
      </c>
      <c r="AE142" s="38">
        <f>IF(AP142="2",BG142,0)</f>
        <v>0</v>
      </c>
      <c r="AF142" s="38">
        <f>IF(AP142="2",BH142,0)</f>
        <v>0</v>
      </c>
      <c r="AG142" s="38">
        <f>IF(AP142="0",BI142,0)</f>
        <v>0</v>
      </c>
      <c r="AH142" s="33"/>
      <c r="AI142" s="18">
        <f>IF(AM142=0,J142,0)</f>
        <v>0</v>
      </c>
      <c r="AJ142" s="18">
        <f>IF(AM142=15,J142,0)</f>
        <v>0</v>
      </c>
      <c r="AK142" s="18">
        <f>IF(AM142=21,J142,0)</f>
        <v>0</v>
      </c>
      <c r="AM142" s="38">
        <v>15</v>
      </c>
      <c r="AN142" s="38">
        <f>I142*1</f>
        <v>0</v>
      </c>
      <c r="AO142" s="38">
        <f>I142*(1-1)</f>
        <v>0</v>
      </c>
      <c r="AP142" s="35" t="s">
        <v>13</v>
      </c>
      <c r="AU142" s="38">
        <f>AV142+AW142</f>
        <v>0</v>
      </c>
      <c r="AV142" s="38">
        <f>H142*AN142</f>
        <v>0</v>
      </c>
      <c r="AW142" s="38">
        <f>H142*AO142</f>
        <v>0</v>
      </c>
      <c r="AX142" s="39" t="s">
        <v>325</v>
      </c>
      <c r="AY142" s="39" t="s">
        <v>333</v>
      </c>
      <c r="AZ142" s="33" t="s">
        <v>336</v>
      </c>
      <c r="BB142" s="38">
        <f>AV142+AW142</f>
        <v>0</v>
      </c>
      <c r="BC142" s="38">
        <f>I142/(100-BD142)*100</f>
        <v>0</v>
      </c>
      <c r="BD142" s="38">
        <v>0</v>
      </c>
      <c r="BE142" s="38">
        <f>142</f>
        <v>142</v>
      </c>
      <c r="BG142" s="18">
        <f>H142*AN142</f>
        <v>0</v>
      </c>
      <c r="BH142" s="18">
        <f>H142*AO142</f>
        <v>0</v>
      </c>
      <c r="BI142" s="18">
        <f>H142*I142</f>
        <v>0</v>
      </c>
    </row>
    <row r="143" spans="3:9" ht="12.75">
      <c r="C143" s="79" t="s">
        <v>213</v>
      </c>
      <c r="D143" s="80"/>
      <c r="E143" s="80"/>
      <c r="F143" s="80"/>
      <c r="H143" s="17">
        <v>12.8</v>
      </c>
      <c r="I143" s="24"/>
    </row>
    <row r="144" spans="3:9" ht="12.75">
      <c r="C144" s="79" t="s">
        <v>214</v>
      </c>
      <c r="D144" s="80"/>
      <c r="E144" s="80"/>
      <c r="F144" s="80"/>
      <c r="H144" s="17">
        <v>43.2</v>
      </c>
      <c r="I144" s="24"/>
    </row>
    <row r="145" spans="3:9" ht="12.75">
      <c r="C145" s="79" t="s">
        <v>215</v>
      </c>
      <c r="D145" s="80"/>
      <c r="E145" s="80"/>
      <c r="F145" s="80"/>
      <c r="H145" s="17">
        <v>15.9</v>
      </c>
      <c r="I145" s="24"/>
    </row>
    <row r="146" spans="3:9" ht="12.75">
      <c r="C146" s="79" t="s">
        <v>216</v>
      </c>
      <c r="D146" s="80"/>
      <c r="E146" s="80"/>
      <c r="F146" s="80"/>
      <c r="H146" s="17">
        <v>4.8</v>
      </c>
      <c r="I146" s="24"/>
    </row>
    <row r="147" spans="3:9" ht="12.75">
      <c r="C147" s="79" t="s">
        <v>136</v>
      </c>
      <c r="D147" s="80"/>
      <c r="E147" s="80"/>
      <c r="F147" s="80"/>
      <c r="H147" s="17">
        <v>6.2</v>
      </c>
      <c r="I147" s="24"/>
    </row>
    <row r="148" spans="3:9" ht="12.75">
      <c r="C148" s="79" t="s">
        <v>217</v>
      </c>
      <c r="D148" s="80"/>
      <c r="E148" s="80"/>
      <c r="F148" s="80"/>
      <c r="H148" s="17">
        <v>5.4</v>
      </c>
      <c r="I148" s="24"/>
    </row>
    <row r="149" spans="3:9" ht="12.75">
      <c r="C149" s="79" t="s">
        <v>218</v>
      </c>
      <c r="D149" s="80"/>
      <c r="E149" s="80"/>
      <c r="F149" s="80"/>
      <c r="H149" s="17">
        <v>7.2</v>
      </c>
      <c r="I149" s="24"/>
    </row>
    <row r="150" spans="3:9" ht="12.75">
      <c r="C150" s="79" t="s">
        <v>139</v>
      </c>
      <c r="D150" s="80"/>
      <c r="E150" s="80"/>
      <c r="F150" s="80"/>
      <c r="H150" s="17">
        <v>7.2</v>
      </c>
      <c r="I150" s="24"/>
    </row>
    <row r="151" spans="3:9" ht="12.75">
      <c r="C151" s="79" t="s">
        <v>219</v>
      </c>
      <c r="D151" s="80"/>
      <c r="E151" s="80"/>
      <c r="F151" s="80"/>
      <c r="H151" s="17">
        <v>2.4</v>
      </c>
      <c r="I151" s="24"/>
    </row>
    <row r="152" spans="3:9" ht="12.75">
      <c r="C152" s="79" t="s">
        <v>220</v>
      </c>
      <c r="D152" s="80"/>
      <c r="E152" s="80"/>
      <c r="F152" s="80"/>
      <c r="H152" s="17">
        <v>4.8</v>
      </c>
      <c r="I152" s="24"/>
    </row>
    <row r="153" spans="3:9" ht="12.75">
      <c r="C153" s="79" t="s">
        <v>221</v>
      </c>
      <c r="D153" s="80"/>
      <c r="E153" s="80"/>
      <c r="F153" s="80"/>
      <c r="H153" s="17">
        <v>5.4</v>
      </c>
      <c r="I153" s="24"/>
    </row>
    <row r="154" spans="3:9" ht="12.75">
      <c r="C154" s="79" t="s">
        <v>222</v>
      </c>
      <c r="D154" s="80"/>
      <c r="E154" s="80"/>
      <c r="F154" s="80"/>
      <c r="H154" s="17">
        <v>6.1</v>
      </c>
      <c r="I154" s="24"/>
    </row>
    <row r="155" spans="1:46" ht="12.75">
      <c r="A155" s="5"/>
      <c r="B155" s="13" t="s">
        <v>86</v>
      </c>
      <c r="C155" s="81" t="s">
        <v>223</v>
      </c>
      <c r="D155" s="82"/>
      <c r="E155" s="82"/>
      <c r="F155" s="82"/>
      <c r="G155" s="5" t="s">
        <v>6</v>
      </c>
      <c r="H155" s="5" t="s">
        <v>6</v>
      </c>
      <c r="I155" s="25" t="s">
        <v>6</v>
      </c>
      <c r="J155" s="41">
        <f>SUM(J156:J163)</f>
        <v>0</v>
      </c>
      <c r="K155" s="33"/>
      <c r="AH155" s="33"/>
      <c r="AR155" s="41">
        <f>SUM(AI156:AI163)</f>
        <v>0</v>
      </c>
      <c r="AS155" s="41">
        <f>SUM(AJ156:AJ163)</f>
        <v>0</v>
      </c>
      <c r="AT155" s="41">
        <f>SUM(AK156:AK163)</f>
        <v>0</v>
      </c>
    </row>
    <row r="156" spans="1:61" ht="12.75">
      <c r="A156" s="4" t="s">
        <v>35</v>
      </c>
      <c r="B156" s="4" t="s">
        <v>87</v>
      </c>
      <c r="C156" s="83" t="s">
        <v>224</v>
      </c>
      <c r="D156" s="84"/>
      <c r="E156" s="84"/>
      <c r="F156" s="84"/>
      <c r="G156" s="4" t="s">
        <v>297</v>
      </c>
      <c r="H156" s="16">
        <v>33</v>
      </c>
      <c r="I156" s="23">
        <v>0</v>
      </c>
      <c r="J156" s="16">
        <f>H156*I156</f>
        <v>0</v>
      </c>
      <c r="K156" s="16">
        <v>0</v>
      </c>
      <c r="Y156" s="38">
        <f>IF(AP156="5",BI156,0)</f>
        <v>0</v>
      </c>
      <c r="AA156" s="38">
        <f>IF(AP156="1",BG156,0)</f>
        <v>0</v>
      </c>
      <c r="AB156" s="38">
        <f>IF(AP156="1",BH156,0)</f>
        <v>0</v>
      </c>
      <c r="AC156" s="38">
        <f>IF(AP156="7",BG156,0)</f>
        <v>0</v>
      </c>
      <c r="AD156" s="38">
        <f>IF(AP156="7",BH156,0)</f>
        <v>0</v>
      </c>
      <c r="AE156" s="38">
        <f>IF(AP156="2",BG156,0)</f>
        <v>0</v>
      </c>
      <c r="AF156" s="38">
        <f>IF(AP156="2",BH156,0)</f>
        <v>0</v>
      </c>
      <c r="AG156" s="38">
        <f>IF(AP156="0",BI156,0)</f>
        <v>0</v>
      </c>
      <c r="AH156" s="33"/>
      <c r="AI156" s="16">
        <f>IF(AM156=0,J156,0)</f>
        <v>0</v>
      </c>
      <c r="AJ156" s="16">
        <f>IF(AM156=15,J156,0)</f>
        <v>0</v>
      </c>
      <c r="AK156" s="16">
        <f>IF(AM156=21,J156,0)</f>
        <v>0</v>
      </c>
      <c r="AM156" s="38">
        <v>15</v>
      </c>
      <c r="AN156" s="38">
        <f>I156*0.00270188313066683</f>
        <v>0</v>
      </c>
      <c r="AO156" s="38">
        <f>I156*(1-0.00270188313066683)</f>
        <v>0</v>
      </c>
      <c r="AP156" s="34" t="s">
        <v>13</v>
      </c>
      <c r="AU156" s="38">
        <f>AV156+AW156</f>
        <v>0</v>
      </c>
      <c r="AV156" s="38">
        <f>H156*AN156</f>
        <v>0</v>
      </c>
      <c r="AW156" s="38">
        <f>H156*AO156</f>
        <v>0</v>
      </c>
      <c r="AX156" s="39" t="s">
        <v>326</v>
      </c>
      <c r="AY156" s="39" t="s">
        <v>334</v>
      </c>
      <c r="AZ156" s="33" t="s">
        <v>336</v>
      </c>
      <c r="BB156" s="38">
        <f>AV156+AW156</f>
        <v>0</v>
      </c>
      <c r="BC156" s="38">
        <f>I156/(100-BD156)*100</f>
        <v>0</v>
      </c>
      <c r="BD156" s="38">
        <v>0</v>
      </c>
      <c r="BE156" s="38">
        <f>156</f>
        <v>156</v>
      </c>
      <c r="BG156" s="16">
        <f>H156*AN156</f>
        <v>0</v>
      </c>
      <c r="BH156" s="16">
        <f>H156*AO156</f>
        <v>0</v>
      </c>
      <c r="BI156" s="16">
        <f>H156*I156</f>
        <v>0</v>
      </c>
    </row>
    <row r="157" spans="3:9" ht="12.75">
      <c r="C157" s="85" t="s">
        <v>225</v>
      </c>
      <c r="D157" s="86"/>
      <c r="E157" s="86"/>
      <c r="F157" s="86"/>
      <c r="I157" s="24"/>
    </row>
    <row r="158" spans="3:9" ht="12.75">
      <c r="C158" s="79" t="s">
        <v>226</v>
      </c>
      <c r="D158" s="80"/>
      <c r="E158" s="80"/>
      <c r="F158" s="80"/>
      <c r="H158" s="17">
        <v>33</v>
      </c>
      <c r="I158" s="24"/>
    </row>
    <row r="159" spans="1:61" ht="12.75">
      <c r="A159" s="4" t="s">
        <v>36</v>
      </c>
      <c r="B159" s="4" t="s">
        <v>88</v>
      </c>
      <c r="C159" s="83" t="s">
        <v>227</v>
      </c>
      <c r="D159" s="84"/>
      <c r="E159" s="84"/>
      <c r="F159" s="84"/>
      <c r="G159" s="4" t="s">
        <v>297</v>
      </c>
      <c r="H159" s="16">
        <v>53</v>
      </c>
      <c r="I159" s="23">
        <v>0</v>
      </c>
      <c r="J159" s="16">
        <f>H159*I159</f>
        <v>0</v>
      </c>
      <c r="K159" s="16">
        <v>0.00063</v>
      </c>
      <c r="Y159" s="38">
        <f>IF(AP159="5",BI159,0)</f>
        <v>0</v>
      </c>
      <c r="AA159" s="38">
        <f>IF(AP159="1",BG159,0)</f>
        <v>0</v>
      </c>
      <c r="AB159" s="38">
        <f>IF(AP159="1",BH159,0)</f>
        <v>0</v>
      </c>
      <c r="AC159" s="38">
        <f>IF(AP159="7",BG159,0)</f>
        <v>0</v>
      </c>
      <c r="AD159" s="38">
        <f>IF(AP159="7",BH159,0)</f>
        <v>0</v>
      </c>
      <c r="AE159" s="38">
        <f>IF(AP159="2",BG159,0)</f>
        <v>0</v>
      </c>
      <c r="AF159" s="38">
        <f>IF(AP159="2",BH159,0)</f>
        <v>0</v>
      </c>
      <c r="AG159" s="38">
        <f>IF(AP159="0",BI159,0)</f>
        <v>0</v>
      </c>
      <c r="AH159" s="33"/>
      <c r="AI159" s="16">
        <f>IF(AM159=0,J159,0)</f>
        <v>0</v>
      </c>
      <c r="AJ159" s="16">
        <f>IF(AM159=15,J159,0)</f>
        <v>0</v>
      </c>
      <c r="AK159" s="16">
        <f>IF(AM159=21,J159,0)</f>
        <v>0</v>
      </c>
      <c r="AM159" s="38">
        <v>15</v>
      </c>
      <c r="AN159" s="38">
        <f>I159*0.249647058823529</f>
        <v>0</v>
      </c>
      <c r="AO159" s="38">
        <f>I159*(1-0.249647058823529)</f>
        <v>0</v>
      </c>
      <c r="AP159" s="34" t="s">
        <v>13</v>
      </c>
      <c r="AU159" s="38">
        <f>AV159+AW159</f>
        <v>0</v>
      </c>
      <c r="AV159" s="38">
        <f>H159*AN159</f>
        <v>0</v>
      </c>
      <c r="AW159" s="38">
        <f>H159*AO159</f>
        <v>0</v>
      </c>
      <c r="AX159" s="39" t="s">
        <v>326</v>
      </c>
      <c r="AY159" s="39" t="s">
        <v>334</v>
      </c>
      <c r="AZ159" s="33" t="s">
        <v>336</v>
      </c>
      <c r="BB159" s="38">
        <f>AV159+AW159</f>
        <v>0</v>
      </c>
      <c r="BC159" s="38">
        <f>I159/(100-BD159)*100</f>
        <v>0</v>
      </c>
      <c r="BD159" s="38">
        <v>0</v>
      </c>
      <c r="BE159" s="38">
        <f>159</f>
        <v>159</v>
      </c>
      <c r="BG159" s="16">
        <f>H159*AN159</f>
        <v>0</v>
      </c>
      <c r="BH159" s="16">
        <f>H159*AO159</f>
        <v>0</v>
      </c>
      <c r="BI159" s="16">
        <f>H159*I159</f>
        <v>0</v>
      </c>
    </row>
    <row r="160" spans="3:9" ht="12.75">
      <c r="C160" s="79" t="s">
        <v>226</v>
      </c>
      <c r="D160" s="80"/>
      <c r="E160" s="80"/>
      <c r="F160" s="80"/>
      <c r="H160" s="17">
        <v>33</v>
      </c>
      <c r="I160" s="24"/>
    </row>
    <row r="161" spans="3:9" ht="12.75">
      <c r="C161" s="79" t="s">
        <v>228</v>
      </c>
      <c r="D161" s="80"/>
      <c r="E161" s="80"/>
      <c r="F161" s="80"/>
      <c r="H161" s="17">
        <v>0</v>
      </c>
      <c r="I161" s="24"/>
    </row>
    <row r="162" spans="3:9" ht="12.75">
      <c r="C162" s="79" t="s">
        <v>127</v>
      </c>
      <c r="D162" s="80"/>
      <c r="E162" s="80"/>
      <c r="F162" s="80"/>
      <c r="H162" s="17">
        <v>20</v>
      </c>
      <c r="I162" s="24"/>
    </row>
    <row r="163" spans="1:61" ht="12.75">
      <c r="A163" s="4" t="s">
        <v>37</v>
      </c>
      <c r="B163" s="4" t="s">
        <v>89</v>
      </c>
      <c r="C163" s="83" t="s">
        <v>229</v>
      </c>
      <c r="D163" s="84"/>
      <c r="E163" s="84"/>
      <c r="F163" s="84"/>
      <c r="G163" s="4" t="s">
        <v>297</v>
      </c>
      <c r="H163" s="16">
        <v>46.4597</v>
      </c>
      <c r="I163" s="23">
        <v>0</v>
      </c>
      <c r="J163" s="16">
        <f>H163*I163</f>
        <v>0</v>
      </c>
      <c r="K163" s="16">
        <v>0</v>
      </c>
      <c r="Y163" s="38">
        <f>IF(AP163="5",BI163,0)</f>
        <v>0</v>
      </c>
      <c r="AA163" s="38">
        <f>IF(AP163="1",BG163,0)</f>
        <v>0</v>
      </c>
      <c r="AB163" s="38">
        <f>IF(AP163="1",BH163,0)</f>
        <v>0</v>
      </c>
      <c r="AC163" s="38">
        <f>IF(AP163="7",BG163,0)</f>
        <v>0</v>
      </c>
      <c r="AD163" s="38">
        <f>IF(AP163="7",BH163,0)</f>
        <v>0</v>
      </c>
      <c r="AE163" s="38">
        <f>IF(AP163="2",BG163,0)</f>
        <v>0</v>
      </c>
      <c r="AF163" s="38">
        <f>IF(AP163="2",BH163,0)</f>
        <v>0</v>
      </c>
      <c r="AG163" s="38">
        <f>IF(AP163="0",BI163,0)</f>
        <v>0</v>
      </c>
      <c r="AH163" s="33"/>
      <c r="AI163" s="16">
        <f>IF(AM163=0,J163,0)</f>
        <v>0</v>
      </c>
      <c r="AJ163" s="16">
        <f>IF(AM163=15,J163,0)</f>
        <v>0</v>
      </c>
      <c r="AK163" s="16">
        <f>IF(AM163=21,J163,0)</f>
        <v>0</v>
      </c>
      <c r="AM163" s="38">
        <v>15</v>
      </c>
      <c r="AN163" s="38">
        <f>I163*0.520832435462274</f>
        <v>0</v>
      </c>
      <c r="AO163" s="38">
        <f>I163*(1-0.520832435462274)</f>
        <v>0</v>
      </c>
      <c r="AP163" s="34" t="s">
        <v>13</v>
      </c>
      <c r="AU163" s="38">
        <f>AV163+AW163</f>
        <v>0</v>
      </c>
      <c r="AV163" s="38">
        <f>H163*AN163</f>
        <v>0</v>
      </c>
      <c r="AW163" s="38">
        <f>H163*AO163</f>
        <v>0</v>
      </c>
      <c r="AX163" s="39" t="s">
        <v>326</v>
      </c>
      <c r="AY163" s="39" t="s">
        <v>334</v>
      </c>
      <c r="AZ163" s="33" t="s">
        <v>336</v>
      </c>
      <c r="BB163" s="38">
        <f>AV163+AW163</f>
        <v>0</v>
      </c>
      <c r="BC163" s="38">
        <f>I163/(100-BD163)*100</f>
        <v>0</v>
      </c>
      <c r="BD163" s="38">
        <v>0</v>
      </c>
      <c r="BE163" s="38">
        <f>163</f>
        <v>163</v>
      </c>
      <c r="BG163" s="16">
        <f>H163*AN163</f>
        <v>0</v>
      </c>
      <c r="BH163" s="16">
        <f>H163*AO163</f>
        <v>0</v>
      </c>
      <c r="BI163" s="16">
        <f>H163*I163</f>
        <v>0</v>
      </c>
    </row>
    <row r="164" spans="3:9" ht="12.75">
      <c r="C164" s="79" t="s">
        <v>230</v>
      </c>
      <c r="D164" s="80"/>
      <c r="E164" s="80"/>
      <c r="F164" s="80"/>
      <c r="H164" s="17">
        <v>5.04</v>
      </c>
      <c r="I164" s="24"/>
    </row>
    <row r="165" spans="3:9" ht="12.75">
      <c r="C165" s="79" t="s">
        <v>231</v>
      </c>
      <c r="D165" s="80"/>
      <c r="E165" s="80"/>
      <c r="F165" s="80"/>
      <c r="H165" s="17">
        <v>18.24</v>
      </c>
      <c r="I165" s="24"/>
    </row>
    <row r="166" spans="3:9" ht="12.75">
      <c r="C166" s="79" t="s">
        <v>232</v>
      </c>
      <c r="D166" s="80"/>
      <c r="E166" s="80"/>
      <c r="F166" s="80"/>
      <c r="H166" s="17">
        <v>3.705</v>
      </c>
      <c r="I166" s="24"/>
    </row>
    <row r="167" spans="3:9" ht="12.75">
      <c r="C167" s="79" t="s">
        <v>233</v>
      </c>
      <c r="D167" s="80"/>
      <c r="E167" s="80"/>
      <c r="F167" s="80"/>
      <c r="H167" s="17">
        <v>1.35</v>
      </c>
      <c r="I167" s="24"/>
    </row>
    <row r="168" spans="3:9" ht="12.75">
      <c r="C168" s="79" t="s">
        <v>234</v>
      </c>
      <c r="D168" s="80"/>
      <c r="E168" s="80"/>
      <c r="F168" s="80"/>
      <c r="H168" s="17">
        <v>2.4</v>
      </c>
      <c r="I168" s="24"/>
    </row>
    <row r="169" spans="3:9" ht="12.75">
      <c r="C169" s="79" t="s">
        <v>235</v>
      </c>
      <c r="D169" s="80"/>
      <c r="E169" s="80"/>
      <c r="F169" s="80"/>
      <c r="H169" s="17">
        <v>1.755</v>
      </c>
      <c r="I169" s="24"/>
    </row>
    <row r="170" spans="3:9" ht="12.75">
      <c r="C170" s="79" t="s">
        <v>236</v>
      </c>
      <c r="D170" s="80"/>
      <c r="E170" s="80"/>
      <c r="F170" s="80"/>
      <c r="H170" s="17">
        <v>3.15</v>
      </c>
      <c r="I170" s="24"/>
    </row>
    <row r="171" spans="3:9" ht="12.75">
      <c r="C171" s="79" t="s">
        <v>236</v>
      </c>
      <c r="D171" s="80"/>
      <c r="E171" s="80"/>
      <c r="F171" s="80"/>
      <c r="H171" s="17">
        <v>3.15</v>
      </c>
      <c r="I171" s="24"/>
    </row>
    <row r="172" spans="3:9" ht="12.75">
      <c r="C172" s="79" t="s">
        <v>237</v>
      </c>
      <c r="D172" s="80"/>
      <c r="E172" s="80"/>
      <c r="F172" s="80"/>
      <c r="H172" s="17">
        <v>1.35</v>
      </c>
      <c r="I172" s="24"/>
    </row>
    <row r="173" spans="3:9" ht="12.75">
      <c r="C173" s="79" t="s">
        <v>238</v>
      </c>
      <c r="D173" s="80"/>
      <c r="E173" s="80"/>
      <c r="F173" s="80"/>
      <c r="H173" s="17">
        <v>0.6272</v>
      </c>
      <c r="I173" s="24"/>
    </row>
    <row r="174" spans="3:9" ht="12.75">
      <c r="C174" s="79" t="s">
        <v>239</v>
      </c>
      <c r="D174" s="80"/>
      <c r="E174" s="80"/>
      <c r="F174" s="80"/>
      <c r="H174" s="17">
        <v>2.52</v>
      </c>
      <c r="I174" s="24"/>
    </row>
    <row r="175" spans="3:9" ht="12.75">
      <c r="C175" s="79" t="s">
        <v>240</v>
      </c>
      <c r="D175" s="80"/>
      <c r="E175" s="80"/>
      <c r="F175" s="80"/>
      <c r="H175" s="17">
        <v>3.1725</v>
      </c>
      <c r="I175" s="24"/>
    </row>
    <row r="176" spans="1:46" ht="12.75">
      <c r="A176" s="5"/>
      <c r="B176" s="13" t="s">
        <v>90</v>
      </c>
      <c r="C176" s="81" t="s">
        <v>241</v>
      </c>
      <c r="D176" s="82"/>
      <c r="E176" s="82"/>
      <c r="F176" s="82"/>
      <c r="G176" s="5" t="s">
        <v>6</v>
      </c>
      <c r="H176" s="5" t="s">
        <v>6</v>
      </c>
      <c r="I176" s="25" t="s">
        <v>6</v>
      </c>
      <c r="J176" s="41">
        <f>SUM(J177:J180)</f>
        <v>0</v>
      </c>
      <c r="K176" s="33"/>
      <c r="AH176" s="33"/>
      <c r="AR176" s="41">
        <f>SUM(AI177:AI180)</f>
        <v>0</v>
      </c>
      <c r="AS176" s="41">
        <f>SUM(AJ177:AJ180)</f>
        <v>0</v>
      </c>
      <c r="AT176" s="41">
        <f>SUM(AK177:AK180)</f>
        <v>0</v>
      </c>
    </row>
    <row r="177" spans="1:61" ht="12.75">
      <c r="A177" s="4" t="s">
        <v>38</v>
      </c>
      <c r="B177" s="4" t="s">
        <v>91</v>
      </c>
      <c r="C177" s="83" t="s">
        <v>242</v>
      </c>
      <c r="D177" s="84"/>
      <c r="E177" s="84"/>
      <c r="F177" s="84"/>
      <c r="G177" s="4" t="s">
        <v>301</v>
      </c>
      <c r="H177" s="16">
        <v>1</v>
      </c>
      <c r="I177" s="23">
        <v>0</v>
      </c>
      <c r="J177" s="16">
        <f>H177*I177</f>
        <v>0</v>
      </c>
      <c r="K177" s="16">
        <v>1E-05</v>
      </c>
      <c r="Y177" s="38">
        <f>IF(AP177="5",BI177,0)</f>
        <v>0</v>
      </c>
      <c r="AA177" s="38">
        <f>IF(AP177="1",BG177,0)</f>
        <v>0</v>
      </c>
      <c r="AB177" s="38">
        <f>IF(AP177="1",BH177,0)</f>
        <v>0</v>
      </c>
      <c r="AC177" s="38">
        <f>IF(AP177="7",BG177,0)</f>
        <v>0</v>
      </c>
      <c r="AD177" s="38">
        <f>IF(AP177="7",BH177,0)</f>
        <v>0</v>
      </c>
      <c r="AE177" s="38">
        <f>IF(AP177="2",BG177,0)</f>
        <v>0</v>
      </c>
      <c r="AF177" s="38">
        <f>IF(AP177="2",BH177,0)</f>
        <v>0</v>
      </c>
      <c r="AG177" s="38">
        <f>IF(AP177="0",BI177,0)</f>
        <v>0</v>
      </c>
      <c r="AH177" s="33"/>
      <c r="AI177" s="16">
        <f>IF(AM177=0,J177,0)</f>
        <v>0</v>
      </c>
      <c r="AJ177" s="16">
        <f>IF(AM177=15,J177,0)</f>
        <v>0</v>
      </c>
      <c r="AK177" s="16">
        <f>IF(AM177=21,J177,0)</f>
        <v>0</v>
      </c>
      <c r="AM177" s="38">
        <v>15</v>
      </c>
      <c r="AN177" s="38">
        <f>I177*0</f>
        <v>0</v>
      </c>
      <c r="AO177" s="38">
        <f>I177*(1-0)</f>
        <v>0</v>
      </c>
      <c r="AP177" s="34" t="s">
        <v>7</v>
      </c>
      <c r="AU177" s="38">
        <f>AV177+AW177</f>
        <v>0</v>
      </c>
      <c r="AV177" s="38">
        <f>H177*AN177</f>
        <v>0</v>
      </c>
      <c r="AW177" s="38">
        <f>H177*AO177</f>
        <v>0</v>
      </c>
      <c r="AX177" s="39" t="s">
        <v>327</v>
      </c>
      <c r="AY177" s="39" t="s">
        <v>335</v>
      </c>
      <c r="AZ177" s="33" t="s">
        <v>336</v>
      </c>
      <c r="BB177" s="38">
        <f>AV177+AW177</f>
        <v>0</v>
      </c>
      <c r="BC177" s="38">
        <f>I177/(100-BD177)*100</f>
        <v>0</v>
      </c>
      <c r="BD177" s="38">
        <v>0</v>
      </c>
      <c r="BE177" s="38">
        <f>177</f>
        <v>177</v>
      </c>
      <c r="BG177" s="16">
        <f>H177*AN177</f>
        <v>0</v>
      </c>
      <c r="BH177" s="16">
        <f>H177*AO177</f>
        <v>0</v>
      </c>
      <c r="BI177" s="16">
        <f>H177*I177</f>
        <v>0</v>
      </c>
    </row>
    <row r="178" spans="3:9" ht="12.75">
      <c r="C178" s="85" t="s">
        <v>243</v>
      </c>
      <c r="D178" s="86"/>
      <c r="E178" s="86"/>
      <c r="F178" s="86"/>
      <c r="I178" s="24"/>
    </row>
    <row r="179" spans="3:9" ht="12.75">
      <c r="C179" s="79" t="s">
        <v>145</v>
      </c>
      <c r="D179" s="80"/>
      <c r="E179" s="80"/>
      <c r="F179" s="80"/>
      <c r="H179" s="17">
        <v>1</v>
      </c>
      <c r="I179" s="24"/>
    </row>
    <row r="180" spans="1:61" ht="12.75">
      <c r="A180" s="4" t="s">
        <v>39</v>
      </c>
      <c r="B180" s="4" t="s">
        <v>92</v>
      </c>
      <c r="C180" s="83" t="s">
        <v>244</v>
      </c>
      <c r="D180" s="84"/>
      <c r="E180" s="84"/>
      <c r="F180" s="84"/>
      <c r="G180" s="4" t="s">
        <v>297</v>
      </c>
      <c r="H180" s="16">
        <v>100</v>
      </c>
      <c r="I180" s="23">
        <v>0</v>
      </c>
      <c r="J180" s="16">
        <f>H180*I180</f>
        <v>0</v>
      </c>
      <c r="K180" s="16">
        <v>4E-05</v>
      </c>
      <c r="Y180" s="38">
        <f>IF(AP180="5",BI180,0)</f>
        <v>0</v>
      </c>
      <c r="AA180" s="38">
        <f>IF(AP180="1",BG180,0)</f>
        <v>0</v>
      </c>
      <c r="AB180" s="38">
        <f>IF(AP180="1",BH180,0)</f>
        <v>0</v>
      </c>
      <c r="AC180" s="38">
        <f>IF(AP180="7",BG180,0)</f>
        <v>0</v>
      </c>
      <c r="AD180" s="38">
        <f>IF(AP180="7",BH180,0)</f>
        <v>0</v>
      </c>
      <c r="AE180" s="38">
        <f>IF(AP180="2",BG180,0)</f>
        <v>0</v>
      </c>
      <c r="AF180" s="38">
        <f>IF(AP180="2",BH180,0)</f>
        <v>0</v>
      </c>
      <c r="AG180" s="38">
        <f>IF(AP180="0",BI180,0)</f>
        <v>0</v>
      </c>
      <c r="AH180" s="33"/>
      <c r="AI180" s="16">
        <f>IF(AM180=0,J180,0)</f>
        <v>0</v>
      </c>
      <c r="AJ180" s="16">
        <f>IF(AM180=15,J180,0)</f>
        <v>0</v>
      </c>
      <c r="AK180" s="16">
        <f>IF(AM180=21,J180,0)</f>
        <v>0</v>
      </c>
      <c r="AM180" s="38">
        <v>15</v>
      </c>
      <c r="AN180" s="38">
        <f>I180*0.0123809523809524</f>
        <v>0</v>
      </c>
      <c r="AO180" s="38">
        <f>I180*(1-0.0123809523809524)</f>
        <v>0</v>
      </c>
      <c r="AP180" s="34" t="s">
        <v>7</v>
      </c>
      <c r="AU180" s="38">
        <f>AV180+AW180</f>
        <v>0</v>
      </c>
      <c r="AV180" s="38">
        <f>H180*AN180</f>
        <v>0</v>
      </c>
      <c r="AW180" s="38">
        <f>H180*AO180</f>
        <v>0</v>
      </c>
      <c r="AX180" s="39" t="s">
        <v>327</v>
      </c>
      <c r="AY180" s="39" t="s">
        <v>335</v>
      </c>
      <c r="AZ180" s="33" t="s">
        <v>336</v>
      </c>
      <c r="BB180" s="38">
        <f>AV180+AW180</f>
        <v>0</v>
      </c>
      <c r="BC180" s="38">
        <f>I180/(100-BD180)*100</f>
        <v>0</v>
      </c>
      <c r="BD180" s="38">
        <v>0</v>
      </c>
      <c r="BE180" s="38">
        <f>180</f>
        <v>180</v>
      </c>
      <c r="BG180" s="16">
        <f>H180*AN180</f>
        <v>0</v>
      </c>
      <c r="BH180" s="16">
        <f>H180*AO180</f>
        <v>0</v>
      </c>
      <c r="BI180" s="16">
        <f>H180*I180</f>
        <v>0</v>
      </c>
    </row>
    <row r="181" spans="3:9" ht="12.75">
      <c r="C181" s="79" t="s">
        <v>245</v>
      </c>
      <c r="D181" s="80"/>
      <c r="E181" s="80"/>
      <c r="F181" s="80"/>
      <c r="H181" s="17">
        <v>100</v>
      </c>
      <c r="I181" s="24"/>
    </row>
    <row r="182" spans="1:46" ht="12.75">
      <c r="A182" s="5"/>
      <c r="B182" s="13" t="s">
        <v>93</v>
      </c>
      <c r="C182" s="81" t="s">
        <v>246</v>
      </c>
      <c r="D182" s="82"/>
      <c r="E182" s="82"/>
      <c r="F182" s="82"/>
      <c r="G182" s="5" t="s">
        <v>6</v>
      </c>
      <c r="H182" s="5" t="s">
        <v>6</v>
      </c>
      <c r="I182" s="25" t="s">
        <v>6</v>
      </c>
      <c r="J182" s="41">
        <f>SUM(J183:J213)</f>
        <v>0</v>
      </c>
      <c r="K182" s="33"/>
      <c r="AH182" s="33"/>
      <c r="AR182" s="41">
        <f>SUM(AI183:AI213)</f>
        <v>0</v>
      </c>
      <c r="AS182" s="41">
        <f>SUM(AJ183:AJ213)</f>
        <v>0</v>
      </c>
      <c r="AT182" s="41">
        <f>SUM(AK183:AK213)</f>
        <v>0</v>
      </c>
    </row>
    <row r="183" spans="1:61" ht="12.75">
      <c r="A183" s="4" t="s">
        <v>40</v>
      </c>
      <c r="B183" s="4" t="s">
        <v>94</v>
      </c>
      <c r="C183" s="83" t="s">
        <v>247</v>
      </c>
      <c r="D183" s="84"/>
      <c r="E183" s="84"/>
      <c r="F183" s="84"/>
      <c r="G183" s="4" t="s">
        <v>297</v>
      </c>
      <c r="H183" s="16">
        <v>17.282</v>
      </c>
      <c r="I183" s="23">
        <v>0</v>
      </c>
      <c r="J183" s="16">
        <f>H183*I183</f>
        <v>0</v>
      </c>
      <c r="K183" s="16">
        <v>0.032</v>
      </c>
      <c r="Y183" s="38">
        <f>IF(AP183="5",BI183,0)</f>
        <v>0</v>
      </c>
      <c r="AA183" s="38">
        <f>IF(AP183="1",BG183,0)</f>
        <v>0</v>
      </c>
      <c r="AB183" s="38">
        <f>IF(AP183="1",BH183,0)</f>
        <v>0</v>
      </c>
      <c r="AC183" s="38">
        <f>IF(AP183="7",BG183,0)</f>
        <v>0</v>
      </c>
      <c r="AD183" s="38">
        <f>IF(AP183="7",BH183,0)</f>
        <v>0</v>
      </c>
      <c r="AE183" s="38">
        <f>IF(AP183="2",BG183,0)</f>
        <v>0</v>
      </c>
      <c r="AF183" s="38">
        <f>IF(AP183="2",BH183,0)</f>
        <v>0</v>
      </c>
      <c r="AG183" s="38">
        <f>IF(AP183="0",BI183,0)</f>
        <v>0</v>
      </c>
      <c r="AH183" s="33"/>
      <c r="AI183" s="16">
        <f>IF(AM183=0,J183,0)</f>
        <v>0</v>
      </c>
      <c r="AJ183" s="16">
        <f>IF(AM183=15,J183,0)</f>
        <v>0</v>
      </c>
      <c r="AK183" s="16">
        <f>IF(AM183=21,J183,0)</f>
        <v>0</v>
      </c>
      <c r="AM183" s="38">
        <v>15</v>
      </c>
      <c r="AN183" s="38">
        <f>I183*0.163071226316954</f>
        <v>0</v>
      </c>
      <c r="AO183" s="38">
        <f>I183*(1-0.163071226316954)</f>
        <v>0</v>
      </c>
      <c r="AP183" s="34" t="s">
        <v>7</v>
      </c>
      <c r="AU183" s="38">
        <f>AV183+AW183</f>
        <v>0</v>
      </c>
      <c r="AV183" s="38">
        <f>H183*AN183</f>
        <v>0</v>
      </c>
      <c r="AW183" s="38">
        <f>H183*AO183</f>
        <v>0</v>
      </c>
      <c r="AX183" s="39" t="s">
        <v>328</v>
      </c>
      <c r="AY183" s="39" t="s">
        <v>335</v>
      </c>
      <c r="AZ183" s="33" t="s">
        <v>336</v>
      </c>
      <c r="BB183" s="38">
        <f>AV183+AW183</f>
        <v>0</v>
      </c>
      <c r="BC183" s="38">
        <f>I183/(100-BD183)*100</f>
        <v>0</v>
      </c>
      <c r="BD183" s="38">
        <v>0</v>
      </c>
      <c r="BE183" s="38">
        <f>183</f>
        <v>183</v>
      </c>
      <c r="BG183" s="16">
        <f>H183*AN183</f>
        <v>0</v>
      </c>
      <c r="BH183" s="16">
        <f>H183*AO183</f>
        <v>0</v>
      </c>
      <c r="BI183" s="16">
        <f>H183*I183</f>
        <v>0</v>
      </c>
    </row>
    <row r="184" spans="3:9" ht="12.75">
      <c r="C184" s="85" t="s">
        <v>248</v>
      </c>
      <c r="D184" s="86"/>
      <c r="E184" s="86"/>
      <c r="F184" s="86"/>
      <c r="I184" s="24"/>
    </row>
    <row r="185" spans="3:9" ht="12.75">
      <c r="C185" s="79" t="s">
        <v>249</v>
      </c>
      <c r="D185" s="80"/>
      <c r="E185" s="80"/>
      <c r="F185" s="80"/>
      <c r="H185" s="17">
        <v>0</v>
      </c>
      <c r="I185" s="24"/>
    </row>
    <row r="186" spans="3:9" ht="12.75">
      <c r="C186" s="79" t="s">
        <v>250</v>
      </c>
      <c r="D186" s="80"/>
      <c r="E186" s="80"/>
      <c r="F186" s="80"/>
      <c r="H186" s="17">
        <v>3.8688</v>
      </c>
      <c r="I186" s="24"/>
    </row>
    <row r="187" spans="3:9" ht="12.75">
      <c r="C187" s="79" t="s">
        <v>251</v>
      </c>
      <c r="D187" s="80"/>
      <c r="E187" s="80"/>
      <c r="F187" s="80"/>
      <c r="H187" s="17">
        <v>3.5712</v>
      </c>
      <c r="I187" s="24"/>
    </row>
    <row r="188" spans="3:9" ht="12.75">
      <c r="C188" s="79" t="s">
        <v>252</v>
      </c>
      <c r="D188" s="80"/>
      <c r="E188" s="80"/>
      <c r="F188" s="80"/>
      <c r="H188" s="17">
        <v>3.996</v>
      </c>
      <c r="I188" s="24"/>
    </row>
    <row r="189" spans="3:9" ht="12.75">
      <c r="C189" s="79" t="s">
        <v>253</v>
      </c>
      <c r="D189" s="80"/>
      <c r="E189" s="80"/>
      <c r="F189" s="80"/>
      <c r="H189" s="17">
        <v>3.8688</v>
      </c>
      <c r="I189" s="24"/>
    </row>
    <row r="190" spans="3:9" ht="12.75">
      <c r="C190" s="79" t="s">
        <v>254</v>
      </c>
      <c r="D190" s="80"/>
      <c r="E190" s="80"/>
      <c r="F190" s="80"/>
      <c r="H190" s="17">
        <v>1.35</v>
      </c>
      <c r="I190" s="24"/>
    </row>
    <row r="191" spans="3:9" ht="12.75">
      <c r="C191" s="79" t="s">
        <v>255</v>
      </c>
      <c r="D191" s="80"/>
      <c r="E191" s="80"/>
      <c r="F191" s="80"/>
      <c r="H191" s="17">
        <v>0.3136</v>
      </c>
      <c r="I191" s="24"/>
    </row>
    <row r="192" spans="3:9" ht="12.75">
      <c r="C192" s="79" t="s">
        <v>256</v>
      </c>
      <c r="D192" s="80"/>
      <c r="E192" s="80"/>
      <c r="F192" s="80"/>
      <c r="H192" s="17">
        <v>0.3136</v>
      </c>
      <c r="I192" s="24"/>
    </row>
    <row r="193" spans="1:61" ht="12.75">
      <c r="A193" s="4" t="s">
        <v>41</v>
      </c>
      <c r="B193" s="4" t="s">
        <v>95</v>
      </c>
      <c r="C193" s="83" t="s">
        <v>257</v>
      </c>
      <c r="D193" s="84"/>
      <c r="E193" s="84"/>
      <c r="F193" s="84"/>
      <c r="G193" s="4" t="s">
        <v>297</v>
      </c>
      <c r="H193" s="16">
        <v>19.536</v>
      </c>
      <c r="I193" s="23">
        <v>0</v>
      </c>
      <c r="J193" s="16">
        <f>H193*I193</f>
        <v>0</v>
      </c>
      <c r="K193" s="16">
        <v>0.02792</v>
      </c>
      <c r="Y193" s="38">
        <f>IF(AP193="5",BI193,0)</f>
        <v>0</v>
      </c>
      <c r="AA193" s="38">
        <f>IF(AP193="1",BG193,0)</f>
        <v>0</v>
      </c>
      <c r="AB193" s="38">
        <f>IF(AP193="1",BH193,0)</f>
        <v>0</v>
      </c>
      <c r="AC193" s="38">
        <f>IF(AP193="7",BG193,0)</f>
        <v>0</v>
      </c>
      <c r="AD193" s="38">
        <f>IF(AP193="7",BH193,0)</f>
        <v>0</v>
      </c>
      <c r="AE193" s="38">
        <f>IF(AP193="2",BG193,0)</f>
        <v>0</v>
      </c>
      <c r="AF193" s="38">
        <f>IF(AP193="2",BH193,0)</f>
        <v>0</v>
      </c>
      <c r="AG193" s="38">
        <f>IF(AP193="0",BI193,0)</f>
        <v>0</v>
      </c>
      <c r="AH193" s="33"/>
      <c r="AI193" s="16">
        <f>IF(AM193=0,J193,0)</f>
        <v>0</v>
      </c>
      <c r="AJ193" s="16">
        <f>IF(AM193=15,J193,0)</f>
        <v>0</v>
      </c>
      <c r="AK193" s="16">
        <f>IF(AM193=21,J193,0)</f>
        <v>0</v>
      </c>
      <c r="AM193" s="38">
        <v>15</v>
      </c>
      <c r="AN193" s="38">
        <f>I193*0.183263755327579</f>
        <v>0</v>
      </c>
      <c r="AO193" s="38">
        <f>I193*(1-0.183263755327579)</f>
        <v>0</v>
      </c>
      <c r="AP193" s="34" t="s">
        <v>7</v>
      </c>
      <c r="AU193" s="38">
        <f>AV193+AW193</f>
        <v>0</v>
      </c>
      <c r="AV193" s="38">
        <f>H193*AN193</f>
        <v>0</v>
      </c>
      <c r="AW193" s="38">
        <f>H193*AO193</f>
        <v>0</v>
      </c>
      <c r="AX193" s="39" t="s">
        <v>328</v>
      </c>
      <c r="AY193" s="39" t="s">
        <v>335</v>
      </c>
      <c r="AZ193" s="33" t="s">
        <v>336</v>
      </c>
      <c r="BB193" s="38">
        <f>AV193+AW193</f>
        <v>0</v>
      </c>
      <c r="BC193" s="38">
        <f>I193/(100-BD193)*100</f>
        <v>0</v>
      </c>
      <c r="BD193" s="38">
        <v>0</v>
      </c>
      <c r="BE193" s="38">
        <f>193</f>
        <v>193</v>
      </c>
      <c r="BG193" s="16">
        <f>H193*AN193</f>
        <v>0</v>
      </c>
      <c r="BH193" s="16">
        <f>H193*AO193</f>
        <v>0</v>
      </c>
      <c r="BI193" s="16">
        <f>H193*I193</f>
        <v>0</v>
      </c>
    </row>
    <row r="194" spans="3:9" ht="12.75">
      <c r="C194" s="85" t="s">
        <v>248</v>
      </c>
      <c r="D194" s="86"/>
      <c r="E194" s="86"/>
      <c r="F194" s="86"/>
      <c r="I194" s="24"/>
    </row>
    <row r="195" spans="3:9" ht="12.75">
      <c r="C195" s="79" t="s">
        <v>258</v>
      </c>
      <c r="D195" s="80"/>
      <c r="E195" s="80"/>
      <c r="F195" s="80"/>
      <c r="H195" s="17">
        <v>16.7832</v>
      </c>
      <c r="I195" s="24"/>
    </row>
    <row r="196" spans="3:9" ht="12.75">
      <c r="C196" s="79" t="s">
        <v>259</v>
      </c>
      <c r="D196" s="80"/>
      <c r="E196" s="80"/>
      <c r="F196" s="80"/>
      <c r="H196" s="17">
        <v>2.7528</v>
      </c>
      <c r="I196" s="24"/>
    </row>
    <row r="197" spans="1:61" ht="12.75">
      <c r="A197" s="4" t="s">
        <v>42</v>
      </c>
      <c r="B197" s="4" t="s">
        <v>96</v>
      </c>
      <c r="C197" s="83" t="s">
        <v>260</v>
      </c>
      <c r="D197" s="84"/>
      <c r="E197" s="84"/>
      <c r="F197" s="84"/>
      <c r="G197" s="4" t="s">
        <v>297</v>
      </c>
      <c r="H197" s="16">
        <v>3.5604</v>
      </c>
      <c r="I197" s="23">
        <v>0</v>
      </c>
      <c r="J197" s="16">
        <f>H197*I197</f>
        <v>0</v>
      </c>
      <c r="K197" s="16">
        <v>0.063</v>
      </c>
      <c r="Y197" s="38">
        <f>IF(AP197="5",BI197,0)</f>
        <v>0</v>
      </c>
      <c r="AA197" s="38">
        <f>IF(AP197="1",BG197,0)</f>
        <v>0</v>
      </c>
      <c r="AB197" s="38">
        <f>IF(AP197="1",BH197,0)</f>
        <v>0</v>
      </c>
      <c r="AC197" s="38">
        <f>IF(AP197="7",BG197,0)</f>
        <v>0</v>
      </c>
      <c r="AD197" s="38">
        <f>IF(AP197="7",BH197,0)</f>
        <v>0</v>
      </c>
      <c r="AE197" s="38">
        <f>IF(AP197="2",BG197,0)</f>
        <v>0</v>
      </c>
      <c r="AF197" s="38">
        <f>IF(AP197="2",BH197,0)</f>
        <v>0</v>
      </c>
      <c r="AG197" s="38">
        <f>IF(AP197="0",BI197,0)</f>
        <v>0</v>
      </c>
      <c r="AH197" s="33"/>
      <c r="AI197" s="16">
        <f>IF(AM197=0,J197,0)</f>
        <v>0</v>
      </c>
      <c r="AJ197" s="16">
        <f>IF(AM197=15,J197,0)</f>
        <v>0</v>
      </c>
      <c r="AK197" s="16">
        <f>IF(AM197=21,J197,0)</f>
        <v>0</v>
      </c>
      <c r="AM197" s="38">
        <v>15</v>
      </c>
      <c r="AN197" s="38">
        <f>I197*0.0965919545752348</f>
        <v>0</v>
      </c>
      <c r="AO197" s="38">
        <f>I197*(1-0.0965919545752348)</f>
        <v>0</v>
      </c>
      <c r="AP197" s="34" t="s">
        <v>7</v>
      </c>
      <c r="AU197" s="38">
        <f>AV197+AW197</f>
        <v>0</v>
      </c>
      <c r="AV197" s="38">
        <f>H197*AN197</f>
        <v>0</v>
      </c>
      <c r="AW197" s="38">
        <f>H197*AO197</f>
        <v>0</v>
      </c>
      <c r="AX197" s="39" t="s">
        <v>328</v>
      </c>
      <c r="AY197" s="39" t="s">
        <v>335</v>
      </c>
      <c r="AZ197" s="33" t="s">
        <v>336</v>
      </c>
      <c r="BB197" s="38">
        <f>AV197+AW197</f>
        <v>0</v>
      </c>
      <c r="BC197" s="38">
        <f>I197/(100-BD197)*100</f>
        <v>0</v>
      </c>
      <c r="BD197" s="38">
        <v>0</v>
      </c>
      <c r="BE197" s="38">
        <f>197</f>
        <v>197</v>
      </c>
      <c r="BG197" s="16">
        <f>H197*AN197</f>
        <v>0</v>
      </c>
      <c r="BH197" s="16">
        <f>H197*AO197</f>
        <v>0</v>
      </c>
      <c r="BI197" s="16">
        <f>H197*I197</f>
        <v>0</v>
      </c>
    </row>
    <row r="198" spans="3:9" ht="12.75">
      <c r="C198" s="85" t="s">
        <v>248</v>
      </c>
      <c r="D198" s="86"/>
      <c r="E198" s="86"/>
      <c r="F198" s="86"/>
      <c r="I198" s="24"/>
    </row>
    <row r="199" spans="3:9" ht="12.75">
      <c r="C199" s="79" t="s">
        <v>261</v>
      </c>
      <c r="D199" s="80"/>
      <c r="E199" s="80"/>
      <c r="F199" s="80"/>
      <c r="H199" s="17">
        <v>1.9608</v>
      </c>
      <c r="I199" s="24"/>
    </row>
    <row r="200" spans="3:9" ht="12.75">
      <c r="C200" s="79" t="s">
        <v>262</v>
      </c>
      <c r="D200" s="80"/>
      <c r="E200" s="80"/>
      <c r="F200" s="80"/>
      <c r="H200" s="17">
        <v>1.5996</v>
      </c>
      <c r="I200" s="24"/>
    </row>
    <row r="201" spans="1:61" ht="12.75">
      <c r="A201" s="4" t="s">
        <v>43</v>
      </c>
      <c r="B201" s="4" t="s">
        <v>97</v>
      </c>
      <c r="C201" s="83" t="s">
        <v>263</v>
      </c>
      <c r="D201" s="84"/>
      <c r="E201" s="84"/>
      <c r="F201" s="84"/>
      <c r="G201" s="4" t="s">
        <v>297</v>
      </c>
      <c r="H201" s="16">
        <v>3.6894</v>
      </c>
      <c r="I201" s="23">
        <v>0</v>
      </c>
      <c r="J201" s="16">
        <f>H201*I201</f>
        <v>0</v>
      </c>
      <c r="K201" s="16">
        <v>0.004</v>
      </c>
      <c r="Y201" s="38">
        <f>IF(AP201="5",BI201,0)</f>
        <v>0</v>
      </c>
      <c r="AA201" s="38">
        <f>IF(AP201="1",BG201,0)</f>
        <v>0</v>
      </c>
      <c r="AB201" s="38">
        <f>IF(AP201="1",BH201,0)</f>
        <v>0</v>
      </c>
      <c r="AC201" s="38">
        <f>IF(AP201="7",BG201,0)</f>
        <v>0</v>
      </c>
      <c r="AD201" s="38">
        <f>IF(AP201="7",BH201,0)</f>
        <v>0</v>
      </c>
      <c r="AE201" s="38">
        <f>IF(AP201="2",BG201,0)</f>
        <v>0</v>
      </c>
      <c r="AF201" s="38">
        <f>IF(AP201="2",BH201,0)</f>
        <v>0</v>
      </c>
      <c r="AG201" s="38">
        <f>IF(AP201="0",BI201,0)</f>
        <v>0</v>
      </c>
      <c r="AH201" s="33"/>
      <c r="AI201" s="16">
        <f>IF(AM201=0,J201,0)</f>
        <v>0</v>
      </c>
      <c r="AJ201" s="16">
        <f>IF(AM201=15,J201,0)</f>
        <v>0</v>
      </c>
      <c r="AK201" s="16">
        <f>IF(AM201=21,J201,0)</f>
        <v>0</v>
      </c>
      <c r="AM201" s="38">
        <v>15</v>
      </c>
      <c r="AN201" s="38">
        <f>I201*0</f>
        <v>0</v>
      </c>
      <c r="AO201" s="38">
        <f>I201*(1-0)</f>
        <v>0</v>
      </c>
      <c r="AP201" s="34" t="s">
        <v>7</v>
      </c>
      <c r="AU201" s="38">
        <f>AV201+AW201</f>
        <v>0</v>
      </c>
      <c r="AV201" s="38">
        <f>H201*AN201</f>
        <v>0</v>
      </c>
      <c r="AW201" s="38">
        <f>H201*AO201</f>
        <v>0</v>
      </c>
      <c r="AX201" s="39" t="s">
        <v>328</v>
      </c>
      <c r="AY201" s="39" t="s">
        <v>335</v>
      </c>
      <c r="AZ201" s="33" t="s">
        <v>336</v>
      </c>
      <c r="BB201" s="38">
        <f>AV201+AW201</f>
        <v>0</v>
      </c>
      <c r="BC201" s="38">
        <f>I201/(100-BD201)*100</f>
        <v>0</v>
      </c>
      <c r="BD201" s="38">
        <v>0</v>
      </c>
      <c r="BE201" s="38">
        <f>201</f>
        <v>201</v>
      </c>
      <c r="BG201" s="16">
        <f>H201*AN201</f>
        <v>0</v>
      </c>
      <c r="BH201" s="16">
        <f>H201*AO201</f>
        <v>0</v>
      </c>
      <c r="BI201" s="16">
        <f>H201*I201</f>
        <v>0</v>
      </c>
    </row>
    <row r="202" spans="3:9" ht="12.75">
      <c r="C202" s="85" t="s">
        <v>264</v>
      </c>
      <c r="D202" s="86"/>
      <c r="E202" s="86"/>
      <c r="F202" s="86"/>
      <c r="I202" s="24"/>
    </row>
    <row r="203" spans="3:9" ht="12.75">
      <c r="C203" s="79" t="s">
        <v>265</v>
      </c>
      <c r="D203" s="80"/>
      <c r="E203" s="80"/>
      <c r="F203" s="80"/>
      <c r="H203" s="17">
        <v>0</v>
      </c>
      <c r="I203" s="24"/>
    </row>
    <row r="204" spans="3:9" ht="12.75">
      <c r="C204" s="79" t="s">
        <v>261</v>
      </c>
      <c r="D204" s="80"/>
      <c r="E204" s="80"/>
      <c r="F204" s="80"/>
      <c r="H204" s="17">
        <v>1.9608</v>
      </c>
      <c r="I204" s="24"/>
    </row>
    <row r="205" spans="3:9" ht="12.75">
      <c r="C205" s="79" t="s">
        <v>266</v>
      </c>
      <c r="D205" s="80"/>
      <c r="E205" s="80"/>
      <c r="F205" s="80"/>
      <c r="H205" s="17">
        <v>1.7286</v>
      </c>
      <c r="I205" s="24"/>
    </row>
    <row r="206" spans="1:61" ht="12.75">
      <c r="A206" s="4" t="s">
        <v>44</v>
      </c>
      <c r="B206" s="4" t="s">
        <v>98</v>
      </c>
      <c r="C206" s="83" t="s">
        <v>267</v>
      </c>
      <c r="D206" s="84"/>
      <c r="E206" s="84"/>
      <c r="F206" s="84"/>
      <c r="G206" s="4" t="s">
        <v>297</v>
      </c>
      <c r="H206" s="16">
        <v>5.42705</v>
      </c>
      <c r="I206" s="23">
        <v>0</v>
      </c>
      <c r="J206" s="16">
        <f>H206*I206</f>
        <v>0</v>
      </c>
      <c r="K206" s="16">
        <v>0.068</v>
      </c>
      <c r="Y206" s="38">
        <f>IF(AP206="5",BI206,0)</f>
        <v>0</v>
      </c>
      <c r="AA206" s="38">
        <f>IF(AP206="1",BG206,0)</f>
        <v>0</v>
      </c>
      <c r="AB206" s="38">
        <f>IF(AP206="1",BH206,0)</f>
        <v>0</v>
      </c>
      <c r="AC206" s="38">
        <f>IF(AP206="7",BG206,0)</f>
        <v>0</v>
      </c>
      <c r="AD206" s="38">
        <f>IF(AP206="7",BH206,0)</f>
        <v>0</v>
      </c>
      <c r="AE206" s="38">
        <f>IF(AP206="2",BG206,0)</f>
        <v>0</v>
      </c>
      <c r="AF206" s="38">
        <f>IF(AP206="2",BH206,0)</f>
        <v>0</v>
      </c>
      <c r="AG206" s="38">
        <f>IF(AP206="0",BI206,0)</f>
        <v>0</v>
      </c>
      <c r="AH206" s="33"/>
      <c r="AI206" s="16">
        <f>IF(AM206=0,J206,0)</f>
        <v>0</v>
      </c>
      <c r="AJ206" s="16">
        <f>IF(AM206=15,J206,0)</f>
        <v>0</v>
      </c>
      <c r="AK206" s="16">
        <f>IF(AM206=21,J206,0)</f>
        <v>0</v>
      </c>
      <c r="AM206" s="38">
        <v>15</v>
      </c>
      <c r="AN206" s="38">
        <f>I206*0.108965083623791</f>
        <v>0</v>
      </c>
      <c r="AO206" s="38">
        <f>I206*(1-0.108965083623791)</f>
        <v>0</v>
      </c>
      <c r="AP206" s="34" t="s">
        <v>7</v>
      </c>
      <c r="AU206" s="38">
        <f>AV206+AW206</f>
        <v>0</v>
      </c>
      <c r="AV206" s="38">
        <f>H206*AN206</f>
        <v>0</v>
      </c>
      <c r="AW206" s="38">
        <f>H206*AO206</f>
        <v>0</v>
      </c>
      <c r="AX206" s="39" t="s">
        <v>328</v>
      </c>
      <c r="AY206" s="39" t="s">
        <v>335</v>
      </c>
      <c r="AZ206" s="33" t="s">
        <v>336</v>
      </c>
      <c r="BB206" s="38">
        <f>AV206+AW206</f>
        <v>0</v>
      </c>
      <c r="BC206" s="38">
        <f>I206/(100-BD206)*100</f>
        <v>0</v>
      </c>
      <c r="BD206" s="38">
        <v>0</v>
      </c>
      <c r="BE206" s="38">
        <f>206</f>
        <v>206</v>
      </c>
      <c r="BG206" s="16">
        <f>H206*AN206</f>
        <v>0</v>
      </c>
      <c r="BH206" s="16">
        <f>H206*AO206</f>
        <v>0</v>
      </c>
      <c r="BI206" s="16">
        <f>H206*I206</f>
        <v>0</v>
      </c>
    </row>
    <row r="207" spans="3:9" ht="12.75">
      <c r="C207" s="85" t="s">
        <v>268</v>
      </c>
      <c r="D207" s="86"/>
      <c r="E207" s="86"/>
      <c r="F207" s="86"/>
      <c r="I207" s="24"/>
    </row>
    <row r="208" spans="3:9" ht="12.75">
      <c r="C208" s="79" t="s">
        <v>269</v>
      </c>
      <c r="D208" s="80"/>
      <c r="E208" s="80"/>
      <c r="F208" s="80"/>
      <c r="H208" s="17">
        <v>2.255</v>
      </c>
      <c r="I208" s="24"/>
    </row>
    <row r="209" spans="3:9" ht="12.75">
      <c r="C209" s="79" t="s">
        <v>270</v>
      </c>
      <c r="D209" s="80"/>
      <c r="E209" s="80"/>
      <c r="F209" s="80"/>
      <c r="H209" s="17">
        <v>3.17205</v>
      </c>
      <c r="I209" s="24"/>
    </row>
    <row r="210" spans="1:61" ht="12.75">
      <c r="A210" s="4" t="s">
        <v>45</v>
      </c>
      <c r="B210" s="4" t="s">
        <v>99</v>
      </c>
      <c r="C210" s="83" t="s">
        <v>271</v>
      </c>
      <c r="D210" s="84"/>
      <c r="E210" s="84"/>
      <c r="F210" s="84"/>
      <c r="G210" s="4" t="s">
        <v>302</v>
      </c>
      <c r="H210" s="16">
        <v>0.135</v>
      </c>
      <c r="I210" s="23">
        <v>0</v>
      </c>
      <c r="J210" s="16">
        <f>H210*I210</f>
        <v>0</v>
      </c>
      <c r="K210" s="16">
        <v>1.80128</v>
      </c>
      <c r="Y210" s="38">
        <f>IF(AP210="5",BI210,0)</f>
        <v>0</v>
      </c>
      <c r="AA210" s="38">
        <f>IF(AP210="1",BG210,0)</f>
        <v>0</v>
      </c>
      <c r="AB210" s="38">
        <f>IF(AP210="1",BH210,0)</f>
        <v>0</v>
      </c>
      <c r="AC210" s="38">
        <f>IF(AP210="7",BG210,0)</f>
        <v>0</v>
      </c>
      <c r="AD210" s="38">
        <f>IF(AP210="7",BH210,0)</f>
        <v>0</v>
      </c>
      <c r="AE210" s="38">
        <f>IF(AP210="2",BG210,0)</f>
        <v>0</v>
      </c>
      <c r="AF210" s="38">
        <f>IF(AP210="2",BH210,0)</f>
        <v>0</v>
      </c>
      <c r="AG210" s="38">
        <f>IF(AP210="0",BI210,0)</f>
        <v>0</v>
      </c>
      <c r="AH210" s="33"/>
      <c r="AI210" s="16">
        <f>IF(AM210=0,J210,0)</f>
        <v>0</v>
      </c>
      <c r="AJ210" s="16">
        <f>IF(AM210=15,J210,0)</f>
        <v>0</v>
      </c>
      <c r="AK210" s="16">
        <f>IF(AM210=21,J210,0)</f>
        <v>0</v>
      </c>
      <c r="AM210" s="38">
        <v>15</v>
      </c>
      <c r="AN210" s="38">
        <f>I210*0.0386901751354747</f>
        <v>0</v>
      </c>
      <c r="AO210" s="38">
        <f>I210*(1-0.0386901751354747)</f>
        <v>0</v>
      </c>
      <c r="AP210" s="34" t="s">
        <v>7</v>
      </c>
      <c r="AU210" s="38">
        <f>AV210+AW210</f>
        <v>0</v>
      </c>
      <c r="AV210" s="38">
        <f>H210*AN210</f>
        <v>0</v>
      </c>
      <c r="AW210" s="38">
        <f>H210*AO210</f>
        <v>0</v>
      </c>
      <c r="AX210" s="39" t="s">
        <v>328</v>
      </c>
      <c r="AY210" s="39" t="s">
        <v>335</v>
      </c>
      <c r="AZ210" s="33" t="s">
        <v>336</v>
      </c>
      <c r="BB210" s="38">
        <f>AV210+AW210</f>
        <v>0</v>
      </c>
      <c r="BC210" s="38">
        <f>I210/(100-BD210)*100</f>
        <v>0</v>
      </c>
      <c r="BD210" s="38">
        <v>0</v>
      </c>
      <c r="BE210" s="38">
        <f>210</f>
        <v>210</v>
      </c>
      <c r="BG210" s="16">
        <f>H210*AN210</f>
        <v>0</v>
      </c>
      <c r="BH210" s="16">
        <f>H210*AO210</f>
        <v>0</v>
      </c>
      <c r="BI210" s="16">
        <f>H210*I210</f>
        <v>0</v>
      </c>
    </row>
    <row r="211" spans="3:9" ht="12.75">
      <c r="C211" s="85" t="s">
        <v>272</v>
      </c>
      <c r="D211" s="86"/>
      <c r="E211" s="86"/>
      <c r="F211" s="86"/>
      <c r="I211" s="24"/>
    </row>
    <row r="212" spans="3:9" ht="12.75">
      <c r="C212" s="79" t="s">
        <v>273</v>
      </c>
      <c r="D212" s="80"/>
      <c r="E212" s="80"/>
      <c r="F212" s="80"/>
      <c r="H212" s="17">
        <v>0.135</v>
      </c>
      <c r="I212" s="24"/>
    </row>
    <row r="213" spans="1:61" ht="12.75">
      <c r="A213" s="4" t="s">
        <v>46</v>
      </c>
      <c r="B213" s="4" t="s">
        <v>100</v>
      </c>
      <c r="C213" s="83" t="s">
        <v>274</v>
      </c>
      <c r="D213" s="84"/>
      <c r="E213" s="84"/>
      <c r="F213" s="84"/>
      <c r="G213" s="4" t="s">
        <v>298</v>
      </c>
      <c r="H213" s="16">
        <v>3.5</v>
      </c>
      <c r="I213" s="23">
        <v>0</v>
      </c>
      <c r="J213" s="16">
        <f>H213*I213</f>
        <v>0</v>
      </c>
      <c r="K213" s="16">
        <v>0.01507</v>
      </c>
      <c r="Y213" s="38">
        <f>IF(AP213="5",BI213,0)</f>
        <v>0</v>
      </c>
      <c r="AA213" s="38">
        <f>IF(AP213="1",BG213,0)</f>
        <v>0</v>
      </c>
      <c r="AB213" s="38">
        <f>IF(AP213="1",BH213,0)</f>
        <v>0</v>
      </c>
      <c r="AC213" s="38">
        <f>IF(AP213="7",BG213,0)</f>
        <v>0</v>
      </c>
      <c r="AD213" s="38">
        <f>IF(AP213="7",BH213,0)</f>
        <v>0</v>
      </c>
      <c r="AE213" s="38">
        <f>IF(AP213="2",BG213,0)</f>
        <v>0</v>
      </c>
      <c r="AF213" s="38">
        <f>IF(AP213="2",BH213,0)</f>
        <v>0</v>
      </c>
      <c r="AG213" s="38">
        <f>IF(AP213="0",BI213,0)</f>
        <v>0</v>
      </c>
      <c r="AH213" s="33"/>
      <c r="AI213" s="16">
        <f>IF(AM213=0,J213,0)</f>
        <v>0</v>
      </c>
      <c r="AJ213" s="16">
        <f>IF(AM213=15,J213,0)</f>
        <v>0</v>
      </c>
      <c r="AK213" s="16">
        <f>IF(AM213=21,J213,0)</f>
        <v>0</v>
      </c>
      <c r="AM213" s="38">
        <v>15</v>
      </c>
      <c r="AN213" s="38">
        <f>I213*0</f>
        <v>0</v>
      </c>
      <c r="AO213" s="38">
        <f>I213*(1-0)</f>
        <v>0</v>
      </c>
      <c r="AP213" s="34" t="s">
        <v>7</v>
      </c>
      <c r="AU213" s="38">
        <f>AV213+AW213</f>
        <v>0</v>
      </c>
      <c r="AV213" s="38">
        <f>H213*AN213</f>
        <v>0</v>
      </c>
      <c r="AW213" s="38">
        <f>H213*AO213</f>
        <v>0</v>
      </c>
      <c r="AX213" s="39" t="s">
        <v>328</v>
      </c>
      <c r="AY213" s="39" t="s">
        <v>335</v>
      </c>
      <c r="AZ213" s="33" t="s">
        <v>336</v>
      </c>
      <c r="BB213" s="38">
        <f>AV213+AW213</f>
        <v>0</v>
      </c>
      <c r="BC213" s="38">
        <f>I213/(100-BD213)*100</f>
        <v>0</v>
      </c>
      <c r="BD213" s="38">
        <v>0</v>
      </c>
      <c r="BE213" s="38">
        <f>213</f>
        <v>213</v>
      </c>
      <c r="BG213" s="16">
        <f>H213*AN213</f>
        <v>0</v>
      </c>
      <c r="BH213" s="16">
        <f>H213*AO213</f>
        <v>0</v>
      </c>
      <c r="BI213" s="16">
        <f>H213*I213</f>
        <v>0</v>
      </c>
    </row>
    <row r="214" spans="3:9" ht="12.75">
      <c r="C214" s="79" t="s">
        <v>275</v>
      </c>
      <c r="D214" s="80"/>
      <c r="E214" s="80"/>
      <c r="F214" s="80"/>
      <c r="H214" s="17">
        <v>2</v>
      </c>
      <c r="I214" s="24"/>
    </row>
    <row r="215" spans="3:9" ht="12.75">
      <c r="C215" s="79" t="s">
        <v>276</v>
      </c>
      <c r="D215" s="80"/>
      <c r="E215" s="80"/>
      <c r="F215" s="80"/>
      <c r="H215" s="17">
        <v>1.5</v>
      </c>
      <c r="I215" s="24"/>
    </row>
    <row r="216" spans="1:46" ht="12.75">
      <c r="A216" s="5"/>
      <c r="B216" s="13" t="s">
        <v>101</v>
      </c>
      <c r="C216" s="81" t="s">
        <v>277</v>
      </c>
      <c r="D216" s="82"/>
      <c r="E216" s="82"/>
      <c r="F216" s="82"/>
      <c r="G216" s="5" t="s">
        <v>6</v>
      </c>
      <c r="H216" s="5" t="s">
        <v>6</v>
      </c>
      <c r="I216" s="25" t="s">
        <v>6</v>
      </c>
      <c r="J216" s="41">
        <f>SUM(J217:J217)</f>
        <v>0</v>
      </c>
      <c r="K216" s="33"/>
      <c r="AH216" s="33"/>
      <c r="AR216" s="41">
        <f>SUM(AI217:AI217)</f>
        <v>0</v>
      </c>
      <c r="AS216" s="41">
        <f>SUM(AJ217:AJ217)</f>
        <v>0</v>
      </c>
      <c r="AT216" s="41">
        <f>SUM(AK217:AK217)</f>
        <v>0</v>
      </c>
    </row>
    <row r="217" spans="1:61" ht="12.75">
      <c r="A217" s="4" t="s">
        <v>47</v>
      </c>
      <c r="B217" s="4" t="s">
        <v>102</v>
      </c>
      <c r="C217" s="83" t="s">
        <v>278</v>
      </c>
      <c r="D217" s="84"/>
      <c r="E217" s="84"/>
      <c r="F217" s="84"/>
      <c r="G217" s="4" t="s">
        <v>300</v>
      </c>
      <c r="H217" s="16">
        <v>7.74635</v>
      </c>
      <c r="I217" s="23">
        <v>0</v>
      </c>
      <c r="J217" s="16">
        <f>H217*I217</f>
        <v>0</v>
      </c>
      <c r="K217" s="16">
        <v>0</v>
      </c>
      <c r="Y217" s="38">
        <f>IF(AP217="5",BI217,0)</f>
        <v>0</v>
      </c>
      <c r="AA217" s="38">
        <f>IF(AP217="1",BG217,0)</f>
        <v>0</v>
      </c>
      <c r="AB217" s="38">
        <f>IF(AP217="1",BH217,0)</f>
        <v>0</v>
      </c>
      <c r="AC217" s="38">
        <f>IF(AP217="7",BG217,0)</f>
        <v>0</v>
      </c>
      <c r="AD217" s="38">
        <f>IF(AP217="7",BH217,0)</f>
        <v>0</v>
      </c>
      <c r="AE217" s="38">
        <f>IF(AP217="2",BG217,0)</f>
        <v>0</v>
      </c>
      <c r="AF217" s="38">
        <f>IF(AP217="2",BH217,0)</f>
        <v>0</v>
      </c>
      <c r="AG217" s="38">
        <f>IF(AP217="0",BI217,0)</f>
        <v>0</v>
      </c>
      <c r="AH217" s="33"/>
      <c r="AI217" s="16">
        <f>IF(AM217=0,J217,0)</f>
        <v>0</v>
      </c>
      <c r="AJ217" s="16">
        <f>IF(AM217=15,J217,0)</f>
        <v>0</v>
      </c>
      <c r="AK217" s="16">
        <f>IF(AM217=21,J217,0)</f>
        <v>0</v>
      </c>
      <c r="AM217" s="38">
        <v>15</v>
      </c>
      <c r="AN217" s="38">
        <f>I217*0</f>
        <v>0</v>
      </c>
      <c r="AO217" s="38">
        <f>I217*(1-0)</f>
        <v>0</v>
      </c>
      <c r="AP217" s="34" t="s">
        <v>11</v>
      </c>
      <c r="AU217" s="38">
        <f>AV217+AW217</f>
        <v>0</v>
      </c>
      <c r="AV217" s="38">
        <f>H217*AN217</f>
        <v>0</v>
      </c>
      <c r="AW217" s="38">
        <f>H217*AO217</f>
        <v>0</v>
      </c>
      <c r="AX217" s="39" t="s">
        <v>329</v>
      </c>
      <c r="AY217" s="39" t="s">
        <v>335</v>
      </c>
      <c r="AZ217" s="33" t="s">
        <v>336</v>
      </c>
      <c r="BB217" s="38">
        <f>AV217+AW217</f>
        <v>0</v>
      </c>
      <c r="BC217" s="38">
        <f>I217/(100-BD217)*100</f>
        <v>0</v>
      </c>
      <c r="BD217" s="38">
        <v>0</v>
      </c>
      <c r="BE217" s="38">
        <f>217</f>
        <v>217</v>
      </c>
      <c r="BG217" s="16">
        <f>H217*AN217</f>
        <v>0</v>
      </c>
      <c r="BH217" s="16">
        <f>H217*AO217</f>
        <v>0</v>
      </c>
      <c r="BI217" s="16">
        <f>H217*I217</f>
        <v>0</v>
      </c>
    </row>
    <row r="218" spans="1:46" ht="12.75">
      <c r="A218" s="5"/>
      <c r="B218" s="13" t="s">
        <v>103</v>
      </c>
      <c r="C218" s="81" t="s">
        <v>279</v>
      </c>
      <c r="D218" s="82"/>
      <c r="E218" s="82"/>
      <c r="F218" s="82"/>
      <c r="G218" s="5" t="s">
        <v>6</v>
      </c>
      <c r="H218" s="5" t="s">
        <v>6</v>
      </c>
      <c r="I218" s="25" t="s">
        <v>6</v>
      </c>
      <c r="J218" s="41">
        <f>SUM(J219:J219)</f>
        <v>0</v>
      </c>
      <c r="K218" s="33"/>
      <c r="AH218" s="33"/>
      <c r="AR218" s="41">
        <f>SUM(AI219:AI219)</f>
        <v>0</v>
      </c>
      <c r="AS218" s="41">
        <f>SUM(AJ219:AJ219)</f>
        <v>0</v>
      </c>
      <c r="AT218" s="41">
        <f>SUM(AK219:AK219)</f>
        <v>0</v>
      </c>
    </row>
    <row r="219" spans="1:61" ht="12.75">
      <c r="A219" s="4" t="s">
        <v>48</v>
      </c>
      <c r="B219" s="4" t="s">
        <v>104</v>
      </c>
      <c r="C219" s="83" t="s">
        <v>280</v>
      </c>
      <c r="D219" s="84"/>
      <c r="E219" s="84"/>
      <c r="F219" s="84"/>
      <c r="G219" s="4" t="s">
        <v>300</v>
      </c>
      <c r="H219" s="16">
        <v>7.74635</v>
      </c>
      <c r="I219" s="23">
        <v>0</v>
      </c>
      <c r="J219" s="16">
        <f>H219*I219</f>
        <v>0</v>
      </c>
      <c r="K219" s="16">
        <v>0</v>
      </c>
      <c r="Y219" s="38">
        <f>IF(AP219="5",BI219,0)</f>
        <v>0</v>
      </c>
      <c r="AA219" s="38">
        <f>IF(AP219="1",BG219,0)</f>
        <v>0</v>
      </c>
      <c r="AB219" s="38">
        <f>IF(AP219="1",BH219,0)</f>
        <v>0</v>
      </c>
      <c r="AC219" s="38">
        <f>IF(AP219="7",BG219,0)</f>
        <v>0</v>
      </c>
      <c r="AD219" s="38">
        <f>IF(AP219="7",BH219,0)</f>
        <v>0</v>
      </c>
      <c r="AE219" s="38">
        <f>IF(AP219="2",BG219,0)</f>
        <v>0</v>
      </c>
      <c r="AF219" s="38">
        <f>IF(AP219="2",BH219,0)</f>
        <v>0</v>
      </c>
      <c r="AG219" s="38">
        <f>IF(AP219="0",BI219,0)</f>
        <v>0</v>
      </c>
      <c r="AH219" s="33"/>
      <c r="AI219" s="16">
        <f>IF(AM219=0,J219,0)</f>
        <v>0</v>
      </c>
      <c r="AJ219" s="16">
        <f>IF(AM219=15,J219,0)</f>
        <v>0</v>
      </c>
      <c r="AK219" s="16">
        <f>IF(AM219=21,J219,0)</f>
        <v>0</v>
      </c>
      <c r="AM219" s="38">
        <v>15</v>
      </c>
      <c r="AN219" s="38">
        <f>I219*0</f>
        <v>0</v>
      </c>
      <c r="AO219" s="38">
        <f>I219*(1-0)</f>
        <v>0</v>
      </c>
      <c r="AP219" s="34" t="s">
        <v>11</v>
      </c>
      <c r="AU219" s="38">
        <f>AV219+AW219</f>
        <v>0</v>
      </c>
      <c r="AV219" s="38">
        <f>H219*AN219</f>
        <v>0</v>
      </c>
      <c r="AW219" s="38">
        <f>H219*AO219</f>
        <v>0</v>
      </c>
      <c r="AX219" s="39" t="s">
        <v>330</v>
      </c>
      <c r="AY219" s="39" t="s">
        <v>335</v>
      </c>
      <c r="AZ219" s="33" t="s">
        <v>336</v>
      </c>
      <c r="BB219" s="38">
        <f>AV219+AW219</f>
        <v>0</v>
      </c>
      <c r="BC219" s="38">
        <f>I219/(100-BD219)*100</f>
        <v>0</v>
      </c>
      <c r="BD219" s="38">
        <v>0</v>
      </c>
      <c r="BE219" s="38">
        <f>219</f>
        <v>219</v>
      </c>
      <c r="BG219" s="16">
        <f>H219*AN219</f>
        <v>0</v>
      </c>
      <c r="BH219" s="16">
        <f>H219*AO219</f>
        <v>0</v>
      </c>
      <c r="BI219" s="16">
        <f>H219*I219</f>
        <v>0</v>
      </c>
    </row>
    <row r="220" spans="3:9" ht="12.75">
      <c r="C220" s="79" t="s">
        <v>281</v>
      </c>
      <c r="D220" s="80"/>
      <c r="E220" s="80"/>
      <c r="F220" s="80"/>
      <c r="H220" s="17">
        <v>7.74635</v>
      </c>
      <c r="I220" s="24"/>
    </row>
    <row r="221" spans="1:46" ht="12.75">
      <c r="A221" s="5"/>
      <c r="B221" s="13" t="s">
        <v>105</v>
      </c>
      <c r="C221" s="81" t="s">
        <v>282</v>
      </c>
      <c r="D221" s="82"/>
      <c r="E221" s="82"/>
      <c r="F221" s="82"/>
      <c r="G221" s="5" t="s">
        <v>6</v>
      </c>
      <c r="H221" s="5" t="s">
        <v>6</v>
      </c>
      <c r="I221" s="25" t="s">
        <v>6</v>
      </c>
      <c r="J221" s="41">
        <f>SUM(J222:J224)</f>
        <v>0</v>
      </c>
      <c r="K221" s="33"/>
      <c r="AH221" s="33"/>
      <c r="AR221" s="41">
        <f>SUM(AI222:AI224)</f>
        <v>0</v>
      </c>
      <c r="AS221" s="41">
        <f>SUM(AJ222:AJ224)</f>
        <v>0</v>
      </c>
      <c r="AT221" s="41">
        <f>SUM(AK222:AK224)</f>
        <v>0</v>
      </c>
    </row>
    <row r="222" spans="1:61" ht="12.75">
      <c r="A222" s="4" t="s">
        <v>49</v>
      </c>
      <c r="B222" s="4" t="s">
        <v>106</v>
      </c>
      <c r="C222" s="83" t="s">
        <v>283</v>
      </c>
      <c r="D222" s="84"/>
      <c r="E222" s="84"/>
      <c r="F222" s="84"/>
      <c r="G222" s="4" t="s">
        <v>300</v>
      </c>
      <c r="H222" s="16">
        <v>2.00249</v>
      </c>
      <c r="I222" s="23">
        <v>0</v>
      </c>
      <c r="J222" s="16">
        <f>H222*I222</f>
        <v>0</v>
      </c>
      <c r="K222" s="16">
        <v>0</v>
      </c>
      <c r="Y222" s="38">
        <f>IF(AP222="5",BI222,0)</f>
        <v>0</v>
      </c>
      <c r="AA222" s="38">
        <f>IF(AP222="1",BG222,0)</f>
        <v>0</v>
      </c>
      <c r="AB222" s="38">
        <f>IF(AP222="1",BH222,0)</f>
        <v>0</v>
      </c>
      <c r="AC222" s="38">
        <f>IF(AP222="7",BG222,0)</f>
        <v>0</v>
      </c>
      <c r="AD222" s="38">
        <f>IF(AP222="7",BH222,0)</f>
        <v>0</v>
      </c>
      <c r="AE222" s="38">
        <f>IF(AP222="2",BG222,0)</f>
        <v>0</v>
      </c>
      <c r="AF222" s="38">
        <f>IF(AP222="2",BH222,0)</f>
        <v>0</v>
      </c>
      <c r="AG222" s="38">
        <f>IF(AP222="0",BI222,0)</f>
        <v>0</v>
      </c>
      <c r="AH222" s="33"/>
      <c r="AI222" s="16">
        <f>IF(AM222=0,J222,0)</f>
        <v>0</v>
      </c>
      <c r="AJ222" s="16">
        <f>IF(AM222=15,J222,0)</f>
        <v>0</v>
      </c>
      <c r="AK222" s="16">
        <f>IF(AM222=21,J222,0)</f>
        <v>0</v>
      </c>
      <c r="AM222" s="38">
        <v>15</v>
      </c>
      <c r="AN222" s="38">
        <f>I222*0</f>
        <v>0</v>
      </c>
      <c r="AO222" s="38">
        <f>I222*(1-0)</f>
        <v>0</v>
      </c>
      <c r="AP222" s="34" t="s">
        <v>11</v>
      </c>
      <c r="AU222" s="38">
        <f>AV222+AW222</f>
        <v>0</v>
      </c>
      <c r="AV222" s="38">
        <f>H222*AN222</f>
        <v>0</v>
      </c>
      <c r="AW222" s="38">
        <f>H222*AO222</f>
        <v>0</v>
      </c>
      <c r="AX222" s="39" t="s">
        <v>331</v>
      </c>
      <c r="AY222" s="39" t="s">
        <v>335</v>
      </c>
      <c r="AZ222" s="33" t="s">
        <v>336</v>
      </c>
      <c r="BB222" s="38">
        <f>AV222+AW222</f>
        <v>0</v>
      </c>
      <c r="BC222" s="38">
        <f>I222/(100-BD222)*100</f>
        <v>0</v>
      </c>
      <c r="BD222" s="38">
        <v>0</v>
      </c>
      <c r="BE222" s="38">
        <f>222</f>
        <v>222</v>
      </c>
      <c r="BG222" s="16">
        <f>H222*AN222</f>
        <v>0</v>
      </c>
      <c r="BH222" s="16">
        <f>H222*AO222</f>
        <v>0</v>
      </c>
      <c r="BI222" s="16">
        <f>H222*I222</f>
        <v>0</v>
      </c>
    </row>
    <row r="223" spans="3:9" ht="12.75">
      <c r="C223" s="85" t="s">
        <v>284</v>
      </c>
      <c r="D223" s="86"/>
      <c r="E223" s="86"/>
      <c r="F223" s="86"/>
      <c r="I223" s="24"/>
    </row>
    <row r="224" spans="1:61" ht="12.75">
      <c r="A224" s="4" t="s">
        <v>50</v>
      </c>
      <c r="B224" s="4" t="s">
        <v>107</v>
      </c>
      <c r="C224" s="83" t="s">
        <v>285</v>
      </c>
      <c r="D224" s="84"/>
      <c r="E224" s="84"/>
      <c r="F224" s="84"/>
      <c r="G224" s="4" t="s">
        <v>300</v>
      </c>
      <c r="H224" s="16">
        <v>2.00249</v>
      </c>
      <c r="I224" s="23">
        <v>0</v>
      </c>
      <c r="J224" s="16">
        <f>H224*I224</f>
        <v>0</v>
      </c>
      <c r="K224" s="16">
        <v>0</v>
      </c>
      <c r="Y224" s="38">
        <f>IF(AP224="5",BI224,0)</f>
        <v>0</v>
      </c>
      <c r="AA224" s="38">
        <f>IF(AP224="1",BG224,0)</f>
        <v>0</v>
      </c>
      <c r="AB224" s="38">
        <f>IF(AP224="1",BH224,0)</f>
        <v>0</v>
      </c>
      <c r="AC224" s="38">
        <f>IF(AP224="7",BG224,0)</f>
        <v>0</v>
      </c>
      <c r="AD224" s="38">
        <f>IF(AP224="7",BH224,0)</f>
        <v>0</v>
      </c>
      <c r="AE224" s="38">
        <f>IF(AP224="2",BG224,0)</f>
        <v>0</v>
      </c>
      <c r="AF224" s="38">
        <f>IF(AP224="2",BH224,0)</f>
        <v>0</v>
      </c>
      <c r="AG224" s="38">
        <f>IF(AP224="0",BI224,0)</f>
        <v>0</v>
      </c>
      <c r="AH224" s="33"/>
      <c r="AI224" s="16">
        <f>IF(AM224=0,J224,0)</f>
        <v>0</v>
      </c>
      <c r="AJ224" s="16">
        <f>IF(AM224=15,J224,0)</f>
        <v>0</v>
      </c>
      <c r="AK224" s="16">
        <f>IF(AM224=21,J224,0)</f>
        <v>0</v>
      </c>
      <c r="AM224" s="38">
        <v>15</v>
      </c>
      <c r="AN224" s="38">
        <f>I224*0</f>
        <v>0</v>
      </c>
      <c r="AO224" s="38">
        <f>I224*(1-0)</f>
        <v>0</v>
      </c>
      <c r="AP224" s="34" t="s">
        <v>11</v>
      </c>
      <c r="AU224" s="38">
        <f>AV224+AW224</f>
        <v>0</v>
      </c>
      <c r="AV224" s="38">
        <f>H224*AN224</f>
        <v>0</v>
      </c>
      <c r="AW224" s="38">
        <f>H224*AO224</f>
        <v>0</v>
      </c>
      <c r="AX224" s="39" t="s">
        <v>331</v>
      </c>
      <c r="AY224" s="39" t="s">
        <v>335</v>
      </c>
      <c r="AZ224" s="33" t="s">
        <v>336</v>
      </c>
      <c r="BB224" s="38">
        <f>AV224+AW224</f>
        <v>0</v>
      </c>
      <c r="BC224" s="38">
        <f>I224/(100-BD224)*100</f>
        <v>0</v>
      </c>
      <c r="BD224" s="38">
        <v>0</v>
      </c>
      <c r="BE224" s="38">
        <f>224</f>
        <v>224</v>
      </c>
      <c r="BG224" s="16">
        <f>H224*AN224</f>
        <v>0</v>
      </c>
      <c r="BH224" s="16">
        <f>H224*AO224</f>
        <v>0</v>
      </c>
      <c r="BI224" s="16">
        <f>H224*I224</f>
        <v>0</v>
      </c>
    </row>
    <row r="225" spans="1:11" ht="12.75">
      <c r="A225" s="7"/>
      <c r="B225" s="7"/>
      <c r="C225" s="87" t="s">
        <v>286</v>
      </c>
      <c r="D225" s="88"/>
      <c r="E225" s="88"/>
      <c r="F225" s="88"/>
      <c r="G225" s="7"/>
      <c r="H225" s="19">
        <v>2.00249</v>
      </c>
      <c r="I225" s="27"/>
      <c r="J225" s="7"/>
      <c r="K225" s="7"/>
    </row>
    <row r="226" spans="1:11" ht="12.75">
      <c r="A226" s="8"/>
      <c r="B226" s="8"/>
      <c r="C226" s="8"/>
      <c r="D226" s="8"/>
      <c r="E226" s="8"/>
      <c r="F226" s="8"/>
      <c r="G226" s="8"/>
      <c r="H226" s="8"/>
      <c r="I226" s="8"/>
      <c r="J226" s="42">
        <f>J12+J51+J65+J80+J107+J155+J176+J182+J216+J218+J221</f>
        <v>0</v>
      </c>
      <c r="K226" s="8"/>
    </row>
    <row r="227" ht="11.25" customHeight="1">
      <c r="A227" s="9" t="s">
        <v>51</v>
      </c>
    </row>
    <row r="228" spans="1:11" ht="12.75">
      <c r="A228" s="77"/>
      <c r="B228" s="78"/>
      <c r="C228" s="78"/>
      <c r="D228" s="78"/>
      <c r="E228" s="78"/>
      <c r="F228" s="78"/>
      <c r="G228" s="78"/>
      <c r="H228" s="78"/>
      <c r="I228" s="78"/>
      <c r="J228" s="78"/>
      <c r="K228" s="78"/>
    </row>
  </sheetData>
  <sheetProtection password="E93C" sheet="1" objects="1" scenarios="1"/>
  <mergeCells count="242">
    <mergeCell ref="A1:K1"/>
    <mergeCell ref="A2:B3"/>
    <mergeCell ref="C2:C3"/>
    <mergeCell ref="D2:E3"/>
    <mergeCell ref="F2:F3"/>
    <mergeCell ref="G2:H3"/>
    <mergeCell ref="I2:K3"/>
    <mergeCell ref="A4:B5"/>
    <mergeCell ref="C4:C5"/>
    <mergeCell ref="D4:E5"/>
    <mergeCell ref="F4:F5"/>
    <mergeCell ref="G4:H5"/>
    <mergeCell ref="I4:K5"/>
    <mergeCell ref="A6:B7"/>
    <mergeCell ref="C6:C7"/>
    <mergeCell ref="D6:E7"/>
    <mergeCell ref="F6:F7"/>
    <mergeCell ref="G6:H7"/>
    <mergeCell ref="I6:K7"/>
    <mergeCell ref="A8:B9"/>
    <mergeCell ref="C8:C9"/>
    <mergeCell ref="D8:E9"/>
    <mergeCell ref="F8:F9"/>
    <mergeCell ref="G8:H9"/>
    <mergeCell ref="I8:K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C61:F61"/>
    <mergeCell ref="C62:F62"/>
    <mergeCell ref="C63:F63"/>
    <mergeCell ref="C64:F64"/>
    <mergeCell ref="C65:F65"/>
    <mergeCell ref="C66:F66"/>
    <mergeCell ref="C67:F67"/>
    <mergeCell ref="C68:F68"/>
    <mergeCell ref="C69:F69"/>
    <mergeCell ref="C70:F70"/>
    <mergeCell ref="C71:F71"/>
    <mergeCell ref="C72:F72"/>
    <mergeCell ref="C73:F73"/>
    <mergeCell ref="C74:F74"/>
    <mergeCell ref="C75:F75"/>
    <mergeCell ref="C76:F76"/>
    <mergeCell ref="C77:F77"/>
    <mergeCell ref="C78:F78"/>
    <mergeCell ref="C79:F79"/>
    <mergeCell ref="C80:F80"/>
    <mergeCell ref="C81:F81"/>
    <mergeCell ref="C82:F82"/>
    <mergeCell ref="C83:F83"/>
    <mergeCell ref="C84:F84"/>
    <mergeCell ref="C85:F85"/>
    <mergeCell ref="C86:F86"/>
    <mergeCell ref="C87:F87"/>
    <mergeCell ref="C88:F88"/>
    <mergeCell ref="C89:F89"/>
    <mergeCell ref="C90:F90"/>
    <mergeCell ref="C91:F91"/>
    <mergeCell ref="C92:F92"/>
    <mergeCell ref="C93:F93"/>
    <mergeCell ref="C94:F94"/>
    <mergeCell ref="C95:F95"/>
    <mergeCell ref="C96:F96"/>
    <mergeCell ref="C97:F97"/>
    <mergeCell ref="C98:F98"/>
    <mergeCell ref="C99:F99"/>
    <mergeCell ref="C100:F100"/>
    <mergeCell ref="C101:F101"/>
    <mergeCell ref="C102:F102"/>
    <mergeCell ref="C103:F103"/>
    <mergeCell ref="C104:F104"/>
    <mergeCell ref="C105:F105"/>
    <mergeCell ref="C106:F106"/>
    <mergeCell ref="C107:F107"/>
    <mergeCell ref="C108:F108"/>
    <mergeCell ref="C109:F109"/>
    <mergeCell ref="C110:F110"/>
    <mergeCell ref="C111:F111"/>
    <mergeCell ref="C112:F112"/>
    <mergeCell ref="C113:F113"/>
    <mergeCell ref="C114:F114"/>
    <mergeCell ref="C115:F115"/>
    <mergeCell ref="C116:F116"/>
    <mergeCell ref="C117:F117"/>
    <mergeCell ref="C118:F118"/>
    <mergeCell ref="C119:F119"/>
    <mergeCell ref="C120:F120"/>
    <mergeCell ref="C121:F121"/>
    <mergeCell ref="C122:F122"/>
    <mergeCell ref="C123:F123"/>
    <mergeCell ref="C124:F124"/>
    <mergeCell ref="C125:F125"/>
    <mergeCell ref="C126:F126"/>
    <mergeCell ref="C127:F127"/>
    <mergeCell ref="C128:F128"/>
    <mergeCell ref="C129:F129"/>
    <mergeCell ref="C130:F130"/>
    <mergeCell ref="C131:F131"/>
    <mergeCell ref="C132:F132"/>
    <mergeCell ref="C133:F133"/>
    <mergeCell ref="C134:F134"/>
    <mergeCell ref="C135:F135"/>
    <mergeCell ref="C136:F136"/>
    <mergeCell ref="C137:F137"/>
    <mergeCell ref="C138:F138"/>
    <mergeCell ref="C139:F139"/>
    <mergeCell ref="C140:F140"/>
    <mergeCell ref="C141:F141"/>
    <mergeCell ref="C142:F142"/>
    <mergeCell ref="C143:F143"/>
    <mergeCell ref="C144:F144"/>
    <mergeCell ref="C145:F145"/>
    <mergeCell ref="C146:F146"/>
    <mergeCell ref="C147:F147"/>
    <mergeCell ref="C148:F148"/>
    <mergeCell ref="C149:F149"/>
    <mergeCell ref="C150:F150"/>
    <mergeCell ref="C151:F151"/>
    <mergeCell ref="C152:F152"/>
    <mergeCell ref="C153:F153"/>
    <mergeCell ref="C154:F154"/>
    <mergeCell ref="C155:F155"/>
    <mergeCell ref="C156:F156"/>
    <mergeCell ref="C157:F157"/>
    <mergeCell ref="C158:F158"/>
    <mergeCell ref="C159:F159"/>
    <mergeCell ref="C160:F160"/>
    <mergeCell ref="C161:F161"/>
    <mergeCell ref="C162:F162"/>
    <mergeCell ref="C163:F163"/>
    <mergeCell ref="C164:F164"/>
    <mergeCell ref="C165:F165"/>
    <mergeCell ref="C166:F166"/>
    <mergeCell ref="C167:F167"/>
    <mergeCell ref="C168:F168"/>
    <mergeCell ref="C169:F169"/>
    <mergeCell ref="C170:F170"/>
    <mergeCell ref="C171:F171"/>
    <mergeCell ref="C172:F172"/>
    <mergeCell ref="C173:F173"/>
    <mergeCell ref="C174:F174"/>
    <mergeCell ref="C175:F175"/>
    <mergeCell ref="C176:F176"/>
    <mergeCell ref="C177:F177"/>
    <mergeCell ref="C178:F178"/>
    <mergeCell ref="C179:F179"/>
    <mergeCell ref="C180:F180"/>
    <mergeCell ref="C181:F181"/>
    <mergeCell ref="C182:F182"/>
    <mergeCell ref="C183:F183"/>
    <mergeCell ref="C184:F184"/>
    <mergeCell ref="C185:F185"/>
    <mergeCell ref="C186:F186"/>
    <mergeCell ref="C187:F187"/>
    <mergeCell ref="C188:F188"/>
    <mergeCell ref="C189:F189"/>
    <mergeCell ref="C190:F190"/>
    <mergeCell ref="C191:F191"/>
    <mergeCell ref="C192:F192"/>
    <mergeCell ref="C193:F193"/>
    <mergeCell ref="C194:F194"/>
    <mergeCell ref="C195:F195"/>
    <mergeCell ref="C196:F196"/>
    <mergeCell ref="C197:F197"/>
    <mergeCell ref="C198:F198"/>
    <mergeCell ref="C199:F199"/>
    <mergeCell ref="C200:F200"/>
    <mergeCell ref="C201:F201"/>
    <mergeCell ref="C202:F202"/>
    <mergeCell ref="C203:F203"/>
    <mergeCell ref="C204:F204"/>
    <mergeCell ref="C205:F205"/>
    <mergeCell ref="C206:F206"/>
    <mergeCell ref="C207:F207"/>
    <mergeCell ref="C208:F208"/>
    <mergeCell ref="C209:F209"/>
    <mergeCell ref="C210:F210"/>
    <mergeCell ref="C211:F211"/>
    <mergeCell ref="C212:F212"/>
    <mergeCell ref="C213:F213"/>
    <mergeCell ref="C214:F214"/>
    <mergeCell ref="C215:F215"/>
    <mergeCell ref="C216:F216"/>
    <mergeCell ref="C217:F217"/>
    <mergeCell ref="C218:F218"/>
    <mergeCell ref="C219:F219"/>
    <mergeCell ref="A228:K228"/>
    <mergeCell ref="C220:F220"/>
    <mergeCell ref="C221:F221"/>
    <mergeCell ref="C222:F222"/>
    <mergeCell ref="C223:F223"/>
    <mergeCell ref="C224:F224"/>
    <mergeCell ref="C225:F225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G1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6" width="11.57421875" style="0" customWidth="1"/>
    <col min="7" max="7" width="20.8515625" style="0" customWidth="1"/>
    <col min="8" max="9" width="0" style="0" hidden="1" customWidth="1"/>
  </cols>
  <sheetData>
    <row r="1" spans="1:7" ht="72.75" customHeight="1">
      <c r="A1" s="106" t="s">
        <v>340</v>
      </c>
      <c r="B1" s="107"/>
      <c r="C1" s="107"/>
      <c r="D1" s="107"/>
      <c r="E1" s="107"/>
      <c r="F1" s="107"/>
      <c r="G1" s="107"/>
    </row>
    <row r="2" spans="1:8" ht="12.75">
      <c r="A2" s="108" t="s">
        <v>1</v>
      </c>
      <c r="B2" s="110" t="str">
        <f>'Stavební rozpočet'!C2</f>
        <v>Výměna oken a vstupních dveří domu, ulice 5. května, č.p. 800, Česká Lípa</v>
      </c>
      <c r="C2" s="121"/>
      <c r="D2" s="113" t="s">
        <v>292</v>
      </c>
      <c r="E2" s="113" t="str">
        <f>'Stavební rozpočet'!I2</f>
        <v>Město Česká Lípa</v>
      </c>
      <c r="F2" s="109"/>
      <c r="G2" s="122"/>
      <c r="H2" s="36"/>
    </row>
    <row r="3" spans="1:8" ht="12.75">
      <c r="A3" s="105"/>
      <c r="B3" s="111"/>
      <c r="C3" s="111"/>
      <c r="D3" s="78"/>
      <c r="E3" s="78"/>
      <c r="F3" s="78"/>
      <c r="G3" s="119"/>
      <c r="H3" s="36"/>
    </row>
    <row r="4" spans="1:8" ht="12.75">
      <c r="A4" s="99" t="s">
        <v>2</v>
      </c>
      <c r="B4" s="77" t="str">
        <f>'Stavební rozpočet'!C4</f>
        <v> </v>
      </c>
      <c r="C4" s="78"/>
      <c r="D4" s="77" t="s">
        <v>293</v>
      </c>
      <c r="E4" s="77" t="str">
        <f>'Stavební rozpočet'!I4</f>
        <v> </v>
      </c>
      <c r="F4" s="78"/>
      <c r="G4" s="119"/>
      <c r="H4" s="36"/>
    </row>
    <row r="5" spans="1:8" ht="12.75">
      <c r="A5" s="105"/>
      <c r="B5" s="78"/>
      <c r="C5" s="78"/>
      <c r="D5" s="78"/>
      <c r="E5" s="78"/>
      <c r="F5" s="78"/>
      <c r="G5" s="119"/>
      <c r="H5" s="36"/>
    </row>
    <row r="6" spans="1:8" ht="12.75">
      <c r="A6" s="99" t="s">
        <v>3</v>
      </c>
      <c r="B6" s="77" t="str">
        <f>'Stavební rozpočet'!C6</f>
        <v> </v>
      </c>
      <c r="C6" s="78"/>
      <c r="D6" s="77" t="s">
        <v>294</v>
      </c>
      <c r="E6" s="77" t="str">
        <f>'Stavební rozpočet'!I6</f>
        <v> </v>
      </c>
      <c r="F6" s="78"/>
      <c r="G6" s="119"/>
      <c r="H6" s="36"/>
    </row>
    <row r="7" spans="1:8" ht="12.75">
      <c r="A7" s="105"/>
      <c r="B7" s="78"/>
      <c r="C7" s="78"/>
      <c r="D7" s="78"/>
      <c r="E7" s="78"/>
      <c r="F7" s="78"/>
      <c r="G7" s="119"/>
      <c r="H7" s="36"/>
    </row>
    <row r="8" spans="1:8" ht="12.75">
      <c r="A8" s="99" t="s">
        <v>295</v>
      </c>
      <c r="B8" s="77" t="str">
        <f>'Stavební rozpočet'!I8</f>
        <v> </v>
      </c>
      <c r="C8" s="78"/>
      <c r="D8" s="102" t="s">
        <v>290</v>
      </c>
      <c r="E8" s="77" t="str">
        <f>'Stavební rozpočet'!F8</f>
        <v>16.12.2022</v>
      </c>
      <c r="F8" s="78"/>
      <c r="G8" s="119"/>
      <c r="H8" s="36"/>
    </row>
    <row r="9" spans="1:8" ht="12.75">
      <c r="A9" s="100"/>
      <c r="B9" s="101"/>
      <c r="C9" s="101"/>
      <c r="D9" s="101"/>
      <c r="E9" s="101"/>
      <c r="F9" s="101"/>
      <c r="G9" s="120"/>
      <c r="H9" s="36"/>
    </row>
    <row r="10" spans="1:8" ht="12.75">
      <c r="A10" s="43" t="s">
        <v>341</v>
      </c>
      <c r="B10" s="45" t="s">
        <v>52</v>
      </c>
      <c r="C10" s="114" t="s">
        <v>342</v>
      </c>
      <c r="D10" s="115"/>
      <c r="E10" s="115"/>
      <c r="F10" s="116"/>
      <c r="G10" s="47" t="s">
        <v>344</v>
      </c>
      <c r="H10" s="36"/>
    </row>
    <row r="11" spans="1:9" ht="12.75">
      <c r="A11" s="44"/>
      <c r="B11" s="44" t="s">
        <v>53</v>
      </c>
      <c r="C11" s="117" t="s">
        <v>110</v>
      </c>
      <c r="D11" s="118"/>
      <c r="E11" s="118"/>
      <c r="F11" s="118"/>
      <c r="G11" s="48">
        <f>'Stavební rozpočet'!J12</f>
        <v>0</v>
      </c>
      <c r="H11" s="38" t="s">
        <v>345</v>
      </c>
      <c r="I11" s="38">
        <f aca="true" t="shared" si="0" ref="I11:I21">IF(H11="F",0,G11)</f>
        <v>0</v>
      </c>
    </row>
    <row r="12" spans="1:9" ht="12.75">
      <c r="A12" s="14"/>
      <c r="B12" s="14" t="s">
        <v>60</v>
      </c>
      <c r="C12" s="102" t="s">
        <v>149</v>
      </c>
      <c r="D12" s="78"/>
      <c r="E12" s="78"/>
      <c r="F12" s="78"/>
      <c r="G12" s="38">
        <f>'Stavební rozpočet'!J51</f>
        <v>0</v>
      </c>
      <c r="H12" s="38" t="s">
        <v>345</v>
      </c>
      <c r="I12" s="38">
        <f t="shared" si="0"/>
        <v>0</v>
      </c>
    </row>
    <row r="13" spans="1:9" ht="12.75">
      <c r="A13" s="14"/>
      <c r="B13" s="14" t="s">
        <v>63</v>
      </c>
      <c r="C13" s="102" t="s">
        <v>163</v>
      </c>
      <c r="D13" s="78"/>
      <c r="E13" s="78"/>
      <c r="F13" s="78"/>
      <c r="G13" s="38">
        <f>'Stavební rozpočet'!J65</f>
        <v>0</v>
      </c>
      <c r="H13" s="38" t="s">
        <v>345</v>
      </c>
      <c r="I13" s="38">
        <f t="shared" si="0"/>
        <v>0</v>
      </c>
    </row>
    <row r="14" spans="1:9" ht="12.75">
      <c r="A14" s="14"/>
      <c r="B14" s="14" t="s">
        <v>67</v>
      </c>
      <c r="C14" s="102" t="s">
        <v>177</v>
      </c>
      <c r="D14" s="78"/>
      <c r="E14" s="78"/>
      <c r="F14" s="78"/>
      <c r="G14" s="38">
        <f>'Stavební rozpočet'!J80</f>
        <v>0</v>
      </c>
      <c r="H14" s="38" t="s">
        <v>345</v>
      </c>
      <c r="I14" s="38">
        <f t="shared" si="0"/>
        <v>0</v>
      </c>
    </row>
    <row r="15" spans="1:9" ht="12.75">
      <c r="A15" s="14"/>
      <c r="B15" s="14" t="s">
        <v>72</v>
      </c>
      <c r="C15" s="102" t="s">
        <v>193</v>
      </c>
      <c r="D15" s="78"/>
      <c r="E15" s="78"/>
      <c r="F15" s="78"/>
      <c r="G15" s="38">
        <f>'Stavební rozpočet'!J107</f>
        <v>0</v>
      </c>
      <c r="H15" s="38" t="s">
        <v>345</v>
      </c>
      <c r="I15" s="38">
        <f t="shared" si="0"/>
        <v>0</v>
      </c>
    </row>
    <row r="16" spans="1:9" ht="12.75">
      <c r="A16" s="14"/>
      <c r="B16" s="14" t="s">
        <v>86</v>
      </c>
      <c r="C16" s="102" t="s">
        <v>223</v>
      </c>
      <c r="D16" s="78"/>
      <c r="E16" s="78"/>
      <c r="F16" s="78"/>
      <c r="G16" s="38">
        <f>'Stavební rozpočet'!J155</f>
        <v>0</v>
      </c>
      <c r="H16" s="38" t="s">
        <v>345</v>
      </c>
      <c r="I16" s="38">
        <f t="shared" si="0"/>
        <v>0</v>
      </c>
    </row>
    <row r="17" spans="1:9" ht="12.75">
      <c r="A17" s="14"/>
      <c r="B17" s="14" t="s">
        <v>90</v>
      </c>
      <c r="C17" s="102" t="s">
        <v>241</v>
      </c>
      <c r="D17" s="78"/>
      <c r="E17" s="78"/>
      <c r="F17" s="78"/>
      <c r="G17" s="38">
        <f>'Stavební rozpočet'!J176</f>
        <v>0</v>
      </c>
      <c r="H17" s="38" t="s">
        <v>345</v>
      </c>
      <c r="I17" s="38">
        <f t="shared" si="0"/>
        <v>0</v>
      </c>
    </row>
    <row r="18" spans="1:9" ht="12.75">
      <c r="A18" s="14"/>
      <c r="B18" s="14" t="s">
        <v>93</v>
      </c>
      <c r="C18" s="102" t="s">
        <v>246</v>
      </c>
      <c r="D18" s="78"/>
      <c r="E18" s="78"/>
      <c r="F18" s="78"/>
      <c r="G18" s="38">
        <f>'Stavební rozpočet'!J182</f>
        <v>0</v>
      </c>
      <c r="H18" s="38" t="s">
        <v>345</v>
      </c>
      <c r="I18" s="38">
        <f t="shared" si="0"/>
        <v>0</v>
      </c>
    </row>
    <row r="19" spans="1:9" ht="12.75">
      <c r="A19" s="14"/>
      <c r="B19" s="14" t="s">
        <v>101</v>
      </c>
      <c r="C19" s="102" t="s">
        <v>277</v>
      </c>
      <c r="D19" s="78"/>
      <c r="E19" s="78"/>
      <c r="F19" s="78"/>
      <c r="G19" s="38">
        <f>'Stavební rozpočet'!J216</f>
        <v>0</v>
      </c>
      <c r="H19" s="38" t="s">
        <v>345</v>
      </c>
      <c r="I19" s="38">
        <f t="shared" si="0"/>
        <v>0</v>
      </c>
    </row>
    <row r="20" spans="1:9" ht="12.75">
      <c r="A20" s="14"/>
      <c r="B20" s="14" t="s">
        <v>103</v>
      </c>
      <c r="C20" s="102" t="s">
        <v>279</v>
      </c>
      <c r="D20" s="78"/>
      <c r="E20" s="78"/>
      <c r="F20" s="78"/>
      <c r="G20" s="38">
        <f>'Stavební rozpočet'!J218</f>
        <v>0</v>
      </c>
      <c r="H20" s="38" t="s">
        <v>345</v>
      </c>
      <c r="I20" s="38">
        <f t="shared" si="0"/>
        <v>0</v>
      </c>
    </row>
    <row r="21" spans="1:9" ht="12.75">
      <c r="A21" s="14"/>
      <c r="B21" s="14" t="s">
        <v>105</v>
      </c>
      <c r="C21" s="102" t="s">
        <v>282</v>
      </c>
      <c r="D21" s="78"/>
      <c r="E21" s="78"/>
      <c r="F21" s="78"/>
      <c r="G21" s="38">
        <f>'Stavební rozpočet'!J221</f>
        <v>0</v>
      </c>
      <c r="H21" s="38" t="s">
        <v>345</v>
      </c>
      <c r="I21" s="38">
        <f t="shared" si="0"/>
        <v>0</v>
      </c>
    </row>
    <row r="23" spans="6:7" ht="12.75">
      <c r="F23" s="46" t="s">
        <v>343</v>
      </c>
      <c r="G23" s="49">
        <f>SUM(I11:I21)</f>
        <v>0</v>
      </c>
    </row>
  </sheetData>
  <sheetProtection password="E93C" sheet="1" objects="1" scenarios="1"/>
  <mergeCells count="29">
    <mergeCell ref="A1:G1"/>
    <mergeCell ref="A2:A3"/>
    <mergeCell ref="B2:C3"/>
    <mergeCell ref="D2:D3"/>
    <mergeCell ref="E2:G3"/>
    <mergeCell ref="A4:A5"/>
    <mergeCell ref="B4:C5"/>
    <mergeCell ref="D4:D5"/>
    <mergeCell ref="E4:G5"/>
    <mergeCell ref="A6:A7"/>
    <mergeCell ref="B6:C7"/>
    <mergeCell ref="D6:D7"/>
    <mergeCell ref="E6:G7"/>
    <mergeCell ref="A8:A9"/>
    <mergeCell ref="B8:C9"/>
    <mergeCell ref="D8:D9"/>
    <mergeCell ref="E8:G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F36" sqref="F36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75"/>
      <c r="B1" s="7"/>
      <c r="C1" s="147" t="s">
        <v>362</v>
      </c>
      <c r="D1" s="107"/>
      <c r="E1" s="107"/>
      <c r="F1" s="107"/>
      <c r="G1" s="107"/>
      <c r="H1" s="107"/>
      <c r="I1" s="107"/>
    </row>
    <row r="2" spans="1:10" ht="12.75">
      <c r="A2" s="108" t="s">
        <v>1</v>
      </c>
      <c r="B2" s="109"/>
      <c r="C2" s="110" t="str">
        <f>'Stavební rozpočet'!C2</f>
        <v>Výměna oken a vstupních dveří domu, ulice 5. května, č.p. 800, Česká Lípa</v>
      </c>
      <c r="D2" s="121"/>
      <c r="E2" s="113" t="s">
        <v>292</v>
      </c>
      <c r="F2" s="113" t="str">
        <f>'Stavební rozpočet'!I2</f>
        <v>Město Česká Lípa</v>
      </c>
      <c r="G2" s="109"/>
      <c r="H2" s="113" t="s">
        <v>387</v>
      </c>
      <c r="I2" s="148"/>
      <c r="J2" s="36"/>
    </row>
    <row r="3" spans="1:10" ht="12.75">
      <c r="A3" s="105"/>
      <c r="B3" s="78"/>
      <c r="C3" s="111"/>
      <c r="D3" s="111"/>
      <c r="E3" s="78"/>
      <c r="F3" s="78"/>
      <c r="G3" s="78"/>
      <c r="H3" s="78"/>
      <c r="I3" s="119"/>
      <c r="J3" s="36"/>
    </row>
    <row r="4" spans="1:10" ht="12.75">
      <c r="A4" s="99" t="s">
        <v>2</v>
      </c>
      <c r="B4" s="78"/>
      <c r="C4" s="77" t="str">
        <f>'Stavební rozpočet'!C4</f>
        <v> </v>
      </c>
      <c r="D4" s="78"/>
      <c r="E4" s="77" t="s">
        <v>293</v>
      </c>
      <c r="F4" s="77" t="str">
        <f>'Stavební rozpočet'!I4</f>
        <v> </v>
      </c>
      <c r="G4" s="78"/>
      <c r="H4" s="77" t="s">
        <v>387</v>
      </c>
      <c r="I4" s="146"/>
      <c r="J4" s="36"/>
    </row>
    <row r="5" spans="1:10" ht="12.75">
      <c r="A5" s="105"/>
      <c r="B5" s="78"/>
      <c r="C5" s="78"/>
      <c r="D5" s="78"/>
      <c r="E5" s="78"/>
      <c r="F5" s="78"/>
      <c r="G5" s="78"/>
      <c r="H5" s="78"/>
      <c r="I5" s="119"/>
      <c r="J5" s="36"/>
    </row>
    <row r="6" spans="1:10" ht="12.75">
      <c r="A6" s="99" t="s">
        <v>3</v>
      </c>
      <c r="B6" s="78"/>
      <c r="C6" s="77" t="str">
        <f>'Stavební rozpočet'!C6</f>
        <v> </v>
      </c>
      <c r="D6" s="78"/>
      <c r="E6" s="77" t="s">
        <v>294</v>
      </c>
      <c r="F6" s="77" t="str">
        <f>'Stavební rozpočet'!I6</f>
        <v> </v>
      </c>
      <c r="G6" s="78"/>
      <c r="H6" s="77" t="s">
        <v>387</v>
      </c>
      <c r="I6" s="146"/>
      <c r="J6" s="36"/>
    </row>
    <row r="7" spans="1:10" ht="12.75">
      <c r="A7" s="105"/>
      <c r="B7" s="78"/>
      <c r="C7" s="78"/>
      <c r="D7" s="78"/>
      <c r="E7" s="78"/>
      <c r="F7" s="78"/>
      <c r="G7" s="78"/>
      <c r="H7" s="78"/>
      <c r="I7" s="119"/>
      <c r="J7" s="36"/>
    </row>
    <row r="8" spans="1:10" ht="12.75">
      <c r="A8" s="99" t="s">
        <v>288</v>
      </c>
      <c r="B8" s="78"/>
      <c r="C8" s="77" t="str">
        <f>'Stavební rozpočet'!F4</f>
        <v>16.12.2022</v>
      </c>
      <c r="D8" s="78"/>
      <c r="E8" s="77" t="s">
        <v>289</v>
      </c>
      <c r="F8" s="77" t="str">
        <f>'Stavební rozpočet'!F6</f>
        <v> </v>
      </c>
      <c r="G8" s="78"/>
      <c r="H8" s="102" t="s">
        <v>388</v>
      </c>
      <c r="I8" s="146" t="s">
        <v>50</v>
      </c>
      <c r="J8" s="36"/>
    </row>
    <row r="9" spans="1:10" ht="12.75">
      <c r="A9" s="105"/>
      <c r="B9" s="78"/>
      <c r="C9" s="78"/>
      <c r="D9" s="78"/>
      <c r="E9" s="78"/>
      <c r="F9" s="78"/>
      <c r="G9" s="78"/>
      <c r="H9" s="78"/>
      <c r="I9" s="119"/>
      <c r="J9" s="36"/>
    </row>
    <row r="10" spans="1:10" ht="12.75">
      <c r="A10" s="99" t="s">
        <v>4</v>
      </c>
      <c r="B10" s="78"/>
      <c r="C10" s="77" t="str">
        <f>'Stavební rozpočet'!C8</f>
        <v> </v>
      </c>
      <c r="D10" s="78"/>
      <c r="E10" s="77" t="s">
        <v>295</v>
      </c>
      <c r="F10" s="77" t="str">
        <f>'Stavební rozpočet'!I8</f>
        <v> </v>
      </c>
      <c r="G10" s="78"/>
      <c r="H10" s="102" t="s">
        <v>389</v>
      </c>
      <c r="I10" s="144" t="str">
        <f>'Stavební rozpočet'!F8</f>
        <v>16.12.2022</v>
      </c>
      <c r="J10" s="36"/>
    </row>
    <row r="11" spans="1:10" ht="12.75">
      <c r="A11" s="142"/>
      <c r="B11" s="143"/>
      <c r="C11" s="143"/>
      <c r="D11" s="143"/>
      <c r="E11" s="143"/>
      <c r="F11" s="143"/>
      <c r="G11" s="143"/>
      <c r="H11" s="143"/>
      <c r="I11" s="145"/>
      <c r="J11" s="36"/>
    </row>
    <row r="12" spans="1:9" ht="23.25" customHeight="1">
      <c r="A12" s="138" t="s">
        <v>346</v>
      </c>
      <c r="B12" s="139"/>
      <c r="C12" s="139"/>
      <c r="D12" s="139"/>
      <c r="E12" s="139"/>
      <c r="F12" s="139"/>
      <c r="G12" s="139"/>
      <c r="H12" s="139"/>
      <c r="I12" s="139"/>
    </row>
    <row r="13" spans="1:10" ht="26.25" customHeight="1">
      <c r="A13" s="50" t="s">
        <v>347</v>
      </c>
      <c r="B13" s="140" t="s">
        <v>359</v>
      </c>
      <c r="C13" s="141"/>
      <c r="D13" s="50" t="s">
        <v>363</v>
      </c>
      <c r="E13" s="140" t="s">
        <v>372</v>
      </c>
      <c r="F13" s="141"/>
      <c r="G13" s="50" t="s">
        <v>373</v>
      </c>
      <c r="H13" s="140" t="s">
        <v>390</v>
      </c>
      <c r="I13" s="141"/>
      <c r="J13" s="36"/>
    </row>
    <row r="14" spans="1:10" ht="15" customHeight="1">
      <c r="A14" s="51" t="s">
        <v>348</v>
      </c>
      <c r="B14" s="55" t="s">
        <v>360</v>
      </c>
      <c r="C14" s="59">
        <f>SUM('Stavební rozpočet'!AA12:AA225)</f>
        <v>0</v>
      </c>
      <c r="D14" s="136" t="s">
        <v>364</v>
      </c>
      <c r="E14" s="137"/>
      <c r="F14" s="59">
        <f>VORN!I15</f>
        <v>0</v>
      </c>
      <c r="G14" s="136" t="s">
        <v>374</v>
      </c>
      <c r="H14" s="137"/>
      <c r="I14" s="59">
        <f>VORN!I21</f>
        <v>0</v>
      </c>
      <c r="J14" s="36"/>
    </row>
    <row r="15" spans="1:10" ht="15" customHeight="1">
      <c r="A15" s="52"/>
      <c r="B15" s="55" t="s">
        <v>361</v>
      </c>
      <c r="C15" s="59">
        <f>SUM('Stavební rozpočet'!AB12:AB225)</f>
        <v>0</v>
      </c>
      <c r="D15" s="136" t="s">
        <v>365</v>
      </c>
      <c r="E15" s="137"/>
      <c r="F15" s="59">
        <f>VORN!I16</f>
        <v>0</v>
      </c>
      <c r="G15" s="136" t="s">
        <v>375</v>
      </c>
      <c r="H15" s="137"/>
      <c r="I15" s="59">
        <f>VORN!I22</f>
        <v>0</v>
      </c>
      <c r="J15" s="36"/>
    </row>
    <row r="16" spans="1:10" ht="15" customHeight="1">
      <c r="A16" s="51" t="s">
        <v>349</v>
      </c>
      <c r="B16" s="55" t="s">
        <v>360</v>
      </c>
      <c r="C16" s="59">
        <f>SUM('Stavební rozpočet'!AC12:AC225)</f>
        <v>0</v>
      </c>
      <c r="D16" s="136" t="s">
        <v>366</v>
      </c>
      <c r="E16" s="137"/>
      <c r="F16" s="59">
        <f>VORN!I17</f>
        <v>0</v>
      </c>
      <c r="G16" s="136" t="s">
        <v>376</v>
      </c>
      <c r="H16" s="137"/>
      <c r="I16" s="59">
        <f>VORN!I23</f>
        <v>0</v>
      </c>
      <c r="J16" s="36"/>
    </row>
    <row r="17" spans="1:10" ht="15" customHeight="1">
      <c r="A17" s="52"/>
      <c r="B17" s="55" t="s">
        <v>361</v>
      </c>
      <c r="C17" s="59">
        <f>SUM('Stavební rozpočet'!AD12:AD225)</f>
        <v>0</v>
      </c>
      <c r="D17" s="136"/>
      <c r="E17" s="137"/>
      <c r="F17" s="60"/>
      <c r="G17" s="136" t="s">
        <v>377</v>
      </c>
      <c r="H17" s="137"/>
      <c r="I17" s="59">
        <f>VORN!I24</f>
        <v>0</v>
      </c>
      <c r="J17" s="36"/>
    </row>
    <row r="18" spans="1:10" ht="15" customHeight="1">
      <c r="A18" s="51" t="s">
        <v>350</v>
      </c>
      <c r="B18" s="55" t="s">
        <v>360</v>
      </c>
      <c r="C18" s="59">
        <f>SUM('Stavební rozpočet'!AE12:AE225)</f>
        <v>0</v>
      </c>
      <c r="D18" s="136"/>
      <c r="E18" s="137"/>
      <c r="F18" s="60"/>
      <c r="G18" s="136" t="s">
        <v>378</v>
      </c>
      <c r="H18" s="137"/>
      <c r="I18" s="59">
        <f>VORN!I25</f>
        <v>0</v>
      </c>
      <c r="J18" s="36"/>
    </row>
    <row r="19" spans="1:10" ht="15" customHeight="1">
      <c r="A19" s="52"/>
      <c r="B19" s="55" t="s">
        <v>361</v>
      </c>
      <c r="C19" s="59">
        <f>SUM('Stavební rozpočet'!AF12:AF225)</f>
        <v>0</v>
      </c>
      <c r="D19" s="136"/>
      <c r="E19" s="137"/>
      <c r="F19" s="60"/>
      <c r="G19" s="136" t="s">
        <v>379</v>
      </c>
      <c r="H19" s="137"/>
      <c r="I19" s="59">
        <f>VORN!I26</f>
        <v>0</v>
      </c>
      <c r="J19" s="36"/>
    </row>
    <row r="20" spans="1:10" ht="15" customHeight="1">
      <c r="A20" s="134" t="s">
        <v>351</v>
      </c>
      <c r="B20" s="135"/>
      <c r="C20" s="59">
        <f>SUM('Stavební rozpočet'!AG12:AG225)</f>
        <v>0</v>
      </c>
      <c r="D20" s="136"/>
      <c r="E20" s="137"/>
      <c r="F20" s="60"/>
      <c r="G20" s="136"/>
      <c r="H20" s="137"/>
      <c r="I20" s="60"/>
      <c r="J20" s="36"/>
    </row>
    <row r="21" spans="1:10" ht="15" customHeight="1">
      <c r="A21" s="134" t="s">
        <v>352</v>
      </c>
      <c r="B21" s="135"/>
      <c r="C21" s="59">
        <f>SUM('Stavební rozpočet'!Y12:Y225)</f>
        <v>0</v>
      </c>
      <c r="D21" s="136"/>
      <c r="E21" s="137"/>
      <c r="F21" s="60"/>
      <c r="G21" s="136"/>
      <c r="H21" s="137"/>
      <c r="I21" s="60"/>
      <c r="J21" s="36"/>
    </row>
    <row r="22" spans="1:10" ht="16.5" customHeight="1">
      <c r="A22" s="134" t="s">
        <v>353</v>
      </c>
      <c r="B22" s="135"/>
      <c r="C22" s="59">
        <f>SUM(C14:C21)</f>
        <v>0</v>
      </c>
      <c r="D22" s="134" t="s">
        <v>367</v>
      </c>
      <c r="E22" s="135"/>
      <c r="F22" s="59">
        <f>SUM(F14:F21)</f>
        <v>0</v>
      </c>
      <c r="G22" s="134" t="s">
        <v>380</v>
      </c>
      <c r="H22" s="135"/>
      <c r="I22" s="59">
        <f>SUM(I14:I21)</f>
        <v>0</v>
      </c>
      <c r="J22" s="36"/>
    </row>
    <row r="23" spans="1:10" ht="15" customHeight="1">
      <c r="A23" s="8"/>
      <c r="B23" s="8"/>
      <c r="C23" s="57"/>
      <c r="D23" s="134" t="s">
        <v>368</v>
      </c>
      <c r="E23" s="135"/>
      <c r="F23" s="61">
        <v>0</v>
      </c>
      <c r="G23" s="134" t="s">
        <v>381</v>
      </c>
      <c r="H23" s="135"/>
      <c r="I23" s="59">
        <v>0</v>
      </c>
      <c r="J23" s="36"/>
    </row>
    <row r="24" spans="4:10" ht="15" customHeight="1">
      <c r="D24" s="8"/>
      <c r="E24" s="8"/>
      <c r="F24" s="62"/>
      <c r="G24" s="134" t="s">
        <v>382</v>
      </c>
      <c r="H24" s="135"/>
      <c r="I24" s="59">
        <f>vorn_sum</f>
        <v>0</v>
      </c>
      <c r="J24" s="36"/>
    </row>
    <row r="25" spans="6:10" ht="15" customHeight="1">
      <c r="F25" s="63"/>
      <c r="G25" s="134" t="s">
        <v>383</v>
      </c>
      <c r="H25" s="135"/>
      <c r="I25" s="59">
        <v>0</v>
      </c>
      <c r="J25" s="36"/>
    </row>
    <row r="26" spans="1:9" ht="12.75">
      <c r="A26" s="7"/>
      <c r="B26" s="7"/>
      <c r="C26" s="7"/>
      <c r="G26" s="8"/>
      <c r="H26" s="8"/>
      <c r="I26" s="8"/>
    </row>
    <row r="27" spans="1:9" ht="15" customHeight="1">
      <c r="A27" s="129" t="s">
        <v>354</v>
      </c>
      <c r="B27" s="130"/>
      <c r="C27" s="64">
        <f>SUM('Stavební rozpočet'!AI12:AI225)</f>
        <v>0</v>
      </c>
      <c r="D27" s="58"/>
      <c r="E27" s="7"/>
      <c r="F27" s="7"/>
      <c r="G27" s="7"/>
      <c r="H27" s="7"/>
      <c r="I27" s="7"/>
    </row>
    <row r="28" spans="1:10" ht="15" customHeight="1">
      <c r="A28" s="129" t="s">
        <v>355</v>
      </c>
      <c r="B28" s="130"/>
      <c r="C28" s="64">
        <f>SUM('Stavební rozpočet'!AJ12:AJ225)+(F22+I22+F23+I23+I24+I25)</f>
        <v>0</v>
      </c>
      <c r="D28" s="129" t="s">
        <v>369</v>
      </c>
      <c r="E28" s="130"/>
      <c r="F28" s="64">
        <f>ROUND(C28*(15/100),2)</f>
        <v>0</v>
      </c>
      <c r="G28" s="129" t="s">
        <v>384</v>
      </c>
      <c r="H28" s="130"/>
      <c r="I28" s="64">
        <f>SUM(C27:C29)</f>
        <v>0</v>
      </c>
      <c r="J28" s="36"/>
    </row>
    <row r="29" spans="1:10" ht="15" customHeight="1">
      <c r="A29" s="129" t="s">
        <v>356</v>
      </c>
      <c r="B29" s="130"/>
      <c r="C29" s="64">
        <f>SUM('Stavební rozpočet'!AK12:AK225)</f>
        <v>0</v>
      </c>
      <c r="D29" s="129" t="s">
        <v>370</v>
      </c>
      <c r="E29" s="130"/>
      <c r="F29" s="64">
        <f>ROUND(C29*(21/100),2)</f>
        <v>0</v>
      </c>
      <c r="G29" s="129" t="s">
        <v>385</v>
      </c>
      <c r="H29" s="130"/>
      <c r="I29" s="64">
        <f>SUM(F28:F29)+I28</f>
        <v>0</v>
      </c>
      <c r="J29" s="36"/>
    </row>
    <row r="30" spans="1:9" ht="12.75">
      <c r="A30" s="53"/>
      <c r="B30" s="53"/>
      <c r="C30" s="53"/>
      <c r="D30" s="53"/>
      <c r="E30" s="53"/>
      <c r="F30" s="53"/>
      <c r="G30" s="53"/>
      <c r="H30" s="53"/>
      <c r="I30" s="53"/>
    </row>
    <row r="31" spans="1:10" ht="14.25" customHeight="1">
      <c r="A31" s="131" t="s">
        <v>357</v>
      </c>
      <c r="B31" s="132"/>
      <c r="C31" s="133"/>
      <c r="D31" s="131" t="s">
        <v>371</v>
      </c>
      <c r="E31" s="132"/>
      <c r="F31" s="133"/>
      <c r="G31" s="131" t="s">
        <v>386</v>
      </c>
      <c r="H31" s="132"/>
      <c r="I31" s="133"/>
      <c r="J31" s="37"/>
    </row>
    <row r="32" spans="1:10" ht="14.25" customHeight="1">
      <c r="A32" s="123"/>
      <c r="B32" s="124"/>
      <c r="C32" s="125"/>
      <c r="D32" s="123"/>
      <c r="E32" s="124"/>
      <c r="F32" s="125"/>
      <c r="G32" s="123"/>
      <c r="H32" s="124"/>
      <c r="I32" s="125"/>
      <c r="J32" s="37"/>
    </row>
    <row r="33" spans="1:10" ht="14.25" customHeight="1">
      <c r="A33" s="123"/>
      <c r="B33" s="124"/>
      <c r="C33" s="125"/>
      <c r="D33" s="123"/>
      <c r="E33" s="124"/>
      <c r="F33" s="125"/>
      <c r="G33" s="123"/>
      <c r="H33" s="124"/>
      <c r="I33" s="125"/>
      <c r="J33" s="37"/>
    </row>
    <row r="34" spans="1:10" ht="14.25" customHeight="1">
      <c r="A34" s="123"/>
      <c r="B34" s="124"/>
      <c r="C34" s="125"/>
      <c r="D34" s="123"/>
      <c r="E34" s="124"/>
      <c r="F34" s="125"/>
      <c r="G34" s="123"/>
      <c r="H34" s="124"/>
      <c r="I34" s="125"/>
      <c r="J34" s="37"/>
    </row>
    <row r="35" spans="1:10" ht="14.25" customHeight="1">
      <c r="A35" s="126" t="s">
        <v>358</v>
      </c>
      <c r="B35" s="127"/>
      <c r="C35" s="128"/>
      <c r="D35" s="126" t="s">
        <v>358</v>
      </c>
      <c r="E35" s="127"/>
      <c r="F35" s="128"/>
      <c r="G35" s="126" t="s">
        <v>358</v>
      </c>
      <c r="H35" s="127"/>
      <c r="I35" s="128"/>
      <c r="J35" s="37"/>
    </row>
    <row r="36" spans="1:9" ht="11.25" customHeight="1">
      <c r="A36" s="54" t="s">
        <v>51</v>
      </c>
      <c r="B36" s="56"/>
      <c r="C36" s="56"/>
      <c r="D36" s="56"/>
      <c r="E36" s="56"/>
      <c r="F36" s="56"/>
      <c r="G36" s="56"/>
      <c r="H36" s="56"/>
      <c r="I36" s="56"/>
    </row>
    <row r="37" spans="1:9" ht="12.75">
      <c r="A37" s="77"/>
      <c r="B37" s="78"/>
      <c r="C37" s="78"/>
      <c r="D37" s="78"/>
      <c r="E37" s="78"/>
      <c r="F37" s="78"/>
      <c r="G37" s="78"/>
      <c r="H37" s="78"/>
      <c r="I37" s="78"/>
    </row>
  </sheetData>
  <sheetProtection password="E93C" sheet="1" objects="1" scenarios="1"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F24" sqref="F24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72.75" customHeight="1">
      <c r="A1" s="75"/>
      <c r="B1" s="7"/>
      <c r="C1" s="147" t="s">
        <v>399</v>
      </c>
      <c r="D1" s="107"/>
      <c r="E1" s="107"/>
      <c r="F1" s="107"/>
      <c r="G1" s="107"/>
      <c r="H1" s="107"/>
      <c r="I1" s="107"/>
    </row>
    <row r="2" spans="1:10" ht="12.75">
      <c r="A2" s="108" t="s">
        <v>1</v>
      </c>
      <c r="B2" s="109"/>
      <c r="C2" s="110" t="str">
        <f>'Stavební rozpočet'!C2</f>
        <v>Výměna oken a vstupních dveří domu, ulice 5. května, č.p. 800, Česká Lípa</v>
      </c>
      <c r="D2" s="121"/>
      <c r="E2" s="113" t="s">
        <v>292</v>
      </c>
      <c r="F2" s="113" t="str">
        <f>'Stavební rozpočet'!I2</f>
        <v>Město Česká Lípa</v>
      </c>
      <c r="G2" s="109"/>
      <c r="H2" s="113" t="s">
        <v>387</v>
      </c>
      <c r="I2" s="148"/>
      <c r="J2" s="36"/>
    </row>
    <row r="3" spans="1:10" ht="12.75">
      <c r="A3" s="105"/>
      <c r="B3" s="78"/>
      <c r="C3" s="111"/>
      <c r="D3" s="111"/>
      <c r="E3" s="78"/>
      <c r="F3" s="78"/>
      <c r="G3" s="78"/>
      <c r="H3" s="78"/>
      <c r="I3" s="119"/>
      <c r="J3" s="36"/>
    </row>
    <row r="4" spans="1:10" ht="12.75">
      <c r="A4" s="99" t="s">
        <v>2</v>
      </c>
      <c r="B4" s="78"/>
      <c r="C4" s="77" t="str">
        <f>'Stavební rozpočet'!C4</f>
        <v> </v>
      </c>
      <c r="D4" s="78"/>
      <c r="E4" s="77" t="s">
        <v>293</v>
      </c>
      <c r="F4" s="77" t="str">
        <f>'Stavební rozpočet'!I4</f>
        <v> </v>
      </c>
      <c r="G4" s="78"/>
      <c r="H4" s="77" t="s">
        <v>387</v>
      </c>
      <c r="I4" s="146"/>
      <c r="J4" s="36"/>
    </row>
    <row r="5" spans="1:10" ht="12.75">
      <c r="A5" s="105"/>
      <c r="B5" s="78"/>
      <c r="C5" s="78"/>
      <c r="D5" s="78"/>
      <c r="E5" s="78"/>
      <c r="F5" s="78"/>
      <c r="G5" s="78"/>
      <c r="H5" s="78"/>
      <c r="I5" s="119"/>
      <c r="J5" s="36"/>
    </row>
    <row r="6" spans="1:10" ht="12.75">
      <c r="A6" s="99" t="s">
        <v>3</v>
      </c>
      <c r="B6" s="78"/>
      <c r="C6" s="77" t="str">
        <f>'Stavební rozpočet'!C6</f>
        <v> </v>
      </c>
      <c r="D6" s="78"/>
      <c r="E6" s="77" t="s">
        <v>294</v>
      </c>
      <c r="F6" s="77" t="str">
        <f>'Stavební rozpočet'!I6</f>
        <v> </v>
      </c>
      <c r="G6" s="78"/>
      <c r="H6" s="77" t="s">
        <v>387</v>
      </c>
      <c r="I6" s="146"/>
      <c r="J6" s="36"/>
    </row>
    <row r="7" spans="1:10" ht="12.75">
      <c r="A7" s="105"/>
      <c r="B7" s="78"/>
      <c r="C7" s="78"/>
      <c r="D7" s="78"/>
      <c r="E7" s="78"/>
      <c r="F7" s="78"/>
      <c r="G7" s="78"/>
      <c r="H7" s="78"/>
      <c r="I7" s="119"/>
      <c r="J7" s="36"/>
    </row>
    <row r="8" spans="1:10" ht="12.75">
      <c r="A8" s="99" t="s">
        <v>288</v>
      </c>
      <c r="B8" s="78"/>
      <c r="C8" s="77" t="str">
        <f>'Stavební rozpočet'!F4</f>
        <v>16.12.2022</v>
      </c>
      <c r="D8" s="78"/>
      <c r="E8" s="77" t="s">
        <v>289</v>
      </c>
      <c r="F8" s="77" t="str">
        <f>'Stavební rozpočet'!F6</f>
        <v> </v>
      </c>
      <c r="G8" s="78"/>
      <c r="H8" s="102" t="s">
        <v>388</v>
      </c>
      <c r="I8" s="146" t="s">
        <v>50</v>
      </c>
      <c r="J8" s="36"/>
    </row>
    <row r="9" spans="1:10" ht="12.75">
      <c r="A9" s="105"/>
      <c r="B9" s="78"/>
      <c r="C9" s="78"/>
      <c r="D9" s="78"/>
      <c r="E9" s="78"/>
      <c r="F9" s="78"/>
      <c r="G9" s="78"/>
      <c r="H9" s="78"/>
      <c r="I9" s="119"/>
      <c r="J9" s="36"/>
    </row>
    <row r="10" spans="1:10" ht="12.75">
      <c r="A10" s="99" t="s">
        <v>4</v>
      </c>
      <c r="B10" s="78"/>
      <c r="C10" s="77" t="str">
        <f>'Stavební rozpočet'!C8</f>
        <v> </v>
      </c>
      <c r="D10" s="78"/>
      <c r="E10" s="77" t="s">
        <v>295</v>
      </c>
      <c r="F10" s="77" t="str">
        <f>'Stavební rozpočet'!I8</f>
        <v> </v>
      </c>
      <c r="G10" s="78"/>
      <c r="H10" s="102" t="s">
        <v>389</v>
      </c>
      <c r="I10" s="144" t="str">
        <f>'Stavební rozpočet'!F8</f>
        <v>16.12.2022</v>
      </c>
      <c r="J10" s="36"/>
    </row>
    <row r="11" spans="1:10" ht="12.75">
      <c r="A11" s="142"/>
      <c r="B11" s="143"/>
      <c r="C11" s="143"/>
      <c r="D11" s="143"/>
      <c r="E11" s="143"/>
      <c r="F11" s="143"/>
      <c r="G11" s="143"/>
      <c r="H11" s="143"/>
      <c r="I11" s="145"/>
      <c r="J11" s="36"/>
    </row>
    <row r="12" spans="1:9" ht="12.75">
      <c r="A12" s="8"/>
      <c r="B12" s="8"/>
      <c r="C12" s="8"/>
      <c r="D12" s="8"/>
      <c r="E12" s="8"/>
      <c r="F12" s="8"/>
      <c r="G12" s="8"/>
      <c r="H12" s="8"/>
      <c r="I12" s="8"/>
    </row>
    <row r="13" spans="1:9" ht="15" customHeight="1">
      <c r="A13" s="160" t="s">
        <v>391</v>
      </c>
      <c r="B13" s="161"/>
      <c r="C13" s="161"/>
      <c r="D13" s="161"/>
      <c r="E13" s="161"/>
      <c r="F13" s="66"/>
      <c r="G13" s="66"/>
      <c r="H13" s="66"/>
      <c r="I13" s="66"/>
    </row>
    <row r="14" spans="1:10" ht="12.75">
      <c r="A14" s="162" t="s">
        <v>392</v>
      </c>
      <c r="B14" s="163"/>
      <c r="C14" s="163"/>
      <c r="D14" s="163"/>
      <c r="E14" s="164"/>
      <c r="F14" s="67" t="s">
        <v>400</v>
      </c>
      <c r="G14" s="67" t="s">
        <v>401</v>
      </c>
      <c r="H14" s="67" t="s">
        <v>402</v>
      </c>
      <c r="I14" s="67" t="s">
        <v>400</v>
      </c>
      <c r="J14" s="37"/>
    </row>
    <row r="15" spans="1:10" ht="12.75">
      <c r="A15" s="165" t="s">
        <v>364</v>
      </c>
      <c r="B15" s="166"/>
      <c r="C15" s="166"/>
      <c r="D15" s="166"/>
      <c r="E15" s="167"/>
      <c r="F15" s="68">
        <v>0</v>
      </c>
      <c r="G15" s="71"/>
      <c r="H15" s="71"/>
      <c r="I15" s="68">
        <f>F15</f>
        <v>0</v>
      </c>
      <c r="J15" s="36"/>
    </row>
    <row r="16" spans="1:10" ht="12.75">
      <c r="A16" s="165" t="s">
        <v>365</v>
      </c>
      <c r="B16" s="166"/>
      <c r="C16" s="166"/>
      <c r="D16" s="166"/>
      <c r="E16" s="167"/>
      <c r="F16" s="76">
        <v>0</v>
      </c>
      <c r="G16" s="71"/>
      <c r="H16" s="71"/>
      <c r="I16" s="68">
        <f>F16</f>
        <v>0</v>
      </c>
      <c r="J16" s="36"/>
    </row>
    <row r="17" spans="1:10" ht="12.75">
      <c r="A17" s="149" t="s">
        <v>366</v>
      </c>
      <c r="B17" s="150"/>
      <c r="C17" s="150"/>
      <c r="D17" s="150"/>
      <c r="E17" s="151"/>
      <c r="F17" s="69">
        <v>0</v>
      </c>
      <c r="G17" s="72"/>
      <c r="H17" s="72"/>
      <c r="I17" s="69">
        <f>F17</f>
        <v>0</v>
      </c>
      <c r="J17" s="36"/>
    </row>
    <row r="18" spans="1:10" ht="12.75">
      <c r="A18" s="152" t="s">
        <v>393</v>
      </c>
      <c r="B18" s="115"/>
      <c r="C18" s="115"/>
      <c r="D18" s="115"/>
      <c r="E18" s="153"/>
      <c r="F18" s="70"/>
      <c r="G18" s="73"/>
      <c r="H18" s="73"/>
      <c r="I18" s="74">
        <f>SUM(I15:I17)</f>
        <v>0</v>
      </c>
      <c r="J18" s="37"/>
    </row>
    <row r="19" spans="1:9" ht="12.75">
      <c r="A19" s="65"/>
      <c r="B19" s="65"/>
      <c r="C19" s="65"/>
      <c r="D19" s="65"/>
      <c r="E19" s="65"/>
      <c r="F19" s="65"/>
      <c r="G19" s="65"/>
      <c r="H19" s="65"/>
      <c r="I19" s="65"/>
    </row>
    <row r="20" spans="1:10" ht="12.75">
      <c r="A20" s="162" t="s">
        <v>390</v>
      </c>
      <c r="B20" s="163"/>
      <c r="C20" s="163"/>
      <c r="D20" s="163"/>
      <c r="E20" s="164"/>
      <c r="F20" s="67" t="s">
        <v>400</v>
      </c>
      <c r="G20" s="67" t="s">
        <v>401</v>
      </c>
      <c r="H20" s="67" t="s">
        <v>402</v>
      </c>
      <c r="I20" s="67" t="s">
        <v>400</v>
      </c>
      <c r="J20" s="37"/>
    </row>
    <row r="21" spans="1:10" ht="12.75">
      <c r="A21" s="165" t="s">
        <v>374</v>
      </c>
      <c r="B21" s="166"/>
      <c r="C21" s="166"/>
      <c r="D21" s="166"/>
      <c r="E21" s="167"/>
      <c r="F21" s="76">
        <v>0</v>
      </c>
      <c r="G21" s="71"/>
      <c r="H21" s="71"/>
      <c r="I21" s="68">
        <f aca="true" t="shared" si="0" ref="I21:I26">F21</f>
        <v>0</v>
      </c>
      <c r="J21" s="36"/>
    </row>
    <row r="22" spans="1:10" ht="12.75">
      <c r="A22" s="165" t="s">
        <v>375</v>
      </c>
      <c r="B22" s="166"/>
      <c r="C22" s="166"/>
      <c r="D22" s="166"/>
      <c r="E22" s="167"/>
      <c r="F22" s="68">
        <v>0</v>
      </c>
      <c r="G22" s="71"/>
      <c r="H22" s="71"/>
      <c r="I22" s="68">
        <f t="shared" si="0"/>
        <v>0</v>
      </c>
      <c r="J22" s="36"/>
    </row>
    <row r="23" spans="1:10" ht="12.75">
      <c r="A23" s="165" t="s">
        <v>376</v>
      </c>
      <c r="B23" s="166"/>
      <c r="C23" s="166"/>
      <c r="D23" s="166"/>
      <c r="E23" s="167"/>
      <c r="F23" s="68">
        <v>0</v>
      </c>
      <c r="G23" s="71"/>
      <c r="H23" s="71"/>
      <c r="I23" s="68">
        <f t="shared" si="0"/>
        <v>0</v>
      </c>
      <c r="J23" s="36"/>
    </row>
    <row r="24" spans="1:10" ht="12.75">
      <c r="A24" s="165" t="s">
        <v>377</v>
      </c>
      <c r="B24" s="166"/>
      <c r="C24" s="166"/>
      <c r="D24" s="166"/>
      <c r="E24" s="167"/>
      <c r="F24" s="76">
        <v>0</v>
      </c>
      <c r="G24" s="71"/>
      <c r="H24" s="71"/>
      <c r="I24" s="68">
        <f t="shared" si="0"/>
        <v>0</v>
      </c>
      <c r="J24" s="36"/>
    </row>
    <row r="25" spans="1:10" ht="12.75">
      <c r="A25" s="165" t="s">
        <v>378</v>
      </c>
      <c r="B25" s="166"/>
      <c r="C25" s="166"/>
      <c r="D25" s="166"/>
      <c r="E25" s="167"/>
      <c r="F25" s="68">
        <v>0</v>
      </c>
      <c r="G25" s="71"/>
      <c r="H25" s="71"/>
      <c r="I25" s="68">
        <f t="shared" si="0"/>
        <v>0</v>
      </c>
      <c r="J25" s="36"/>
    </row>
    <row r="26" spans="1:10" ht="12.75">
      <c r="A26" s="149" t="s">
        <v>379</v>
      </c>
      <c r="B26" s="150"/>
      <c r="C26" s="150"/>
      <c r="D26" s="150"/>
      <c r="E26" s="151"/>
      <c r="F26" s="69">
        <v>0</v>
      </c>
      <c r="G26" s="72"/>
      <c r="H26" s="72"/>
      <c r="I26" s="69">
        <f t="shared" si="0"/>
        <v>0</v>
      </c>
      <c r="J26" s="36"/>
    </row>
    <row r="27" spans="1:10" ht="12.75">
      <c r="A27" s="152" t="s">
        <v>394</v>
      </c>
      <c r="B27" s="115"/>
      <c r="C27" s="115"/>
      <c r="D27" s="115"/>
      <c r="E27" s="153"/>
      <c r="F27" s="70"/>
      <c r="G27" s="73"/>
      <c r="H27" s="73"/>
      <c r="I27" s="74">
        <f>SUM(I21:I26)</f>
        <v>0</v>
      </c>
      <c r="J27" s="37"/>
    </row>
    <row r="28" spans="1:9" ht="12.75">
      <c r="A28" s="65"/>
      <c r="B28" s="65"/>
      <c r="C28" s="65"/>
      <c r="D28" s="65"/>
      <c r="E28" s="65"/>
      <c r="F28" s="65"/>
      <c r="G28" s="65"/>
      <c r="H28" s="65"/>
      <c r="I28" s="65"/>
    </row>
    <row r="29" spans="1:10" ht="15" customHeight="1">
      <c r="A29" s="154" t="s">
        <v>395</v>
      </c>
      <c r="B29" s="155"/>
      <c r="C29" s="155"/>
      <c r="D29" s="155"/>
      <c r="E29" s="156"/>
      <c r="F29" s="157">
        <f>I18+I27</f>
        <v>0</v>
      </c>
      <c r="G29" s="158"/>
      <c r="H29" s="158"/>
      <c r="I29" s="159"/>
      <c r="J29" s="37"/>
    </row>
    <row r="30" spans="1:9" ht="12.75">
      <c r="A30" s="56"/>
      <c r="B30" s="56"/>
      <c r="C30" s="56"/>
      <c r="D30" s="56"/>
      <c r="E30" s="56"/>
      <c r="F30" s="56"/>
      <c r="G30" s="56"/>
      <c r="H30" s="56"/>
      <c r="I30" s="56"/>
    </row>
    <row r="33" spans="1:9" ht="15" customHeight="1">
      <c r="A33" s="160" t="s">
        <v>396</v>
      </c>
      <c r="B33" s="161"/>
      <c r="C33" s="161"/>
      <c r="D33" s="161"/>
      <c r="E33" s="161"/>
      <c r="F33" s="66"/>
      <c r="G33" s="66"/>
      <c r="H33" s="66"/>
      <c r="I33" s="66"/>
    </row>
    <row r="34" spans="1:10" ht="12.75">
      <c r="A34" s="162" t="s">
        <v>397</v>
      </c>
      <c r="B34" s="163"/>
      <c r="C34" s="163"/>
      <c r="D34" s="163"/>
      <c r="E34" s="164"/>
      <c r="F34" s="67" t="s">
        <v>400</v>
      </c>
      <c r="G34" s="67" t="s">
        <v>401</v>
      </c>
      <c r="H34" s="67" t="s">
        <v>402</v>
      </c>
      <c r="I34" s="67" t="s">
        <v>400</v>
      </c>
      <c r="J34" s="37"/>
    </row>
    <row r="35" spans="1:10" ht="12.75">
      <c r="A35" s="149"/>
      <c r="B35" s="150"/>
      <c r="C35" s="150"/>
      <c r="D35" s="150"/>
      <c r="E35" s="151"/>
      <c r="F35" s="69">
        <v>0</v>
      </c>
      <c r="G35" s="72"/>
      <c r="H35" s="72"/>
      <c r="I35" s="69">
        <f>F35</f>
        <v>0</v>
      </c>
      <c r="J35" s="36"/>
    </row>
    <row r="36" spans="1:10" ht="12.75">
      <c r="A36" s="152" t="s">
        <v>398</v>
      </c>
      <c r="B36" s="115"/>
      <c r="C36" s="115"/>
      <c r="D36" s="115"/>
      <c r="E36" s="153"/>
      <c r="F36" s="70"/>
      <c r="G36" s="73"/>
      <c r="H36" s="73"/>
      <c r="I36" s="74">
        <f>SUM(I35:I35)</f>
        <v>0</v>
      </c>
      <c r="J36" s="37"/>
    </row>
    <row r="37" spans="1:9" ht="12.75">
      <c r="A37" s="56"/>
      <c r="B37" s="56"/>
      <c r="C37" s="56"/>
      <c r="D37" s="56"/>
      <c r="E37" s="56"/>
      <c r="F37" s="56"/>
      <c r="G37" s="56"/>
      <c r="H37" s="56"/>
      <c r="I37" s="56"/>
    </row>
  </sheetData>
  <sheetProtection password="E93C" sheet="1" objects="1" scenarios="1"/>
  <protectedRanges>
    <protectedRange sqref="F16 F21 F24" name="Oblast1"/>
  </protectedRanges>
  <mergeCells count="51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3:E13"/>
    <mergeCell ref="A14:E14"/>
    <mergeCell ref="A15:E15"/>
    <mergeCell ref="A16:E16"/>
    <mergeCell ref="A17:E17"/>
    <mergeCell ref="A18:E18"/>
    <mergeCell ref="A20:E20"/>
    <mergeCell ref="A21:E21"/>
    <mergeCell ref="A22:E22"/>
    <mergeCell ref="A23:E23"/>
    <mergeCell ref="A24:E24"/>
    <mergeCell ref="A25:E25"/>
    <mergeCell ref="A35:E35"/>
    <mergeCell ref="A36:E36"/>
    <mergeCell ref="A26:E26"/>
    <mergeCell ref="A27:E27"/>
    <mergeCell ref="A29:E29"/>
    <mergeCell ref="F29:I29"/>
    <mergeCell ref="A33:E33"/>
    <mergeCell ref="A34:E34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Jiří Bárta</cp:lastModifiedBy>
  <dcterms:modified xsi:type="dcterms:W3CDTF">2022-12-19T11:37:49Z</dcterms:modified>
  <cp:category/>
  <cp:version/>
  <cp:contentType/>
  <cp:contentStatus/>
</cp:coreProperties>
</file>